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tang26\Desktop\Amazon\"/>
    </mc:Choice>
  </mc:AlternateContent>
  <bookViews>
    <workbookView xWindow="10395" yWindow="-105" windowWidth="14850" windowHeight="12735"/>
  </bookViews>
  <sheets>
    <sheet name="Income - Adjusted" sheetId="2" r:id="rId1"/>
    <sheet name="Bal Sheet - Standardized" sheetId="3" r:id="rId2"/>
    <sheet name="Cash Flow - Standardized" sheetId="4" r:id="rId3"/>
    <sheet name="Per Share" sheetId="5" r:id="rId4"/>
    <sheet name="Stock Value" sheetId="6" r:id="rId5"/>
  </sheets>
  <calcPr calcId="152511"/>
</workbook>
</file>

<file path=xl/calcChain.xml><?xml version="1.0" encoding="utf-8"?>
<calcChain xmlns="http://schemas.openxmlformats.org/spreadsheetml/2006/main">
  <c r="AN14" i="6" l="1"/>
  <c r="O13" i="6"/>
  <c r="AC10" i="6"/>
  <c r="D9" i="6"/>
  <c r="R7" i="6"/>
  <c r="X27" i="5"/>
  <c r="AJ25" i="5"/>
  <c r="J23" i="5"/>
  <c r="V20" i="5"/>
  <c r="AH18" i="5"/>
  <c r="H17" i="5"/>
  <c r="T15" i="5"/>
  <c r="AM14" i="6"/>
  <c r="N13" i="6"/>
  <c r="AB10" i="6"/>
  <c r="C9" i="6"/>
  <c r="I7" i="6"/>
  <c r="W27" i="5"/>
  <c r="AI25" i="5"/>
  <c r="I23" i="5"/>
  <c r="U20" i="5"/>
  <c r="AG18" i="5"/>
  <c r="G17" i="5"/>
  <c r="S15" i="5"/>
  <c r="AE13" i="5"/>
  <c r="E12" i="5"/>
  <c r="Q8" i="5"/>
  <c r="AC6" i="5"/>
  <c r="V14" i="6"/>
  <c r="AJ12" i="6"/>
  <c r="K10" i="6"/>
  <c r="Q8" i="6"/>
  <c r="AE6" i="6"/>
  <c r="F27" i="5"/>
  <c r="R25" i="5"/>
  <c r="AD22" i="5"/>
  <c r="D20" i="5"/>
  <c r="P18" i="5"/>
  <c r="AB16" i="5"/>
  <c r="AN14" i="5"/>
  <c r="N13" i="5"/>
  <c r="Z11" i="5"/>
  <c r="AL7" i="5"/>
  <c r="L6" i="5"/>
  <c r="E14" i="6"/>
  <c r="S12" i="6"/>
  <c r="Y9" i="6"/>
  <c r="AM7" i="6"/>
  <c r="N6" i="6"/>
  <c r="AA26" i="5"/>
  <c r="AM23" i="5"/>
  <c r="M22" i="5"/>
  <c r="Y19" i="5"/>
  <c r="AK17" i="5"/>
  <c r="K16" i="5"/>
  <c r="W14" i="5"/>
  <c r="AI12" i="5"/>
  <c r="I11" i="5"/>
  <c r="U7" i="5"/>
  <c r="AJ14" i="6"/>
  <c r="K13" i="6"/>
  <c r="Q10" i="6"/>
  <c r="AE8" i="6"/>
  <c r="F7" i="6"/>
  <c r="T27" i="5"/>
  <c r="AF25" i="5"/>
  <c r="F23" i="5"/>
  <c r="R20" i="5"/>
  <c r="AD18" i="5"/>
  <c r="D17" i="5"/>
  <c r="P15" i="5"/>
  <c r="AB13" i="5"/>
  <c r="AN11" i="5"/>
  <c r="N8" i="5"/>
  <c r="Z6" i="5"/>
  <c r="AH13" i="6"/>
  <c r="AN10" i="6"/>
  <c r="O9" i="6"/>
  <c r="AC7" i="6"/>
  <c r="D6" i="6"/>
  <c r="Q26" i="5"/>
  <c r="AC23" i="5"/>
  <c r="C22" i="5"/>
  <c r="O19" i="5"/>
  <c r="AA17" i="5"/>
  <c r="AM15" i="5"/>
  <c r="M14" i="5"/>
  <c r="Y12" i="5"/>
  <c r="AK8" i="5"/>
  <c r="K7" i="5"/>
  <c r="AH14" i="6"/>
  <c r="AN12" i="6"/>
  <c r="O10" i="6"/>
  <c r="AC8" i="6"/>
  <c r="D7" i="6"/>
  <c r="R27" i="5"/>
  <c r="AD25" i="5"/>
  <c r="D23" i="5"/>
  <c r="P20" i="5"/>
  <c r="AB18" i="5"/>
  <c r="AN16" i="5"/>
  <c r="N15" i="5"/>
  <c r="Z13" i="5"/>
  <c r="AL11" i="5"/>
  <c r="L8" i="5"/>
  <c r="X6" i="5"/>
  <c r="V10" i="6"/>
  <c r="I17" i="5"/>
  <c r="AE6" i="5"/>
  <c r="O69" i="4"/>
  <c r="AE67" i="4"/>
  <c r="G66" i="4"/>
  <c r="W64" i="4"/>
  <c r="AM62" i="4"/>
  <c r="O61" i="4"/>
  <c r="AE57" i="4"/>
  <c r="G55" i="4"/>
  <c r="W51" i="4"/>
  <c r="AM49" i="4"/>
  <c r="O48" i="4"/>
  <c r="AE46" i="4"/>
  <c r="G45" i="4"/>
  <c r="AB8" i="6"/>
  <c r="M15" i="5"/>
  <c r="AK70" i="4"/>
  <c r="F69" i="4"/>
  <c r="V67" i="4"/>
  <c r="AF14" i="6"/>
  <c r="G13" i="6"/>
  <c r="U10" i="6"/>
  <c r="AI8" i="6"/>
  <c r="J7" i="6"/>
  <c r="P27" i="5"/>
  <c r="AB25" i="5"/>
  <c r="AN22" i="5"/>
  <c r="N20" i="5"/>
  <c r="Z18" i="5"/>
  <c r="AL16" i="5"/>
  <c r="L15" i="5"/>
  <c r="AE14" i="6"/>
  <c r="F13" i="6"/>
  <c r="T10" i="6"/>
  <c r="AH8" i="6"/>
  <c r="AN6" i="6"/>
  <c r="O27" i="5"/>
  <c r="AA25" i="5"/>
  <c r="AM22" i="5"/>
  <c r="M20" i="5"/>
  <c r="Y18" i="5"/>
  <c r="AK16" i="5"/>
  <c r="K15" i="5"/>
  <c r="W13" i="5"/>
  <c r="AI11" i="5"/>
  <c r="I8" i="5"/>
  <c r="U6" i="5"/>
  <c r="N14" i="6"/>
  <c r="AB12" i="6"/>
  <c r="C10" i="6"/>
  <c r="I8" i="6"/>
  <c r="W6" i="6"/>
  <c r="AJ26" i="5"/>
  <c r="J25" i="5"/>
  <c r="V22" i="5"/>
  <c r="AH19" i="5"/>
  <c r="H18" i="5"/>
  <c r="T16" i="5"/>
  <c r="AF14" i="5"/>
  <c r="F13" i="5"/>
  <c r="R11" i="5"/>
  <c r="AD7" i="5"/>
  <c r="D6" i="5"/>
  <c r="AJ13" i="6"/>
  <c r="K12" i="6"/>
  <c r="Q9" i="6"/>
  <c r="AE7" i="6"/>
  <c r="F6" i="6"/>
  <c r="S26" i="5"/>
  <c r="AE23" i="5"/>
  <c r="E22" i="5"/>
  <c r="Q19" i="5"/>
  <c r="AC17" i="5"/>
  <c r="C16" i="5"/>
  <c r="O14" i="5"/>
  <c r="AA12" i="5"/>
  <c r="AM8" i="5"/>
  <c r="M7" i="5"/>
  <c r="AB14" i="6"/>
  <c r="C13" i="6"/>
  <c r="I10" i="6"/>
  <c r="W8" i="6"/>
  <c r="AK6" i="6"/>
  <c r="L27" i="5"/>
  <c r="X25" i="5"/>
  <c r="AJ22" i="5"/>
  <c r="J20" i="5"/>
  <c r="V18" i="5"/>
  <c r="AH16" i="5"/>
  <c r="H15" i="5"/>
  <c r="T13" i="5"/>
  <c r="AF11" i="5"/>
  <c r="F8" i="5"/>
  <c r="R6" i="5"/>
  <c r="Z13" i="6"/>
  <c r="AF10" i="6"/>
  <c r="G9" i="6"/>
  <c r="U7" i="6"/>
  <c r="AI27" i="5"/>
  <c r="I26" i="5"/>
  <c r="U23" i="5"/>
  <c r="AG20" i="5"/>
  <c r="G19" i="5"/>
  <c r="S17" i="5"/>
  <c r="AE15" i="5"/>
  <c r="E14" i="5"/>
  <c r="Q12" i="5"/>
  <c r="AC8" i="5"/>
  <c r="C7" i="5"/>
  <c r="Z14" i="6"/>
  <c r="AF12" i="6"/>
  <c r="G10" i="6"/>
  <c r="U8" i="6"/>
  <c r="AI6" i="6"/>
  <c r="J27" i="5"/>
  <c r="V25" i="5"/>
  <c r="AH22" i="5"/>
  <c r="H20" i="5"/>
  <c r="T18" i="5"/>
  <c r="AF16" i="5"/>
  <c r="F15" i="5"/>
  <c r="R13" i="5"/>
  <c r="AD11" i="5"/>
  <c r="D8" i="5"/>
  <c r="P6" i="5"/>
  <c r="AJ8" i="6"/>
  <c r="U15" i="5"/>
  <c r="AN70" i="4"/>
  <c r="G69" i="4"/>
  <c r="W67" i="4"/>
  <c r="AM65" i="4"/>
  <c r="O64" i="4"/>
  <c r="AE62" i="4"/>
  <c r="G61" i="4"/>
  <c r="W57" i="4"/>
  <c r="AM53" i="4"/>
  <c r="O51" i="4"/>
  <c r="AE49" i="4"/>
  <c r="G48" i="4"/>
  <c r="W46" i="4"/>
  <c r="AM44" i="4"/>
  <c r="C7" i="6"/>
  <c r="AF13" i="5"/>
  <c r="W70" i="4"/>
  <c r="AL68" i="4"/>
  <c r="N67" i="4"/>
  <c r="X14" i="6"/>
  <c r="AL12" i="6"/>
  <c r="M10" i="6"/>
  <c r="AA8" i="6"/>
  <c r="AG6" i="6"/>
  <c r="H27" i="5"/>
  <c r="T25" i="5"/>
  <c r="AF22" i="5"/>
  <c r="F20" i="5"/>
  <c r="R18" i="5"/>
  <c r="AD16" i="5"/>
  <c r="D15" i="5"/>
  <c r="W14" i="6"/>
  <c r="AK12" i="6"/>
  <c r="L10" i="6"/>
  <c r="Z8" i="6"/>
  <c r="AF6" i="6"/>
  <c r="G27" i="5"/>
  <c r="S25" i="5"/>
  <c r="AE22" i="5"/>
  <c r="E20" i="5"/>
  <c r="Q18" i="5"/>
  <c r="AC16" i="5"/>
  <c r="C15" i="5"/>
  <c r="O13" i="5"/>
  <c r="AA11" i="5"/>
  <c r="AM7" i="5"/>
  <c r="M6" i="5"/>
  <c r="F14" i="6"/>
  <c r="T12" i="6"/>
  <c r="AH9" i="6"/>
  <c r="AN7" i="6"/>
  <c r="O6" i="6"/>
  <c r="AB26" i="5"/>
  <c r="AN23" i="5"/>
  <c r="N22" i="5"/>
  <c r="Z19" i="5"/>
  <c r="AL17" i="5"/>
  <c r="L16" i="5"/>
  <c r="X14" i="5"/>
  <c r="AJ12" i="5"/>
  <c r="J11" i="5"/>
  <c r="V7" i="5"/>
  <c r="AH70" i="4"/>
  <c r="AB13" i="6"/>
  <c r="C12" i="6"/>
  <c r="I9" i="6"/>
  <c r="W7" i="6"/>
  <c r="AK27" i="5"/>
  <c r="K26" i="5"/>
  <c r="W23" i="5"/>
  <c r="AI20" i="5"/>
  <c r="I19" i="5"/>
  <c r="U17" i="5"/>
  <c r="AG15" i="5"/>
  <c r="G14" i="5"/>
  <c r="S12" i="5"/>
  <c r="AE8" i="5"/>
  <c r="E7" i="5"/>
  <c r="T14" i="6"/>
  <c r="AH12" i="6"/>
  <c r="AN9" i="6"/>
  <c r="O8" i="6"/>
  <c r="AC6" i="6"/>
  <c r="D27" i="5"/>
  <c r="P25" i="5"/>
  <c r="AB22" i="5"/>
  <c r="AN19" i="5"/>
  <c r="N18" i="5"/>
  <c r="Z16" i="5"/>
  <c r="AL14" i="5"/>
  <c r="L13" i="5"/>
  <c r="X11" i="5"/>
  <c r="AJ7" i="5"/>
  <c r="J6" i="5"/>
  <c r="R13" i="6"/>
  <c r="X10" i="6"/>
  <c r="AL8" i="6"/>
  <c r="M7" i="6"/>
  <c r="AA27" i="5"/>
  <c r="AM25" i="5"/>
  <c r="M23" i="5"/>
  <c r="Y20" i="5"/>
  <c r="AK18" i="5"/>
  <c r="K17" i="5"/>
  <c r="W15" i="5"/>
  <c r="AI13" i="5"/>
  <c r="I12" i="5"/>
  <c r="U8" i="5"/>
  <c r="AG6" i="5"/>
  <c r="R14" i="6"/>
  <c r="X12" i="6"/>
  <c r="AL9" i="6"/>
  <c r="M8" i="6"/>
  <c r="AA6" i="6"/>
  <c r="AN26" i="5"/>
  <c r="N25" i="5"/>
  <c r="Z22" i="5"/>
  <c r="AL19" i="5"/>
  <c r="L18" i="5"/>
  <c r="X16" i="5"/>
  <c r="AJ14" i="5"/>
  <c r="J13" i="5"/>
  <c r="V11" i="5"/>
  <c r="AH7" i="5"/>
  <c r="H6" i="5"/>
  <c r="K7" i="6"/>
  <c r="AG13" i="5"/>
  <c r="X70" i="4"/>
  <c r="AM68" i="4"/>
  <c r="O67" i="4"/>
  <c r="AE65" i="4"/>
  <c r="G64" i="4"/>
  <c r="W62" i="4"/>
  <c r="AM58" i="4"/>
  <c r="O57" i="4"/>
  <c r="AE53" i="4"/>
  <c r="G51" i="4"/>
  <c r="W49" i="4"/>
  <c r="AM47" i="4"/>
  <c r="O46" i="4"/>
  <c r="AE44" i="4"/>
  <c r="Q27" i="5"/>
  <c r="AL12" i="5"/>
  <c r="N70" i="4"/>
  <c r="AD68" i="4"/>
  <c r="F67" i="4"/>
  <c r="P14" i="6"/>
  <c r="AD12" i="6"/>
  <c r="E10" i="6"/>
  <c r="S8" i="6"/>
  <c r="Y6" i="6"/>
  <c r="AL26" i="5"/>
  <c r="L25" i="5"/>
  <c r="X22" i="5"/>
  <c r="AJ19" i="5"/>
  <c r="J18" i="5"/>
  <c r="V16" i="5"/>
  <c r="AH14" i="5"/>
  <c r="O14" i="6"/>
  <c r="AC12" i="6"/>
  <c r="D10" i="6"/>
  <c r="R8" i="6"/>
  <c r="X6" i="6"/>
  <c r="AK26" i="5"/>
  <c r="K25" i="5"/>
  <c r="W22" i="5"/>
  <c r="AI19" i="5"/>
  <c r="I18" i="5"/>
  <c r="U16" i="5"/>
  <c r="AG14" i="5"/>
  <c r="G13" i="5"/>
  <c r="S11" i="5"/>
  <c r="AE7" i="5"/>
  <c r="E6" i="5"/>
  <c r="AK13" i="6"/>
  <c r="L12" i="6"/>
  <c r="Z9" i="6"/>
  <c r="AF7" i="6"/>
  <c r="G6" i="6"/>
  <c r="T26" i="5"/>
  <c r="AF23" i="5"/>
  <c r="F22" i="5"/>
  <c r="R19" i="5"/>
  <c r="AD17" i="5"/>
  <c r="D16" i="5"/>
  <c r="P14" i="5"/>
  <c r="AB12" i="5"/>
  <c r="AN8" i="5"/>
  <c r="N7" i="5"/>
  <c r="Z70" i="4"/>
  <c r="T13" i="6"/>
  <c r="AH10" i="6"/>
  <c r="AN8" i="6"/>
  <c r="O7" i="6"/>
  <c r="AC27" i="5"/>
  <c r="C26" i="5"/>
  <c r="O23" i="5"/>
  <c r="AA20" i="5"/>
  <c r="AM18" i="5"/>
  <c r="M17" i="5"/>
  <c r="Y15" i="5"/>
  <c r="AK13" i="5"/>
  <c r="K12" i="5"/>
  <c r="W8" i="5"/>
  <c r="AI6" i="5"/>
  <c r="L14" i="6"/>
  <c r="Z12" i="6"/>
  <c r="AF9" i="6"/>
  <c r="G8" i="6"/>
  <c r="U6" i="6"/>
  <c r="AH26" i="5"/>
  <c r="H25" i="5"/>
  <c r="T22" i="5"/>
  <c r="AF19" i="5"/>
  <c r="F18" i="5"/>
  <c r="R16" i="5"/>
  <c r="AD14" i="5"/>
  <c r="D13" i="5"/>
  <c r="P11" i="5"/>
  <c r="AB7" i="5"/>
  <c r="AI14" i="6"/>
  <c r="J13" i="6"/>
  <c r="P10" i="6"/>
  <c r="AD8" i="6"/>
  <c r="E7" i="6"/>
  <c r="S27" i="5"/>
  <c r="AE25" i="5"/>
  <c r="E23" i="5"/>
  <c r="Q20" i="5"/>
  <c r="AC18" i="5"/>
  <c r="C17" i="5"/>
  <c r="O15" i="5"/>
  <c r="AA13" i="5"/>
  <c r="AM11" i="5"/>
  <c r="M8" i="5"/>
  <c r="Y6" i="5"/>
  <c r="J14" i="6"/>
  <c r="P12" i="6"/>
  <c r="AD9" i="6"/>
  <c r="E8" i="6"/>
  <c r="S6" i="6"/>
  <c r="AF26" i="5"/>
  <c r="F25" i="5"/>
  <c r="R22" i="5"/>
  <c r="AD19" i="5"/>
  <c r="D18" i="5"/>
  <c r="P16" i="5"/>
  <c r="AB14" i="5"/>
  <c r="AN12" i="5"/>
  <c r="N11" i="5"/>
  <c r="Z7" i="5"/>
  <c r="AL70" i="4"/>
  <c r="Y27" i="5"/>
  <c r="AM12" i="5"/>
  <c r="O70" i="4"/>
  <c r="AE68" i="4"/>
  <c r="G67" i="4"/>
  <c r="W65" i="4"/>
  <c r="AM63" i="4"/>
  <c r="O62" i="4"/>
  <c r="AE58" i="4"/>
  <c r="G57" i="4"/>
  <c r="W53" i="4"/>
  <c r="AM50" i="4"/>
  <c r="O49" i="4"/>
  <c r="AE47" i="4"/>
  <c r="G46" i="4"/>
  <c r="W44" i="4"/>
  <c r="AC25" i="5"/>
  <c r="F12" i="5"/>
  <c r="F70" i="4"/>
  <c r="V68" i="4"/>
  <c r="AL66" i="4"/>
  <c r="H14" i="6"/>
  <c r="V12" i="6"/>
  <c r="AJ9" i="6"/>
  <c r="K8" i="6"/>
  <c r="Q6" i="6"/>
  <c r="AD26" i="5"/>
  <c r="D25" i="5"/>
  <c r="P22" i="5"/>
  <c r="AB19" i="5"/>
  <c r="AN17" i="5"/>
  <c r="N16" i="5"/>
  <c r="Z14" i="5"/>
  <c r="G14" i="6"/>
  <c r="U12" i="6"/>
  <c r="AI9" i="6"/>
  <c r="J8" i="6"/>
  <c r="P6" i="6"/>
  <c r="AC26" i="5"/>
  <c r="C25" i="5"/>
  <c r="O22" i="5"/>
  <c r="AA19" i="5"/>
  <c r="AM17" i="5"/>
  <c r="M16" i="5"/>
  <c r="Y14" i="5"/>
  <c r="AK12" i="5"/>
  <c r="K11" i="5"/>
  <c r="W7" i="5"/>
  <c r="AI70" i="4"/>
  <c r="AC13" i="6"/>
  <c r="D12" i="6"/>
  <c r="R9" i="6"/>
  <c r="X7" i="6"/>
  <c r="AL27" i="5"/>
  <c r="L26" i="5"/>
  <c r="X23" i="5"/>
  <c r="AJ20" i="5"/>
  <c r="J19" i="5"/>
  <c r="V17" i="5"/>
  <c r="AH15" i="5"/>
  <c r="H14" i="5"/>
  <c r="T12" i="5"/>
  <c r="AF8" i="5"/>
  <c r="F7" i="5"/>
  <c r="AK14" i="6"/>
  <c r="L13" i="6"/>
  <c r="Z10" i="6"/>
  <c r="AF8" i="6"/>
  <c r="G7" i="6"/>
  <c r="U27" i="5"/>
  <c r="AG25" i="5"/>
  <c r="G23" i="5"/>
  <c r="S20" i="5"/>
  <c r="AE18" i="5"/>
  <c r="E17" i="5"/>
  <c r="Q15" i="5"/>
  <c r="AC13" i="5"/>
  <c r="C12" i="5"/>
  <c r="O8" i="5"/>
  <c r="AA6" i="5"/>
  <c r="D14" i="6"/>
  <c r="R12" i="6"/>
  <c r="X9" i="6"/>
  <c r="AL7" i="6"/>
  <c r="M6" i="6"/>
  <c r="Z26" i="5"/>
  <c r="AL23" i="5"/>
  <c r="L22" i="5"/>
  <c r="X19" i="5"/>
  <c r="AJ17" i="5"/>
  <c r="J16" i="5"/>
  <c r="V14" i="5"/>
  <c r="AH12" i="5"/>
  <c r="H11" i="5"/>
  <c r="T7" i="5"/>
  <c r="AA14" i="6"/>
  <c r="AG12" i="6"/>
  <c r="H10" i="6"/>
  <c r="V8" i="6"/>
  <c r="AJ6" i="6"/>
  <c r="K27" i="5"/>
  <c r="W25" i="5"/>
  <c r="AI22" i="5"/>
  <c r="I20" i="5"/>
  <c r="U18" i="5"/>
  <c r="AG16" i="5"/>
  <c r="G15" i="5"/>
  <c r="S13" i="5"/>
  <c r="AE11" i="5"/>
  <c r="E8" i="5"/>
  <c r="Q6" i="5"/>
  <c r="AG13" i="6"/>
  <c r="H12" i="6"/>
  <c r="V9" i="6"/>
  <c r="AJ7" i="6"/>
  <c r="K6" i="6"/>
  <c r="X26" i="5"/>
  <c r="AJ23" i="5"/>
  <c r="J22" i="5"/>
  <c r="V19" i="5"/>
  <c r="AH17" i="5"/>
  <c r="H16" i="5"/>
  <c r="T14" i="5"/>
  <c r="AF12" i="5"/>
  <c r="F11" i="5"/>
  <c r="R7" i="5"/>
  <c r="AD70" i="4"/>
  <c r="AK25" i="5"/>
  <c r="G12" i="5"/>
  <c r="G70" i="4"/>
  <c r="W68" i="4"/>
  <c r="AM66" i="4"/>
  <c r="O65" i="4"/>
  <c r="AE63" i="4"/>
  <c r="G62" i="4"/>
  <c r="W58" i="4"/>
  <c r="AM55" i="4"/>
  <c r="O53" i="4"/>
  <c r="AE50" i="4"/>
  <c r="G49" i="4"/>
  <c r="W47" i="4"/>
  <c r="AM45" i="4"/>
  <c r="O44" i="4"/>
  <c r="C23" i="5"/>
  <c r="L11" i="5"/>
  <c r="AL69" i="4"/>
  <c r="N68" i="4"/>
  <c r="AD66" i="4"/>
  <c r="AM13" i="6"/>
  <c r="N12" i="6"/>
  <c r="AB9" i="6"/>
  <c r="C8" i="6"/>
  <c r="I6" i="6"/>
  <c r="V26" i="5"/>
  <c r="AH23" i="5"/>
  <c r="H22" i="5"/>
  <c r="T19" i="5"/>
  <c r="AF17" i="5"/>
  <c r="F16" i="5"/>
  <c r="R14" i="5"/>
  <c r="AL13" i="6"/>
  <c r="M12" i="6"/>
  <c r="AA9" i="6"/>
  <c r="AG7" i="6"/>
  <c r="H6" i="6"/>
  <c r="U26" i="5"/>
  <c r="AG23" i="5"/>
  <c r="G22" i="5"/>
  <c r="S19" i="5"/>
  <c r="AE17" i="5"/>
  <c r="E16" i="5"/>
  <c r="Q14" i="5"/>
  <c r="AC12" i="5"/>
  <c r="C11" i="5"/>
  <c r="O7" i="5"/>
  <c r="AA70" i="4"/>
  <c r="U13" i="6"/>
  <c r="AI10" i="6"/>
  <c r="J9" i="6"/>
  <c r="P7" i="6"/>
  <c r="AD27" i="5"/>
  <c r="D26" i="5"/>
  <c r="P23" i="5"/>
  <c r="AB20" i="5"/>
  <c r="AN18" i="5"/>
  <c r="N17" i="5"/>
  <c r="Z15" i="5"/>
  <c r="AL13" i="5"/>
  <c r="L12" i="5"/>
  <c r="X8" i="5"/>
  <c r="AJ6" i="5"/>
  <c r="AC14" i="6"/>
  <c r="D13" i="6"/>
  <c r="R10" i="6"/>
  <c r="X8" i="6"/>
  <c r="AL6" i="6"/>
  <c r="M27" i="5"/>
  <c r="Y25" i="5"/>
  <c r="AK22" i="5"/>
  <c r="K20" i="5"/>
  <c r="W18" i="5"/>
  <c r="AI16" i="5"/>
  <c r="I15" i="5"/>
  <c r="U13" i="5"/>
  <c r="AG11" i="5"/>
  <c r="G8" i="5"/>
  <c r="S6" i="5"/>
  <c r="AI13" i="6"/>
  <c r="J12" i="6"/>
  <c r="P9" i="6"/>
  <c r="AD7" i="6"/>
  <c r="E6" i="6"/>
  <c r="R26" i="5"/>
  <c r="AD23" i="5"/>
  <c r="D22" i="5"/>
  <c r="P19" i="5"/>
  <c r="AB17" i="5"/>
  <c r="AN15" i="5"/>
  <c r="N14" i="5"/>
  <c r="Z12" i="5"/>
  <c r="AL8" i="5"/>
  <c r="L7" i="5"/>
  <c r="S14" i="6"/>
  <c r="Y12" i="6"/>
  <c r="AM9" i="6"/>
  <c r="N8" i="6"/>
  <c r="AB6" i="6"/>
  <c r="C27" i="5"/>
  <c r="O25" i="5"/>
  <c r="AA22" i="5"/>
  <c r="AM19" i="5"/>
  <c r="M18" i="5"/>
  <c r="Y16" i="5"/>
  <c r="AK14" i="5"/>
  <c r="K13" i="5"/>
  <c r="W11" i="5"/>
  <c r="AI7" i="5"/>
  <c r="I6" i="5"/>
  <c r="Y13" i="6"/>
  <c r="AM10" i="6"/>
  <c r="N9" i="6"/>
  <c r="AB7" i="6"/>
  <c r="C6" i="6"/>
  <c r="P26" i="5"/>
  <c r="AB23" i="5"/>
  <c r="AN20" i="5"/>
  <c r="N19" i="5"/>
  <c r="Z17" i="5"/>
  <c r="AL15" i="5"/>
  <c r="L14" i="5"/>
  <c r="X12" i="5"/>
  <c r="AJ8" i="5"/>
  <c r="J7" i="5"/>
  <c r="V70" i="4"/>
  <c r="K23" i="5"/>
  <c r="M11" i="5"/>
  <c r="AM69" i="4"/>
  <c r="O68" i="4"/>
  <c r="AE66" i="4"/>
  <c r="G65" i="4"/>
  <c r="W63" i="4"/>
  <c r="AM61" i="4"/>
  <c r="O58" i="4"/>
  <c r="AE55" i="4"/>
  <c r="G53" i="4"/>
  <c r="W50" i="4"/>
  <c r="AM48" i="4"/>
  <c r="O47" i="4"/>
  <c r="AE45" i="4"/>
  <c r="Y14" i="6"/>
  <c r="O20" i="5"/>
  <c r="R8" i="5"/>
  <c r="AD69" i="4"/>
  <c r="AE13" i="6"/>
  <c r="F12" i="6"/>
  <c r="T9" i="6"/>
  <c r="AH7" i="6"/>
  <c r="AN27" i="5"/>
  <c r="N26" i="5"/>
  <c r="Z23" i="5"/>
  <c r="AL20" i="5"/>
  <c r="L19" i="5"/>
  <c r="X17" i="5"/>
  <c r="AJ15" i="5"/>
  <c r="J14" i="5"/>
  <c r="AD13" i="6"/>
  <c r="E12" i="6"/>
  <c r="S9" i="6"/>
  <c r="Y7" i="6"/>
  <c r="AM27" i="5"/>
  <c r="M26" i="5"/>
  <c r="Y23" i="5"/>
  <c r="AK20" i="5"/>
  <c r="K19" i="5"/>
  <c r="W17" i="5"/>
  <c r="AI15" i="5"/>
  <c r="I14" i="5"/>
  <c r="U12" i="5"/>
  <c r="AG8" i="5"/>
  <c r="G7" i="5"/>
  <c r="AL14" i="6"/>
  <c r="M13" i="6"/>
  <c r="AA10" i="6"/>
  <c r="AG8" i="6"/>
  <c r="H7" i="6"/>
  <c r="V27" i="5"/>
  <c r="AH25" i="5"/>
  <c r="H23" i="5"/>
  <c r="T20" i="5"/>
  <c r="AF18" i="5"/>
  <c r="F17" i="5"/>
  <c r="R15" i="5"/>
  <c r="AD13" i="5"/>
  <c r="D12" i="5"/>
  <c r="P8" i="5"/>
  <c r="AB6" i="5"/>
  <c r="U14" i="6"/>
  <c r="AI12" i="6"/>
  <c r="J10" i="6"/>
  <c r="P8" i="6"/>
  <c r="AD6" i="6"/>
  <c r="E27" i="5"/>
  <c r="Q25" i="5"/>
  <c r="AC22" i="5"/>
  <c r="C20" i="5"/>
  <c r="O18" i="5"/>
  <c r="AA16" i="5"/>
  <c r="AM14" i="5"/>
  <c r="M13" i="5"/>
  <c r="Y11" i="5"/>
  <c r="AK7" i="5"/>
  <c r="K6" i="5"/>
  <c r="AA13" i="6"/>
  <c r="AG10" i="6"/>
  <c r="H9" i="6"/>
  <c r="V7" i="6"/>
  <c r="AJ27" i="5"/>
  <c r="J26" i="5"/>
  <c r="V23" i="5"/>
  <c r="AH20" i="5"/>
  <c r="H19" i="5"/>
  <c r="T17" i="5"/>
  <c r="AF15" i="5"/>
  <c r="F14" i="5"/>
  <c r="R12" i="5"/>
  <c r="AD8" i="5"/>
  <c r="D7" i="5"/>
  <c r="K14" i="6"/>
  <c r="Q12" i="6"/>
  <c r="AE9" i="6"/>
  <c r="F8" i="6"/>
  <c r="T6" i="6"/>
  <c r="AG26" i="5"/>
  <c r="G25" i="5"/>
  <c r="S22" i="5"/>
  <c r="AE19" i="5"/>
  <c r="E18" i="5"/>
  <c r="Q16" i="5"/>
  <c r="AC14" i="5"/>
  <c r="C13" i="5"/>
  <c r="O11" i="5"/>
  <c r="AA7" i="5"/>
  <c r="AM70" i="4"/>
  <c r="Q13" i="6"/>
  <c r="AE10" i="6"/>
  <c r="F9" i="6"/>
  <c r="T7" i="6"/>
  <c r="AH27" i="5"/>
  <c r="H26" i="5"/>
  <c r="T23" i="5"/>
  <c r="AF20" i="5"/>
  <c r="F19" i="5"/>
  <c r="R17" i="5"/>
  <c r="AD15" i="5"/>
  <c r="D14" i="5"/>
  <c r="P12" i="5"/>
  <c r="AB8" i="5"/>
  <c r="AN6" i="5"/>
  <c r="AG14" i="6"/>
  <c r="W20" i="5"/>
  <c r="S8" i="5"/>
  <c r="AE69" i="4"/>
  <c r="G68" i="4"/>
  <c r="W66" i="4"/>
  <c r="AM64" i="4"/>
  <c r="O63" i="4"/>
  <c r="AE61" i="4"/>
  <c r="G58" i="4"/>
  <c r="W55" i="4"/>
  <c r="AM51" i="4"/>
  <c r="O50" i="4"/>
  <c r="AE48" i="4"/>
  <c r="G47" i="4"/>
  <c r="W45" i="4"/>
  <c r="AM12" i="6"/>
  <c r="AA18" i="5"/>
  <c r="X7" i="5"/>
  <c r="V69" i="4"/>
  <c r="AL67" i="4"/>
  <c r="N66" i="4"/>
  <c r="W13" i="6"/>
  <c r="D19" i="5"/>
  <c r="AE27" i="5"/>
  <c r="M12" i="5"/>
  <c r="N27" i="5"/>
  <c r="AH11" i="5"/>
  <c r="AI26" i="5"/>
  <c r="Q11" i="5"/>
  <c r="AN25" i="5"/>
  <c r="V8" i="5"/>
  <c r="AK23" i="5"/>
  <c r="S7" i="5"/>
  <c r="L23" i="5"/>
  <c r="AF6" i="5"/>
  <c r="G63" i="4"/>
  <c r="O45" i="4"/>
  <c r="F66" i="4"/>
  <c r="V64" i="4"/>
  <c r="AL62" i="4"/>
  <c r="N61" i="4"/>
  <c r="AD57" i="4"/>
  <c r="F55" i="4"/>
  <c r="V51" i="4"/>
  <c r="AL49" i="4"/>
  <c r="N48" i="4"/>
  <c r="AD46" i="4"/>
  <c r="F45" i="4"/>
  <c r="T8" i="6"/>
  <c r="E15" i="5"/>
  <c r="AJ70" i="4"/>
  <c r="E69" i="4"/>
  <c r="U67" i="4"/>
  <c r="AK65" i="4"/>
  <c r="M64" i="4"/>
  <c r="AC62" i="4"/>
  <c r="E61" i="4"/>
  <c r="U57" i="4"/>
  <c r="AK53" i="4"/>
  <c r="M51" i="4"/>
  <c r="AC49" i="4"/>
  <c r="E48" i="4"/>
  <c r="U46" i="4"/>
  <c r="AK44" i="4"/>
  <c r="Z6" i="6"/>
  <c r="X13" i="5"/>
  <c r="T70" i="4"/>
  <c r="AJ68" i="4"/>
  <c r="L67" i="4"/>
  <c r="AB65" i="4"/>
  <c r="D64" i="4"/>
  <c r="T62" i="4"/>
  <c r="AJ58" i="4"/>
  <c r="L57" i="4"/>
  <c r="AB53" i="4"/>
  <c r="D51" i="4"/>
  <c r="T49" i="4"/>
  <c r="AJ47" i="4"/>
  <c r="L46" i="4"/>
  <c r="AB44" i="4"/>
  <c r="Q22" i="5"/>
  <c r="AI8" i="5"/>
  <c r="AI69" i="4"/>
  <c r="K68" i="4"/>
  <c r="AA66" i="4"/>
  <c r="C65" i="4"/>
  <c r="S63" i="4"/>
  <c r="AI61" i="4"/>
  <c r="K58" i="4"/>
  <c r="AA55" i="4"/>
  <c r="C53" i="4"/>
  <c r="S50" i="4"/>
  <c r="AI48" i="4"/>
  <c r="K47" i="4"/>
  <c r="AA45" i="4"/>
  <c r="AF13" i="6"/>
  <c r="U19" i="5"/>
  <c r="AN7" i="5"/>
  <c r="R69" i="4"/>
  <c r="R67" i="4"/>
  <c r="R65" i="4"/>
  <c r="R63" i="4"/>
  <c r="R61" i="4"/>
  <c r="R57" i="4"/>
  <c r="R53" i="4"/>
  <c r="R50" i="4"/>
  <c r="R48" i="4"/>
  <c r="R46" i="4"/>
  <c r="R44" i="4"/>
  <c r="AM20" i="5"/>
  <c r="AA8" i="5"/>
  <c r="Y69" i="4"/>
  <c r="Y67" i="4"/>
  <c r="Y65" i="4"/>
  <c r="Y63" i="4"/>
  <c r="Y61" i="4"/>
  <c r="Y57" i="4"/>
  <c r="Y53" i="4"/>
  <c r="Y50" i="4"/>
  <c r="Y48" i="4"/>
  <c r="E19" i="5"/>
  <c r="AN57" i="4"/>
  <c r="X44" i="4"/>
  <c r="AD42" i="4"/>
  <c r="F41" i="4"/>
  <c r="V37" i="4"/>
  <c r="AL35" i="4"/>
  <c r="N34" i="4"/>
  <c r="AD32" i="4"/>
  <c r="F31" i="4"/>
  <c r="V29" i="4"/>
  <c r="AL27" i="4"/>
  <c r="N26" i="4"/>
  <c r="AD24" i="4"/>
  <c r="F23" i="4"/>
  <c r="V19" i="4"/>
  <c r="Q17" i="5"/>
  <c r="AF57" i="4"/>
  <c r="E44" i="4"/>
  <c r="U42" i="4"/>
  <c r="AK38" i="4"/>
  <c r="M37" i="4"/>
  <c r="AC35" i="4"/>
  <c r="E34" i="4"/>
  <c r="U32" i="4"/>
  <c r="AK30" i="4"/>
  <c r="M29" i="4"/>
  <c r="AC27" i="4"/>
  <c r="E26" i="4"/>
  <c r="U24" i="4"/>
  <c r="AK10" i="6"/>
  <c r="P17" i="5"/>
  <c r="E26" i="5"/>
  <c r="Y8" i="5"/>
  <c r="Z25" i="5"/>
  <c r="H8" i="5"/>
  <c r="I25" i="5"/>
  <c r="AC7" i="5"/>
  <c r="N23" i="5"/>
  <c r="AH6" i="5"/>
  <c r="K22" i="5"/>
  <c r="AE70" i="4"/>
  <c r="X20" i="5"/>
  <c r="H13" i="6"/>
  <c r="W61" i="4"/>
  <c r="N10" i="6"/>
  <c r="AL65" i="4"/>
  <c r="N64" i="4"/>
  <c r="AD62" i="4"/>
  <c r="F61" i="4"/>
  <c r="V57" i="4"/>
  <c r="AL53" i="4"/>
  <c r="N51" i="4"/>
  <c r="AD49" i="4"/>
  <c r="F48" i="4"/>
  <c r="V46" i="4"/>
  <c r="AL44" i="4"/>
  <c r="AH6" i="6"/>
  <c r="Y13" i="5"/>
  <c r="U70" i="4"/>
  <c r="AK68" i="4"/>
  <c r="M67" i="4"/>
  <c r="AC65" i="4"/>
  <c r="E64" i="4"/>
  <c r="U62" i="4"/>
  <c r="AK58" i="4"/>
  <c r="M57" i="4"/>
  <c r="AC53" i="4"/>
  <c r="E51" i="4"/>
  <c r="U49" i="4"/>
  <c r="AK47" i="4"/>
  <c r="M46" i="4"/>
  <c r="AC44" i="4"/>
  <c r="AM26" i="5"/>
  <c r="AD12" i="5"/>
  <c r="L70" i="4"/>
  <c r="AB68" i="4"/>
  <c r="D67" i="4"/>
  <c r="T65" i="4"/>
  <c r="AJ63" i="4"/>
  <c r="L62" i="4"/>
  <c r="AB58" i="4"/>
  <c r="D57" i="4"/>
  <c r="T53" i="4"/>
  <c r="AJ50" i="4"/>
  <c r="L49" i="4"/>
  <c r="AB47" i="4"/>
  <c r="D46" i="4"/>
  <c r="AN13" i="6"/>
  <c r="AC19" i="5"/>
  <c r="C8" i="5"/>
  <c r="AA69" i="4"/>
  <c r="C68" i="4"/>
  <c r="S66" i="4"/>
  <c r="AI64" i="4"/>
  <c r="K63" i="4"/>
  <c r="AA61" i="4"/>
  <c r="C58" i="4"/>
  <c r="S55" i="4"/>
  <c r="AI51" i="4"/>
  <c r="K50" i="4"/>
  <c r="AA48" i="4"/>
  <c r="C47" i="4"/>
  <c r="S45" i="4"/>
  <c r="G12" i="6"/>
  <c r="AG17" i="5"/>
  <c r="H7" i="5"/>
  <c r="J69" i="4"/>
  <c r="J67" i="4"/>
  <c r="J65" i="4"/>
  <c r="J63" i="4"/>
  <c r="J61" i="4"/>
  <c r="J57" i="4"/>
  <c r="J53" i="4"/>
  <c r="J50" i="4"/>
  <c r="J48" i="4"/>
  <c r="J46" i="4"/>
  <c r="J44" i="4"/>
  <c r="M19" i="5"/>
  <c r="AG7" i="5"/>
  <c r="Q69" i="4"/>
  <c r="Q67" i="4"/>
  <c r="Q65" i="4"/>
  <c r="Q63" i="4"/>
  <c r="Q61" i="4"/>
  <c r="Q57" i="4"/>
  <c r="Q53" i="4"/>
  <c r="Q50" i="4"/>
  <c r="Q48" i="4"/>
  <c r="AF7" i="5"/>
  <c r="P55" i="4"/>
  <c r="F44" i="4"/>
  <c r="V42" i="4"/>
  <c r="AL38" i="4"/>
  <c r="N37" i="4"/>
  <c r="AD35" i="4"/>
  <c r="F34" i="4"/>
  <c r="V32" i="4"/>
  <c r="AL30" i="4"/>
  <c r="N29" i="4"/>
  <c r="AD27" i="4"/>
  <c r="F26" i="4"/>
  <c r="V24" i="4"/>
  <c r="AL22" i="4"/>
  <c r="N19" i="4"/>
  <c r="AL6" i="5"/>
  <c r="H55" i="4"/>
  <c r="AK43" i="4"/>
  <c r="M42" i="4"/>
  <c r="AC38" i="4"/>
  <c r="E37" i="4"/>
  <c r="U35" i="4"/>
  <c r="AK33" i="4"/>
  <c r="M32" i="4"/>
  <c r="AC30" i="4"/>
  <c r="E29" i="4"/>
  <c r="U27" i="4"/>
  <c r="L9" i="6"/>
  <c r="AB15" i="5"/>
  <c r="Q23" i="5"/>
  <c r="AK6" i="5"/>
  <c r="AL22" i="5"/>
  <c r="T6" i="5"/>
  <c r="U22" i="5"/>
  <c r="C6" i="5"/>
  <c r="Z20" i="5"/>
  <c r="C14" i="6"/>
  <c r="W19" i="5"/>
  <c r="I13" i="6"/>
  <c r="AJ18" i="5"/>
  <c r="AI18" i="5"/>
  <c r="AM57" i="4"/>
  <c r="AM16" i="5"/>
  <c r="AD65" i="4"/>
  <c r="F64" i="4"/>
  <c r="V62" i="4"/>
  <c r="AL58" i="4"/>
  <c r="N57" i="4"/>
  <c r="AD53" i="4"/>
  <c r="F51" i="4"/>
  <c r="V49" i="4"/>
  <c r="AL47" i="4"/>
  <c r="N46" i="4"/>
  <c r="AD44" i="4"/>
  <c r="I27" i="5"/>
  <c r="AE12" i="5"/>
  <c r="M70" i="4"/>
  <c r="AC68" i="4"/>
  <c r="E67" i="4"/>
  <c r="U65" i="4"/>
  <c r="AK63" i="4"/>
  <c r="M62" i="4"/>
  <c r="AC58" i="4"/>
  <c r="E57" i="4"/>
  <c r="U53" i="4"/>
  <c r="AK50" i="4"/>
  <c r="M49" i="4"/>
  <c r="AC47" i="4"/>
  <c r="E46" i="4"/>
  <c r="U44" i="4"/>
  <c r="M25" i="5"/>
  <c r="AJ11" i="5"/>
  <c r="D70" i="4"/>
  <c r="T68" i="4"/>
  <c r="AJ66" i="4"/>
  <c r="L65" i="4"/>
  <c r="AB63" i="4"/>
  <c r="D62" i="4"/>
  <c r="T58" i="4"/>
  <c r="AJ55" i="4"/>
  <c r="L53" i="4"/>
  <c r="AB50" i="4"/>
  <c r="D49" i="4"/>
  <c r="T47" i="4"/>
  <c r="AJ45" i="4"/>
  <c r="O12" i="6"/>
  <c r="C18" i="5"/>
  <c r="I7" i="5"/>
  <c r="S69" i="4"/>
  <c r="AI67" i="4"/>
  <c r="K66" i="4"/>
  <c r="AA64" i="4"/>
  <c r="C63" i="4"/>
  <c r="S61" i="4"/>
  <c r="AI57" i="4"/>
  <c r="K55" i="4"/>
  <c r="AA51" i="4"/>
  <c r="C50" i="4"/>
  <c r="S48" i="4"/>
  <c r="AI46" i="4"/>
  <c r="K45" i="4"/>
  <c r="U9" i="6"/>
  <c r="G16" i="5"/>
  <c r="N6" i="5"/>
  <c r="AH68" i="4"/>
  <c r="AH66" i="4"/>
  <c r="AH64" i="4"/>
  <c r="AH62" i="4"/>
  <c r="AH58" i="4"/>
  <c r="AH55" i="4"/>
  <c r="AH51" i="4"/>
  <c r="AH49" i="4"/>
  <c r="AH47" i="4"/>
  <c r="AH45" i="4"/>
  <c r="X13" i="6"/>
  <c r="Y17" i="5"/>
  <c r="AM6" i="5"/>
  <c r="I69" i="4"/>
  <c r="I67" i="4"/>
  <c r="I65" i="4"/>
  <c r="I63" i="4"/>
  <c r="I61" i="4"/>
  <c r="I57" i="4"/>
  <c r="I53" i="4"/>
  <c r="I50" i="4"/>
  <c r="I48" i="4"/>
  <c r="X69" i="4"/>
  <c r="AF51" i="4"/>
  <c r="AL43" i="4"/>
  <c r="N42" i="4"/>
  <c r="AD38" i="4"/>
  <c r="F37" i="4"/>
  <c r="V35" i="4"/>
  <c r="AL33" i="4"/>
  <c r="N32" i="4"/>
  <c r="AD30" i="4"/>
  <c r="F29" i="4"/>
  <c r="V27" i="4"/>
  <c r="AL25" i="4"/>
  <c r="N24" i="4"/>
  <c r="AD22" i="4"/>
  <c r="F19" i="4"/>
  <c r="P69" i="4"/>
  <c r="X51" i="4"/>
  <c r="AC43" i="4"/>
  <c r="E42" i="4"/>
  <c r="U38" i="4"/>
  <c r="AK36" i="4"/>
  <c r="M35" i="4"/>
  <c r="AC33" i="4"/>
  <c r="E32" i="4"/>
  <c r="U30" i="4"/>
  <c r="AK28" i="4"/>
  <c r="M27" i="4"/>
  <c r="Z7" i="6"/>
  <c r="AN13" i="5"/>
  <c r="AC20" i="5"/>
  <c r="AD14" i="6"/>
  <c r="L20" i="5"/>
  <c r="M14" i="6"/>
  <c r="AG19" i="5"/>
  <c r="S13" i="6"/>
  <c r="AL18" i="5"/>
  <c r="I12" i="6"/>
  <c r="AI17" i="5"/>
  <c r="W10" i="6"/>
  <c r="J17" i="5"/>
  <c r="Y7" i="5"/>
  <c r="O55" i="4"/>
  <c r="AD6" i="5"/>
  <c r="V65" i="4"/>
  <c r="AL63" i="4"/>
  <c r="N62" i="4"/>
  <c r="AD58" i="4"/>
  <c r="F57" i="4"/>
  <c r="V53" i="4"/>
  <c r="AL50" i="4"/>
  <c r="N49" i="4"/>
  <c r="AD47" i="4"/>
  <c r="F46" i="4"/>
  <c r="V44" i="4"/>
  <c r="U25" i="5"/>
  <c r="AK11" i="5"/>
  <c r="E70" i="4"/>
  <c r="U68" i="4"/>
  <c r="AK66" i="4"/>
  <c r="M65" i="4"/>
  <c r="AC63" i="4"/>
  <c r="E62" i="4"/>
  <c r="U58" i="4"/>
  <c r="AK55" i="4"/>
  <c r="M53" i="4"/>
  <c r="AC50" i="4"/>
  <c r="E49" i="4"/>
  <c r="U47" i="4"/>
  <c r="AK45" i="4"/>
  <c r="M44" i="4"/>
  <c r="Y22" i="5"/>
  <c r="D11" i="5"/>
  <c r="AJ69" i="4"/>
  <c r="L68" i="4"/>
  <c r="AB66" i="4"/>
  <c r="D65" i="4"/>
  <c r="T63" i="4"/>
  <c r="AJ61" i="4"/>
  <c r="L58" i="4"/>
  <c r="AB55" i="4"/>
  <c r="D53" i="4"/>
  <c r="T50" i="4"/>
  <c r="AJ48" i="4"/>
  <c r="L47" i="4"/>
  <c r="AB45" i="4"/>
  <c r="AC9" i="6"/>
  <c r="O16" i="5"/>
  <c r="O6" i="5"/>
  <c r="K69" i="4"/>
  <c r="AA67" i="4"/>
  <c r="C66" i="4"/>
  <c r="S64" i="4"/>
  <c r="AI62" i="4"/>
  <c r="K61" i="4"/>
  <c r="AA57" i="4"/>
  <c r="C55" i="4"/>
  <c r="S51" i="4"/>
  <c r="AI49" i="4"/>
  <c r="K48" i="4"/>
  <c r="AA46" i="4"/>
  <c r="C45" i="4"/>
  <c r="AI7" i="6"/>
  <c r="S14" i="5"/>
  <c r="AC70" i="4"/>
  <c r="Z68" i="4"/>
  <c r="Z66" i="4"/>
  <c r="Z64" i="4"/>
  <c r="Z62" i="4"/>
  <c r="Z58" i="4"/>
  <c r="Z55" i="4"/>
  <c r="Z51" i="4"/>
  <c r="Z49" i="4"/>
  <c r="Z47" i="4"/>
  <c r="Z45" i="4"/>
  <c r="AL10" i="6"/>
  <c r="AK15" i="5"/>
  <c r="G6" i="5"/>
  <c r="AG68" i="4"/>
  <c r="AG66" i="4"/>
  <c r="AG64" i="4"/>
  <c r="AG62" i="4"/>
  <c r="AG58" i="4"/>
  <c r="AG55" i="4"/>
  <c r="AG51" i="4"/>
  <c r="AG49" i="4"/>
  <c r="AG47" i="4"/>
  <c r="AN67" i="4"/>
  <c r="H50" i="4"/>
  <c r="AD43" i="4"/>
  <c r="F42" i="4"/>
  <c r="V38" i="4"/>
  <c r="AL36" i="4"/>
  <c r="N35" i="4"/>
  <c r="AD33" i="4"/>
  <c r="F32" i="4"/>
  <c r="V30" i="4"/>
  <c r="AL28" i="4"/>
  <c r="N27" i="4"/>
  <c r="AD25" i="4"/>
  <c r="F24" i="4"/>
  <c r="V22" i="4"/>
  <c r="AL18" i="4"/>
  <c r="AF67" i="4"/>
  <c r="AN49" i="4"/>
  <c r="U43" i="4"/>
  <c r="AK41" i="4"/>
  <c r="M38" i="4"/>
  <c r="AC36" i="4"/>
  <c r="E35" i="4"/>
  <c r="U33" i="4"/>
  <c r="AK31" i="4"/>
  <c r="M30" i="4"/>
  <c r="AC28" i="4"/>
  <c r="AF27" i="5"/>
  <c r="V13" i="6"/>
  <c r="C19" i="5"/>
  <c r="E13" i="6"/>
  <c r="X18" i="5"/>
  <c r="AA12" i="6"/>
  <c r="G18" i="5"/>
  <c r="Y10" i="6"/>
  <c r="L17" i="5"/>
  <c r="W9" i="6"/>
  <c r="I16" i="5"/>
  <c r="AK8" i="6"/>
  <c r="V15" i="5"/>
  <c r="W69" i="4"/>
  <c r="AE51" i="4"/>
  <c r="N69" i="4"/>
  <c r="N65" i="4"/>
  <c r="AD63" i="4"/>
  <c r="F62" i="4"/>
  <c r="V58" i="4"/>
  <c r="AL55" i="4"/>
  <c r="N53" i="4"/>
  <c r="AD50" i="4"/>
  <c r="F49" i="4"/>
  <c r="V47" i="4"/>
  <c r="AL45" i="4"/>
  <c r="N44" i="4"/>
  <c r="AG22" i="5"/>
  <c r="E11" i="5"/>
  <c r="AK69" i="4"/>
  <c r="M68" i="4"/>
  <c r="AC66" i="4"/>
  <c r="E65" i="4"/>
  <c r="U63" i="4"/>
  <c r="AK61" i="4"/>
  <c r="M58" i="4"/>
  <c r="AC55" i="4"/>
  <c r="E53" i="4"/>
  <c r="U50" i="4"/>
  <c r="AK48" i="4"/>
  <c r="M47" i="4"/>
  <c r="AC45" i="4"/>
  <c r="I14" i="6"/>
  <c r="AK19" i="5"/>
  <c r="J8" i="5"/>
  <c r="AB69" i="4"/>
  <c r="D68" i="4"/>
  <c r="T66" i="4"/>
  <c r="AJ64" i="4"/>
  <c r="L63" i="4"/>
  <c r="AB61" i="4"/>
  <c r="D58" i="4"/>
  <c r="T55" i="4"/>
  <c r="AJ51" i="4"/>
  <c r="L50" i="4"/>
  <c r="AB48" i="4"/>
  <c r="D47" i="4"/>
  <c r="T45" i="4"/>
  <c r="D8" i="6"/>
  <c r="AA14" i="5"/>
  <c r="AF70" i="4"/>
  <c r="C69" i="4"/>
  <c r="S67" i="4"/>
  <c r="AI65" i="4"/>
  <c r="K64" i="4"/>
  <c r="AA62" i="4"/>
  <c r="C61" i="4"/>
  <c r="S57" i="4"/>
  <c r="AI53" i="4"/>
  <c r="K51" i="4"/>
  <c r="AA49" i="4"/>
  <c r="C48" i="4"/>
  <c r="S46" i="4"/>
  <c r="AI44" i="4"/>
  <c r="J6" i="6"/>
  <c r="P13" i="5"/>
  <c r="R70" i="4"/>
  <c r="R68" i="4"/>
  <c r="R66" i="4"/>
  <c r="R64" i="4"/>
  <c r="R62" i="4"/>
  <c r="R58" i="4"/>
  <c r="R55" i="4"/>
  <c r="R51" i="4"/>
  <c r="R49" i="4"/>
  <c r="R47" i="4"/>
  <c r="R45" i="4"/>
  <c r="M9" i="6"/>
  <c r="K14" i="5"/>
  <c r="AB70" i="4"/>
  <c r="Y68" i="4"/>
  <c r="Y66" i="4"/>
  <c r="Y64" i="4"/>
  <c r="Y62" i="4"/>
  <c r="Y58" i="4"/>
  <c r="Y55" i="4"/>
  <c r="Y51" i="4"/>
  <c r="Y49" i="4"/>
  <c r="Y47" i="4"/>
  <c r="P66" i="4"/>
  <c r="X48" i="4"/>
  <c r="V43" i="4"/>
  <c r="AL41" i="4"/>
  <c r="N38" i="4"/>
  <c r="AD36" i="4"/>
  <c r="F35" i="4"/>
  <c r="V33" i="4"/>
  <c r="AL31" i="4"/>
  <c r="N30" i="4"/>
  <c r="AD28" i="4"/>
  <c r="F27" i="4"/>
  <c r="V25" i="4"/>
  <c r="AL23" i="4"/>
  <c r="N22" i="4"/>
  <c r="AD18" i="4"/>
  <c r="H66" i="4"/>
  <c r="P48" i="4"/>
  <c r="M43" i="4"/>
  <c r="AC41" i="4"/>
  <c r="E38" i="4"/>
  <c r="U36" i="4"/>
  <c r="AK34" i="4"/>
  <c r="M33" i="4"/>
  <c r="AC31" i="4"/>
  <c r="E30" i="4"/>
  <c r="U28" i="4"/>
  <c r="AK26" i="4"/>
  <c r="R23" i="5"/>
  <c r="K9" i="6"/>
  <c r="AA15" i="5"/>
  <c r="Y8" i="6"/>
  <c r="J15" i="5"/>
  <c r="H8" i="6"/>
  <c r="AE14" i="5"/>
  <c r="N7" i="6"/>
  <c r="AJ13" i="5"/>
  <c r="L6" i="6"/>
  <c r="AG12" i="5"/>
  <c r="Z27" i="5"/>
  <c r="H12" i="5"/>
  <c r="O66" i="4"/>
  <c r="W48" i="4"/>
  <c r="AD67" i="4"/>
  <c r="AL64" i="4"/>
  <c r="N63" i="4"/>
  <c r="AD61" i="4"/>
  <c r="F58" i="4"/>
  <c r="V55" i="4"/>
  <c r="AL51" i="4"/>
  <c r="N50" i="4"/>
  <c r="AD48" i="4"/>
  <c r="F47" i="4"/>
  <c r="V45" i="4"/>
  <c r="AE12" i="6"/>
  <c r="S18" i="5"/>
  <c r="Q7" i="5"/>
  <c r="U69" i="4"/>
  <c r="AK67" i="4"/>
  <c r="M66" i="4"/>
  <c r="AC64" i="4"/>
  <c r="E63" i="4"/>
  <c r="U61" i="4"/>
  <c r="AK57" i="4"/>
  <c r="M55" i="4"/>
  <c r="AC51" i="4"/>
  <c r="E50" i="4"/>
  <c r="U48" i="4"/>
  <c r="AK46" i="4"/>
  <c r="M45" i="4"/>
  <c r="AK9" i="6"/>
  <c r="W16" i="5"/>
  <c r="V6" i="5"/>
  <c r="L69" i="4"/>
  <c r="AB67" i="4"/>
  <c r="D66" i="4"/>
  <c r="T64" i="4"/>
  <c r="AJ62" i="4"/>
  <c r="L61" i="4"/>
  <c r="AB57" i="4"/>
  <c r="D55" i="4"/>
  <c r="T51" i="4"/>
  <c r="AJ49" i="4"/>
  <c r="L48" i="4"/>
  <c r="AB46" i="4"/>
  <c r="D45" i="4"/>
  <c r="AE26" i="5"/>
  <c r="W12" i="5"/>
  <c r="K70" i="4"/>
  <c r="AA68" i="4"/>
  <c r="C67" i="4"/>
  <c r="S65" i="4"/>
  <c r="AI63" i="4"/>
  <c r="K62" i="4"/>
  <c r="AA58" i="4"/>
  <c r="C57" i="4"/>
  <c r="S53" i="4"/>
  <c r="AI50" i="4"/>
  <c r="K49" i="4"/>
  <c r="AA47" i="4"/>
  <c r="C46" i="4"/>
  <c r="S44" i="4"/>
  <c r="AI23" i="5"/>
  <c r="AB11" i="5"/>
  <c r="AH69" i="4"/>
  <c r="AH67" i="4"/>
  <c r="AH65" i="4"/>
  <c r="AH63" i="4"/>
  <c r="AH61" i="4"/>
  <c r="AH57" i="4"/>
  <c r="AH53" i="4"/>
  <c r="AH50" i="4"/>
  <c r="AH48" i="4"/>
  <c r="AH46" i="4"/>
  <c r="AH44" i="4"/>
  <c r="O26" i="5"/>
  <c r="O12" i="5"/>
  <c r="I70" i="4"/>
  <c r="I68" i="4"/>
  <c r="I66" i="4"/>
  <c r="I64" i="4"/>
  <c r="I62" i="4"/>
  <c r="I58" i="4"/>
  <c r="I55" i="4"/>
  <c r="I51" i="4"/>
  <c r="I49" i="4"/>
  <c r="I47" i="4"/>
  <c r="H63" i="4"/>
  <c r="H46" i="4"/>
  <c r="F43" i="4"/>
  <c r="V41" i="4"/>
  <c r="AL37" i="4"/>
  <c r="N36" i="4"/>
  <c r="AD34" i="4"/>
  <c r="F33" i="4"/>
  <c r="V31" i="4"/>
  <c r="AL29" i="4"/>
  <c r="N28" i="4"/>
  <c r="AD26" i="4"/>
  <c r="F25" i="4"/>
  <c r="V23" i="4"/>
  <c r="AL19" i="4"/>
  <c r="N18" i="4"/>
  <c r="AN62" i="4"/>
  <c r="I45" i="4"/>
  <c r="AK42" i="4"/>
  <c r="M41" i="4"/>
  <c r="AC37" i="4"/>
  <c r="E36" i="4"/>
  <c r="U34" i="4"/>
  <c r="AK32" i="4"/>
  <c r="M31" i="4"/>
  <c r="AC29" i="4"/>
  <c r="E28" i="4"/>
  <c r="U26" i="4"/>
  <c r="AD20" i="5"/>
  <c r="Q7" i="6"/>
  <c r="AM13" i="5"/>
  <c r="AM6" i="6"/>
  <c r="V13" i="5"/>
  <c r="V6" i="6"/>
  <c r="E13" i="5"/>
  <c r="AB27" i="5"/>
  <c r="J12" i="5"/>
  <c r="Y26" i="5"/>
  <c r="G11" i="5"/>
  <c r="AL25" i="5"/>
  <c r="T8" i="5"/>
  <c r="AE64" i="4"/>
  <c r="AM46" i="4"/>
  <c r="V66" i="4"/>
  <c r="AD64" i="4"/>
  <c r="F63" i="4"/>
  <c r="V61" i="4"/>
  <c r="AL57" i="4"/>
  <c r="N55" i="4"/>
  <c r="AD51" i="4"/>
  <c r="F50" i="4"/>
  <c r="V48" i="4"/>
  <c r="AL46" i="4"/>
  <c r="N45" i="4"/>
  <c r="F10" i="6"/>
  <c r="AE16" i="5"/>
  <c r="W6" i="5"/>
  <c r="M69" i="4"/>
  <c r="AC67" i="4"/>
  <c r="E66" i="4"/>
  <c r="U64" i="4"/>
  <c r="AK62" i="4"/>
  <c r="M61" i="4"/>
  <c r="AC57" i="4"/>
  <c r="E55" i="4"/>
  <c r="U51" i="4"/>
  <c r="AK49" i="4"/>
  <c r="M48" i="4"/>
  <c r="AC46" i="4"/>
  <c r="E45" i="4"/>
  <c r="L8" i="6"/>
  <c r="AI14" i="5"/>
  <c r="AG70" i="4"/>
  <c r="D69" i="4"/>
  <c r="T67" i="4"/>
  <c r="AJ65" i="4"/>
  <c r="L64" i="4"/>
  <c r="AB62" i="4"/>
  <c r="D61" i="4"/>
  <c r="T57" i="4"/>
  <c r="AJ53" i="4"/>
  <c r="L51" i="4"/>
  <c r="AB49" i="4"/>
  <c r="D48" i="4"/>
  <c r="T46" i="4"/>
  <c r="AJ44" i="4"/>
  <c r="E25" i="5"/>
  <c r="AC11" i="5"/>
  <c r="C70" i="4"/>
  <c r="S68" i="4"/>
  <c r="AI66" i="4"/>
  <c r="K65" i="4"/>
  <c r="AA63" i="4"/>
  <c r="C62" i="4"/>
  <c r="S58" i="4"/>
  <c r="AI55" i="4"/>
  <c r="K53" i="4"/>
  <c r="AA50" i="4"/>
  <c r="C49" i="4"/>
  <c r="S47" i="4"/>
  <c r="AI45" i="4"/>
  <c r="K44" i="4"/>
  <c r="I22" i="5"/>
  <c r="AH8" i="5"/>
  <c r="Z69" i="4"/>
  <c r="Z67" i="4"/>
  <c r="Z65" i="4"/>
  <c r="Z63" i="4"/>
  <c r="Z61" i="4"/>
  <c r="Z57" i="4"/>
  <c r="Z53" i="4"/>
  <c r="Z50" i="4"/>
  <c r="Z48" i="4"/>
  <c r="Z46" i="4"/>
  <c r="Z44" i="4"/>
  <c r="AA23" i="5"/>
  <c r="U11" i="5"/>
  <c r="AG69" i="4"/>
  <c r="AG67" i="4"/>
  <c r="AG65" i="4"/>
  <c r="AG63" i="4"/>
  <c r="AG61" i="4"/>
  <c r="AG57" i="4"/>
  <c r="AG53" i="4"/>
  <c r="AG50" i="4"/>
  <c r="AG48" i="4"/>
  <c r="P13" i="6"/>
  <c r="X61" i="4"/>
  <c r="P45" i="4"/>
  <c r="AL42" i="4"/>
  <c r="N41" i="4"/>
  <c r="AD37" i="4"/>
  <c r="F36" i="4"/>
  <c r="V34" i="4"/>
  <c r="AL32" i="4"/>
  <c r="N31" i="4"/>
  <c r="AD29" i="4"/>
  <c r="F28" i="4"/>
  <c r="V26" i="4"/>
  <c r="AL24" i="4"/>
  <c r="N23" i="4"/>
  <c r="AD19" i="4"/>
  <c r="AD10" i="6"/>
  <c r="P61" i="4"/>
  <c r="T44" i="4"/>
  <c r="AC42" i="4"/>
  <c r="E41" i="4"/>
  <c r="U37" i="4"/>
  <c r="AK35" i="4"/>
  <c r="M34" i="4"/>
  <c r="AC32" i="4"/>
  <c r="E31" i="4"/>
  <c r="U29" i="4"/>
  <c r="AK27" i="4"/>
  <c r="M26" i="4"/>
  <c r="F26" i="5"/>
  <c r="X15" i="5"/>
  <c r="F65" i="4"/>
  <c r="N47" i="4"/>
  <c r="AK64" i="4"/>
  <c r="E47" i="4"/>
  <c r="AB64" i="4"/>
  <c r="AJ46" i="4"/>
  <c r="C64" i="4"/>
  <c r="K46" i="4"/>
  <c r="J62" i="4"/>
  <c r="I13" i="5"/>
  <c r="Q51" i="4"/>
  <c r="V36" i="4"/>
  <c r="AD23" i="4"/>
  <c r="M36" i="4"/>
  <c r="AK25" i="4"/>
  <c r="E24" i="4"/>
  <c r="U22" i="4"/>
  <c r="AK18" i="4"/>
  <c r="AN65" i="4"/>
  <c r="H48" i="4"/>
  <c r="T43" i="4"/>
  <c r="AJ41" i="4"/>
  <c r="L38" i="4"/>
  <c r="AB36" i="4"/>
  <c r="D35" i="4"/>
  <c r="T33" i="4"/>
  <c r="AJ31" i="4"/>
  <c r="L30" i="4"/>
  <c r="AB28" i="4"/>
  <c r="D27" i="4"/>
  <c r="T25" i="4"/>
  <c r="AJ23" i="4"/>
  <c r="L22" i="4"/>
  <c r="AB18" i="4"/>
  <c r="H64" i="4"/>
  <c r="Y46" i="4"/>
  <c r="C43" i="4"/>
  <c r="S41" i="4"/>
  <c r="AI37" i="4"/>
  <c r="K36" i="4"/>
  <c r="AA34" i="4"/>
  <c r="C33" i="4"/>
  <c r="S31" i="4"/>
  <c r="AI29" i="4"/>
  <c r="K28" i="4"/>
  <c r="AA26" i="4"/>
  <c r="C25" i="4"/>
  <c r="S23" i="4"/>
  <c r="AI19" i="4"/>
  <c r="AG27" i="5"/>
  <c r="AF58" i="4"/>
  <c r="AN44" i="4"/>
  <c r="R42" i="4"/>
  <c r="R38" i="4"/>
  <c r="R36" i="4"/>
  <c r="R34" i="4"/>
  <c r="R32" i="4"/>
  <c r="R30" i="4"/>
  <c r="R28" i="4"/>
  <c r="R26" i="4"/>
  <c r="R24" i="4"/>
  <c r="R22" i="4"/>
  <c r="R18" i="4"/>
  <c r="H62" i="4"/>
  <c r="Y45" i="4"/>
  <c r="Y42" i="4"/>
  <c r="Y38" i="4"/>
  <c r="Y36" i="4"/>
  <c r="Y34" i="4"/>
  <c r="Y32" i="4"/>
  <c r="Y30" i="4"/>
  <c r="Y28" i="4"/>
  <c r="Y26" i="4"/>
  <c r="Y24" i="4"/>
  <c r="Y22" i="4"/>
  <c r="Y18" i="4"/>
  <c r="X63" i="4"/>
  <c r="P46" i="4"/>
  <c r="H43" i="4"/>
  <c r="X41" i="4"/>
  <c r="AN37" i="4"/>
  <c r="P36" i="4"/>
  <c r="AF34" i="4"/>
  <c r="H33" i="4"/>
  <c r="X31" i="4"/>
  <c r="AN29" i="4"/>
  <c r="P28" i="4"/>
  <c r="AF26" i="4"/>
  <c r="H25" i="4"/>
  <c r="X23" i="4"/>
  <c r="AN19" i="4"/>
  <c r="H58" i="4"/>
  <c r="G31" i="4"/>
  <c r="F18" i="4"/>
  <c r="V16" i="4"/>
  <c r="AL14" i="4"/>
  <c r="N13" i="4"/>
  <c r="AD11" i="4"/>
  <c r="F10" i="4"/>
  <c r="V8" i="4"/>
  <c r="AL89" i="3"/>
  <c r="N88" i="3"/>
  <c r="AD86" i="3"/>
  <c r="X55" i="4"/>
  <c r="AM30" i="4"/>
  <c r="E18" i="4"/>
  <c r="U16" i="4"/>
  <c r="AK14" i="4"/>
  <c r="M13" i="4"/>
  <c r="AC11" i="4"/>
  <c r="E10" i="4"/>
  <c r="U8" i="4"/>
  <c r="AK89" i="3"/>
  <c r="M88" i="3"/>
  <c r="AC86" i="3"/>
  <c r="E85" i="3"/>
  <c r="U83" i="3"/>
  <c r="AK81" i="3"/>
  <c r="M80" i="3"/>
  <c r="AF69" i="4"/>
  <c r="O32" i="4"/>
  <c r="L18" i="4"/>
  <c r="AB16" i="4"/>
  <c r="D15" i="4"/>
  <c r="T13" i="4"/>
  <c r="AJ10" i="6"/>
  <c r="AK7" i="6"/>
  <c r="V63" i="4"/>
  <c r="AD45" i="4"/>
  <c r="M63" i="4"/>
  <c r="U45" i="4"/>
  <c r="D63" i="4"/>
  <c r="L45" i="4"/>
  <c r="S62" i="4"/>
  <c r="AA44" i="4"/>
  <c r="J58" i="4"/>
  <c r="Q70" i="4"/>
  <c r="Q49" i="4"/>
  <c r="AL34" i="4"/>
  <c r="F22" i="4"/>
  <c r="AC34" i="4"/>
  <c r="AC25" i="4"/>
  <c r="AK23" i="4"/>
  <c r="M22" i="4"/>
  <c r="AC18" i="4"/>
  <c r="P64" i="4"/>
  <c r="AF46" i="4"/>
  <c r="L43" i="4"/>
  <c r="AB41" i="4"/>
  <c r="D38" i="4"/>
  <c r="T36" i="4"/>
  <c r="AJ34" i="4"/>
  <c r="L33" i="4"/>
  <c r="AB31" i="4"/>
  <c r="D30" i="4"/>
  <c r="T28" i="4"/>
  <c r="AJ26" i="4"/>
  <c r="L25" i="4"/>
  <c r="AB23" i="4"/>
  <c r="D22" i="4"/>
  <c r="T18" i="4"/>
  <c r="X62" i="4"/>
  <c r="AG45" i="4"/>
  <c r="AI42" i="4"/>
  <c r="K41" i="4"/>
  <c r="AA37" i="4"/>
  <c r="C36" i="4"/>
  <c r="S34" i="4"/>
  <c r="AI32" i="4"/>
  <c r="K31" i="4"/>
  <c r="AA29" i="4"/>
  <c r="C28" i="4"/>
  <c r="S26" i="4"/>
  <c r="AI24" i="4"/>
  <c r="K23" i="4"/>
  <c r="AA19" i="4"/>
  <c r="H13" i="5"/>
  <c r="H57" i="4"/>
  <c r="L44" i="4"/>
  <c r="J42" i="4"/>
  <c r="J38" i="4"/>
  <c r="J36" i="4"/>
  <c r="J34" i="4"/>
  <c r="J32" i="4"/>
  <c r="J30" i="4"/>
  <c r="J28" i="4"/>
  <c r="J26" i="4"/>
  <c r="J24" i="4"/>
  <c r="J22" i="4"/>
  <c r="G26" i="5"/>
  <c r="X58" i="4"/>
  <c r="AG44" i="4"/>
  <c r="Q42" i="4"/>
  <c r="Q38" i="4"/>
  <c r="Q36" i="4"/>
  <c r="Q34" i="4"/>
  <c r="Q32" i="4"/>
  <c r="Q30" i="4"/>
  <c r="Q28" i="4"/>
  <c r="Q26" i="4"/>
  <c r="Q24" i="4"/>
  <c r="Q22" i="4"/>
  <c r="Q18" i="4"/>
  <c r="AN61" i="4"/>
  <c r="X45" i="4"/>
  <c r="AN42" i="4"/>
  <c r="P41" i="4"/>
  <c r="AF37" i="4"/>
  <c r="H36" i="4"/>
  <c r="X34" i="4"/>
  <c r="AN32" i="4"/>
  <c r="P31" i="4"/>
  <c r="AF29" i="4"/>
  <c r="H28" i="4"/>
  <c r="X26" i="4"/>
  <c r="AN24" i="4"/>
  <c r="P23" i="4"/>
  <c r="AF19" i="4"/>
  <c r="Y44" i="4"/>
  <c r="W29" i="4"/>
  <c r="AL17" i="4"/>
  <c r="N16" i="4"/>
  <c r="AD14" i="4"/>
  <c r="F13" i="4"/>
  <c r="V11" i="4"/>
  <c r="AL9" i="4"/>
  <c r="N8" i="4"/>
  <c r="AD89" i="3"/>
  <c r="F88" i="3"/>
  <c r="V86" i="3"/>
  <c r="G44" i="4"/>
  <c r="O29" i="4"/>
  <c r="AK17" i="4"/>
  <c r="M16" i="4"/>
  <c r="AC14" i="4"/>
  <c r="E13" i="4"/>
  <c r="U11" i="4"/>
  <c r="AK9" i="4"/>
  <c r="M8" i="4"/>
  <c r="AC89" i="3"/>
  <c r="E88" i="3"/>
  <c r="U86" i="3"/>
  <c r="AK84" i="3"/>
  <c r="M83" i="3"/>
  <c r="AC81" i="3"/>
  <c r="E80" i="3"/>
  <c r="AN51" i="4"/>
  <c r="AE30" i="4"/>
  <c r="D18" i="4"/>
  <c r="T16" i="4"/>
  <c r="AJ14" i="4"/>
  <c r="L13" i="4"/>
  <c r="O17" i="5"/>
  <c r="U14" i="5"/>
  <c r="AL61" i="4"/>
  <c r="Q14" i="6"/>
  <c r="AC61" i="4"/>
  <c r="W12" i="6"/>
  <c r="T61" i="4"/>
  <c r="R6" i="6"/>
  <c r="AI58" i="4"/>
  <c r="W26" i="5"/>
  <c r="J55" i="4"/>
  <c r="Q68" i="4"/>
  <c r="Q47" i="4"/>
  <c r="N33" i="4"/>
  <c r="V18" i="4"/>
  <c r="E33" i="4"/>
  <c r="U25" i="4"/>
  <c r="AC23" i="4"/>
  <c r="E22" i="4"/>
  <c r="U18" i="4"/>
  <c r="AF62" i="4"/>
  <c r="AN45" i="4"/>
  <c r="D43" i="4"/>
  <c r="T41" i="4"/>
  <c r="AJ37" i="4"/>
  <c r="L36" i="4"/>
  <c r="AB34" i="4"/>
  <c r="D33" i="4"/>
  <c r="T31" i="4"/>
  <c r="AJ29" i="4"/>
  <c r="L28" i="4"/>
  <c r="AB26" i="4"/>
  <c r="D25" i="4"/>
  <c r="T23" i="4"/>
  <c r="AJ19" i="4"/>
  <c r="S7" i="6"/>
  <c r="AN58" i="4"/>
  <c r="P44" i="4"/>
  <c r="AA42" i="4"/>
  <c r="C41" i="4"/>
  <c r="S37" i="4"/>
  <c r="AI35" i="4"/>
  <c r="K34" i="4"/>
  <c r="AA32" i="4"/>
  <c r="C31" i="4"/>
  <c r="S29" i="4"/>
  <c r="AI27" i="4"/>
  <c r="K26" i="4"/>
  <c r="AA24" i="4"/>
  <c r="C23" i="4"/>
  <c r="S19" i="4"/>
  <c r="P70" i="4"/>
  <c r="X53" i="4"/>
  <c r="AH43" i="4"/>
  <c r="AH41" i="4"/>
  <c r="AH37" i="4"/>
  <c r="AH35" i="4"/>
  <c r="AH33" i="4"/>
  <c r="AH31" i="4"/>
  <c r="AH29" i="4"/>
  <c r="AH27" i="4"/>
  <c r="AH25" i="4"/>
  <c r="AH23" i="4"/>
  <c r="AH19" i="4"/>
  <c r="N12" i="5"/>
  <c r="AN55" i="4"/>
  <c r="I44" i="4"/>
  <c r="I42" i="4"/>
  <c r="I38" i="4"/>
  <c r="I36" i="4"/>
  <c r="I34" i="4"/>
  <c r="I32" i="4"/>
  <c r="I30" i="4"/>
  <c r="I28" i="4"/>
  <c r="I26" i="4"/>
  <c r="I24" i="4"/>
  <c r="I22" i="4"/>
  <c r="S23" i="5"/>
  <c r="P58" i="4"/>
  <c r="AF44" i="4"/>
  <c r="AF42" i="4"/>
  <c r="H41" i="4"/>
  <c r="X37" i="4"/>
  <c r="AN35" i="4"/>
  <c r="P34" i="4"/>
  <c r="AF32" i="4"/>
  <c r="H31" i="4"/>
  <c r="X29" i="4"/>
  <c r="AN27" i="4"/>
  <c r="P26" i="4"/>
  <c r="AF24" i="4"/>
  <c r="H23" i="4"/>
  <c r="X19" i="4"/>
  <c r="AE42" i="4"/>
  <c r="AM27" i="4"/>
  <c r="AD17" i="4"/>
  <c r="F16" i="4"/>
  <c r="V14" i="4"/>
  <c r="AL12" i="4"/>
  <c r="N11" i="4"/>
  <c r="AD9" i="4"/>
  <c r="F8" i="4"/>
  <c r="V89" i="3"/>
  <c r="AL87" i="3"/>
  <c r="N86" i="3"/>
  <c r="W42" i="4"/>
  <c r="AE27" i="4"/>
  <c r="AC17" i="4"/>
  <c r="E16" i="4"/>
  <c r="U14" i="4"/>
  <c r="AK12" i="4"/>
  <c r="M11" i="4"/>
  <c r="AC9" i="4"/>
  <c r="E8" i="4"/>
  <c r="U89" i="3"/>
  <c r="AK87" i="3"/>
  <c r="M86" i="3"/>
  <c r="AC84" i="3"/>
  <c r="E83" i="3"/>
  <c r="U81" i="3"/>
  <c r="AK79" i="3"/>
  <c r="AM43" i="4"/>
  <c r="G29" i="4"/>
  <c r="AJ17" i="4"/>
  <c r="L16" i="4"/>
  <c r="AB14" i="4"/>
  <c r="D13" i="4"/>
  <c r="S10" i="6"/>
  <c r="L7" i="6"/>
  <c r="N58" i="4"/>
  <c r="G20" i="5"/>
  <c r="E58" i="4"/>
  <c r="K18" i="5"/>
  <c r="AJ57" i="4"/>
  <c r="Q13" i="5"/>
  <c r="K57" i="4"/>
  <c r="V12" i="5"/>
  <c r="J51" i="4"/>
  <c r="Q66" i="4"/>
  <c r="AF64" i="4"/>
  <c r="AD31" i="4"/>
  <c r="X64" i="4"/>
  <c r="U31" i="4"/>
  <c r="M25" i="4"/>
  <c r="U23" i="4"/>
  <c r="AK19" i="4"/>
  <c r="E9" i="6"/>
  <c r="H61" i="4"/>
  <c r="H45" i="4"/>
  <c r="AJ42" i="4"/>
  <c r="L41" i="4"/>
  <c r="AB37" i="4"/>
  <c r="D36" i="4"/>
  <c r="T34" i="4"/>
  <c r="AJ32" i="4"/>
  <c r="L31" i="4"/>
  <c r="AB29" i="4"/>
  <c r="D28" i="4"/>
  <c r="T26" i="4"/>
  <c r="AJ24" i="4"/>
  <c r="L23" i="4"/>
  <c r="AB19" i="4"/>
  <c r="C14" i="5"/>
  <c r="P57" i="4"/>
  <c r="C44" i="4"/>
  <c r="S42" i="4"/>
  <c r="AI38" i="4"/>
  <c r="K37" i="4"/>
  <c r="AA35" i="4"/>
  <c r="C34" i="4"/>
  <c r="S32" i="4"/>
  <c r="AI30" i="4"/>
  <c r="K29" i="4"/>
  <c r="AA27" i="4"/>
  <c r="C26" i="4"/>
  <c r="S24" i="4"/>
  <c r="AI22" i="4"/>
  <c r="K19" i="4"/>
  <c r="AF68" i="4"/>
  <c r="AN50" i="4"/>
  <c r="Z43" i="4"/>
  <c r="Z41" i="4"/>
  <c r="Z37" i="4"/>
  <c r="Z35" i="4"/>
  <c r="Z33" i="4"/>
  <c r="Z31" i="4"/>
  <c r="Z29" i="4"/>
  <c r="Z27" i="4"/>
  <c r="Z25" i="4"/>
  <c r="Z23" i="4"/>
  <c r="Z19" i="4"/>
  <c r="H70" i="4"/>
  <c r="P53" i="4"/>
  <c r="AG43" i="4"/>
  <c r="AG41" i="4"/>
  <c r="AG37" i="4"/>
  <c r="AG35" i="4"/>
  <c r="AG33" i="4"/>
  <c r="AG31" i="4"/>
  <c r="AG29" i="4"/>
  <c r="AG27" i="4"/>
  <c r="AG25" i="4"/>
  <c r="AG23" i="4"/>
  <c r="AG19" i="4"/>
  <c r="T11" i="5"/>
  <c r="AF55" i="4"/>
  <c r="H44" i="4"/>
  <c r="X42" i="4"/>
  <c r="AN38" i="4"/>
  <c r="P37" i="4"/>
  <c r="AF35" i="4"/>
  <c r="H34" i="4"/>
  <c r="X32" i="4"/>
  <c r="AN30" i="4"/>
  <c r="P29" i="4"/>
  <c r="AF27" i="4"/>
  <c r="H26" i="4"/>
  <c r="X24" i="4"/>
  <c r="AN22" i="4"/>
  <c r="P19" i="4"/>
  <c r="G41" i="4"/>
  <c r="O26" i="4"/>
  <c r="V17" i="4"/>
  <c r="AL15" i="4"/>
  <c r="N14" i="4"/>
  <c r="AD12" i="4"/>
  <c r="F11" i="4"/>
  <c r="V9" i="4"/>
  <c r="AL7" i="4"/>
  <c r="N89" i="3"/>
  <c r="AD87" i="3"/>
  <c r="F86" i="3"/>
  <c r="AM38" i="4"/>
  <c r="G26" i="4"/>
  <c r="U17" i="4"/>
  <c r="AK15" i="4"/>
  <c r="M14" i="4"/>
  <c r="AC12" i="4"/>
  <c r="E11" i="4"/>
  <c r="U9" i="4"/>
  <c r="AK7" i="4"/>
  <c r="M89" i="3"/>
  <c r="AC87" i="3"/>
  <c r="E86" i="3"/>
  <c r="U84" i="3"/>
  <c r="AK82" i="3"/>
  <c r="M81" i="3"/>
  <c r="AC79" i="3"/>
  <c r="O42" i="4"/>
  <c r="AJ16" i="5"/>
  <c r="AH13" i="5"/>
  <c r="AD55" i="4"/>
  <c r="K8" i="5"/>
  <c r="U55" i="4"/>
  <c r="P7" i="5"/>
  <c r="L55" i="4"/>
  <c r="S70" i="4"/>
  <c r="AA53" i="4"/>
  <c r="J70" i="4"/>
  <c r="J49" i="4"/>
  <c r="Q64" i="4"/>
  <c r="AN46" i="4"/>
  <c r="F30" i="4"/>
  <c r="AG46" i="4"/>
  <c r="AK29" i="4"/>
  <c r="E25" i="4"/>
  <c r="M23" i="4"/>
  <c r="AC19" i="4"/>
  <c r="AC15" i="5"/>
  <c r="X57" i="4"/>
  <c r="Q44" i="4"/>
  <c r="AB42" i="4"/>
  <c r="D41" i="4"/>
  <c r="T37" i="4"/>
  <c r="AJ35" i="4"/>
  <c r="L34" i="4"/>
  <c r="AB32" i="4"/>
  <c r="D31" i="4"/>
  <c r="T29" i="4"/>
  <c r="AJ27" i="4"/>
  <c r="L26" i="4"/>
  <c r="AB24" i="4"/>
  <c r="D23" i="4"/>
  <c r="T19" i="4"/>
  <c r="Y70" i="4"/>
  <c r="AF53" i="4"/>
  <c r="AI43" i="4"/>
  <c r="K42" i="4"/>
  <c r="AA38" i="4"/>
  <c r="C37" i="4"/>
  <c r="S35" i="4"/>
  <c r="AI33" i="4"/>
  <c r="K32" i="4"/>
  <c r="AA30" i="4"/>
  <c r="C29" i="4"/>
  <c r="S27" i="4"/>
  <c r="AI25" i="4"/>
  <c r="K24" i="4"/>
  <c r="AA22" i="4"/>
  <c r="C19" i="4"/>
  <c r="H67" i="4"/>
  <c r="P49" i="4"/>
  <c r="R43" i="4"/>
  <c r="R41" i="4"/>
  <c r="R37" i="4"/>
  <c r="R35" i="4"/>
  <c r="R33" i="4"/>
  <c r="R31" i="4"/>
  <c r="R29" i="4"/>
  <c r="R27" i="4"/>
  <c r="R25" i="4"/>
  <c r="R23" i="4"/>
  <c r="R19" i="4"/>
  <c r="X68" i="4"/>
  <c r="AF50" i="4"/>
  <c r="Y43" i="4"/>
  <c r="Y41" i="4"/>
  <c r="Y37" i="4"/>
  <c r="Y35" i="4"/>
  <c r="Y33" i="4"/>
  <c r="Y31" i="4"/>
  <c r="Y29" i="4"/>
  <c r="Y27" i="4"/>
  <c r="Y25" i="4"/>
  <c r="Y23" i="4"/>
  <c r="Y19" i="4"/>
  <c r="AN69" i="4"/>
  <c r="H53" i="4"/>
  <c r="AN43" i="4"/>
  <c r="P42" i="4"/>
  <c r="AF38" i="4"/>
  <c r="H37" i="4"/>
  <c r="X35" i="4"/>
  <c r="AN33" i="4"/>
  <c r="P32" i="4"/>
  <c r="AF30" i="4"/>
  <c r="H29" i="4"/>
  <c r="X27" i="4"/>
  <c r="AN25" i="4"/>
  <c r="P24" i="4"/>
  <c r="AF22" i="4"/>
  <c r="H19" i="4"/>
  <c r="W37" i="4"/>
  <c r="AE24" i="4"/>
  <c r="N17" i="4"/>
  <c r="AD15" i="4"/>
  <c r="F14" i="4"/>
  <c r="V12" i="4"/>
  <c r="AL10" i="4"/>
  <c r="N9" i="4"/>
  <c r="AD7" i="4"/>
  <c r="F89" i="3"/>
  <c r="V87" i="3"/>
  <c r="AL85" i="3"/>
  <c r="O37" i="4"/>
  <c r="W24" i="4"/>
  <c r="M17" i="4"/>
  <c r="AC15" i="4"/>
  <c r="E14" i="4"/>
  <c r="U12" i="4"/>
  <c r="AK10" i="4"/>
  <c r="M9" i="4"/>
  <c r="AC7" i="4"/>
  <c r="E89" i="3"/>
  <c r="U87" i="3"/>
  <c r="AK85" i="3"/>
  <c r="M84" i="3"/>
  <c r="AC82" i="3"/>
  <c r="E81" i="3"/>
  <c r="U79" i="3"/>
  <c r="AE38" i="4"/>
  <c r="AM25" i="4"/>
  <c r="T17" i="4"/>
  <c r="AJ15" i="4"/>
  <c r="L14" i="4"/>
  <c r="AB12" i="4"/>
  <c r="S16" i="5"/>
  <c r="G50" i="4"/>
  <c r="V50" i="4"/>
  <c r="E68" i="4"/>
  <c r="M50" i="4"/>
  <c r="AJ67" i="4"/>
  <c r="D50" i="4"/>
  <c r="K67" i="4"/>
  <c r="S49" i="4"/>
  <c r="J66" i="4"/>
  <c r="J45" i="4"/>
  <c r="Q58" i="4"/>
  <c r="AD41" i="4"/>
  <c r="AL26" i="4"/>
  <c r="U41" i="4"/>
  <c r="E27" i="4"/>
  <c r="AC24" i="4"/>
  <c r="AK22" i="4"/>
  <c r="M19" i="4"/>
  <c r="H69" i="4"/>
  <c r="P51" i="4"/>
  <c r="AJ43" i="4"/>
  <c r="L42" i="4"/>
  <c r="AB38" i="4"/>
  <c r="D37" i="4"/>
  <c r="T35" i="4"/>
  <c r="AJ33" i="4"/>
  <c r="L32" i="4"/>
  <c r="AB30" i="4"/>
  <c r="D29" i="4"/>
  <c r="T27" i="4"/>
  <c r="AJ25" i="4"/>
  <c r="L24" i="4"/>
  <c r="AB22" i="4"/>
  <c r="D19" i="4"/>
  <c r="P67" i="4"/>
  <c r="X49" i="4"/>
  <c r="S43" i="4"/>
  <c r="AI41" i="4"/>
  <c r="K38" i="4"/>
  <c r="AA36" i="4"/>
  <c r="C35" i="4"/>
  <c r="S33" i="4"/>
  <c r="AI31" i="4"/>
  <c r="K30" i="4"/>
  <c r="AA28" i="4"/>
  <c r="C27" i="4"/>
  <c r="S25" i="4"/>
  <c r="AI23" i="4"/>
  <c r="K22" i="4"/>
  <c r="AA18" i="4"/>
  <c r="AN63" i="4"/>
  <c r="X46" i="4"/>
  <c r="AH42" i="4"/>
  <c r="AH38" i="4"/>
  <c r="AH36" i="4"/>
  <c r="AH34" i="4"/>
  <c r="AH32" i="4"/>
  <c r="AH30" i="4"/>
  <c r="AH28" i="4"/>
  <c r="AH26" i="4"/>
  <c r="AH24" i="4"/>
  <c r="AH22" i="4"/>
  <c r="AH18" i="4"/>
  <c r="P65" i="4"/>
  <c r="X47" i="4"/>
  <c r="I43" i="4"/>
  <c r="I41" i="4"/>
  <c r="I37" i="4"/>
  <c r="I35" i="4"/>
  <c r="I33" i="4"/>
  <c r="I31" i="4"/>
  <c r="I29" i="4"/>
  <c r="I27" i="4"/>
  <c r="I25" i="4"/>
  <c r="I23" i="4"/>
  <c r="I19" i="4"/>
  <c r="AF66" i="4"/>
  <c r="AN48" i="4"/>
  <c r="X43" i="4"/>
  <c r="AN41" i="4"/>
  <c r="P38" i="4"/>
  <c r="AF36" i="4"/>
  <c r="H35" i="4"/>
  <c r="X33" i="4"/>
  <c r="AN31" i="4"/>
  <c r="P30" i="4"/>
  <c r="AF28" i="4"/>
  <c r="H27" i="4"/>
  <c r="X25" i="4"/>
  <c r="AN23" i="4"/>
  <c r="P22" i="4"/>
  <c r="AF18" i="4"/>
  <c r="O34" i="4"/>
  <c r="W19" i="4"/>
  <c r="AL16" i="4"/>
  <c r="N15" i="4"/>
  <c r="AD13" i="4"/>
  <c r="F12" i="4"/>
  <c r="V10" i="4"/>
  <c r="AL8" i="4"/>
  <c r="N7" i="4"/>
  <c r="AD88" i="3"/>
  <c r="F87" i="3"/>
  <c r="V85" i="3"/>
  <c r="G34" i="4"/>
  <c r="O19" i="4"/>
  <c r="AK16" i="4"/>
  <c r="M15" i="4"/>
  <c r="AC13" i="4"/>
  <c r="E12" i="4"/>
  <c r="U10" i="4"/>
  <c r="AK8" i="4"/>
  <c r="M7" i="4"/>
  <c r="AC88" i="3"/>
  <c r="E87" i="3"/>
  <c r="U85" i="3"/>
  <c r="AK83" i="3"/>
  <c r="M82" i="3"/>
  <c r="AC80" i="3"/>
  <c r="E79" i="3"/>
  <c r="W35" i="4"/>
  <c r="AE22" i="4"/>
  <c r="D17" i="4"/>
  <c r="T15" i="4"/>
  <c r="AJ13" i="4"/>
  <c r="L12" i="4"/>
  <c r="AM8" i="6"/>
  <c r="F68" i="4"/>
  <c r="AL48" i="4"/>
  <c r="U66" i="4"/>
  <c r="AC48" i="4"/>
  <c r="L66" i="4"/>
  <c r="T48" i="4"/>
  <c r="AA65" i="4"/>
  <c r="AI47" i="4"/>
  <c r="J64" i="4"/>
  <c r="AA7" i="6"/>
  <c r="Q55" i="4"/>
  <c r="F38" i="4"/>
  <c r="N25" i="4"/>
  <c r="AK37" i="4"/>
  <c r="AC26" i="4"/>
  <c r="M24" i="4"/>
  <c r="AC22" i="4"/>
  <c r="E19" i="4"/>
  <c r="X67" i="4"/>
  <c r="AF49" i="4"/>
  <c r="AB43" i="4"/>
  <c r="D42" i="4"/>
  <c r="T38" i="4"/>
  <c r="AJ36" i="4"/>
  <c r="L35" i="4"/>
  <c r="AB33" i="4"/>
  <c r="D32" i="4"/>
  <c r="T30" i="4"/>
  <c r="AJ28" i="4"/>
  <c r="L27" i="4"/>
  <c r="AB25" i="4"/>
  <c r="D24" i="4"/>
  <c r="T22" i="4"/>
  <c r="AJ18" i="4"/>
  <c r="AF65" i="4"/>
  <c r="AN47" i="4"/>
  <c r="K43" i="4"/>
  <c r="AA41" i="4"/>
  <c r="C38" i="4"/>
  <c r="S36" i="4"/>
  <c r="AI34" i="4"/>
  <c r="K33" i="4"/>
  <c r="AA31" i="4"/>
  <c r="C30" i="4"/>
  <c r="S28" i="4"/>
  <c r="AI26" i="4"/>
  <c r="K25" i="4"/>
  <c r="AA23" i="4"/>
  <c r="C22" i="4"/>
  <c r="S18" i="4"/>
  <c r="P62" i="4"/>
  <c r="AF45" i="4"/>
  <c r="Z42" i="4"/>
  <c r="Z38" i="4"/>
  <c r="Z36" i="4"/>
  <c r="Z34" i="4"/>
  <c r="Z32" i="4"/>
  <c r="Z30" i="4"/>
  <c r="Z28" i="4"/>
  <c r="Z26" i="4"/>
  <c r="Z24" i="4"/>
  <c r="Z22" i="4"/>
  <c r="Z18" i="4"/>
  <c r="AF63" i="4"/>
  <c r="Q46" i="4"/>
  <c r="AG42" i="4"/>
  <c r="AG38" i="4"/>
  <c r="AG36" i="4"/>
  <c r="AG34" i="4"/>
  <c r="AG32" i="4"/>
  <c r="AG30" i="4"/>
  <c r="AG28" i="4"/>
  <c r="AG26" i="4"/>
  <c r="AG24" i="4"/>
  <c r="AG22" i="4"/>
  <c r="AG18" i="4"/>
  <c r="H65" i="4"/>
  <c r="P47" i="4"/>
  <c r="P43" i="4"/>
  <c r="AF41" i="4"/>
  <c r="H38" i="4"/>
  <c r="X36" i="4"/>
  <c r="AN34" i="4"/>
  <c r="P33" i="4"/>
  <c r="AF31" i="4"/>
  <c r="H30" i="4"/>
  <c r="X28" i="4"/>
  <c r="AN26" i="4"/>
  <c r="P25" i="4"/>
  <c r="AF23" i="4"/>
  <c r="H22" i="4"/>
  <c r="AE20" i="5"/>
  <c r="AE32" i="4"/>
  <c r="O18" i="4"/>
  <c r="AD16" i="4"/>
  <c r="F15" i="4"/>
  <c r="V13" i="4"/>
  <c r="AL11" i="4"/>
  <c r="N10" i="4"/>
  <c r="AD8" i="4"/>
  <c r="F7" i="4"/>
  <c r="V88" i="3"/>
  <c r="AL86" i="3"/>
  <c r="Z8" i="5"/>
  <c r="W32" i="4"/>
  <c r="M18" i="4"/>
  <c r="AC16" i="4"/>
  <c r="E15" i="4"/>
  <c r="U13" i="4"/>
  <c r="AK11" i="4"/>
  <c r="M10" i="4"/>
  <c r="AC8" i="4"/>
  <c r="E7" i="4"/>
  <c r="U88" i="3"/>
  <c r="AK86" i="3"/>
  <c r="M85" i="3"/>
  <c r="AC83" i="3"/>
  <c r="E82" i="3"/>
  <c r="U80" i="3"/>
  <c r="AK78" i="3"/>
  <c r="AM33" i="4"/>
  <c r="G19" i="4"/>
  <c r="AJ16" i="4"/>
  <c r="L15" i="4"/>
  <c r="AB13" i="4"/>
  <c r="AG9" i="6"/>
  <c r="C51" i="4"/>
  <c r="AK24" i="4"/>
  <c r="L37" i="4"/>
  <c r="T24" i="4"/>
  <c r="AI36" i="4"/>
  <c r="C24" i="4"/>
  <c r="J35" i="4"/>
  <c r="AN66" i="4"/>
  <c r="Q29" i="4"/>
  <c r="H42" i="4"/>
  <c r="P27" i="4"/>
  <c r="V15" i="4"/>
  <c r="AD85" i="3"/>
  <c r="E9" i="4"/>
  <c r="M79" i="3"/>
  <c r="T14" i="4"/>
  <c r="L11" i="4"/>
  <c r="AB9" i="4"/>
  <c r="D8" i="4"/>
  <c r="T89" i="3"/>
  <c r="AJ87" i="3"/>
  <c r="L86" i="3"/>
  <c r="G42" i="4"/>
  <c r="O27" i="4"/>
  <c r="AA17" i="4"/>
  <c r="C16" i="4"/>
  <c r="S14" i="4"/>
  <c r="AI12" i="4"/>
  <c r="K11" i="4"/>
  <c r="AA9" i="4"/>
  <c r="C8" i="4"/>
  <c r="S89" i="3"/>
  <c r="AI87" i="3"/>
  <c r="K86" i="3"/>
  <c r="AA84" i="3"/>
  <c r="C83" i="3"/>
  <c r="S81" i="3"/>
  <c r="AI79" i="3"/>
  <c r="AE36" i="4"/>
  <c r="AM23" i="4"/>
  <c r="AH16" i="4"/>
  <c r="AH14" i="4"/>
  <c r="AH12" i="4"/>
  <c r="AH10" i="4"/>
  <c r="AH8" i="4"/>
  <c r="AH89" i="3"/>
  <c r="AH87" i="3"/>
  <c r="AH85" i="3"/>
  <c r="AH83" i="3"/>
  <c r="AH81" i="3"/>
  <c r="AH79" i="3"/>
  <c r="G38" i="4"/>
  <c r="O25" i="4"/>
  <c r="I17" i="4"/>
  <c r="I15" i="4"/>
  <c r="I13" i="4"/>
  <c r="I11" i="4"/>
  <c r="I9" i="4"/>
  <c r="I7" i="4"/>
  <c r="I88" i="3"/>
  <c r="I86" i="3"/>
  <c r="I84" i="3"/>
  <c r="I82" i="3"/>
  <c r="I80" i="3"/>
  <c r="AM37" i="4"/>
  <c r="G25" i="4"/>
  <c r="P17" i="4"/>
  <c r="AF15" i="4"/>
  <c r="H14" i="4"/>
  <c r="X12" i="4"/>
  <c r="AN10" i="4"/>
  <c r="P9" i="4"/>
  <c r="AF7" i="4"/>
  <c r="H89" i="3"/>
  <c r="X87" i="3"/>
  <c r="AN85" i="3"/>
  <c r="P84" i="3"/>
  <c r="AF82" i="3"/>
  <c r="H81" i="3"/>
  <c r="X79" i="3"/>
  <c r="AE11" i="4"/>
  <c r="L84" i="3"/>
  <c r="AM79" i="3"/>
  <c r="AJ74" i="3"/>
  <c r="L73" i="3"/>
  <c r="AB71" i="3"/>
  <c r="D70" i="3"/>
  <c r="T68" i="3"/>
  <c r="AJ66" i="3"/>
  <c r="L65" i="3"/>
  <c r="AB63" i="3"/>
  <c r="D62" i="3"/>
  <c r="AM67" i="4"/>
  <c r="J68" i="4"/>
  <c r="E23" i="4"/>
  <c r="AB35" i="4"/>
  <c r="AJ22" i="4"/>
  <c r="K35" i="4"/>
  <c r="S22" i="4"/>
  <c r="J33" i="4"/>
  <c r="H49" i="4"/>
  <c r="Q27" i="4"/>
  <c r="X38" i="4"/>
  <c r="AF25" i="4"/>
  <c r="AL13" i="4"/>
  <c r="AE35" i="4"/>
  <c r="U7" i="4"/>
  <c r="G37" i="4"/>
  <c r="D14" i="4"/>
  <c r="D11" i="4"/>
  <c r="T9" i="4"/>
  <c r="AJ7" i="4"/>
  <c r="L89" i="3"/>
  <c r="AB87" i="3"/>
  <c r="D86" i="3"/>
  <c r="W38" i="4"/>
  <c r="AE25" i="4"/>
  <c r="S17" i="4"/>
  <c r="AI15" i="4"/>
  <c r="K14" i="4"/>
  <c r="AA12" i="4"/>
  <c r="C11" i="4"/>
  <c r="S9" i="4"/>
  <c r="AI7" i="4"/>
  <c r="K89" i="3"/>
  <c r="AA87" i="3"/>
  <c r="C86" i="3"/>
  <c r="S84" i="3"/>
  <c r="AI82" i="3"/>
  <c r="K81" i="3"/>
  <c r="AA79" i="3"/>
  <c r="G35" i="4"/>
  <c r="O22" i="4"/>
  <c r="Z16" i="4"/>
  <c r="Z14" i="4"/>
  <c r="Z12" i="4"/>
  <c r="Z10" i="4"/>
  <c r="Z8" i="4"/>
  <c r="Z89" i="3"/>
  <c r="Z87" i="3"/>
  <c r="Z85" i="3"/>
  <c r="Z83" i="3"/>
  <c r="Z81" i="3"/>
  <c r="Z79" i="3"/>
  <c r="W36" i="4"/>
  <c r="AE23" i="4"/>
  <c r="AG16" i="4"/>
  <c r="AG14" i="4"/>
  <c r="AG12" i="4"/>
  <c r="AG10" i="4"/>
  <c r="AG8" i="4"/>
  <c r="AG89" i="3"/>
  <c r="AG87" i="3"/>
  <c r="AG85" i="3"/>
  <c r="AG83" i="3"/>
  <c r="AG81" i="3"/>
  <c r="AG79" i="3"/>
  <c r="O36" i="4"/>
  <c r="W23" i="4"/>
  <c r="H17" i="4"/>
  <c r="X15" i="4"/>
  <c r="AN13" i="4"/>
  <c r="P12" i="4"/>
  <c r="AF10" i="4"/>
  <c r="H9" i="4"/>
  <c r="X7" i="4"/>
  <c r="AN88" i="3"/>
  <c r="P87" i="3"/>
  <c r="AF85" i="3"/>
  <c r="H84" i="3"/>
  <c r="X82" i="3"/>
  <c r="AN80" i="3"/>
  <c r="P79" i="3"/>
  <c r="G10" i="4"/>
  <c r="AD83" i="3"/>
  <c r="T79" i="3"/>
  <c r="AB74" i="3"/>
  <c r="D73" i="3"/>
  <c r="T71" i="3"/>
  <c r="AJ69" i="3"/>
  <c r="L68" i="3"/>
  <c r="AB66" i="3"/>
  <c r="D65" i="3"/>
  <c r="T63" i="3"/>
  <c r="AJ61" i="3"/>
  <c r="L60" i="3"/>
  <c r="AB58" i="3"/>
  <c r="D57" i="3"/>
  <c r="T55" i="3"/>
  <c r="AM9" i="4"/>
  <c r="AB83" i="3"/>
  <c r="O79" i="3"/>
  <c r="AA74" i="3"/>
  <c r="C73" i="3"/>
  <c r="S71" i="3"/>
  <c r="AI69" i="3"/>
  <c r="K68" i="3"/>
  <c r="AA66" i="3"/>
  <c r="C65" i="3"/>
  <c r="S63" i="3"/>
  <c r="AI61" i="3"/>
  <c r="K60" i="3"/>
  <c r="AA58" i="3"/>
  <c r="C57" i="3"/>
  <c r="S55" i="3"/>
  <c r="AE9" i="4"/>
  <c r="W83" i="3"/>
  <c r="N79" i="3"/>
  <c r="R74" i="3"/>
  <c r="R72" i="3"/>
  <c r="R70" i="3"/>
  <c r="R68" i="3"/>
  <c r="R66" i="3"/>
  <c r="R64" i="3"/>
  <c r="R62" i="3"/>
  <c r="R60" i="3"/>
  <c r="R58" i="3"/>
  <c r="R56" i="3"/>
  <c r="W17" i="4"/>
  <c r="AE87" i="3"/>
  <c r="AL81" i="3"/>
  <c r="F53" i="4"/>
  <c r="J47" i="4"/>
  <c r="U19" i="4"/>
  <c r="D34" i="4"/>
  <c r="L19" i="4"/>
  <c r="AA33" i="4"/>
  <c r="AI18" i="4"/>
  <c r="J31" i="4"/>
  <c r="Q43" i="4"/>
  <c r="Q25" i="4"/>
  <c r="AN36" i="4"/>
  <c r="H24" i="4"/>
  <c r="N12" i="4"/>
  <c r="AM22" i="4"/>
  <c r="AK88" i="3"/>
  <c r="W27" i="4"/>
  <c r="AJ12" i="4"/>
  <c r="AJ10" i="4"/>
  <c r="L9" i="4"/>
  <c r="AB7" i="4"/>
  <c r="D89" i="3"/>
  <c r="T87" i="3"/>
  <c r="AJ85" i="3"/>
  <c r="AM36" i="4"/>
  <c r="G24" i="4"/>
  <c r="K17" i="4"/>
  <c r="AA15" i="4"/>
  <c r="C14" i="4"/>
  <c r="S12" i="4"/>
  <c r="AI10" i="4"/>
  <c r="K9" i="4"/>
  <c r="AA7" i="4"/>
  <c r="C89" i="3"/>
  <c r="S87" i="3"/>
  <c r="AI85" i="3"/>
  <c r="K84" i="3"/>
  <c r="AA82" i="3"/>
  <c r="C81" i="3"/>
  <c r="S79" i="3"/>
  <c r="W33" i="4"/>
  <c r="AE18" i="4"/>
  <c r="R16" i="4"/>
  <c r="R14" i="4"/>
  <c r="R12" i="4"/>
  <c r="R10" i="4"/>
  <c r="R8" i="4"/>
  <c r="R89" i="3"/>
  <c r="R87" i="3"/>
  <c r="R85" i="3"/>
  <c r="R83" i="3"/>
  <c r="R81" i="3"/>
  <c r="R79" i="3"/>
  <c r="AM34" i="4"/>
  <c r="G22" i="4"/>
  <c r="Y16" i="4"/>
  <c r="Y14" i="4"/>
  <c r="Y12" i="4"/>
  <c r="Y10" i="4"/>
  <c r="Y8" i="4"/>
  <c r="Y89" i="3"/>
  <c r="Y87" i="3"/>
  <c r="Y85" i="3"/>
  <c r="Y83" i="3"/>
  <c r="Y81" i="3"/>
  <c r="Y79" i="3"/>
  <c r="AE34" i="4"/>
  <c r="AM19" i="4"/>
  <c r="AN16" i="4"/>
  <c r="P15" i="4"/>
  <c r="AF13" i="4"/>
  <c r="H12" i="4"/>
  <c r="X10" i="4"/>
  <c r="AN8" i="4"/>
  <c r="P7" i="4"/>
  <c r="AF88" i="3"/>
  <c r="H87" i="3"/>
  <c r="X85" i="3"/>
  <c r="AN83" i="3"/>
  <c r="P82" i="3"/>
  <c r="AF80" i="3"/>
  <c r="AF61" i="4"/>
  <c r="W8" i="4"/>
  <c r="G83" i="3"/>
  <c r="F79" i="3"/>
  <c r="T74" i="3"/>
  <c r="AJ72" i="3"/>
  <c r="L71" i="3"/>
  <c r="AB69" i="3"/>
  <c r="D68" i="3"/>
  <c r="T66" i="3"/>
  <c r="AJ64" i="3"/>
  <c r="L63" i="3"/>
  <c r="AB61" i="3"/>
  <c r="D60" i="3"/>
  <c r="T58" i="3"/>
  <c r="AJ56" i="3"/>
  <c r="Q45" i="4"/>
  <c r="O8" i="4"/>
  <c r="F83" i="3"/>
  <c r="D79" i="3"/>
  <c r="S74" i="3"/>
  <c r="AI72" i="3"/>
  <c r="K71" i="3"/>
  <c r="AA69" i="3"/>
  <c r="C68" i="3"/>
  <c r="S66" i="3"/>
  <c r="AI64" i="3"/>
  <c r="K63" i="3"/>
  <c r="AA61" i="3"/>
  <c r="C60" i="3"/>
  <c r="S58" i="3"/>
  <c r="AI56" i="3"/>
  <c r="AM42" i="4"/>
  <c r="G8" i="4"/>
  <c r="D83" i="3"/>
  <c r="C79" i="3"/>
  <c r="J74" i="3"/>
  <c r="J72" i="3"/>
  <c r="J70" i="3"/>
  <c r="J68" i="3"/>
  <c r="J66" i="3"/>
  <c r="J64" i="3"/>
  <c r="J62" i="3"/>
  <c r="J60" i="3"/>
  <c r="J58" i="3"/>
  <c r="J56" i="3"/>
  <c r="AM15" i="4"/>
  <c r="AC69" i="4"/>
  <c r="Q62" i="4"/>
  <c r="F6" i="5"/>
  <c r="T32" i="4"/>
  <c r="AN68" i="4"/>
  <c r="C32" i="4"/>
  <c r="X65" i="4"/>
  <c r="J29" i="4"/>
  <c r="Q41" i="4"/>
  <c r="Q23" i="4"/>
  <c r="P35" i="4"/>
  <c r="X22" i="4"/>
  <c r="AD10" i="4"/>
  <c r="E17" i="4"/>
  <c r="M87" i="3"/>
  <c r="O24" i="4"/>
  <c r="T12" i="4"/>
  <c r="AB10" i="4"/>
  <c r="D9" i="4"/>
  <c r="T7" i="4"/>
  <c r="AJ88" i="3"/>
  <c r="L87" i="3"/>
  <c r="AB85" i="3"/>
  <c r="O35" i="4"/>
  <c r="W22" i="4"/>
  <c r="C17" i="4"/>
  <c r="S15" i="4"/>
  <c r="AI13" i="4"/>
  <c r="K12" i="4"/>
  <c r="AA10" i="4"/>
  <c r="C9" i="4"/>
  <c r="S7" i="4"/>
  <c r="AI88" i="3"/>
  <c r="K87" i="3"/>
  <c r="AA85" i="3"/>
  <c r="C84" i="3"/>
  <c r="S82" i="3"/>
  <c r="AI80" i="3"/>
  <c r="X66" i="4"/>
  <c r="AM31" i="4"/>
  <c r="J18" i="4"/>
  <c r="J16" i="4"/>
  <c r="J14" i="4"/>
  <c r="J12" i="4"/>
  <c r="J10" i="4"/>
  <c r="J8" i="4"/>
  <c r="J89" i="3"/>
  <c r="J87" i="3"/>
  <c r="J85" i="3"/>
  <c r="J83" i="3"/>
  <c r="J81" i="3"/>
  <c r="J79" i="3"/>
  <c r="O33" i="4"/>
  <c r="X18" i="4"/>
  <c r="Q16" i="4"/>
  <c r="Q14" i="4"/>
  <c r="Q12" i="4"/>
  <c r="Q10" i="4"/>
  <c r="Q8" i="4"/>
  <c r="Q89" i="3"/>
  <c r="Q87" i="3"/>
  <c r="Q85" i="3"/>
  <c r="Q83" i="3"/>
  <c r="Q81" i="3"/>
  <c r="Q79" i="3"/>
  <c r="G33" i="4"/>
  <c r="W18" i="4"/>
  <c r="AF16" i="4"/>
  <c r="H15" i="4"/>
  <c r="X13" i="4"/>
  <c r="AN11" i="4"/>
  <c r="P10" i="4"/>
  <c r="AF8" i="4"/>
  <c r="H7" i="4"/>
  <c r="X88" i="3"/>
  <c r="AN86" i="3"/>
  <c r="P85" i="3"/>
  <c r="AF83" i="3"/>
  <c r="H82" i="3"/>
  <c r="X80" i="3"/>
  <c r="O31" i="4"/>
  <c r="AM89" i="3"/>
  <c r="AB82" i="3"/>
  <c r="AJ78" i="3"/>
  <c r="L74" i="3"/>
  <c r="AB72" i="3"/>
  <c r="D71" i="3"/>
  <c r="T69" i="3"/>
  <c r="AJ67" i="3"/>
  <c r="L66" i="3"/>
  <c r="AB64" i="3"/>
  <c r="D63" i="3"/>
  <c r="AK51" i="4"/>
  <c r="N43" i="4"/>
  <c r="AN53" i="4"/>
  <c r="AJ30" i="4"/>
  <c r="H51" i="4"/>
  <c r="S30" i="4"/>
  <c r="AF47" i="4"/>
  <c r="J27" i="4"/>
  <c r="Q37" i="4"/>
  <c r="Q19" i="4"/>
  <c r="AF33" i="4"/>
  <c r="AN18" i="4"/>
  <c r="F9" i="4"/>
  <c r="U15" i="4"/>
  <c r="AC85" i="3"/>
  <c r="AB17" i="4"/>
  <c r="D12" i="4"/>
  <c r="T10" i="4"/>
  <c r="AJ8" i="4"/>
  <c r="L7" i="4"/>
  <c r="AB88" i="3"/>
  <c r="D87" i="3"/>
  <c r="T85" i="3"/>
  <c r="AE33" i="4"/>
  <c r="AM18" i="4"/>
  <c r="AI16" i="4"/>
  <c r="K15" i="4"/>
  <c r="AA13" i="4"/>
  <c r="C12" i="4"/>
  <c r="S10" i="4"/>
  <c r="AI8" i="4"/>
  <c r="K7" i="4"/>
  <c r="AA88" i="3"/>
  <c r="C87" i="3"/>
  <c r="S85" i="3"/>
  <c r="AI83" i="3"/>
  <c r="K82" i="3"/>
  <c r="AA80" i="3"/>
  <c r="AF48" i="4"/>
  <c r="O30" i="4"/>
  <c r="AH17" i="4"/>
  <c r="AH15" i="4"/>
  <c r="AH13" i="4"/>
  <c r="AH11" i="4"/>
  <c r="AH9" i="4"/>
  <c r="AH7" i="4"/>
  <c r="AH88" i="3"/>
  <c r="AH86" i="3"/>
  <c r="AH84" i="3"/>
  <c r="AH82" i="3"/>
  <c r="AH80" i="3"/>
  <c r="AN64" i="4"/>
  <c r="AE31" i="4"/>
  <c r="I18" i="4"/>
  <c r="I16" i="4"/>
  <c r="I14" i="4"/>
  <c r="I12" i="4"/>
  <c r="I10" i="4"/>
  <c r="I8" i="4"/>
  <c r="I89" i="3"/>
  <c r="I87" i="3"/>
  <c r="I85" i="3"/>
  <c r="I83" i="3"/>
  <c r="I81" i="3"/>
  <c r="P63" i="4"/>
  <c r="W31" i="4"/>
  <c r="H18" i="4"/>
  <c r="X16" i="4"/>
  <c r="AN14" i="4"/>
  <c r="P13" i="4"/>
  <c r="AF11" i="4"/>
  <c r="H10" i="4"/>
  <c r="X8" i="4"/>
  <c r="AN89" i="3"/>
  <c r="P88" i="3"/>
  <c r="AF86" i="3"/>
  <c r="H85" i="3"/>
  <c r="X83" i="3"/>
  <c r="AN81" i="3"/>
  <c r="P80" i="3"/>
  <c r="G18" i="4"/>
  <c r="O88" i="3"/>
  <c r="F82" i="3"/>
  <c r="AB78" i="3"/>
  <c r="D74" i="3"/>
  <c r="T72" i="3"/>
  <c r="AJ70" i="3"/>
  <c r="L69" i="3"/>
  <c r="AB67" i="3"/>
  <c r="D66" i="3"/>
  <c r="T64" i="3"/>
  <c r="AJ62" i="3"/>
  <c r="L61" i="3"/>
  <c r="AB59" i="3"/>
  <c r="D58" i="3"/>
  <c r="T56" i="3"/>
  <c r="AM17" i="4"/>
  <c r="G88" i="3"/>
  <c r="D82" i="3"/>
  <c r="AA78" i="3"/>
  <c r="C74" i="3"/>
  <c r="S72" i="3"/>
  <c r="AI70" i="3"/>
  <c r="K69" i="3"/>
  <c r="AA67" i="3"/>
  <c r="C66" i="3"/>
  <c r="S64" i="3"/>
  <c r="AI62" i="3"/>
  <c r="K61" i="3"/>
  <c r="AA59" i="3"/>
  <c r="C58" i="3"/>
  <c r="S56" i="3"/>
  <c r="AE17" i="4"/>
  <c r="AM87" i="3"/>
  <c r="AM81" i="3"/>
  <c r="Z78" i="3"/>
  <c r="Z73" i="3"/>
  <c r="Z71" i="3"/>
  <c r="Z69" i="3"/>
  <c r="Z67" i="3"/>
  <c r="Z65" i="3"/>
  <c r="AB51" i="4"/>
  <c r="E43" i="4"/>
  <c r="T42" i="4"/>
  <c r="AB27" i="4"/>
  <c r="C42" i="4"/>
  <c r="K27" i="4"/>
  <c r="J41" i="4"/>
  <c r="J23" i="4"/>
  <c r="Q33" i="4"/>
  <c r="X50" i="4"/>
  <c r="X30" i="4"/>
  <c r="G23" i="4"/>
  <c r="AL88" i="3"/>
  <c r="M12" i="4"/>
  <c r="U82" i="3"/>
  <c r="D16" i="4"/>
  <c r="AB11" i="4"/>
  <c r="D10" i="4"/>
  <c r="T8" i="4"/>
  <c r="AJ89" i="3"/>
  <c r="L88" i="3"/>
  <c r="AB86" i="3"/>
  <c r="P50" i="4"/>
  <c r="W30" i="4"/>
  <c r="C18" i="4"/>
  <c r="S16" i="4"/>
  <c r="AI14" i="4"/>
  <c r="K13" i="4"/>
  <c r="AA11" i="4"/>
  <c r="C10" i="4"/>
  <c r="S8" i="4"/>
  <c r="AI89" i="3"/>
  <c r="K88" i="3"/>
  <c r="AA86" i="3"/>
  <c r="C85" i="3"/>
  <c r="S83" i="3"/>
  <c r="AI81" i="3"/>
  <c r="K80" i="3"/>
  <c r="AM41" i="4"/>
  <c r="G27" i="4"/>
  <c r="R17" i="4"/>
  <c r="R15" i="4"/>
  <c r="R13" i="4"/>
  <c r="R11" i="4"/>
  <c r="R9" i="4"/>
  <c r="R7" i="4"/>
  <c r="R88" i="3"/>
  <c r="R86" i="3"/>
  <c r="R84" i="3"/>
  <c r="R82" i="3"/>
  <c r="R80" i="3"/>
  <c r="O43" i="4"/>
  <c r="W28" i="4"/>
  <c r="Y17" i="4"/>
  <c r="Y15" i="4"/>
  <c r="Y13" i="4"/>
  <c r="Y11" i="4"/>
  <c r="Y9" i="4"/>
  <c r="Y7" i="4"/>
  <c r="Y88" i="3"/>
  <c r="Y86" i="3"/>
  <c r="Y84" i="3"/>
  <c r="Y82" i="3"/>
  <c r="Y80" i="3"/>
  <c r="G43" i="4"/>
  <c r="O28" i="4"/>
  <c r="AF17" i="4"/>
  <c r="H16" i="4"/>
  <c r="X14" i="4"/>
  <c r="AN12" i="4"/>
  <c r="P11" i="4"/>
  <c r="AF9" i="4"/>
  <c r="H8" i="4"/>
  <c r="X89" i="3"/>
  <c r="AN87" i="3"/>
  <c r="P86" i="3"/>
  <c r="AF84" i="3"/>
  <c r="H83" i="3"/>
  <c r="X81" i="3"/>
  <c r="AN79" i="3"/>
  <c r="AM14" i="4"/>
  <c r="N85" i="3"/>
  <c r="D81" i="3"/>
  <c r="L78" i="3"/>
  <c r="AB73" i="3"/>
  <c r="D72" i="3"/>
  <c r="T70" i="3"/>
  <c r="AJ68" i="3"/>
  <c r="L67" i="3"/>
  <c r="AB65" i="3"/>
  <c r="D64" i="3"/>
  <c r="T62" i="3"/>
  <c r="AJ60" i="3"/>
  <c r="L59" i="3"/>
  <c r="AB57" i="3"/>
  <c r="D56" i="3"/>
  <c r="AE14" i="4"/>
  <c r="L85" i="3"/>
  <c r="AM80" i="3"/>
  <c r="K78" i="3"/>
  <c r="AA73" i="3"/>
  <c r="C72" i="3"/>
  <c r="S70" i="3"/>
  <c r="AI68" i="3"/>
  <c r="K67" i="3"/>
  <c r="AA65" i="3"/>
  <c r="C64" i="3"/>
  <c r="S62" i="3"/>
  <c r="AI60" i="3"/>
  <c r="K59" i="3"/>
  <c r="AA57" i="3"/>
  <c r="C56" i="3"/>
  <c r="W14" i="4"/>
  <c r="G85" i="3"/>
  <c r="AL80" i="3"/>
  <c r="J78" i="3"/>
  <c r="J73" i="3"/>
  <c r="J71" i="3"/>
  <c r="J69" i="3"/>
  <c r="J67" i="3"/>
  <c r="J65" i="3"/>
  <c r="J63" i="3"/>
  <c r="J61" i="3"/>
  <c r="J59" i="3"/>
  <c r="J57" i="3"/>
  <c r="J55" i="3"/>
  <c r="W9" i="4"/>
  <c r="AI68" i="4"/>
  <c r="M28" i="4"/>
  <c r="AJ38" i="4"/>
  <c r="D26" i="4"/>
  <c r="S38" i="4"/>
  <c r="AA25" i="4"/>
  <c r="J37" i="4"/>
  <c r="J19" i="4"/>
  <c r="Q31" i="4"/>
  <c r="AF43" i="4"/>
  <c r="AN28" i="4"/>
  <c r="F17" i="4"/>
  <c r="N87" i="3"/>
  <c r="AC10" i="4"/>
  <c r="AK80" i="3"/>
  <c r="AB15" i="4"/>
  <c r="T11" i="4"/>
  <c r="AJ9" i="4"/>
  <c r="L8" i="4"/>
  <c r="AB89" i="3"/>
  <c r="D88" i="3"/>
  <c r="T86" i="3"/>
  <c r="AE43" i="4"/>
  <c r="AM28" i="4"/>
  <c r="AI17" i="4"/>
  <c r="K16" i="4"/>
  <c r="AA14" i="4"/>
  <c r="C13" i="4"/>
  <c r="S11" i="4"/>
  <c r="AI9" i="4"/>
  <c r="K8" i="4"/>
  <c r="AA89" i="3"/>
  <c r="C88" i="3"/>
  <c r="S86" i="3"/>
  <c r="AI84" i="3"/>
  <c r="K83" i="3"/>
  <c r="AA81" i="3"/>
  <c r="C80" i="3"/>
  <c r="O38" i="4"/>
  <c r="W25" i="4"/>
  <c r="J17" i="4"/>
  <c r="J15" i="4"/>
  <c r="J13" i="4"/>
  <c r="J11" i="4"/>
  <c r="J9" i="4"/>
  <c r="J7" i="4"/>
  <c r="J88" i="3"/>
  <c r="J86" i="3"/>
  <c r="J84" i="3"/>
  <c r="J82" i="3"/>
  <c r="J80" i="3"/>
  <c r="AE41" i="4"/>
  <c r="AM26" i="4"/>
  <c r="Q17" i="4"/>
  <c r="Q15" i="4"/>
  <c r="Q13" i="4"/>
  <c r="Q11" i="4"/>
  <c r="Q9" i="4"/>
  <c r="Q7" i="4"/>
  <c r="Q88" i="3"/>
  <c r="Q86" i="3"/>
  <c r="Q84" i="3"/>
  <c r="Q82" i="3"/>
  <c r="Q80" i="3"/>
  <c r="W41" i="4"/>
  <c r="AE26" i="4"/>
  <c r="X17" i="4"/>
  <c r="AN15" i="4"/>
  <c r="P14" i="4"/>
  <c r="AF12" i="4"/>
  <c r="H11" i="4"/>
  <c r="X9" i="4"/>
  <c r="AN7" i="4"/>
  <c r="P89" i="3"/>
  <c r="AF87" i="3"/>
  <c r="H86" i="3"/>
  <c r="X84" i="3"/>
  <c r="AN82" i="3"/>
  <c r="P81" i="3"/>
  <c r="AF79" i="3"/>
  <c r="O13" i="4"/>
  <c r="AE84" i="3"/>
  <c r="V80" i="3"/>
  <c r="D78" i="3"/>
  <c r="T73" i="3"/>
  <c r="AJ71" i="3"/>
  <c r="L70" i="3"/>
  <c r="AB68" i="3"/>
  <c r="D67" i="3"/>
  <c r="T65" i="3"/>
  <c r="AJ63" i="3"/>
  <c r="L62" i="3"/>
  <c r="AB60" i="3"/>
  <c r="D59" i="3"/>
  <c r="T57" i="3"/>
  <c r="AJ55" i="3"/>
  <c r="G13" i="4"/>
  <c r="AD84" i="3"/>
  <c r="T80" i="3"/>
  <c r="C78" i="3"/>
  <c r="S73" i="3"/>
  <c r="AI71" i="3"/>
  <c r="K70" i="3"/>
  <c r="AA68" i="3"/>
  <c r="C67" i="3"/>
  <c r="S65" i="3"/>
  <c r="AI63" i="3"/>
  <c r="K62" i="3"/>
  <c r="AA60" i="3"/>
  <c r="C59" i="3"/>
  <c r="S57" i="3"/>
  <c r="AI55" i="3"/>
  <c r="AM12" i="4"/>
  <c r="AB84" i="3"/>
  <c r="O80" i="3"/>
  <c r="AH74" i="3"/>
  <c r="AH72" i="3"/>
  <c r="AH70" i="3"/>
  <c r="AH68" i="3"/>
  <c r="AH66" i="3"/>
  <c r="AH64" i="3"/>
  <c r="AH62" i="3"/>
  <c r="AH60" i="3"/>
  <c r="AH58" i="3"/>
  <c r="AH56" i="3"/>
  <c r="O41" i="4"/>
  <c r="T69" i="4"/>
  <c r="Q35" i="4"/>
  <c r="AJ11" i="4"/>
  <c r="K18" i="4"/>
  <c r="S88" i="3"/>
  <c r="Z17" i="4"/>
  <c r="Z84" i="3"/>
  <c r="AG11" i="4"/>
  <c r="I46" i="4"/>
  <c r="P8" i="4"/>
  <c r="W16" i="4"/>
  <c r="T67" i="3"/>
  <c r="T59" i="3"/>
  <c r="AE29" i="4"/>
  <c r="AL79" i="3"/>
  <c r="K72" i="3"/>
  <c r="AI67" i="3"/>
  <c r="AA63" i="3"/>
  <c r="S59" i="3"/>
  <c r="G28" i="4"/>
  <c r="AJ79" i="3"/>
  <c r="R71" i="3"/>
  <c r="AH65" i="3"/>
  <c r="Z61" i="3"/>
  <c r="Z57" i="3"/>
  <c r="AE12" i="4"/>
  <c r="V83" i="3"/>
  <c r="AG78" i="3"/>
  <c r="AG73" i="3"/>
  <c r="AG71" i="3"/>
  <c r="AG69" i="3"/>
  <c r="AG67" i="3"/>
  <c r="AG65" i="3"/>
  <c r="AG63" i="3"/>
  <c r="AG61" i="3"/>
  <c r="AG59" i="3"/>
  <c r="AG57" i="3"/>
  <c r="AM24" i="4"/>
  <c r="G89" i="3"/>
  <c r="O82" i="3"/>
  <c r="X78" i="3"/>
  <c r="AN73" i="3"/>
  <c r="P72" i="3"/>
  <c r="AF70" i="3"/>
  <c r="H69" i="3"/>
  <c r="X67" i="3"/>
  <c r="AN65" i="3"/>
  <c r="P64" i="3"/>
  <c r="AF62" i="3"/>
  <c r="H61" i="3"/>
  <c r="X59" i="3"/>
  <c r="AN57" i="3"/>
  <c r="P56" i="3"/>
  <c r="AM13" i="4"/>
  <c r="AM84" i="3"/>
  <c r="AD80" i="3"/>
  <c r="G78" i="3"/>
  <c r="W73" i="3"/>
  <c r="AM71" i="3"/>
  <c r="O70" i="3"/>
  <c r="AE68" i="3"/>
  <c r="G67" i="3"/>
  <c r="W65" i="3"/>
  <c r="AM63" i="3"/>
  <c r="O62" i="3"/>
  <c r="AE60" i="3"/>
  <c r="G59" i="3"/>
  <c r="W57" i="3"/>
  <c r="AM55" i="3"/>
  <c r="G12" i="4"/>
  <c r="O84" i="3"/>
  <c r="F80" i="3"/>
  <c r="AL74" i="3"/>
  <c r="N73" i="3"/>
  <c r="AD71" i="3"/>
  <c r="F70" i="3"/>
  <c r="V68" i="3"/>
  <c r="AL66" i="3"/>
  <c r="N65" i="3"/>
  <c r="AD63" i="3"/>
  <c r="F62" i="3"/>
  <c r="V60" i="3"/>
  <c r="AL58" i="3"/>
  <c r="N57" i="3"/>
  <c r="AD55" i="3"/>
  <c r="E71" i="3"/>
  <c r="M58" i="3"/>
  <c r="L54" i="3"/>
  <c r="AB52" i="3"/>
  <c r="D51" i="3"/>
  <c r="T49" i="3"/>
  <c r="AJ47" i="3"/>
  <c r="L46" i="3"/>
  <c r="AB44" i="3"/>
  <c r="D43" i="3"/>
  <c r="T41" i="3"/>
  <c r="AJ39" i="3"/>
  <c r="G82" i="3"/>
  <c r="U64" i="3"/>
  <c r="C55" i="3"/>
  <c r="S53" i="3"/>
  <c r="AI51" i="3"/>
  <c r="K50" i="3"/>
  <c r="AA48" i="3"/>
  <c r="C47" i="3"/>
  <c r="S45" i="3"/>
  <c r="AI43" i="3"/>
  <c r="K42" i="3"/>
  <c r="AA40" i="3"/>
  <c r="C39" i="3"/>
  <c r="S35" i="3"/>
  <c r="AI33" i="3"/>
  <c r="K32" i="3"/>
  <c r="AA30" i="3"/>
  <c r="M72" i="3"/>
  <c r="U59" i="3"/>
  <c r="J54" i="3"/>
  <c r="J52" i="3"/>
  <c r="J50" i="3"/>
  <c r="J48" i="3"/>
  <c r="J46" i="3"/>
  <c r="J44" i="3"/>
  <c r="J42" i="3"/>
  <c r="J40" i="3"/>
  <c r="J38" i="3"/>
  <c r="J34" i="3"/>
  <c r="J32" i="3"/>
  <c r="O85" i="3"/>
  <c r="V28" i="4"/>
  <c r="P68" i="4"/>
  <c r="L10" i="4"/>
  <c r="AA16" i="4"/>
  <c r="AI86" i="3"/>
  <c r="Z15" i="4"/>
  <c r="Z82" i="3"/>
  <c r="AG9" i="4"/>
  <c r="AM29" i="4"/>
  <c r="AF89" i="3"/>
  <c r="AE86" i="3"/>
  <c r="AJ65" i="3"/>
  <c r="AJ58" i="3"/>
  <c r="O16" i="4"/>
  <c r="AI78" i="3"/>
  <c r="AA71" i="3"/>
  <c r="S67" i="3"/>
  <c r="C63" i="3"/>
  <c r="AI58" i="3"/>
  <c r="G16" i="4"/>
  <c r="AH78" i="3"/>
  <c r="Z70" i="3"/>
  <c r="R65" i="3"/>
  <c r="R61" i="3"/>
  <c r="R57" i="3"/>
  <c r="G11" i="4"/>
  <c r="AM82" i="3"/>
  <c r="Y78" i="3"/>
  <c r="Y73" i="3"/>
  <c r="Y71" i="3"/>
  <c r="Y69" i="3"/>
  <c r="Y67" i="3"/>
  <c r="Y65" i="3"/>
  <c r="Y63" i="3"/>
  <c r="Y61" i="3"/>
  <c r="Y59" i="3"/>
  <c r="Y57" i="3"/>
  <c r="O17" i="4"/>
  <c r="W87" i="3"/>
  <c r="AJ81" i="3"/>
  <c r="P78" i="3"/>
  <c r="AF73" i="3"/>
  <c r="H72" i="3"/>
  <c r="X70" i="3"/>
  <c r="AN68" i="3"/>
  <c r="P67" i="3"/>
  <c r="AF65" i="3"/>
  <c r="H64" i="3"/>
  <c r="X62" i="3"/>
  <c r="AN60" i="3"/>
  <c r="P59" i="3"/>
  <c r="AF57" i="3"/>
  <c r="H56" i="3"/>
  <c r="O12" i="4"/>
  <c r="T84" i="3"/>
  <c r="G80" i="3"/>
  <c r="AM74" i="3"/>
  <c r="O73" i="3"/>
  <c r="AE71" i="3"/>
  <c r="G70" i="3"/>
  <c r="W68" i="3"/>
  <c r="AM66" i="3"/>
  <c r="O65" i="3"/>
  <c r="AE63" i="3"/>
  <c r="G62" i="3"/>
  <c r="W60" i="3"/>
  <c r="AM58" i="3"/>
  <c r="O57" i="3"/>
  <c r="AE55" i="3"/>
  <c r="W10" i="4"/>
  <c r="AJ83" i="3"/>
  <c r="W79" i="3"/>
  <c r="AD74" i="3"/>
  <c r="F73" i="3"/>
  <c r="V71" i="3"/>
  <c r="AL69" i="3"/>
  <c r="N68" i="3"/>
  <c r="AD66" i="3"/>
  <c r="F65" i="3"/>
  <c r="V63" i="3"/>
  <c r="AL61" i="3"/>
  <c r="N60" i="3"/>
  <c r="AD58" i="3"/>
  <c r="F57" i="3"/>
  <c r="V55" i="3"/>
  <c r="U69" i="3"/>
  <c r="AC56" i="3"/>
  <c r="D54" i="3"/>
  <c r="T52" i="3"/>
  <c r="AJ50" i="3"/>
  <c r="L49" i="3"/>
  <c r="AB47" i="3"/>
  <c r="D46" i="3"/>
  <c r="T44" i="3"/>
  <c r="AJ42" i="3"/>
  <c r="L41" i="3"/>
  <c r="AB39" i="3"/>
  <c r="AC78" i="3"/>
  <c r="AK62" i="3"/>
  <c r="AI54" i="3"/>
  <c r="K53" i="3"/>
  <c r="AA51" i="3"/>
  <c r="C50" i="3"/>
  <c r="S48" i="3"/>
  <c r="AI46" i="3"/>
  <c r="K45" i="3"/>
  <c r="AA43" i="3"/>
  <c r="C42" i="3"/>
  <c r="S40" i="3"/>
  <c r="AI38" i="3"/>
  <c r="K35" i="3"/>
  <c r="AA33" i="3"/>
  <c r="C32" i="3"/>
  <c r="S30" i="3"/>
  <c r="AC70" i="3"/>
  <c r="AK57" i="3"/>
  <c r="AH53" i="3"/>
  <c r="AH51" i="3"/>
  <c r="AH49" i="3"/>
  <c r="AH47" i="3"/>
  <c r="AH45" i="3"/>
  <c r="AH43" i="3"/>
  <c r="AH41" i="3"/>
  <c r="AH39" i="3"/>
  <c r="AH35" i="3"/>
  <c r="AH33" i="3"/>
  <c r="AH31" i="3"/>
  <c r="F81" i="3"/>
  <c r="D44" i="4"/>
  <c r="H32" i="4"/>
  <c r="AB8" i="4"/>
  <c r="C15" i="4"/>
  <c r="K85" i="3"/>
  <c r="Z13" i="4"/>
  <c r="Z80" i="3"/>
  <c r="AG7" i="4"/>
  <c r="AN17" i="4"/>
  <c r="H88" i="3"/>
  <c r="W81" i="3"/>
  <c r="L64" i="3"/>
  <c r="L58" i="3"/>
  <c r="W11" i="4"/>
  <c r="S78" i="3"/>
  <c r="C71" i="3"/>
  <c r="AI66" i="3"/>
  <c r="AA62" i="3"/>
  <c r="K58" i="3"/>
  <c r="O11" i="4"/>
  <c r="R78" i="3"/>
  <c r="AH69" i="3"/>
  <c r="Z64" i="3"/>
  <c r="Z60" i="3"/>
  <c r="Z56" i="3"/>
  <c r="AM7" i="4"/>
  <c r="T82" i="3"/>
  <c r="Q78" i="3"/>
  <c r="Q73" i="3"/>
  <c r="Q71" i="3"/>
  <c r="Q69" i="3"/>
  <c r="Q67" i="3"/>
  <c r="Q65" i="3"/>
  <c r="Q63" i="3"/>
  <c r="Q61" i="3"/>
  <c r="Q59" i="3"/>
  <c r="Q57" i="3"/>
  <c r="AE15" i="4"/>
  <c r="AM85" i="3"/>
  <c r="N81" i="3"/>
  <c r="H78" i="3"/>
  <c r="X73" i="3"/>
  <c r="AN71" i="3"/>
  <c r="P70" i="3"/>
  <c r="AF68" i="3"/>
  <c r="H67" i="3"/>
  <c r="X65" i="3"/>
  <c r="AN63" i="3"/>
  <c r="P62" i="3"/>
  <c r="AF60" i="3"/>
  <c r="H59" i="3"/>
  <c r="X57" i="3"/>
  <c r="AN55" i="3"/>
  <c r="AE10" i="4"/>
  <c r="AL83" i="3"/>
  <c r="AB79" i="3"/>
  <c r="AE74" i="3"/>
  <c r="G73" i="3"/>
  <c r="W71" i="3"/>
  <c r="AM69" i="3"/>
  <c r="O68" i="3"/>
  <c r="AE66" i="3"/>
  <c r="G65" i="3"/>
  <c r="W63" i="3"/>
  <c r="AM61" i="3"/>
  <c r="O60" i="3"/>
  <c r="AE58" i="3"/>
  <c r="G57" i="3"/>
  <c r="W55" i="3"/>
  <c r="AM8" i="4"/>
  <c r="N83" i="3"/>
  <c r="H79" i="3"/>
  <c r="V74" i="3"/>
  <c r="AL72" i="3"/>
  <c r="N71" i="3"/>
  <c r="AD69" i="3"/>
  <c r="F68" i="3"/>
  <c r="V66" i="3"/>
  <c r="AL64" i="3"/>
  <c r="N63" i="3"/>
  <c r="AD61" i="3"/>
  <c r="F60" i="3"/>
  <c r="V58" i="3"/>
  <c r="AL56" i="3"/>
  <c r="AM32" i="4"/>
  <c r="AK67" i="3"/>
  <c r="AC55" i="3"/>
  <c r="AJ53" i="3"/>
  <c r="L52" i="3"/>
  <c r="AB50" i="3"/>
  <c r="D49" i="3"/>
  <c r="T47" i="3"/>
  <c r="AJ45" i="3"/>
  <c r="L44" i="3"/>
  <c r="AB42" i="3"/>
  <c r="D41" i="3"/>
  <c r="T39" i="3"/>
  <c r="E74" i="3"/>
  <c r="M61" i="3"/>
  <c r="AA54" i="3"/>
  <c r="C53" i="3"/>
  <c r="S51" i="3"/>
  <c r="AI49" i="3"/>
  <c r="K48" i="3"/>
  <c r="AA46" i="3"/>
  <c r="C45" i="3"/>
  <c r="S43" i="3"/>
  <c r="AI41" i="3"/>
  <c r="K40" i="3"/>
  <c r="AA38" i="3"/>
  <c r="C35" i="3"/>
  <c r="S33" i="3"/>
  <c r="AI31" i="3"/>
  <c r="K30" i="3"/>
  <c r="E69" i="3"/>
  <c r="M56" i="3"/>
  <c r="Z53" i="3"/>
  <c r="Z51" i="3"/>
  <c r="Z49" i="3"/>
  <c r="Z47" i="3"/>
  <c r="Z45" i="3"/>
  <c r="Z43" i="3"/>
  <c r="Z41" i="3"/>
  <c r="Z39" i="3"/>
  <c r="Z35" i="3"/>
  <c r="Z33" i="3"/>
  <c r="Z31" i="3"/>
  <c r="M78" i="3"/>
  <c r="L29" i="4"/>
  <c r="AM35" i="4"/>
  <c r="D7" i="4"/>
  <c r="S13" i="4"/>
  <c r="AA83" i="3"/>
  <c r="Z11" i="4"/>
  <c r="H47" i="4"/>
  <c r="AG88" i="3"/>
  <c r="P16" i="4"/>
  <c r="X86" i="3"/>
  <c r="T78" i="3"/>
  <c r="AB62" i="3"/>
  <c r="AJ57" i="3"/>
  <c r="AE89" i="3"/>
  <c r="AI74" i="3"/>
  <c r="AA70" i="3"/>
  <c r="K66" i="3"/>
  <c r="C62" i="3"/>
  <c r="AI57" i="3"/>
  <c r="W89" i="3"/>
  <c r="Z74" i="3"/>
  <c r="R69" i="3"/>
  <c r="AH63" i="3"/>
  <c r="AH59" i="3"/>
  <c r="AH55" i="3"/>
  <c r="O89" i="3"/>
  <c r="O81" i="3"/>
  <c r="I78" i="3"/>
  <c r="I73" i="3"/>
  <c r="I71" i="3"/>
  <c r="I69" i="3"/>
  <c r="I67" i="3"/>
  <c r="I65" i="3"/>
  <c r="I63" i="3"/>
  <c r="I61" i="3"/>
  <c r="I59" i="3"/>
  <c r="I57" i="3"/>
  <c r="G14" i="4"/>
  <c r="D85" i="3"/>
  <c r="AE80" i="3"/>
  <c r="AN74" i="3"/>
  <c r="P73" i="3"/>
  <c r="AF71" i="3"/>
  <c r="H70" i="3"/>
  <c r="X68" i="3"/>
  <c r="AN66" i="3"/>
  <c r="P65" i="3"/>
  <c r="AF63" i="3"/>
  <c r="H62" i="3"/>
  <c r="X60" i="3"/>
  <c r="AN58" i="3"/>
  <c r="P57" i="3"/>
  <c r="AF55" i="3"/>
  <c r="G9" i="4"/>
  <c r="O83" i="3"/>
  <c r="I79" i="3"/>
  <c r="W74" i="3"/>
  <c r="AM72" i="3"/>
  <c r="O71" i="3"/>
  <c r="AE69" i="3"/>
  <c r="G68" i="3"/>
  <c r="W66" i="3"/>
  <c r="AM64" i="3"/>
  <c r="O63" i="3"/>
  <c r="AE61" i="3"/>
  <c r="G60" i="3"/>
  <c r="W58" i="3"/>
  <c r="AM56" i="3"/>
  <c r="W34" i="4"/>
  <c r="O7" i="4"/>
  <c r="AE82" i="3"/>
  <c r="AM78" i="3"/>
  <c r="N74" i="3"/>
  <c r="AD72" i="3"/>
  <c r="F71" i="3"/>
  <c r="V69" i="3"/>
  <c r="AL67" i="3"/>
  <c r="N66" i="3"/>
  <c r="AD64" i="3"/>
  <c r="F63" i="3"/>
  <c r="V61" i="3"/>
  <c r="AL59" i="3"/>
  <c r="N58" i="3"/>
  <c r="AD56" i="3"/>
  <c r="G7" i="4"/>
  <c r="M66" i="3"/>
  <c r="M55" i="3"/>
  <c r="AB53" i="3"/>
  <c r="D52" i="3"/>
  <c r="T50" i="3"/>
  <c r="AJ48" i="3"/>
  <c r="L47" i="3"/>
  <c r="AB45" i="3"/>
  <c r="D44" i="3"/>
  <c r="T42" i="3"/>
  <c r="AJ40" i="3"/>
  <c r="L39" i="3"/>
  <c r="U72" i="3"/>
  <c r="AC59" i="3"/>
  <c r="S54" i="3"/>
  <c r="AI52" i="3"/>
  <c r="K51" i="3"/>
  <c r="AA49" i="3"/>
  <c r="C48" i="3"/>
  <c r="S46" i="3"/>
  <c r="AI44" i="3"/>
  <c r="K43" i="3"/>
  <c r="AA41" i="3"/>
  <c r="C40" i="3"/>
  <c r="S38" i="3"/>
  <c r="AI34" i="3"/>
  <c r="K33" i="3"/>
  <c r="AA31" i="3"/>
  <c r="AE16" i="4"/>
  <c r="U67" i="3"/>
  <c r="X55" i="3"/>
  <c r="R53" i="3"/>
  <c r="R51" i="3"/>
  <c r="R49" i="3"/>
  <c r="R47" i="3"/>
  <c r="R45" i="3"/>
  <c r="R43" i="3"/>
  <c r="R41" i="3"/>
  <c r="R39" i="3"/>
  <c r="R35" i="3"/>
  <c r="R33" i="3"/>
  <c r="R31" i="3"/>
  <c r="AA43" i="4"/>
  <c r="V7" i="4"/>
  <c r="T88" i="3"/>
  <c r="AI11" i="4"/>
  <c r="C82" i="3"/>
  <c r="Z9" i="4"/>
  <c r="G30" i="4"/>
  <c r="AG86" i="3"/>
  <c r="AF14" i="4"/>
  <c r="AN84" i="3"/>
  <c r="AJ73" i="3"/>
  <c r="T61" i="3"/>
  <c r="L57" i="3"/>
  <c r="W86" i="3"/>
  <c r="K74" i="3"/>
  <c r="C70" i="3"/>
  <c r="AI65" i="3"/>
  <c r="S61" i="3"/>
  <c r="K57" i="3"/>
  <c r="O86" i="3"/>
  <c r="AH73" i="3"/>
  <c r="Z68" i="3"/>
  <c r="Z63" i="3"/>
  <c r="Z59" i="3"/>
  <c r="Z55" i="3"/>
  <c r="G86" i="3"/>
  <c r="AJ80" i="3"/>
  <c r="AG74" i="3"/>
  <c r="AG72" i="3"/>
  <c r="AG70" i="3"/>
  <c r="AG68" i="3"/>
  <c r="AG66" i="3"/>
  <c r="AG64" i="3"/>
  <c r="AG62" i="3"/>
  <c r="AG60" i="3"/>
  <c r="AG58" i="3"/>
  <c r="AG56" i="3"/>
  <c r="W12" i="4"/>
  <c r="V84" i="3"/>
  <c r="L80" i="3"/>
  <c r="AF74" i="3"/>
  <c r="H73" i="3"/>
  <c r="X71" i="3"/>
  <c r="AN69" i="3"/>
  <c r="P68" i="3"/>
  <c r="AF66" i="3"/>
  <c r="H65" i="3"/>
  <c r="X63" i="3"/>
  <c r="AN61" i="3"/>
  <c r="P60" i="3"/>
  <c r="AF58" i="3"/>
  <c r="H57" i="3"/>
  <c r="G36" i="4"/>
  <c r="W7" i="4"/>
  <c r="AJ82" i="3"/>
  <c r="AN78" i="3"/>
  <c r="O74" i="3"/>
  <c r="AE72" i="3"/>
  <c r="G71" i="3"/>
  <c r="W69" i="3"/>
  <c r="AM67" i="3"/>
  <c r="O66" i="3"/>
  <c r="AE64" i="3"/>
  <c r="G63" i="3"/>
  <c r="W61" i="3"/>
  <c r="AM59" i="3"/>
  <c r="O58" i="3"/>
  <c r="AE56" i="3"/>
  <c r="AE19" i="4"/>
  <c r="AE88" i="3"/>
  <c r="L82" i="3"/>
  <c r="AD78" i="3"/>
  <c r="F74" i="3"/>
  <c r="V72" i="3"/>
  <c r="AL70" i="3"/>
  <c r="N69" i="3"/>
  <c r="AD67" i="3"/>
  <c r="F66" i="3"/>
  <c r="V64" i="3"/>
  <c r="AL62" i="3"/>
  <c r="N61" i="3"/>
  <c r="AD59" i="3"/>
  <c r="J43" i="4"/>
  <c r="E84" i="3"/>
  <c r="H68" i="4"/>
  <c r="AA8" i="4"/>
  <c r="W43" i="4"/>
  <c r="Z88" i="3"/>
  <c r="AG15" i="4"/>
  <c r="AG82" i="3"/>
  <c r="X11" i="4"/>
  <c r="AF81" i="3"/>
  <c r="AB70" i="3"/>
  <c r="T60" i="3"/>
  <c r="L56" i="3"/>
  <c r="W82" i="3"/>
  <c r="K73" i="3"/>
  <c r="C69" i="3"/>
  <c r="AA64" i="3"/>
  <c r="S60" i="3"/>
  <c r="K56" i="3"/>
  <c r="V82" i="3"/>
  <c r="Z72" i="3"/>
  <c r="R67" i="3"/>
  <c r="Z62" i="3"/>
  <c r="Z58" i="3"/>
  <c r="W26" i="4"/>
  <c r="W84" i="3"/>
  <c r="AE79" i="3"/>
  <c r="Q74" i="3"/>
  <c r="Q72" i="3"/>
  <c r="Q70" i="3"/>
  <c r="Q68" i="3"/>
  <c r="Q66" i="3"/>
  <c r="Q64" i="3"/>
  <c r="Q62" i="3"/>
  <c r="Q60" i="3"/>
  <c r="Q58" i="3"/>
  <c r="Q56" i="3"/>
  <c r="O9" i="4"/>
  <c r="T83" i="3"/>
  <c r="K79" i="3"/>
  <c r="P74" i="3"/>
  <c r="AF72" i="3"/>
  <c r="H71" i="3"/>
  <c r="X69" i="3"/>
  <c r="AN67" i="3"/>
  <c r="P66" i="3"/>
  <c r="AF64" i="3"/>
  <c r="H63" i="3"/>
  <c r="X61" i="3"/>
  <c r="AN59" i="3"/>
  <c r="P58" i="3"/>
  <c r="AF56" i="3"/>
  <c r="G17" i="4"/>
  <c r="O87" i="3"/>
  <c r="AE81" i="3"/>
  <c r="W78" i="3"/>
  <c r="AM73" i="3"/>
  <c r="O72" i="3"/>
  <c r="AE70" i="3"/>
  <c r="G69" i="3"/>
  <c r="W67" i="3"/>
  <c r="AM65" i="3"/>
  <c r="O64" i="3"/>
  <c r="AE62" i="3"/>
  <c r="G61" i="3"/>
  <c r="W59" i="3"/>
  <c r="AM57" i="3"/>
  <c r="O56" i="3"/>
  <c r="O15" i="4"/>
  <c r="W85" i="3"/>
  <c r="G81" i="3"/>
  <c r="N78" i="3"/>
  <c r="AD73" i="3"/>
  <c r="F72" i="3"/>
  <c r="V70" i="3"/>
  <c r="AL68" i="3"/>
  <c r="N67" i="3"/>
  <c r="AD65" i="3"/>
  <c r="F64" i="3"/>
  <c r="V62" i="3"/>
  <c r="AL60" i="3"/>
  <c r="N59" i="3"/>
  <c r="AD57" i="3"/>
  <c r="F56" i="3"/>
  <c r="M74" i="3"/>
  <c r="U61" i="3"/>
  <c r="AB54" i="3"/>
  <c r="D53" i="3"/>
  <c r="T51" i="3"/>
  <c r="AJ49" i="3"/>
  <c r="L48" i="3"/>
  <c r="AB46" i="3"/>
  <c r="D45" i="3"/>
  <c r="T43" i="3"/>
  <c r="AJ41" i="3"/>
  <c r="L40" i="3"/>
  <c r="P18" i="4"/>
  <c r="AC67" i="3"/>
  <c r="Y55" i="3"/>
  <c r="AI53" i="3"/>
  <c r="K52" i="3"/>
  <c r="AA50" i="3"/>
  <c r="C49" i="3"/>
  <c r="S47" i="3"/>
  <c r="AI45" i="3"/>
  <c r="K44" i="3"/>
  <c r="AA42" i="3"/>
  <c r="C41" i="3"/>
  <c r="S39" i="3"/>
  <c r="AI35" i="3"/>
  <c r="K34" i="3"/>
  <c r="AA32" i="3"/>
  <c r="C31" i="3"/>
  <c r="U78" i="3"/>
  <c r="AC62" i="3"/>
  <c r="Z54" i="3"/>
  <c r="Z52" i="3"/>
  <c r="Z50" i="3"/>
  <c r="Z48" i="3"/>
  <c r="Z46" i="3"/>
  <c r="Z44" i="3"/>
  <c r="Z42" i="3"/>
  <c r="Z40" i="3"/>
  <c r="Z38" i="3"/>
  <c r="Z34" i="3"/>
  <c r="Z32" i="3"/>
  <c r="Z30" i="3"/>
  <c r="AI28" i="4"/>
  <c r="S80" i="3"/>
  <c r="H13" i="4"/>
  <c r="AB56" i="3"/>
  <c r="K65" i="3"/>
  <c r="R73" i="3"/>
  <c r="R55" i="3"/>
  <c r="Y72" i="3"/>
  <c r="Y64" i="3"/>
  <c r="Y56" i="3"/>
  <c r="X74" i="3"/>
  <c r="H68" i="3"/>
  <c r="AF61" i="3"/>
  <c r="O23" i="4"/>
  <c r="G74" i="3"/>
  <c r="AE67" i="3"/>
  <c r="O61" i="3"/>
  <c r="AM16" i="4"/>
  <c r="AL73" i="3"/>
  <c r="V67" i="3"/>
  <c r="F61" i="3"/>
  <c r="N56" i="3"/>
  <c r="D55" i="3"/>
  <c r="L51" i="3"/>
  <c r="AJ46" i="3"/>
  <c r="L42" i="3"/>
  <c r="W88" i="3"/>
  <c r="C54" i="3"/>
  <c r="S49" i="3"/>
  <c r="AA45" i="3"/>
  <c r="K41" i="3"/>
  <c r="AA34" i="3"/>
  <c r="AI30" i="3"/>
  <c r="AH54" i="3"/>
  <c r="J49" i="3"/>
  <c r="R44" i="3"/>
  <c r="AH38" i="3"/>
  <c r="J31" i="3"/>
  <c r="AC65" i="3"/>
  <c r="I55" i="3"/>
  <c r="I53" i="3"/>
  <c r="I51" i="3"/>
  <c r="I49" i="3"/>
  <c r="I47" i="3"/>
  <c r="I45" i="3"/>
  <c r="I43" i="3"/>
  <c r="I41" i="3"/>
  <c r="I39" i="3"/>
  <c r="I35" i="3"/>
  <c r="I33" i="3"/>
  <c r="W13" i="4"/>
  <c r="E67" i="3"/>
  <c r="Q55" i="3"/>
  <c r="AF53" i="3"/>
  <c r="H52" i="3"/>
  <c r="X50" i="3"/>
  <c r="AN48" i="3"/>
  <c r="P47" i="3"/>
  <c r="AF45" i="3"/>
  <c r="H44" i="3"/>
  <c r="X42" i="3"/>
  <c r="AN40" i="3"/>
  <c r="P39" i="3"/>
  <c r="M73" i="3"/>
  <c r="U60" i="3"/>
  <c r="O54" i="3"/>
  <c r="AE52" i="3"/>
  <c r="G51" i="3"/>
  <c r="W49" i="3"/>
  <c r="AM47" i="3"/>
  <c r="O46" i="3"/>
  <c r="AE44" i="3"/>
  <c r="G43" i="3"/>
  <c r="W41" i="3"/>
  <c r="AM39" i="3"/>
  <c r="O38" i="3"/>
  <c r="AE34" i="3"/>
  <c r="G33" i="3"/>
  <c r="W31" i="3"/>
  <c r="AC74" i="3"/>
  <c r="AK61" i="3"/>
  <c r="AD54" i="3"/>
  <c r="F53" i="3"/>
  <c r="V51" i="3"/>
  <c r="AL49" i="3"/>
  <c r="N48" i="3"/>
  <c r="AD46" i="3"/>
  <c r="F45" i="3"/>
  <c r="V43" i="3"/>
  <c r="AL41" i="3"/>
  <c r="N40" i="3"/>
  <c r="AD38" i="3"/>
  <c r="F35" i="3"/>
  <c r="V33" i="3"/>
  <c r="AL31" i="3"/>
  <c r="U66" i="3"/>
  <c r="E44" i="3"/>
  <c r="L34" i="3"/>
  <c r="R30" i="3"/>
  <c r="Q28" i="3"/>
  <c r="Q26" i="3"/>
  <c r="Q24" i="3"/>
  <c r="Q22" i="3"/>
  <c r="Q20" i="3"/>
  <c r="Q18" i="3"/>
  <c r="Q16" i="3"/>
  <c r="Q14" i="3"/>
  <c r="Q12" i="3"/>
  <c r="Q10" i="3"/>
  <c r="Q8" i="3"/>
  <c r="AK64" i="3"/>
  <c r="AK43" i="3"/>
  <c r="H34" i="3"/>
  <c r="Q30" i="3"/>
  <c r="AF28" i="3"/>
  <c r="H27" i="3"/>
  <c r="X25" i="3"/>
  <c r="AN23" i="3"/>
  <c r="P22" i="3"/>
  <c r="AF20" i="3"/>
  <c r="H19" i="3"/>
  <c r="X17" i="3"/>
  <c r="AN15" i="3"/>
  <c r="P14" i="3"/>
  <c r="AF12" i="3"/>
  <c r="H11" i="3"/>
  <c r="X9" i="3"/>
  <c r="AN7" i="3"/>
  <c r="J25" i="4"/>
  <c r="AE28" i="4"/>
  <c r="AN9" i="4"/>
  <c r="AB55" i="3"/>
  <c r="K64" i="3"/>
  <c r="AH71" i="3"/>
  <c r="O14" i="4"/>
  <c r="I72" i="3"/>
  <c r="I64" i="3"/>
  <c r="AE37" i="4"/>
  <c r="H74" i="3"/>
  <c r="AF67" i="3"/>
  <c r="P61" i="3"/>
  <c r="W15" i="4"/>
  <c r="AE73" i="3"/>
  <c r="O67" i="3"/>
  <c r="AM60" i="3"/>
  <c r="AE13" i="4"/>
  <c r="V73" i="3"/>
  <c r="F67" i="3"/>
  <c r="AD60" i="3"/>
  <c r="AL55" i="3"/>
  <c r="AJ54" i="3"/>
  <c r="L50" i="3"/>
  <c r="T46" i="3"/>
  <c r="D42" i="3"/>
  <c r="AK70" i="3"/>
  <c r="AA53" i="3"/>
  <c r="K49" i="3"/>
  <c r="AA44" i="3"/>
  <c r="AI40" i="3"/>
  <c r="S34" i="3"/>
  <c r="AM86" i="3"/>
  <c r="R54" i="3"/>
  <c r="AH48" i="3"/>
  <c r="J43" i="3"/>
  <c r="R38" i="3"/>
  <c r="AH30" i="3"/>
  <c r="E64" i="3"/>
  <c r="AG54" i="3"/>
  <c r="AG52" i="3"/>
  <c r="AG50" i="3"/>
  <c r="AG48" i="3"/>
  <c r="AG46" i="3"/>
  <c r="AG44" i="3"/>
  <c r="AG42" i="3"/>
  <c r="AG40" i="3"/>
  <c r="AG38" i="3"/>
  <c r="AG34" i="3"/>
  <c r="AG32" i="3"/>
  <c r="AJ84" i="3"/>
  <c r="U65" i="3"/>
  <c r="H55" i="3"/>
  <c r="X53" i="3"/>
  <c r="AN51" i="3"/>
  <c r="P50" i="3"/>
  <c r="AF48" i="3"/>
  <c r="H47" i="3"/>
  <c r="X45" i="3"/>
  <c r="AN43" i="3"/>
  <c r="P42" i="3"/>
  <c r="AF40" i="3"/>
  <c r="H39" i="3"/>
  <c r="AC71" i="3"/>
  <c r="AK58" i="3"/>
  <c r="G54" i="3"/>
  <c r="W52" i="3"/>
  <c r="AM50" i="3"/>
  <c r="O49" i="3"/>
  <c r="AE47" i="3"/>
  <c r="G46" i="3"/>
  <c r="W44" i="3"/>
  <c r="AM42" i="3"/>
  <c r="O41" i="3"/>
  <c r="AE39" i="3"/>
  <c r="G38" i="3"/>
  <c r="W34" i="3"/>
  <c r="AM32" i="3"/>
  <c r="O31" i="3"/>
  <c r="E73" i="3"/>
  <c r="M60" i="3"/>
  <c r="V54" i="3"/>
  <c r="AL52" i="3"/>
  <c r="N51" i="3"/>
  <c r="AD49" i="3"/>
  <c r="F48" i="3"/>
  <c r="V46" i="3"/>
  <c r="AL44" i="3"/>
  <c r="N43" i="3"/>
  <c r="AD41" i="3"/>
  <c r="F40" i="3"/>
  <c r="V38" i="3"/>
  <c r="AL34" i="3"/>
  <c r="N33" i="3"/>
  <c r="AD31" i="3"/>
  <c r="N55" i="3"/>
  <c r="U42" i="3"/>
  <c r="AC33" i="3"/>
  <c r="I30" i="3"/>
  <c r="I28" i="3"/>
  <c r="I26" i="3"/>
  <c r="I24" i="3"/>
  <c r="I22" i="3"/>
  <c r="I20" i="3"/>
  <c r="I18" i="3"/>
  <c r="I16" i="3"/>
  <c r="I14" i="3"/>
  <c r="I12" i="3"/>
  <c r="I10" i="3"/>
  <c r="I8" i="3"/>
  <c r="E55" i="3"/>
  <c r="M42" i="3"/>
  <c r="AB33" i="3"/>
  <c r="H30" i="3"/>
  <c r="X28" i="3"/>
  <c r="AN26" i="3"/>
  <c r="P25" i="3"/>
  <c r="AF23" i="3"/>
  <c r="H22" i="3"/>
  <c r="X20" i="3"/>
  <c r="AN18" i="3"/>
  <c r="P17" i="3"/>
  <c r="AF15" i="3"/>
  <c r="H14" i="3"/>
  <c r="X12" i="3"/>
  <c r="AN10" i="3"/>
  <c r="P9" i="3"/>
  <c r="AF7" i="3"/>
  <c r="AK13" i="4"/>
  <c r="Z7" i="4"/>
  <c r="P83" i="3"/>
  <c r="G84" i="3"/>
  <c r="C61" i="3"/>
  <c r="AH67" i="3"/>
  <c r="F85" i="3"/>
  <c r="Y70" i="3"/>
  <c r="Y62" i="3"/>
  <c r="AM10" i="4"/>
  <c r="AN72" i="3"/>
  <c r="X66" i="3"/>
  <c r="H60" i="3"/>
  <c r="AM88" i="3"/>
  <c r="W72" i="3"/>
  <c r="G66" i="3"/>
  <c r="AE59" i="3"/>
  <c r="G87" i="3"/>
  <c r="N72" i="3"/>
  <c r="AL65" i="3"/>
  <c r="V59" i="3"/>
  <c r="AD82" i="3"/>
  <c r="T54" i="3"/>
  <c r="D50" i="3"/>
  <c r="T45" i="3"/>
  <c r="AB41" i="3"/>
  <c r="M69" i="3"/>
  <c r="AA52" i="3"/>
  <c r="AI48" i="3"/>
  <c r="S44" i="3"/>
  <c r="AI39" i="3"/>
  <c r="C34" i="3"/>
  <c r="AB81" i="3"/>
  <c r="J53" i="3"/>
  <c r="R48" i="3"/>
  <c r="AH42" i="3"/>
  <c r="J35" i="3"/>
  <c r="G15" i="4"/>
  <c r="U62" i="3"/>
  <c r="Y54" i="3"/>
  <c r="Y52" i="3"/>
  <c r="Y50" i="3"/>
  <c r="Y48" i="3"/>
  <c r="Y46" i="3"/>
  <c r="Y44" i="3"/>
  <c r="Y42" i="3"/>
  <c r="Y40" i="3"/>
  <c r="Y38" i="3"/>
  <c r="Y34" i="3"/>
  <c r="Y32" i="3"/>
  <c r="W80" i="3"/>
  <c r="AK63" i="3"/>
  <c r="AN54" i="3"/>
  <c r="P53" i="3"/>
  <c r="AF51" i="3"/>
  <c r="H50" i="3"/>
  <c r="X48" i="3"/>
  <c r="AN46" i="3"/>
  <c r="P45" i="3"/>
  <c r="AF43" i="3"/>
  <c r="H42" i="3"/>
  <c r="X40" i="3"/>
  <c r="AN38" i="3"/>
  <c r="E70" i="3"/>
  <c r="M57" i="3"/>
  <c r="AM53" i="3"/>
  <c r="O52" i="3"/>
  <c r="AE50" i="3"/>
  <c r="G49" i="3"/>
  <c r="W47" i="3"/>
  <c r="AM45" i="3"/>
  <c r="O44" i="3"/>
  <c r="AE42" i="3"/>
  <c r="G41" i="3"/>
  <c r="W39" i="3"/>
  <c r="AM35" i="3"/>
  <c r="O34" i="3"/>
  <c r="AE32" i="3"/>
  <c r="G31" i="3"/>
  <c r="U71" i="3"/>
  <c r="AC58" i="3"/>
  <c r="N54" i="3"/>
  <c r="AD52" i="3"/>
  <c r="F51" i="3"/>
  <c r="V49" i="3"/>
  <c r="AL47" i="3"/>
  <c r="N46" i="3"/>
  <c r="AD44" i="3"/>
  <c r="F43" i="3"/>
  <c r="V41" i="3"/>
  <c r="AL39" i="3"/>
  <c r="N38" i="3"/>
  <c r="AD34" i="3"/>
  <c r="F33" i="3"/>
  <c r="V31" i="3"/>
  <c r="AC53" i="3"/>
  <c r="AK40" i="3"/>
  <c r="H33" i="3"/>
  <c r="AG29" i="3"/>
  <c r="AG27" i="3"/>
  <c r="AG25" i="3"/>
  <c r="AG23" i="3"/>
  <c r="AG21" i="3"/>
  <c r="AG19" i="3"/>
  <c r="AG17" i="3"/>
  <c r="AG15" i="3"/>
  <c r="AG13" i="3"/>
  <c r="AG11" i="3"/>
  <c r="AG9" i="3"/>
  <c r="AG7" i="3"/>
  <c r="U53" i="3"/>
  <c r="AC40" i="3"/>
  <c r="E33" i="3"/>
  <c r="AN29" i="3"/>
  <c r="P28" i="3"/>
  <c r="AF26" i="3"/>
  <c r="H25" i="3"/>
  <c r="X23" i="3"/>
  <c r="AN21" i="3"/>
  <c r="P20" i="3"/>
  <c r="AF18" i="3"/>
  <c r="H17" i="3"/>
  <c r="X15" i="3"/>
  <c r="AN13" i="3"/>
  <c r="P12" i="3"/>
  <c r="AF10" i="3"/>
  <c r="L17" i="4"/>
  <c r="Z86" i="3"/>
  <c r="H80" i="3"/>
  <c r="V81" i="3"/>
  <c r="AI59" i="3"/>
  <c r="Z66" i="3"/>
  <c r="D84" i="3"/>
  <c r="I70" i="3"/>
  <c r="I62" i="3"/>
  <c r="AE7" i="4"/>
  <c r="X72" i="3"/>
  <c r="H66" i="3"/>
  <c r="AF59" i="3"/>
  <c r="AE85" i="3"/>
  <c r="G72" i="3"/>
  <c r="AE65" i="3"/>
  <c r="O59" i="3"/>
  <c r="AL84" i="3"/>
  <c r="AL71" i="3"/>
  <c r="V65" i="3"/>
  <c r="F59" i="3"/>
  <c r="AL78" i="3"/>
  <c r="T53" i="3"/>
  <c r="AB49" i="3"/>
  <c r="L45" i="3"/>
  <c r="AB40" i="3"/>
  <c r="E66" i="3"/>
  <c r="S52" i="3"/>
  <c r="AI47" i="3"/>
  <c r="C44" i="3"/>
  <c r="AA39" i="3"/>
  <c r="C33" i="3"/>
  <c r="AK73" i="3"/>
  <c r="AH52" i="3"/>
  <c r="J47" i="3"/>
  <c r="R42" i="3"/>
  <c r="AH34" i="3"/>
  <c r="AC73" i="3"/>
  <c r="AK60" i="3"/>
  <c r="Q54" i="3"/>
  <c r="Q52" i="3"/>
  <c r="Q50" i="3"/>
  <c r="Q48" i="3"/>
  <c r="Q46" i="3"/>
  <c r="Q44" i="3"/>
  <c r="Q42" i="3"/>
  <c r="Q40" i="3"/>
  <c r="Q38" i="3"/>
  <c r="Q34" i="3"/>
  <c r="Q32" i="3"/>
  <c r="E78" i="3"/>
  <c r="M62" i="3"/>
  <c r="AF54" i="3"/>
  <c r="H53" i="3"/>
  <c r="X51" i="3"/>
  <c r="AN49" i="3"/>
  <c r="P48" i="3"/>
  <c r="AF46" i="3"/>
  <c r="H45" i="3"/>
  <c r="X43" i="3"/>
  <c r="AN41" i="3"/>
  <c r="P40" i="3"/>
  <c r="AF38" i="3"/>
  <c r="U68" i="3"/>
  <c r="P55" i="3"/>
  <c r="AE53" i="3"/>
  <c r="G52" i="3"/>
  <c r="W50" i="3"/>
  <c r="AM48" i="3"/>
  <c r="O47" i="3"/>
  <c r="AE45" i="3"/>
  <c r="G44" i="3"/>
  <c r="W42" i="3"/>
  <c r="AM40" i="3"/>
  <c r="O39" i="3"/>
  <c r="AE35" i="3"/>
  <c r="G34" i="3"/>
  <c r="W32" i="3"/>
  <c r="AM30" i="3"/>
  <c r="AK69" i="3"/>
  <c r="E57" i="3"/>
  <c r="F54" i="3"/>
  <c r="V52" i="3"/>
  <c r="AL50" i="3"/>
  <c r="N49" i="3"/>
  <c r="AD47" i="3"/>
  <c r="F46" i="3"/>
  <c r="V44" i="3"/>
  <c r="AL42" i="3"/>
  <c r="N41" i="3"/>
  <c r="AD39" i="3"/>
  <c r="F38" i="3"/>
  <c r="V34" i="3"/>
  <c r="AL32" i="3"/>
  <c r="N31" i="3"/>
  <c r="E52" i="3"/>
  <c r="M39" i="3"/>
  <c r="AB32" i="3"/>
  <c r="Y29" i="3"/>
  <c r="Y27" i="3"/>
  <c r="Y25" i="3"/>
  <c r="Y23" i="3"/>
  <c r="Y21" i="3"/>
  <c r="Y19" i="3"/>
  <c r="Y17" i="3"/>
  <c r="Y15" i="3"/>
  <c r="Y13" i="3"/>
  <c r="Y11" i="3"/>
  <c r="Y9" i="3"/>
  <c r="Y7" i="3"/>
  <c r="AK51" i="3"/>
  <c r="E39" i="3"/>
  <c r="X32" i="3"/>
  <c r="AF29" i="3"/>
  <c r="H28" i="3"/>
  <c r="X26" i="3"/>
  <c r="AN24" i="3"/>
  <c r="P23" i="3"/>
  <c r="AF21" i="3"/>
  <c r="H20" i="3"/>
  <c r="X18" i="3"/>
  <c r="AN16" i="3"/>
  <c r="P15" i="3"/>
  <c r="AF13" i="3"/>
  <c r="H12" i="3"/>
  <c r="X10" i="3"/>
  <c r="AJ86" i="3"/>
  <c r="AG17" i="4"/>
  <c r="L72" i="3"/>
  <c r="AI73" i="3"/>
  <c r="AA56" i="3"/>
  <c r="R63" i="3"/>
  <c r="N80" i="3"/>
  <c r="Y68" i="3"/>
  <c r="Y60" i="3"/>
  <c r="AM83" i="3"/>
  <c r="P71" i="3"/>
  <c r="AN64" i="3"/>
  <c r="X58" i="3"/>
  <c r="N82" i="3"/>
  <c r="AM70" i="3"/>
  <c r="W64" i="3"/>
  <c r="G58" i="3"/>
  <c r="AD81" i="3"/>
  <c r="AD70" i="3"/>
  <c r="N64" i="3"/>
  <c r="F58" i="3"/>
  <c r="AC72" i="3"/>
  <c r="L53" i="3"/>
  <c r="AB48" i="3"/>
  <c r="AJ44" i="3"/>
  <c r="T40" i="3"/>
  <c r="E58" i="3"/>
  <c r="C52" i="3"/>
  <c r="AA47" i="3"/>
  <c r="C43" i="3"/>
  <c r="K39" i="3"/>
  <c r="AI32" i="3"/>
  <c r="AK65" i="3"/>
  <c r="R52" i="3"/>
  <c r="AH46" i="3"/>
  <c r="J41" i="3"/>
  <c r="R34" i="3"/>
  <c r="E72" i="3"/>
  <c r="M59" i="3"/>
  <c r="I54" i="3"/>
  <c r="I52" i="3"/>
  <c r="I50" i="3"/>
  <c r="I48" i="3"/>
  <c r="I46" i="3"/>
  <c r="I44" i="3"/>
  <c r="I42" i="3"/>
  <c r="I40" i="3"/>
  <c r="I38" i="3"/>
  <c r="I34" i="3"/>
  <c r="I32" i="3"/>
  <c r="U73" i="3"/>
  <c r="AC60" i="3"/>
  <c r="X54" i="3"/>
  <c r="AN52" i="3"/>
  <c r="P51" i="3"/>
  <c r="AF49" i="3"/>
  <c r="H48" i="3"/>
  <c r="X46" i="3"/>
  <c r="AN44" i="3"/>
  <c r="P43" i="3"/>
  <c r="AF41" i="3"/>
  <c r="H40" i="3"/>
  <c r="AM11" i="4"/>
  <c r="AK66" i="3"/>
  <c r="G55" i="3"/>
  <c r="W53" i="3"/>
  <c r="AM51" i="3"/>
  <c r="O50" i="3"/>
  <c r="AE48" i="3"/>
  <c r="G47" i="3"/>
  <c r="W45" i="3"/>
  <c r="AM43" i="3"/>
  <c r="O42" i="3"/>
  <c r="AE40" i="3"/>
  <c r="G39" i="3"/>
  <c r="W35" i="3"/>
  <c r="AM33" i="3"/>
  <c r="O32" i="3"/>
  <c r="AE30" i="3"/>
  <c r="M68" i="3"/>
  <c r="AK55" i="3"/>
  <c r="AL53" i="3"/>
  <c r="N52" i="3"/>
  <c r="AD50" i="3"/>
  <c r="F49" i="3"/>
  <c r="V47" i="3"/>
  <c r="AL45" i="3"/>
  <c r="N44" i="3"/>
  <c r="AD42" i="3"/>
  <c r="F41" i="3"/>
  <c r="V39" i="3"/>
  <c r="AL35" i="3"/>
  <c r="N34" i="3"/>
  <c r="AD32" i="3"/>
  <c r="F31" i="3"/>
  <c r="U50" i="3"/>
  <c r="P38" i="3"/>
  <c r="E32" i="3"/>
  <c r="Q29" i="3"/>
  <c r="Q27" i="3"/>
  <c r="Q25" i="3"/>
  <c r="Q23" i="3"/>
  <c r="Q21" i="3"/>
  <c r="Q19" i="3"/>
  <c r="Q17" i="3"/>
  <c r="Q15" i="3"/>
  <c r="Q13" i="3"/>
  <c r="Q11" i="3"/>
  <c r="Q9" i="3"/>
  <c r="Q7" i="3"/>
  <c r="M50" i="3"/>
  <c r="M38" i="3"/>
  <c r="D32" i="3"/>
  <c r="X29" i="3"/>
  <c r="AN27" i="3"/>
  <c r="P26" i="3"/>
  <c r="AF24" i="3"/>
  <c r="H23" i="3"/>
  <c r="X21" i="3"/>
  <c r="AN19" i="3"/>
  <c r="P18" i="3"/>
  <c r="AF16" i="3"/>
  <c r="G32" i="4"/>
  <c r="AG13" i="4"/>
  <c r="D69" i="3"/>
  <c r="AA72" i="3"/>
  <c r="AA55" i="3"/>
  <c r="AH61" i="3"/>
  <c r="L79" i="3"/>
  <c r="I68" i="3"/>
  <c r="I60" i="3"/>
  <c r="AL82" i="3"/>
  <c r="AN70" i="3"/>
  <c r="X64" i="3"/>
  <c r="H58" i="3"/>
  <c r="L81" i="3"/>
  <c r="W70" i="3"/>
  <c r="G64" i="3"/>
  <c r="AE57" i="3"/>
  <c r="AB80" i="3"/>
  <c r="N70" i="3"/>
  <c r="AL63" i="3"/>
  <c r="AL57" i="3"/>
  <c r="AC64" i="3"/>
  <c r="AJ52" i="3"/>
  <c r="T48" i="3"/>
  <c r="AJ43" i="3"/>
  <c r="D40" i="3"/>
  <c r="U56" i="3"/>
  <c r="C51" i="3"/>
  <c r="K47" i="3"/>
  <c r="AI42" i="3"/>
  <c r="K38" i="3"/>
  <c r="S32" i="3"/>
  <c r="M64" i="3"/>
  <c r="J51" i="3"/>
  <c r="R46" i="3"/>
  <c r="AH40" i="3"/>
  <c r="J33" i="3"/>
  <c r="U70" i="3"/>
  <c r="AC57" i="3"/>
  <c r="AG53" i="3"/>
  <c r="AG51" i="3"/>
  <c r="AG49" i="3"/>
  <c r="AG47" i="3"/>
  <c r="AG45" i="3"/>
  <c r="AG43" i="3"/>
  <c r="AG41" i="3"/>
  <c r="AG39" i="3"/>
  <c r="AG35" i="3"/>
  <c r="AG33" i="3"/>
  <c r="AG31" i="3"/>
  <c r="AK71" i="3"/>
  <c r="E59" i="3"/>
  <c r="P54" i="3"/>
  <c r="AF52" i="3"/>
  <c r="H51" i="3"/>
  <c r="X49" i="3"/>
  <c r="AN47" i="3"/>
  <c r="P46" i="3"/>
  <c r="AF44" i="3"/>
  <c r="H43" i="3"/>
  <c r="X41" i="3"/>
  <c r="AN39" i="3"/>
  <c r="N84" i="3"/>
  <c r="M65" i="3"/>
  <c r="AM54" i="3"/>
  <c r="O53" i="3"/>
  <c r="AE51" i="3"/>
  <c r="G50" i="3"/>
  <c r="W48" i="3"/>
  <c r="AM46" i="3"/>
  <c r="O45" i="3"/>
  <c r="AE43" i="3"/>
  <c r="G42" i="3"/>
  <c r="W40" i="3"/>
  <c r="AM38" i="3"/>
  <c r="O35" i="3"/>
  <c r="AE33" i="3"/>
  <c r="G32" i="3"/>
  <c r="O10" i="4"/>
  <c r="AC66" i="3"/>
  <c r="O55" i="3"/>
  <c r="AD53" i="3"/>
  <c r="F52" i="3"/>
  <c r="V50" i="3"/>
  <c r="AL48" i="3"/>
  <c r="N47" i="3"/>
  <c r="AD45" i="3"/>
  <c r="F44" i="3"/>
  <c r="V42" i="3"/>
  <c r="AL40" i="3"/>
  <c r="N39" i="3"/>
  <c r="AD35" i="3"/>
  <c r="F34" i="3"/>
  <c r="V32" i="3"/>
  <c r="AL30" i="3"/>
  <c r="AK48" i="3"/>
  <c r="AJ35" i="3"/>
  <c r="X31" i="3"/>
  <c r="I29" i="3"/>
  <c r="I27" i="3"/>
  <c r="I25" i="3"/>
  <c r="I23" i="3"/>
  <c r="I21" i="3"/>
  <c r="I19" i="3"/>
  <c r="I17" i="3"/>
  <c r="I15" i="3"/>
  <c r="I13" i="3"/>
  <c r="I11" i="3"/>
  <c r="I9" i="3"/>
  <c r="I7" i="3"/>
  <c r="AC48" i="3"/>
  <c r="AF35" i="3"/>
  <c r="U31" i="3"/>
  <c r="P29" i="3"/>
  <c r="AF27" i="3"/>
  <c r="H26" i="3"/>
  <c r="X24" i="3"/>
  <c r="AN22" i="3"/>
  <c r="P21" i="3"/>
  <c r="AF19" i="3"/>
  <c r="H18" i="3"/>
  <c r="X16" i="3"/>
  <c r="AN14" i="3"/>
  <c r="P13" i="3"/>
  <c r="AF11" i="3"/>
  <c r="H10" i="3"/>
  <c r="X8" i="3"/>
  <c r="K10" i="4"/>
  <c r="F84" i="3"/>
  <c r="Y58" i="3"/>
  <c r="AN56" i="3"/>
  <c r="W56" i="3"/>
  <c r="V57" i="3"/>
  <c r="AB43" i="3"/>
  <c r="K46" i="3"/>
  <c r="E61" i="3"/>
  <c r="AH32" i="3"/>
  <c r="Y51" i="3"/>
  <c r="Y43" i="3"/>
  <c r="Y33" i="3"/>
  <c r="H54" i="3"/>
  <c r="AF47" i="3"/>
  <c r="P41" i="3"/>
  <c r="AE54" i="3"/>
  <c r="O48" i="3"/>
  <c r="AM41" i="3"/>
  <c r="W33" i="3"/>
  <c r="F55" i="3"/>
  <c r="AD48" i="3"/>
  <c r="N42" i="3"/>
  <c r="AL33" i="3"/>
  <c r="M35" i="3"/>
  <c r="AG24" i="3"/>
  <c r="AG16" i="3"/>
  <c r="AG8" i="3"/>
  <c r="D31" i="3"/>
  <c r="P24" i="3"/>
  <c r="AN17" i="3"/>
  <c r="H13" i="3"/>
  <c r="H9" i="3"/>
  <c r="G79" i="3"/>
  <c r="M45" i="3"/>
  <c r="AB34" i="3"/>
  <c r="P30" i="3"/>
  <c r="AE28" i="3"/>
  <c r="G27" i="3"/>
  <c r="W25" i="3"/>
  <c r="AM23" i="3"/>
  <c r="O22" i="3"/>
  <c r="AE20" i="3"/>
  <c r="G19" i="3"/>
  <c r="W17" i="3"/>
  <c r="AM15" i="3"/>
  <c r="O14" i="3"/>
  <c r="AE12" i="3"/>
  <c r="G11" i="3"/>
  <c r="W9" i="3"/>
  <c r="AM7" i="3"/>
  <c r="AC54" i="3"/>
  <c r="AK41" i="3"/>
  <c r="U33" i="3"/>
  <c r="F30" i="3"/>
  <c r="V28" i="3"/>
  <c r="AL26" i="3"/>
  <c r="N25" i="3"/>
  <c r="AD23" i="3"/>
  <c r="F22" i="3"/>
  <c r="V20" i="3"/>
  <c r="AL18" i="3"/>
  <c r="N17" i="3"/>
  <c r="AD15" i="3"/>
  <c r="F14" i="3"/>
  <c r="V12" i="3"/>
  <c r="AL10" i="3"/>
  <c r="N9" i="3"/>
  <c r="AD7" i="3"/>
  <c r="M51" i="3"/>
  <c r="AB38" i="3"/>
  <c r="P32" i="3"/>
  <c r="AC29" i="3"/>
  <c r="E28" i="3"/>
  <c r="U26" i="3"/>
  <c r="AK24" i="3"/>
  <c r="M23" i="3"/>
  <c r="AC21" i="3"/>
  <c r="E20" i="3"/>
  <c r="U18" i="3"/>
  <c r="AK16" i="3"/>
  <c r="M15" i="3"/>
  <c r="AC13" i="3"/>
  <c r="E12" i="3"/>
  <c r="U10" i="3"/>
  <c r="AK8" i="3"/>
  <c r="M7" i="3"/>
  <c r="AK47" i="3"/>
  <c r="U35" i="3"/>
  <c r="L31" i="3"/>
  <c r="L29" i="3"/>
  <c r="AB27" i="3"/>
  <c r="D26" i="3"/>
  <c r="T24" i="3"/>
  <c r="AJ22" i="3"/>
  <c r="L21" i="3"/>
  <c r="AB19" i="3"/>
  <c r="D18" i="3"/>
  <c r="T16" i="3"/>
  <c r="AJ14" i="3"/>
  <c r="L13" i="3"/>
  <c r="AB11" i="3"/>
  <c r="D10" i="3"/>
  <c r="T8" i="3"/>
  <c r="AK56" i="3"/>
  <c r="AK42" i="3"/>
  <c r="AJ33" i="3"/>
  <c r="L30" i="3"/>
  <c r="AA28" i="3"/>
  <c r="C27" i="3"/>
  <c r="S25" i="3"/>
  <c r="AI23" i="3"/>
  <c r="K22" i="3"/>
  <c r="AA20" i="3"/>
  <c r="C19" i="3"/>
  <c r="S17" i="3"/>
  <c r="AI15" i="3"/>
  <c r="K14" i="3"/>
  <c r="AA12" i="3"/>
  <c r="C11" i="3"/>
  <c r="C7" i="4"/>
  <c r="T81" i="3"/>
  <c r="I58" i="3"/>
  <c r="X56" i="3"/>
  <c r="G56" i="3"/>
  <c r="V56" i="3"/>
  <c r="L43" i="3"/>
  <c r="C46" i="3"/>
  <c r="K55" i="3"/>
  <c r="R32" i="3"/>
  <c r="Q51" i="3"/>
  <c r="Q43" i="3"/>
  <c r="Q33" i="3"/>
  <c r="AN53" i="3"/>
  <c r="X47" i="3"/>
  <c r="H41" i="3"/>
  <c r="W54" i="3"/>
  <c r="G48" i="3"/>
  <c r="AE41" i="3"/>
  <c r="O33" i="3"/>
  <c r="AL54" i="3"/>
  <c r="V48" i="3"/>
  <c r="F42" i="3"/>
  <c r="AD33" i="3"/>
  <c r="AF34" i="3"/>
  <c r="Y24" i="3"/>
  <c r="Y16" i="3"/>
  <c r="Y8" i="3"/>
  <c r="AB30" i="3"/>
  <c r="H24" i="3"/>
  <c r="AF17" i="3"/>
  <c r="AN12" i="3"/>
  <c r="AN8" i="3"/>
  <c r="M63" i="3"/>
  <c r="AC43" i="3"/>
  <c r="E34" i="3"/>
  <c r="G30" i="3"/>
  <c r="W28" i="3"/>
  <c r="AM26" i="3"/>
  <c r="O25" i="3"/>
  <c r="AE23" i="3"/>
  <c r="G22" i="3"/>
  <c r="W20" i="3"/>
  <c r="AM18" i="3"/>
  <c r="O17" i="3"/>
  <c r="AE15" i="3"/>
  <c r="G14" i="3"/>
  <c r="W12" i="3"/>
  <c r="AM10" i="3"/>
  <c r="O9" i="3"/>
  <c r="AE7" i="3"/>
  <c r="E53" i="3"/>
  <c r="M40" i="3"/>
  <c r="AN32" i="3"/>
  <c r="AL29" i="3"/>
  <c r="N28" i="3"/>
  <c r="AD26" i="3"/>
  <c r="F25" i="3"/>
  <c r="V23" i="3"/>
  <c r="AL21" i="3"/>
  <c r="N20" i="3"/>
  <c r="AD18" i="3"/>
  <c r="F17" i="3"/>
  <c r="V15" i="3"/>
  <c r="AL13" i="3"/>
  <c r="N12" i="3"/>
  <c r="AD10" i="3"/>
  <c r="F9" i="3"/>
  <c r="V7" i="3"/>
  <c r="AC49" i="3"/>
  <c r="E38" i="3"/>
  <c r="AJ31" i="3"/>
  <c r="U29" i="3"/>
  <c r="AK27" i="3"/>
  <c r="M26" i="3"/>
  <c r="AC24" i="3"/>
  <c r="AG84" i="3"/>
  <c r="R59" i="3"/>
  <c r="AD79" i="3"/>
  <c r="AE78" i="3"/>
  <c r="V78" i="3"/>
  <c r="E63" i="3"/>
  <c r="D39" i="3"/>
  <c r="S42" i="3"/>
  <c r="AH50" i="3"/>
  <c r="AK68" i="3"/>
  <c r="Y49" i="3"/>
  <c r="Y41" i="3"/>
  <c r="Y31" i="3"/>
  <c r="X52" i="3"/>
  <c r="H46" i="3"/>
  <c r="AF39" i="3"/>
  <c r="G53" i="3"/>
  <c r="AE46" i="3"/>
  <c r="O40" i="3"/>
  <c r="AM31" i="3"/>
  <c r="V53" i="3"/>
  <c r="F47" i="3"/>
  <c r="AD40" i="3"/>
  <c r="N32" i="3"/>
  <c r="E31" i="3"/>
  <c r="AG22" i="3"/>
  <c r="AG14" i="3"/>
  <c r="AG73" i="2"/>
  <c r="H29" i="3"/>
  <c r="AF22" i="3"/>
  <c r="P16" i="3"/>
  <c r="AN11" i="3"/>
  <c r="AF8" i="3"/>
  <c r="AK54" i="3"/>
  <c r="E42" i="3"/>
  <c r="X33" i="3"/>
  <c r="AM29" i="3"/>
  <c r="O28" i="3"/>
  <c r="AE26" i="3"/>
  <c r="G25" i="3"/>
  <c r="W23" i="3"/>
  <c r="AM21" i="3"/>
  <c r="O20" i="3"/>
  <c r="AE18" i="3"/>
  <c r="G17" i="3"/>
  <c r="W15" i="3"/>
  <c r="AM13" i="3"/>
  <c r="O12" i="3"/>
  <c r="AE10" i="3"/>
  <c r="G9" i="3"/>
  <c r="W7" i="3"/>
  <c r="U51" i="3"/>
  <c r="AC38" i="3"/>
  <c r="T32" i="3"/>
  <c r="AD29" i="3"/>
  <c r="F28" i="3"/>
  <c r="V26" i="3"/>
  <c r="AL24" i="3"/>
  <c r="N23" i="3"/>
  <c r="AD21" i="3"/>
  <c r="F20" i="3"/>
  <c r="V18" i="3"/>
  <c r="AL16" i="3"/>
  <c r="N15" i="3"/>
  <c r="AD13" i="3"/>
  <c r="F12" i="3"/>
  <c r="V10" i="3"/>
  <c r="AL8" i="3"/>
  <c r="N7" i="3"/>
  <c r="E48" i="3"/>
  <c r="X35" i="3"/>
  <c r="M31" i="3"/>
  <c r="M29" i="3"/>
  <c r="AC27" i="3"/>
  <c r="E26" i="3"/>
  <c r="U24" i="3"/>
  <c r="AK22" i="3"/>
  <c r="M21" i="3"/>
  <c r="AC19" i="3"/>
  <c r="E18" i="3"/>
  <c r="U16" i="3"/>
  <c r="AK14" i="3"/>
  <c r="M13" i="3"/>
  <c r="AC11" i="3"/>
  <c r="E10" i="3"/>
  <c r="U8" i="3"/>
  <c r="M71" i="3"/>
  <c r="AC44" i="3"/>
  <c r="T34" i="3"/>
  <c r="V30" i="3"/>
  <c r="AJ28" i="3"/>
  <c r="L27" i="3"/>
  <c r="AB25" i="3"/>
  <c r="D24" i="3"/>
  <c r="T22" i="3"/>
  <c r="AJ20" i="3"/>
  <c r="L19" i="3"/>
  <c r="AB17" i="3"/>
  <c r="D16" i="3"/>
  <c r="T14" i="3"/>
  <c r="AJ12" i="3"/>
  <c r="L11" i="3"/>
  <c r="AB9" i="3"/>
  <c r="D8" i="3"/>
  <c r="U52" i="3"/>
  <c r="AC39" i="3"/>
  <c r="AF32" i="3"/>
  <c r="AI29" i="3"/>
  <c r="K28" i="3"/>
  <c r="AA26" i="3"/>
  <c r="C25" i="3"/>
  <c r="S23" i="3"/>
  <c r="AI21" i="3"/>
  <c r="K20" i="3"/>
  <c r="AA18" i="3"/>
  <c r="C17" i="3"/>
  <c r="S15" i="3"/>
  <c r="AI13" i="3"/>
  <c r="K12" i="3"/>
  <c r="AA10" i="3"/>
  <c r="C9" i="3"/>
  <c r="S7" i="3"/>
  <c r="AC50" i="3"/>
  <c r="AG80" i="3"/>
  <c r="AH57" i="3"/>
  <c r="AF78" i="3"/>
  <c r="O78" i="3"/>
  <c r="F78" i="3"/>
  <c r="AK59" i="3"/>
  <c r="AJ38" i="3"/>
  <c r="S41" i="3"/>
  <c r="R50" i="3"/>
  <c r="M67" i="3"/>
  <c r="Q49" i="3"/>
  <c r="Q41" i="3"/>
  <c r="Q31" i="3"/>
  <c r="P52" i="3"/>
  <c r="AN45" i="3"/>
  <c r="X39" i="3"/>
  <c r="AM52" i="3"/>
  <c r="W46" i="3"/>
  <c r="G40" i="3"/>
  <c r="AE31" i="3"/>
  <c r="N53" i="3"/>
  <c r="AL46" i="3"/>
  <c r="V40" i="3"/>
  <c r="F32" i="3"/>
  <c r="AC30" i="3"/>
  <c r="Y22" i="3"/>
  <c r="Y14" i="3"/>
  <c r="L83" i="3"/>
  <c r="AN28" i="3"/>
  <c r="X22" i="3"/>
  <c r="H16" i="3"/>
  <c r="X11" i="3"/>
  <c r="P8" i="3"/>
  <c r="M53" i="3"/>
  <c r="U40" i="3"/>
  <c r="D33" i="3"/>
  <c r="AE29" i="3"/>
  <c r="G28" i="3"/>
  <c r="W26" i="3"/>
  <c r="AM24" i="3"/>
  <c r="O23" i="3"/>
  <c r="AE21" i="3"/>
  <c r="G20" i="3"/>
  <c r="W18" i="3"/>
  <c r="AM16" i="3"/>
  <c r="O15" i="3"/>
  <c r="AE13" i="3"/>
  <c r="G12" i="3"/>
  <c r="W10" i="3"/>
  <c r="AM8" i="3"/>
  <c r="O7" i="3"/>
  <c r="AK49" i="3"/>
  <c r="H38" i="3"/>
  <c r="AK31" i="3"/>
  <c r="V29" i="3"/>
  <c r="AL27" i="3"/>
  <c r="N26" i="3"/>
  <c r="AD24" i="3"/>
  <c r="F23" i="3"/>
  <c r="V21" i="3"/>
  <c r="AL19" i="3"/>
  <c r="N18" i="3"/>
  <c r="AD16" i="3"/>
  <c r="F15" i="3"/>
  <c r="V13" i="3"/>
  <c r="AL11" i="3"/>
  <c r="N10" i="3"/>
  <c r="AD8" i="3"/>
  <c r="F7" i="3"/>
  <c r="U46" i="3"/>
  <c r="D35" i="3"/>
  <c r="AK30" i="3"/>
  <c r="E29" i="3"/>
  <c r="U27" i="3"/>
  <c r="AK25" i="3"/>
  <c r="M24" i="3"/>
  <c r="AC22" i="3"/>
  <c r="E21" i="3"/>
  <c r="U19" i="3"/>
  <c r="AK17" i="3"/>
  <c r="M16" i="3"/>
  <c r="AC14" i="3"/>
  <c r="E13" i="3"/>
  <c r="U11" i="3"/>
  <c r="AK9" i="3"/>
  <c r="M8" i="3"/>
  <c r="U58" i="3"/>
  <c r="E43" i="3"/>
  <c r="AK33" i="3"/>
  <c r="M30" i="3"/>
  <c r="AB28" i="3"/>
  <c r="D27" i="3"/>
  <c r="T25" i="3"/>
  <c r="AJ23" i="3"/>
  <c r="L22" i="3"/>
  <c r="AB20" i="3"/>
  <c r="D19" i="3"/>
  <c r="T17" i="3"/>
  <c r="AJ15" i="3"/>
  <c r="L14" i="3"/>
  <c r="AB12" i="3"/>
  <c r="D11" i="3"/>
  <c r="T9" i="3"/>
  <c r="AJ7" i="3"/>
  <c r="AK50" i="3"/>
  <c r="U38" i="3"/>
  <c r="L32" i="3"/>
  <c r="AA29" i="3"/>
  <c r="C28" i="3"/>
  <c r="S26" i="3"/>
  <c r="AI24" i="3"/>
  <c r="K23" i="3"/>
  <c r="AA21" i="3"/>
  <c r="C20" i="3"/>
  <c r="S18" i="3"/>
  <c r="AI16" i="3"/>
  <c r="K15" i="3"/>
  <c r="AA13" i="3"/>
  <c r="C12" i="3"/>
  <c r="S10" i="3"/>
  <c r="AI8" i="3"/>
  <c r="K7" i="3"/>
  <c r="E49" i="3"/>
  <c r="AK35" i="3"/>
  <c r="AB31" i="3"/>
  <c r="J29" i="3"/>
  <c r="J27" i="3"/>
  <c r="J25" i="3"/>
  <c r="J23" i="3"/>
  <c r="J21" i="3"/>
  <c r="J19" i="3"/>
  <c r="J17" i="3"/>
  <c r="J15" i="3"/>
  <c r="D61" i="3"/>
  <c r="Y74" i="3"/>
  <c r="AF69" i="3"/>
  <c r="O69" i="3"/>
  <c r="F69" i="3"/>
  <c r="AJ51" i="3"/>
  <c r="L55" i="3"/>
  <c r="C38" i="3"/>
  <c r="J45" i="3"/>
  <c r="I56" i="3"/>
  <c r="Y47" i="3"/>
  <c r="Y39" i="3"/>
  <c r="M70" i="3"/>
  <c r="AN50" i="3"/>
  <c r="X44" i="3"/>
  <c r="D80" i="3"/>
  <c r="W51" i="3"/>
  <c r="G45" i="3"/>
  <c r="AE38" i="3"/>
  <c r="AE83" i="3"/>
  <c r="AL51" i="3"/>
  <c r="V45" i="3"/>
  <c r="F39" i="3"/>
  <c r="AD30" i="3"/>
  <c r="AG28" i="3"/>
  <c r="AG20" i="3"/>
  <c r="AG12" i="3"/>
  <c r="E47" i="3"/>
  <c r="X27" i="3"/>
  <c r="H21" i="3"/>
  <c r="H15" i="3"/>
  <c r="P11" i="3"/>
  <c r="H8" i="3"/>
  <c r="AC51" i="3"/>
  <c r="AK38" i="3"/>
  <c r="U32" i="3"/>
  <c r="W29" i="3"/>
  <c r="AM27" i="3"/>
  <c r="O26" i="3"/>
  <c r="AE24" i="3"/>
  <c r="G23" i="3"/>
  <c r="W21" i="3"/>
  <c r="AM19" i="3"/>
  <c r="O18" i="3"/>
  <c r="AE16" i="3"/>
  <c r="G15" i="3"/>
  <c r="W13" i="3"/>
  <c r="AM11" i="3"/>
  <c r="O10" i="3"/>
  <c r="AE8" i="3"/>
  <c r="G7" i="3"/>
  <c r="M48" i="3"/>
  <c r="AB35" i="3"/>
  <c r="P31" i="3"/>
  <c r="N29" i="3"/>
  <c r="AD27" i="3"/>
  <c r="F26" i="3"/>
  <c r="V24" i="3"/>
  <c r="AL22" i="3"/>
  <c r="N21" i="3"/>
  <c r="AD19" i="3"/>
  <c r="F18" i="3"/>
  <c r="V16" i="3"/>
  <c r="AL14" i="3"/>
  <c r="N13" i="3"/>
  <c r="AD11" i="3"/>
  <c r="F10" i="3"/>
  <c r="V8" i="3"/>
  <c r="AK72" i="3"/>
  <c r="AK44" i="3"/>
  <c r="U34" i="3"/>
  <c r="W30" i="3"/>
  <c r="AK28" i="3"/>
  <c r="M27" i="3"/>
  <c r="AC25" i="3"/>
  <c r="E24" i="3"/>
  <c r="U22" i="3"/>
  <c r="AK20" i="3"/>
  <c r="M19" i="3"/>
  <c r="AC17" i="3"/>
  <c r="E16" i="3"/>
  <c r="U14" i="3"/>
  <c r="AK12" i="3"/>
  <c r="M11" i="3"/>
  <c r="AC9" i="3"/>
  <c r="E8" i="3"/>
  <c r="M54" i="3"/>
  <c r="U41" i="3"/>
  <c r="P33" i="3"/>
  <c r="D30" i="3"/>
  <c r="T28" i="3"/>
  <c r="AJ26" i="3"/>
  <c r="L25" i="3"/>
  <c r="AB23" i="3"/>
  <c r="D22" i="3"/>
  <c r="T20" i="3"/>
  <c r="AJ18" i="3"/>
  <c r="L17" i="3"/>
  <c r="AB15" i="3"/>
  <c r="D14" i="3"/>
  <c r="T12" i="3"/>
  <c r="AJ10" i="3"/>
  <c r="L9" i="3"/>
  <c r="AB7" i="3"/>
  <c r="M49" i="3"/>
  <c r="AN35" i="3"/>
  <c r="AC31" i="3"/>
  <c r="S29" i="3"/>
  <c r="AI27" i="3"/>
  <c r="K26" i="3"/>
  <c r="AA24" i="3"/>
  <c r="C23" i="3"/>
  <c r="S21" i="3"/>
  <c r="AI19" i="3"/>
  <c r="K18" i="3"/>
  <c r="AA16" i="3"/>
  <c r="C15" i="3"/>
  <c r="S13" i="3"/>
  <c r="AI11" i="3"/>
  <c r="K10" i="3"/>
  <c r="AA8" i="3"/>
  <c r="C7" i="3"/>
  <c r="U47" i="3"/>
  <c r="P35" i="3"/>
  <c r="H31" i="3"/>
  <c r="AH28" i="3"/>
  <c r="AH26" i="3"/>
  <c r="AJ59" i="3"/>
  <c r="I74" i="3"/>
  <c r="P69" i="3"/>
  <c r="AM68" i="3"/>
  <c r="AD68" i="3"/>
  <c r="AB51" i="3"/>
  <c r="K54" i="3"/>
  <c r="AA35" i="3"/>
  <c r="AH44" i="3"/>
  <c r="U55" i="3"/>
  <c r="Q47" i="3"/>
  <c r="Q39" i="3"/>
  <c r="AC68" i="3"/>
  <c r="AF50" i="3"/>
  <c r="P44" i="3"/>
  <c r="AK74" i="3"/>
  <c r="O51" i="3"/>
  <c r="AM44" i="3"/>
  <c r="W38" i="3"/>
  <c r="V79" i="3"/>
  <c r="AD51" i="3"/>
  <c r="N45" i="3"/>
  <c r="AL38" i="3"/>
  <c r="AE8" i="4"/>
  <c r="Y28" i="3"/>
  <c r="Y20" i="3"/>
  <c r="Y12" i="3"/>
  <c r="U45" i="3"/>
  <c r="P27" i="3"/>
  <c r="AN20" i="3"/>
  <c r="AF14" i="3"/>
  <c r="P10" i="3"/>
  <c r="X7" i="3"/>
  <c r="E50" i="3"/>
  <c r="L38" i="3"/>
  <c r="AN31" i="3"/>
  <c r="O29" i="3"/>
  <c r="AE27" i="3"/>
  <c r="G26" i="3"/>
  <c r="W24" i="3"/>
  <c r="AM22" i="3"/>
  <c r="O21" i="3"/>
  <c r="AE19" i="3"/>
  <c r="G18" i="3"/>
  <c r="W16" i="3"/>
  <c r="AM14" i="3"/>
  <c r="O13" i="3"/>
  <c r="AE11" i="3"/>
  <c r="G10" i="3"/>
  <c r="W8" i="3"/>
  <c r="AM73" i="2"/>
  <c r="AC46" i="3"/>
  <c r="E35" i="3"/>
  <c r="AN30" i="3"/>
  <c r="F29" i="3"/>
  <c r="V27" i="3"/>
  <c r="AL25" i="3"/>
  <c r="N24" i="3"/>
  <c r="AD22" i="3"/>
  <c r="F21" i="3"/>
  <c r="V19" i="3"/>
  <c r="AL17" i="3"/>
  <c r="N16" i="3"/>
  <c r="AD14" i="3"/>
  <c r="F13" i="3"/>
  <c r="V11" i="3"/>
  <c r="AL9" i="3"/>
  <c r="N8" i="3"/>
  <c r="E60" i="3"/>
  <c r="M43" i="3"/>
  <c r="AN33" i="3"/>
  <c r="N30" i="3"/>
  <c r="AC28" i="3"/>
  <c r="E27" i="3"/>
  <c r="U25" i="3"/>
  <c r="AK23" i="3"/>
  <c r="M22" i="3"/>
  <c r="AC20" i="3"/>
  <c r="E19" i="3"/>
  <c r="U17" i="3"/>
  <c r="AK15" i="3"/>
  <c r="M14" i="3"/>
  <c r="AC12" i="3"/>
  <c r="E11" i="3"/>
  <c r="U9" i="3"/>
  <c r="AK7" i="3"/>
  <c r="AC52" i="3"/>
  <c r="AK39" i="3"/>
  <c r="AJ32" i="3"/>
  <c r="AJ29" i="3"/>
  <c r="L28" i="3"/>
  <c r="AB26" i="3"/>
  <c r="D25" i="3"/>
  <c r="T23" i="3"/>
  <c r="AJ21" i="3"/>
  <c r="L20" i="3"/>
  <c r="AB18" i="3"/>
  <c r="D17" i="3"/>
  <c r="T15" i="3"/>
  <c r="AJ13" i="3"/>
  <c r="L12" i="3"/>
  <c r="AB10" i="3"/>
  <c r="D9" i="3"/>
  <c r="T7" i="3"/>
  <c r="AC47" i="3"/>
  <c r="T35" i="3"/>
  <c r="I31" i="3"/>
  <c r="K29" i="3"/>
  <c r="AA27" i="3"/>
  <c r="C26" i="3"/>
  <c r="S24" i="3"/>
  <c r="AI22" i="3"/>
  <c r="K21" i="3"/>
  <c r="AA19" i="3"/>
  <c r="C18" i="3"/>
  <c r="S16" i="3"/>
  <c r="AI14" i="3"/>
  <c r="K13" i="3"/>
  <c r="AA11" i="3"/>
  <c r="C10" i="3"/>
  <c r="S8" i="3"/>
  <c r="AI73" i="2"/>
  <c r="AK45" i="3"/>
  <c r="AJ34" i="3"/>
  <c r="AF30" i="3"/>
  <c r="Z28" i="3"/>
  <c r="Z26" i="3"/>
  <c r="S69" i="3"/>
  <c r="Y66" i="3"/>
  <c r="P63" i="3"/>
  <c r="AM62" i="3"/>
  <c r="AD62" i="3"/>
  <c r="D48" i="3"/>
  <c r="AI50" i="3"/>
  <c r="S31" i="3"/>
  <c r="R40" i="3"/>
  <c r="Y53" i="3"/>
  <c r="Y45" i="3"/>
  <c r="Y35" i="3"/>
  <c r="U57" i="3"/>
  <c r="P49" i="3"/>
  <c r="AN42" i="3"/>
  <c r="AC63" i="3"/>
  <c r="AM49" i="3"/>
  <c r="W43" i="3"/>
  <c r="G35" i="3"/>
  <c r="E65" i="3"/>
  <c r="N50" i="3"/>
  <c r="S68" i="3"/>
  <c r="J39" i="3"/>
  <c r="AE49" i="3"/>
  <c r="N35" i="3"/>
  <c r="Y10" i="3"/>
  <c r="X13" i="3"/>
  <c r="H35" i="3"/>
  <c r="AE25" i="3"/>
  <c r="O19" i="3"/>
  <c r="AM12" i="3"/>
  <c r="AC61" i="3"/>
  <c r="AD28" i="3"/>
  <c r="N22" i="3"/>
  <c r="AL15" i="3"/>
  <c r="V9" i="3"/>
  <c r="AK32" i="3"/>
  <c r="E25" i="3"/>
  <c r="M20" i="3"/>
  <c r="AC15" i="3"/>
  <c r="AK11" i="3"/>
  <c r="U7" i="3"/>
  <c r="M32" i="3"/>
  <c r="T27" i="3"/>
  <c r="D23" i="3"/>
  <c r="T18" i="3"/>
  <c r="AB14" i="3"/>
  <c r="L10" i="3"/>
  <c r="E46" i="3"/>
  <c r="C30" i="3"/>
  <c r="AA25" i="3"/>
  <c r="C21" i="3"/>
  <c r="K17" i="3"/>
  <c r="AI12" i="3"/>
  <c r="K9" i="3"/>
  <c r="M52" i="3"/>
  <c r="L33" i="3"/>
  <c r="R28" i="3"/>
  <c r="Z25" i="3"/>
  <c r="R23" i="3"/>
  <c r="AH20" i="3"/>
  <c r="Z18" i="3"/>
  <c r="R16" i="3"/>
  <c r="J14" i="3"/>
  <c r="J12" i="3"/>
  <c r="J10" i="3"/>
  <c r="AI72" i="2"/>
  <c r="I71" i="2"/>
  <c r="U69" i="2"/>
  <c r="AG67" i="2"/>
  <c r="G66" i="2"/>
  <c r="S64" i="2"/>
  <c r="AE62" i="2"/>
  <c r="E61" i="2"/>
  <c r="Q56" i="2"/>
  <c r="AC54" i="2"/>
  <c r="C52" i="2"/>
  <c r="O50" i="2"/>
  <c r="AA47" i="2"/>
  <c r="AM45" i="2"/>
  <c r="M43" i="2"/>
  <c r="Y41" i="2"/>
  <c r="AK39" i="2"/>
  <c r="K38" i="2"/>
  <c r="W36" i="2"/>
  <c r="AI34" i="2"/>
  <c r="I33" i="2"/>
  <c r="U31" i="2"/>
  <c r="AG29" i="2"/>
  <c r="G28" i="2"/>
  <c r="S26" i="2"/>
  <c r="AE24" i="2"/>
  <c r="E23" i="2"/>
  <c r="Q21" i="2"/>
  <c r="AC19" i="2"/>
  <c r="C18" i="2"/>
  <c r="O16" i="2"/>
  <c r="L73" i="2"/>
  <c r="X71" i="2"/>
  <c r="AJ69" i="2"/>
  <c r="J68" i="2"/>
  <c r="V66" i="2"/>
  <c r="AH64" i="2"/>
  <c r="H63" i="2"/>
  <c r="T61" i="2"/>
  <c r="AF56" i="2"/>
  <c r="F55" i="2"/>
  <c r="R52" i="2"/>
  <c r="AD50" i="2"/>
  <c r="D49" i="2"/>
  <c r="P46" i="2"/>
  <c r="AB43" i="2"/>
  <c r="AN41" i="2"/>
  <c r="N40" i="2"/>
  <c r="Z38" i="2"/>
  <c r="AL36" i="2"/>
  <c r="L35" i="2"/>
  <c r="X33" i="2"/>
  <c r="AJ31" i="2"/>
  <c r="J30" i="2"/>
  <c r="V28" i="2"/>
  <c r="AH26" i="2"/>
  <c r="H25" i="2"/>
  <c r="T23" i="2"/>
  <c r="AF21" i="2"/>
  <c r="F20" i="2"/>
  <c r="R18" i="2"/>
  <c r="AD16" i="2"/>
  <c r="D15" i="2"/>
  <c r="C73" i="2"/>
  <c r="O71" i="2"/>
  <c r="AA69" i="2"/>
  <c r="AM67" i="2"/>
  <c r="M66" i="2"/>
  <c r="Y64" i="2"/>
  <c r="AK62" i="2"/>
  <c r="K61" i="2"/>
  <c r="W56" i="2"/>
  <c r="AI54" i="2"/>
  <c r="I52" i="2"/>
  <c r="U50" i="2"/>
  <c r="AG47" i="2"/>
  <c r="G46" i="2"/>
  <c r="S43" i="2"/>
  <c r="AE41" i="2"/>
  <c r="E40" i="2"/>
  <c r="Q38" i="2"/>
  <c r="AC36" i="2"/>
  <c r="C35" i="2"/>
  <c r="I66" i="3"/>
  <c r="Q53" i="3"/>
  <c r="O43" i="3"/>
  <c r="M47" i="3"/>
  <c r="L35" i="3"/>
  <c r="AN9" i="3"/>
  <c r="T31" i="3"/>
  <c r="O24" i="3"/>
  <c r="AM17" i="3"/>
  <c r="W11" i="3"/>
  <c r="E45" i="3"/>
  <c r="N27" i="3"/>
  <c r="AL20" i="3"/>
  <c r="V14" i="3"/>
  <c r="F8" i="3"/>
  <c r="E30" i="3"/>
  <c r="AC23" i="3"/>
  <c r="AK19" i="3"/>
  <c r="U15" i="3"/>
  <c r="AK10" i="3"/>
  <c r="E7" i="3"/>
  <c r="AF31" i="3"/>
  <c r="T26" i="3"/>
  <c r="AB22" i="3"/>
  <c r="L18" i="3"/>
  <c r="AB13" i="3"/>
  <c r="AJ9" i="3"/>
  <c r="U44" i="3"/>
  <c r="C29" i="3"/>
  <c r="K25" i="3"/>
  <c r="AI20" i="3"/>
  <c r="K16" i="3"/>
  <c r="S12" i="3"/>
  <c r="K8" i="3"/>
  <c r="M44" i="3"/>
  <c r="AC32" i="3"/>
  <c r="J28" i="3"/>
  <c r="R25" i="3"/>
  <c r="AH22" i="3"/>
  <c r="Z20" i="3"/>
  <c r="R18" i="3"/>
  <c r="J16" i="3"/>
  <c r="AH13" i="3"/>
  <c r="AH11" i="3"/>
  <c r="AH9" i="3"/>
  <c r="AA72" i="2"/>
  <c r="AM70" i="2"/>
  <c r="M69" i="2"/>
  <c r="Y67" i="2"/>
  <c r="AK65" i="2"/>
  <c r="K64" i="2"/>
  <c r="W62" i="2"/>
  <c r="AI57" i="2"/>
  <c r="I56" i="2"/>
  <c r="U54" i="2"/>
  <c r="AG51" i="2"/>
  <c r="G50" i="2"/>
  <c r="S47" i="2"/>
  <c r="AE45" i="2"/>
  <c r="E43" i="2"/>
  <c r="Q41" i="2"/>
  <c r="AC39" i="2"/>
  <c r="C38" i="2"/>
  <c r="O36" i="2"/>
  <c r="AA34" i="2"/>
  <c r="AM32" i="2"/>
  <c r="M31" i="2"/>
  <c r="Y29" i="2"/>
  <c r="AK27" i="2"/>
  <c r="K26" i="2"/>
  <c r="W24" i="2"/>
  <c r="AI22" i="2"/>
  <c r="I21" i="2"/>
  <c r="U19" i="2"/>
  <c r="AG17" i="2"/>
  <c r="G16" i="2"/>
  <c r="D73" i="2"/>
  <c r="P71" i="2"/>
  <c r="AB69" i="2"/>
  <c r="AN67" i="2"/>
  <c r="N66" i="2"/>
  <c r="Z64" i="2"/>
  <c r="AL62" i="2"/>
  <c r="L61" i="2"/>
  <c r="X56" i="2"/>
  <c r="AJ54" i="2"/>
  <c r="J52" i="2"/>
  <c r="V50" i="2"/>
  <c r="AH47" i="2"/>
  <c r="H46" i="2"/>
  <c r="T43" i="2"/>
  <c r="AF41" i="2"/>
  <c r="F40" i="2"/>
  <c r="R38" i="2"/>
  <c r="AD36" i="2"/>
  <c r="D35" i="2"/>
  <c r="P33" i="2"/>
  <c r="AB31" i="2"/>
  <c r="AN29" i="2"/>
  <c r="N28" i="2"/>
  <c r="Z26" i="2"/>
  <c r="AL24" i="2"/>
  <c r="L23" i="2"/>
  <c r="X21" i="2"/>
  <c r="AJ19" i="2"/>
  <c r="J18" i="2"/>
  <c r="V16" i="2"/>
  <c r="AH14" i="2"/>
  <c r="AG72" i="2"/>
  <c r="G71" i="2"/>
  <c r="S69" i="2"/>
  <c r="AE67" i="2"/>
  <c r="E66" i="2"/>
  <c r="Q64" i="2"/>
  <c r="AC62" i="2"/>
  <c r="C61" i="2"/>
  <c r="O56" i="2"/>
  <c r="AA54" i="2"/>
  <c r="AM51" i="2"/>
  <c r="M50" i="2"/>
  <c r="Y47" i="2"/>
  <c r="AK45" i="2"/>
  <c r="K43" i="2"/>
  <c r="W41" i="2"/>
  <c r="AI39" i="2"/>
  <c r="I38" i="2"/>
  <c r="U36" i="2"/>
  <c r="AG34" i="2"/>
  <c r="AN62" i="3"/>
  <c r="Q45" i="3"/>
  <c r="AM34" i="3"/>
  <c r="AC45" i="3"/>
  <c r="AC34" i="3"/>
  <c r="AF9" i="3"/>
  <c r="Y30" i="3"/>
  <c r="G24" i="3"/>
  <c r="AE17" i="3"/>
  <c r="O11" i="3"/>
  <c r="U43" i="3"/>
  <c r="F27" i="3"/>
  <c r="AD20" i="3"/>
  <c r="N14" i="3"/>
  <c r="AL7" i="3"/>
  <c r="AK29" i="3"/>
  <c r="U23" i="3"/>
  <c r="AK18" i="3"/>
  <c r="E15" i="3"/>
  <c r="AC10" i="3"/>
  <c r="E51" i="3"/>
  <c r="AJ30" i="3"/>
  <c r="L26" i="3"/>
  <c r="AB21" i="3"/>
  <c r="AJ17" i="3"/>
  <c r="T13" i="3"/>
  <c r="AJ8" i="3"/>
  <c r="M41" i="3"/>
  <c r="AI28" i="3"/>
  <c r="K24" i="3"/>
  <c r="S20" i="3"/>
  <c r="C16" i="3"/>
  <c r="S11" i="3"/>
  <c r="C8" i="3"/>
  <c r="AC42" i="3"/>
  <c r="H32" i="3"/>
  <c r="AH27" i="3"/>
  <c r="AH24" i="3"/>
  <c r="Z22" i="3"/>
  <c r="R20" i="3"/>
  <c r="J18" i="3"/>
  <c r="AH15" i="3"/>
  <c r="Z13" i="3"/>
  <c r="Z11" i="3"/>
  <c r="J8" i="3"/>
  <c r="S72" i="2"/>
  <c r="AE70" i="2"/>
  <c r="E69" i="2"/>
  <c r="Q67" i="2"/>
  <c r="AC65" i="2"/>
  <c r="C64" i="2"/>
  <c r="O62" i="2"/>
  <c r="AA57" i="2"/>
  <c r="AM55" i="2"/>
  <c r="M54" i="2"/>
  <c r="Y51" i="2"/>
  <c r="AK49" i="2"/>
  <c r="K47" i="2"/>
  <c r="W45" i="2"/>
  <c r="AI42" i="2"/>
  <c r="I41" i="2"/>
  <c r="U39" i="2"/>
  <c r="AG37" i="2"/>
  <c r="G36" i="2"/>
  <c r="S34" i="2"/>
  <c r="AE32" i="2"/>
  <c r="E31" i="2"/>
  <c r="Q29" i="2"/>
  <c r="AC27" i="2"/>
  <c r="C26" i="2"/>
  <c r="O24" i="2"/>
  <c r="AA22" i="2"/>
  <c r="AM20" i="2"/>
  <c r="M19" i="2"/>
  <c r="Y17" i="2"/>
  <c r="AK15" i="2"/>
  <c r="AH72" i="2"/>
  <c r="H71" i="2"/>
  <c r="T69" i="2"/>
  <c r="AF67" i="2"/>
  <c r="F66" i="2"/>
  <c r="R64" i="2"/>
  <c r="AD62" i="2"/>
  <c r="D61" i="2"/>
  <c r="P56" i="2"/>
  <c r="AB54" i="2"/>
  <c r="AN51" i="2"/>
  <c r="W62" i="3"/>
  <c r="Q35" i="3"/>
  <c r="U63" i="3"/>
  <c r="AG26" i="3"/>
  <c r="AN25" i="3"/>
  <c r="P7" i="3"/>
  <c r="G29" i="3"/>
  <c r="AE22" i="3"/>
  <c r="O16" i="3"/>
  <c r="AM9" i="3"/>
  <c r="X34" i="3"/>
  <c r="AD25" i="3"/>
  <c r="N19" i="3"/>
  <c r="AL12" i="3"/>
  <c r="U54" i="3"/>
  <c r="U28" i="3"/>
  <c r="E23" i="3"/>
  <c r="AC18" i="3"/>
  <c r="E14" i="3"/>
  <c r="M10" i="3"/>
  <c r="U49" i="3"/>
  <c r="AB29" i="3"/>
  <c r="AJ25" i="3"/>
  <c r="T21" i="3"/>
  <c r="AJ16" i="3"/>
  <c r="D13" i="3"/>
  <c r="AB8" i="3"/>
  <c r="AK34" i="3"/>
  <c r="S28" i="3"/>
  <c r="C24" i="3"/>
  <c r="S19" i="3"/>
  <c r="AA15" i="3"/>
  <c r="K11" i="3"/>
  <c r="AI7" i="3"/>
  <c r="E41" i="3"/>
  <c r="T30" i="3"/>
  <c r="Z27" i="3"/>
  <c r="Z24" i="3"/>
  <c r="R22" i="3"/>
  <c r="J20" i="3"/>
  <c r="AH17" i="3"/>
  <c r="Z15" i="3"/>
  <c r="R13" i="3"/>
  <c r="R11" i="3"/>
  <c r="AN73" i="2"/>
  <c r="K72" i="2"/>
  <c r="W70" i="2"/>
  <c r="AI68" i="2"/>
  <c r="I67" i="2"/>
  <c r="U65" i="2"/>
  <c r="AG63" i="2"/>
  <c r="G62" i="2"/>
  <c r="S57" i="2"/>
  <c r="AE55" i="2"/>
  <c r="E54" i="2"/>
  <c r="Q51" i="2"/>
  <c r="AC49" i="2"/>
  <c r="C47" i="2"/>
  <c r="O45" i="2"/>
  <c r="AA42" i="2"/>
  <c r="AM40" i="2"/>
  <c r="M39" i="2"/>
  <c r="Y37" i="2"/>
  <c r="AK35" i="2"/>
  <c r="K34" i="2"/>
  <c r="W32" i="2"/>
  <c r="AI30" i="2"/>
  <c r="I29" i="2"/>
  <c r="U27" i="2"/>
  <c r="AG25" i="2"/>
  <c r="G24" i="2"/>
  <c r="S22" i="2"/>
  <c r="AE20" i="2"/>
  <c r="E19" i="2"/>
  <c r="Q17" i="2"/>
  <c r="AC15" i="2"/>
  <c r="Z72" i="2"/>
  <c r="AL70" i="2"/>
  <c r="L69" i="2"/>
  <c r="X67" i="2"/>
  <c r="AJ65" i="2"/>
  <c r="J64" i="2"/>
  <c r="V62" i="2"/>
  <c r="AH57" i="2"/>
  <c r="H56" i="2"/>
  <c r="T54" i="2"/>
  <c r="AF51" i="2"/>
  <c r="F50" i="2"/>
  <c r="R47" i="2"/>
  <c r="AD45" i="2"/>
  <c r="D43" i="2"/>
  <c r="P41" i="2"/>
  <c r="AB39" i="2"/>
  <c r="AN37" i="2"/>
  <c r="N36" i="2"/>
  <c r="Z34" i="2"/>
  <c r="AL32" i="2"/>
  <c r="L31" i="2"/>
  <c r="X29" i="2"/>
  <c r="AJ27" i="2"/>
  <c r="J26" i="2"/>
  <c r="V24" i="2"/>
  <c r="AH22" i="2"/>
  <c r="H21" i="2"/>
  <c r="T19" i="2"/>
  <c r="AF17" i="2"/>
  <c r="F16" i="2"/>
  <c r="AH7" i="3"/>
  <c r="Q72" i="2"/>
  <c r="AC70" i="2"/>
  <c r="C69" i="2"/>
  <c r="O67" i="2"/>
  <c r="AA65" i="2"/>
  <c r="AM63" i="2"/>
  <c r="M62" i="2"/>
  <c r="Y57" i="2"/>
  <c r="AK55" i="2"/>
  <c r="K54" i="2"/>
  <c r="W51" i="2"/>
  <c r="AI49" i="2"/>
  <c r="I47" i="2"/>
  <c r="U45" i="2"/>
  <c r="AG42" i="2"/>
  <c r="G41" i="2"/>
  <c r="S39" i="2"/>
  <c r="AE37" i="2"/>
  <c r="N62" i="3"/>
  <c r="E56" i="3"/>
  <c r="F50" i="3"/>
  <c r="Y26" i="3"/>
  <c r="AF25" i="3"/>
  <c r="H7" i="3"/>
  <c r="AM28" i="3"/>
  <c r="W22" i="3"/>
  <c r="G16" i="3"/>
  <c r="AE9" i="3"/>
  <c r="D34" i="3"/>
  <c r="V25" i="3"/>
  <c r="F19" i="3"/>
  <c r="AD12" i="3"/>
  <c r="AK52" i="3"/>
  <c r="M28" i="3"/>
  <c r="E22" i="3"/>
  <c r="M18" i="3"/>
  <c r="AK13" i="3"/>
  <c r="M9" i="3"/>
  <c r="M46" i="3"/>
  <c r="T29" i="3"/>
  <c r="AJ24" i="3"/>
  <c r="D21" i="3"/>
  <c r="AB16" i="3"/>
  <c r="D12" i="3"/>
  <c r="L8" i="3"/>
  <c r="P34" i="3"/>
  <c r="S27" i="3"/>
  <c r="AA23" i="3"/>
  <c r="K19" i="3"/>
  <c r="AA14" i="3"/>
  <c r="AI10" i="3"/>
  <c r="AA7" i="3"/>
  <c r="U39" i="3"/>
  <c r="J30" i="3"/>
  <c r="R27" i="3"/>
  <c r="R24" i="3"/>
  <c r="J22" i="3"/>
  <c r="AH19" i="3"/>
  <c r="Z17" i="3"/>
  <c r="R15" i="3"/>
  <c r="J13" i="3"/>
  <c r="J11" i="3"/>
  <c r="AC73" i="2"/>
  <c r="C72" i="2"/>
  <c r="O70" i="2"/>
  <c r="AA68" i="2"/>
  <c r="AM66" i="2"/>
  <c r="M65" i="2"/>
  <c r="Y63" i="2"/>
  <c r="AK61" i="2"/>
  <c r="K57" i="2"/>
  <c r="W55" i="2"/>
  <c r="AI52" i="2"/>
  <c r="I51" i="2"/>
  <c r="U49" i="2"/>
  <c r="AG46" i="2"/>
  <c r="G45" i="2"/>
  <c r="S42" i="2"/>
  <c r="AE40" i="2"/>
  <c r="E39" i="2"/>
  <c r="Q37" i="2"/>
  <c r="AC35" i="2"/>
  <c r="C34" i="2"/>
  <c r="O32" i="2"/>
  <c r="AA30" i="2"/>
  <c r="AM28" i="2"/>
  <c r="M27" i="2"/>
  <c r="Y25" i="2"/>
  <c r="AK23" i="2"/>
  <c r="K22" i="2"/>
  <c r="W20" i="2"/>
  <c r="AI18" i="2"/>
  <c r="I17" i="2"/>
  <c r="Z9" i="3"/>
  <c r="R72" i="2"/>
  <c r="AD70" i="2"/>
  <c r="D69" i="2"/>
  <c r="P67" i="2"/>
  <c r="AB65" i="2"/>
  <c r="AN63" i="2"/>
  <c r="N62" i="2"/>
  <c r="Z57" i="2"/>
  <c r="AL55" i="2"/>
  <c r="L54" i="2"/>
  <c r="X51" i="2"/>
  <c r="AJ49" i="2"/>
  <c r="J47" i="2"/>
  <c r="V45" i="2"/>
  <c r="AH42" i="2"/>
  <c r="H41" i="2"/>
  <c r="T39" i="2"/>
  <c r="AF37" i="2"/>
  <c r="F36" i="2"/>
  <c r="R34" i="2"/>
  <c r="AD32" i="2"/>
  <c r="D31" i="2"/>
  <c r="P29" i="2"/>
  <c r="AB27" i="2"/>
  <c r="AN25" i="2"/>
  <c r="N24" i="2"/>
  <c r="Z22" i="2"/>
  <c r="AL20" i="2"/>
  <c r="L19" i="2"/>
  <c r="X17" i="2"/>
  <c r="AJ15" i="2"/>
  <c r="AK73" i="2"/>
  <c r="I72" i="2"/>
  <c r="U70" i="2"/>
  <c r="AG68" i="2"/>
  <c r="G67" i="2"/>
  <c r="S65" i="2"/>
  <c r="AE63" i="2"/>
  <c r="E62" i="2"/>
  <c r="Q57" i="2"/>
  <c r="AC55" i="2"/>
  <c r="C54" i="2"/>
  <c r="O51" i="2"/>
  <c r="AA49" i="2"/>
  <c r="AM46" i="2"/>
  <c r="M45" i="2"/>
  <c r="Y42" i="2"/>
  <c r="AK40" i="2"/>
  <c r="K39" i="2"/>
  <c r="W37" i="2"/>
  <c r="D47" i="3"/>
  <c r="H49" i="3"/>
  <c r="AL43" i="3"/>
  <c r="AG18" i="3"/>
  <c r="X19" i="3"/>
  <c r="U48" i="3"/>
  <c r="W27" i="3"/>
  <c r="G21" i="3"/>
  <c r="AE14" i="3"/>
  <c r="O8" i="3"/>
  <c r="X30" i="3"/>
  <c r="F24" i="3"/>
  <c r="AD17" i="3"/>
  <c r="N11" i="3"/>
  <c r="AC41" i="3"/>
  <c r="AK26" i="3"/>
  <c r="AK21" i="3"/>
  <c r="M17" i="3"/>
  <c r="U13" i="3"/>
  <c r="E9" i="3"/>
  <c r="X38" i="3"/>
  <c r="D29" i="3"/>
  <c r="AB24" i="3"/>
  <c r="D20" i="3"/>
  <c r="L16" i="3"/>
  <c r="AJ11" i="3"/>
  <c r="L7" i="3"/>
  <c r="M33" i="3"/>
  <c r="K27" i="3"/>
  <c r="AA22" i="3"/>
  <c r="AI18" i="3"/>
  <c r="S14" i="3"/>
  <c r="AI9" i="3"/>
  <c r="E68" i="3"/>
  <c r="T38" i="3"/>
  <c r="AH29" i="3"/>
  <c r="R26" i="3"/>
  <c r="J24" i="3"/>
  <c r="AH21" i="3"/>
  <c r="Z19" i="3"/>
  <c r="R17" i="3"/>
  <c r="AH14" i="3"/>
  <c r="AH12" i="3"/>
  <c r="AH10" i="3"/>
  <c r="U73" i="2"/>
  <c r="AG71" i="2"/>
  <c r="G70" i="2"/>
  <c r="S68" i="2"/>
  <c r="AE66" i="2"/>
  <c r="E65" i="2"/>
  <c r="Q63" i="2"/>
  <c r="AC61" i="2"/>
  <c r="C57" i="2"/>
  <c r="O55" i="2"/>
  <c r="AA52" i="2"/>
  <c r="AM50" i="2"/>
  <c r="M49" i="2"/>
  <c r="Y46" i="2"/>
  <c r="AK43" i="2"/>
  <c r="K42" i="2"/>
  <c r="W40" i="2"/>
  <c r="AI38" i="2"/>
  <c r="I37" i="2"/>
  <c r="U35" i="2"/>
  <c r="AG33" i="2"/>
  <c r="G32" i="2"/>
  <c r="S30" i="2"/>
  <c r="AE28" i="2"/>
  <c r="E27" i="2"/>
  <c r="Q25" i="2"/>
  <c r="AC23" i="2"/>
  <c r="C22" i="2"/>
  <c r="O20" i="2"/>
  <c r="AA18" i="2"/>
  <c r="AM16" i="2"/>
  <c r="AL73" i="2"/>
  <c r="J72" i="2"/>
  <c r="V70" i="2"/>
  <c r="AH68" i="2"/>
  <c r="H67" i="2"/>
  <c r="T65" i="2"/>
  <c r="AF63" i="2"/>
  <c r="F62" i="2"/>
  <c r="R57" i="2"/>
  <c r="AD55" i="2"/>
  <c r="D54" i="2"/>
  <c r="P51" i="2"/>
  <c r="AB49" i="2"/>
  <c r="AN46" i="2"/>
  <c r="N45" i="2"/>
  <c r="Z42" i="2"/>
  <c r="AL40" i="2"/>
  <c r="L39" i="2"/>
  <c r="X37" i="2"/>
  <c r="AJ35" i="2"/>
  <c r="J34" i="2"/>
  <c r="V32" i="2"/>
  <c r="AH30" i="2"/>
  <c r="H29" i="2"/>
  <c r="T27" i="2"/>
  <c r="AF25" i="2"/>
  <c r="F24" i="2"/>
  <c r="R22" i="2"/>
  <c r="AD20" i="2"/>
  <c r="D19" i="2"/>
  <c r="P17" i="2"/>
  <c r="AB15" i="2"/>
  <c r="AA73" i="2"/>
  <c r="AM71" i="2"/>
  <c r="M70" i="2"/>
  <c r="Y68" i="2"/>
  <c r="AK66" i="2"/>
  <c r="K65" i="2"/>
  <c r="W63" i="2"/>
  <c r="AI61" i="2"/>
  <c r="I57" i="2"/>
  <c r="U55" i="2"/>
  <c r="AG52" i="2"/>
  <c r="G51" i="2"/>
  <c r="S49" i="2"/>
  <c r="AE46" i="2"/>
  <c r="S50" i="3"/>
  <c r="AF42" i="3"/>
  <c r="AD43" i="3"/>
  <c r="Y18" i="3"/>
  <c r="P19" i="3"/>
  <c r="AK46" i="3"/>
  <c r="O27" i="3"/>
  <c r="AM20" i="3"/>
  <c r="W14" i="3"/>
  <c r="G8" i="3"/>
  <c r="O30" i="3"/>
  <c r="AL23" i="3"/>
  <c r="V17" i="3"/>
  <c r="F11" i="3"/>
  <c r="E40" i="3"/>
  <c r="AC26" i="3"/>
  <c r="U21" i="3"/>
  <c r="E17" i="3"/>
  <c r="U12" i="3"/>
  <c r="AC8" i="3"/>
  <c r="D38" i="3"/>
  <c r="D28" i="3"/>
  <c r="L24" i="3"/>
  <c r="AJ19" i="3"/>
  <c r="L15" i="3"/>
  <c r="T11" i="3"/>
  <c r="AC69" i="3"/>
  <c r="AG30" i="3"/>
  <c r="AI26" i="3"/>
  <c r="S22" i="3"/>
  <c r="AI17" i="3"/>
  <c r="C14" i="3"/>
  <c r="AA9" i="3"/>
  <c r="AG55" i="3"/>
  <c r="M34" i="3"/>
  <c r="Z29" i="3"/>
  <c r="J26" i="3"/>
  <c r="AH23" i="3"/>
  <c r="Z21" i="3"/>
  <c r="R19" i="3"/>
  <c r="AH16" i="3"/>
  <c r="Z14" i="3"/>
  <c r="Z12" i="3"/>
  <c r="Z10" i="3"/>
  <c r="M73" i="2"/>
  <c r="Y71" i="2"/>
  <c r="AK69" i="2"/>
  <c r="K68" i="2"/>
  <c r="W66" i="2"/>
  <c r="AI64" i="2"/>
  <c r="I63" i="2"/>
  <c r="U61" i="2"/>
  <c r="AG56" i="2"/>
  <c r="G55" i="2"/>
  <c r="S52" i="2"/>
  <c r="AE50" i="2"/>
  <c r="E49" i="2"/>
  <c r="Q46" i="2"/>
  <c r="AC43" i="2"/>
  <c r="C42" i="2"/>
  <c r="O40" i="2"/>
  <c r="AA38" i="2"/>
  <c r="AM36" i="2"/>
  <c r="M35" i="2"/>
  <c r="Y33" i="2"/>
  <c r="AK31" i="2"/>
  <c r="K30" i="2"/>
  <c r="W28" i="2"/>
  <c r="AI26" i="2"/>
  <c r="I25" i="2"/>
  <c r="U23" i="2"/>
  <c r="AG21" i="2"/>
  <c r="G20" i="2"/>
  <c r="S18" i="2"/>
  <c r="AE16" i="2"/>
  <c r="AB73" i="2"/>
  <c r="AN71" i="2"/>
  <c r="N70" i="2"/>
  <c r="Z68" i="2"/>
  <c r="AL66" i="2"/>
  <c r="L65" i="2"/>
  <c r="X63" i="2"/>
  <c r="AJ61" i="2"/>
  <c r="J57" i="2"/>
  <c r="V55" i="2"/>
  <c r="AH52" i="2"/>
  <c r="H51" i="2"/>
  <c r="T49" i="2"/>
  <c r="AF46" i="2"/>
  <c r="F45" i="2"/>
  <c r="R42" i="2"/>
  <c r="AD40" i="2"/>
  <c r="D39" i="2"/>
  <c r="P37" i="2"/>
  <c r="AB35" i="2"/>
  <c r="AN33" i="2"/>
  <c r="N32" i="2"/>
  <c r="Z30" i="2"/>
  <c r="AL28" i="2"/>
  <c r="L27" i="2"/>
  <c r="X25" i="2"/>
  <c r="AJ23" i="2"/>
  <c r="J22" i="2"/>
  <c r="V20" i="2"/>
  <c r="AH18" i="2"/>
  <c r="H17" i="2"/>
  <c r="T15" i="2"/>
  <c r="S73" i="2"/>
  <c r="AE71" i="2"/>
  <c r="E70" i="2"/>
  <c r="Q68" i="2"/>
  <c r="AC66" i="2"/>
  <c r="C65" i="2"/>
  <c r="O63" i="2"/>
  <c r="AA61" i="2"/>
  <c r="AM56" i="2"/>
  <c r="M55" i="2"/>
  <c r="Y52" i="2"/>
  <c r="AK50" i="2"/>
  <c r="K49" i="2"/>
  <c r="W46" i="2"/>
  <c r="AI43" i="2"/>
  <c r="I42" i="2"/>
  <c r="U40" i="2"/>
  <c r="AG38" i="2"/>
  <c r="G37" i="2"/>
  <c r="S35" i="2"/>
  <c r="K31" i="3"/>
  <c r="G13" i="3"/>
  <c r="U20" i="3"/>
  <c r="D15" i="3"/>
  <c r="S9" i="3"/>
  <c r="Z16" i="3"/>
  <c r="O66" i="2"/>
  <c r="AI47" i="2"/>
  <c r="Q33" i="2"/>
  <c r="AK19" i="2"/>
  <c r="D65" i="2"/>
  <c r="L49" i="2"/>
  <c r="V40" i="2"/>
  <c r="AF33" i="2"/>
  <c r="D27" i="2"/>
  <c r="N20" i="2"/>
  <c r="K73" i="2"/>
  <c r="U66" i="2"/>
  <c r="AE56" i="2"/>
  <c r="C49" i="2"/>
  <c r="AM41" i="2"/>
  <c r="O37" i="2"/>
  <c r="Q34" i="2"/>
  <c r="AC32" i="2"/>
  <c r="C31" i="2"/>
  <c r="O29" i="2"/>
  <c r="AA27" i="2"/>
  <c r="AM25" i="2"/>
  <c r="J73" i="2"/>
  <c r="V71" i="2"/>
  <c r="AH69" i="2"/>
  <c r="H68" i="2"/>
  <c r="T66" i="2"/>
  <c r="AF64" i="2"/>
  <c r="F63" i="2"/>
  <c r="R61" i="2"/>
  <c r="AD56" i="2"/>
  <c r="D55" i="2"/>
  <c r="P52" i="2"/>
  <c r="AB50" i="2"/>
  <c r="AN47" i="2"/>
  <c r="N46" i="2"/>
  <c r="Z43" i="2"/>
  <c r="AL41" i="2"/>
  <c r="L40" i="2"/>
  <c r="X38" i="2"/>
  <c r="AJ36" i="2"/>
  <c r="J35" i="2"/>
  <c r="V33" i="2"/>
  <c r="AH31" i="2"/>
  <c r="H30" i="2"/>
  <c r="T28" i="2"/>
  <c r="AF26" i="2"/>
  <c r="F25" i="2"/>
  <c r="R23" i="2"/>
  <c r="AD21" i="2"/>
  <c r="D20" i="2"/>
  <c r="P18" i="2"/>
  <c r="AB16" i="2"/>
  <c r="AN14" i="2"/>
  <c r="AE72" i="2"/>
  <c r="E71" i="2"/>
  <c r="Q69" i="2"/>
  <c r="AC67" i="2"/>
  <c r="C66" i="2"/>
  <c r="O64" i="2"/>
  <c r="AA62" i="2"/>
  <c r="AM57" i="2"/>
  <c r="M56" i="2"/>
  <c r="Y54" i="2"/>
  <c r="AK51" i="2"/>
  <c r="K50" i="2"/>
  <c r="W47" i="2"/>
  <c r="AI45" i="2"/>
  <c r="I43" i="2"/>
  <c r="U41" i="2"/>
  <c r="AG39" i="2"/>
  <c r="G38" i="2"/>
  <c r="S36" i="2"/>
  <c r="AE34" i="2"/>
  <c r="E33" i="2"/>
  <c r="Q31" i="2"/>
  <c r="AC29" i="2"/>
  <c r="C28" i="2"/>
  <c r="O26" i="2"/>
  <c r="AA24" i="2"/>
  <c r="AM22" i="2"/>
  <c r="M21" i="2"/>
  <c r="Y19" i="2"/>
  <c r="AK17" i="2"/>
  <c r="K16" i="2"/>
  <c r="AL72" i="2"/>
  <c r="L71" i="2"/>
  <c r="X69" i="2"/>
  <c r="AJ67" i="2"/>
  <c r="J66" i="2"/>
  <c r="V64" i="2"/>
  <c r="AH62" i="2"/>
  <c r="H61" i="2"/>
  <c r="T56" i="2"/>
  <c r="AF54" i="2"/>
  <c r="F52" i="2"/>
  <c r="R50" i="2"/>
  <c r="AD47" i="2"/>
  <c r="D46" i="2"/>
  <c r="P43" i="2"/>
  <c r="AB41" i="2"/>
  <c r="AN39" i="2"/>
  <c r="N38" i="2"/>
  <c r="Z36" i="2"/>
  <c r="AL34" i="2"/>
  <c r="L33" i="2"/>
  <c r="X31" i="2"/>
  <c r="AJ29" i="2"/>
  <c r="J28" i="2"/>
  <c r="V26" i="2"/>
  <c r="AH24" i="2"/>
  <c r="H23" i="2"/>
  <c r="T21" i="2"/>
  <c r="AF19" i="2"/>
  <c r="F18" i="2"/>
  <c r="R16" i="2"/>
  <c r="AD14" i="2"/>
  <c r="AC72" i="2"/>
  <c r="C71" i="2"/>
  <c r="O69" i="2"/>
  <c r="AA67" i="2"/>
  <c r="AM65" i="2"/>
  <c r="M64" i="2"/>
  <c r="Y62" i="2"/>
  <c r="AK57" i="2"/>
  <c r="K56" i="2"/>
  <c r="W54" i="2"/>
  <c r="AI51" i="2"/>
  <c r="I50" i="2"/>
  <c r="U47" i="2"/>
  <c r="AG45" i="2"/>
  <c r="G43" i="2"/>
  <c r="S41" i="2"/>
  <c r="AE39" i="2"/>
  <c r="E38" i="2"/>
  <c r="Q36" i="2"/>
  <c r="AC34" i="2"/>
  <c r="C33" i="2"/>
  <c r="O31" i="2"/>
  <c r="AA29" i="2"/>
  <c r="AM27" i="2"/>
  <c r="M26" i="2"/>
  <c r="Y24" i="2"/>
  <c r="AK22" i="2"/>
  <c r="K21" i="2"/>
  <c r="W19" i="2"/>
  <c r="AI17" i="2"/>
  <c r="I16" i="2"/>
  <c r="R8" i="3"/>
  <c r="L72" i="2"/>
  <c r="X70" i="2"/>
  <c r="AJ68" i="2"/>
  <c r="J67" i="2"/>
  <c r="V65" i="2"/>
  <c r="AH63" i="2"/>
  <c r="H62" i="2"/>
  <c r="T57" i="2"/>
  <c r="AF55" i="2"/>
  <c r="F54" i="2"/>
  <c r="R51" i="2"/>
  <c r="AD49" i="2"/>
  <c r="D47" i="2"/>
  <c r="P45" i="2"/>
  <c r="AB42" i="2"/>
  <c r="AN40" i="2"/>
  <c r="N39" i="2"/>
  <c r="Z37" i="2"/>
  <c r="AL35" i="2"/>
  <c r="L34" i="2"/>
  <c r="X32" i="2"/>
  <c r="AJ30" i="2"/>
  <c r="J29" i="2"/>
  <c r="V27" i="2"/>
  <c r="AH25" i="2"/>
  <c r="H24" i="2"/>
  <c r="T22" i="2"/>
  <c r="AF20" i="2"/>
  <c r="F19" i="2"/>
  <c r="R17" i="2"/>
  <c r="AD15" i="2"/>
  <c r="M20" i="2"/>
  <c r="AM13" i="2"/>
  <c r="M12" i="2"/>
  <c r="Y10" i="2"/>
  <c r="AE21" i="2"/>
  <c r="H14" i="2"/>
  <c r="T12" i="2"/>
  <c r="AF10" i="2"/>
  <c r="F9" i="2"/>
  <c r="R7" i="2"/>
  <c r="U10" i="2"/>
  <c r="W21" i="2"/>
  <c r="G14" i="2"/>
  <c r="S12" i="2"/>
  <c r="AE10" i="2"/>
  <c r="E9" i="2"/>
  <c r="Q7" i="2"/>
  <c r="E10" i="2"/>
  <c r="AA19" i="2"/>
  <c r="AJ13" i="2"/>
  <c r="J12" i="2"/>
  <c r="V10" i="2"/>
  <c r="AH8" i="2"/>
  <c r="H7" i="2"/>
  <c r="O7" i="2"/>
  <c r="E16" i="2"/>
  <c r="S13" i="2"/>
  <c r="AE11" i="2"/>
  <c r="Y8" i="2"/>
  <c r="AI15" i="2"/>
  <c r="R13" i="2"/>
  <c r="AD11" i="2"/>
  <c r="D10" i="2"/>
  <c r="P8" i="2"/>
  <c r="AB6" i="2"/>
  <c r="I6" i="2"/>
  <c r="AA14" i="2"/>
  <c r="AM12" i="2"/>
  <c r="M11" i="2"/>
  <c r="Y9" i="2"/>
  <c r="AK7" i="2"/>
  <c r="K6" i="2"/>
  <c r="U20" i="2"/>
  <c r="AN13" i="2"/>
  <c r="N12" i="2"/>
  <c r="Z10" i="2"/>
  <c r="AL8" i="2"/>
  <c r="L7" i="2"/>
  <c r="G9" i="2"/>
  <c r="N8" i="2"/>
  <c r="C13" i="3"/>
  <c r="AH34" i="2"/>
  <c r="Q42" i="2"/>
  <c r="I26" i="2"/>
  <c r="AN64" i="2"/>
  <c r="AJ50" i="2"/>
  <c r="R35" i="2"/>
  <c r="Z23" i="2"/>
  <c r="AM72" i="2"/>
  <c r="I61" i="2"/>
  <c r="E46" i="2"/>
  <c r="M33" i="2"/>
  <c r="U21" i="2"/>
  <c r="F68" i="2"/>
  <c r="AL47" i="2"/>
  <c r="H35" i="2"/>
  <c r="D25" i="2"/>
  <c r="E62" i="3"/>
  <c r="U74" i="3"/>
  <c r="AC16" i="3"/>
  <c r="T10" i="3"/>
  <c r="AK53" i="3"/>
  <c r="R14" i="3"/>
  <c r="AA64" i="2"/>
  <c r="I46" i="2"/>
  <c r="AC31" i="2"/>
  <c r="K18" i="2"/>
  <c r="P63" i="2"/>
  <c r="Z47" i="2"/>
  <c r="AJ39" i="2"/>
  <c r="H33" i="2"/>
  <c r="R26" i="2"/>
  <c r="AB19" i="2"/>
  <c r="Y72" i="2"/>
  <c r="AI65" i="2"/>
  <c r="G56" i="2"/>
  <c r="Q47" i="2"/>
  <c r="O41" i="2"/>
  <c r="AK36" i="2"/>
  <c r="I34" i="2"/>
  <c r="U32" i="2"/>
  <c r="AG30" i="2"/>
  <c r="G29" i="2"/>
  <c r="S27" i="2"/>
  <c r="AE25" i="2"/>
  <c r="AN72" i="2"/>
  <c r="N71" i="2"/>
  <c r="Z69" i="2"/>
  <c r="AL67" i="2"/>
  <c r="L66" i="2"/>
  <c r="X64" i="2"/>
  <c r="AJ62" i="2"/>
  <c r="J61" i="2"/>
  <c r="V56" i="2"/>
  <c r="AH54" i="2"/>
  <c r="H52" i="2"/>
  <c r="T50" i="2"/>
  <c r="AF47" i="2"/>
  <c r="F46" i="2"/>
  <c r="R43" i="2"/>
  <c r="AD41" i="2"/>
  <c r="D40" i="2"/>
  <c r="P38" i="2"/>
  <c r="AB36" i="2"/>
  <c r="AN34" i="2"/>
  <c r="N33" i="2"/>
  <c r="Z31" i="2"/>
  <c r="AL29" i="2"/>
  <c r="L28" i="2"/>
  <c r="X26" i="2"/>
  <c r="AJ24" i="2"/>
  <c r="J23" i="2"/>
  <c r="V21" i="2"/>
  <c r="AH19" i="2"/>
  <c r="H18" i="2"/>
  <c r="T16" i="2"/>
  <c r="AF14" i="2"/>
  <c r="W72" i="2"/>
  <c r="AI70" i="2"/>
  <c r="I69" i="2"/>
  <c r="U67" i="2"/>
  <c r="AG65" i="2"/>
  <c r="G64" i="2"/>
  <c r="S62" i="2"/>
  <c r="AE57" i="2"/>
  <c r="E56" i="2"/>
  <c r="Q54" i="2"/>
  <c r="AC51" i="2"/>
  <c r="C50" i="2"/>
  <c r="O47" i="2"/>
  <c r="AA45" i="2"/>
  <c r="AM42" i="2"/>
  <c r="M41" i="2"/>
  <c r="Y39" i="2"/>
  <c r="AK37" i="2"/>
  <c r="K36" i="2"/>
  <c r="W34" i="2"/>
  <c r="AI32" i="2"/>
  <c r="I31" i="2"/>
  <c r="U29" i="2"/>
  <c r="AG27" i="2"/>
  <c r="G26" i="2"/>
  <c r="S24" i="2"/>
  <c r="AE22" i="2"/>
  <c r="E21" i="2"/>
  <c r="Q19" i="2"/>
  <c r="AC17" i="2"/>
  <c r="C16" i="2"/>
  <c r="AD72" i="2"/>
  <c r="D71" i="2"/>
  <c r="P69" i="2"/>
  <c r="AB67" i="2"/>
  <c r="AN65" i="2"/>
  <c r="N64" i="2"/>
  <c r="Z62" i="2"/>
  <c r="AL57" i="2"/>
  <c r="L56" i="2"/>
  <c r="X54" i="2"/>
  <c r="AJ51" i="2"/>
  <c r="J50" i="2"/>
  <c r="V47" i="2"/>
  <c r="AH45" i="2"/>
  <c r="H43" i="2"/>
  <c r="T41" i="2"/>
  <c r="AF39" i="2"/>
  <c r="F38" i="2"/>
  <c r="R36" i="2"/>
  <c r="AD34" i="2"/>
  <c r="D33" i="2"/>
  <c r="P31" i="2"/>
  <c r="AB29" i="2"/>
  <c r="AN27" i="2"/>
  <c r="N26" i="2"/>
  <c r="Z24" i="2"/>
  <c r="AL22" i="2"/>
  <c r="L21" i="2"/>
  <c r="X19" i="2"/>
  <c r="AJ17" i="2"/>
  <c r="J16" i="2"/>
  <c r="Z8" i="3"/>
  <c r="U72" i="2"/>
  <c r="AG70" i="2"/>
  <c r="G69" i="2"/>
  <c r="S67" i="2"/>
  <c r="AE65" i="2"/>
  <c r="E64" i="2"/>
  <c r="Q62" i="2"/>
  <c r="AC57" i="2"/>
  <c r="C56" i="2"/>
  <c r="O54" i="2"/>
  <c r="AA51" i="2"/>
  <c r="AM49" i="2"/>
  <c r="M47" i="2"/>
  <c r="Y45" i="2"/>
  <c r="AK42" i="2"/>
  <c r="K41" i="2"/>
  <c r="W39" i="2"/>
  <c r="AI37" i="2"/>
  <c r="I36" i="2"/>
  <c r="U34" i="2"/>
  <c r="AG32" i="2"/>
  <c r="G31" i="2"/>
  <c r="S29" i="2"/>
  <c r="AE27" i="2"/>
  <c r="E26" i="2"/>
  <c r="Q24" i="2"/>
  <c r="AC22" i="2"/>
  <c r="C21" i="2"/>
  <c r="O19" i="2"/>
  <c r="AA17" i="2"/>
  <c r="AM15" i="2"/>
  <c r="AD73" i="2"/>
  <c r="D72" i="2"/>
  <c r="P70" i="2"/>
  <c r="AB68" i="2"/>
  <c r="AN66" i="2"/>
  <c r="N65" i="2"/>
  <c r="Z63" i="2"/>
  <c r="AL61" i="2"/>
  <c r="L57" i="2"/>
  <c r="X55" i="2"/>
  <c r="AJ52" i="2"/>
  <c r="J51" i="2"/>
  <c r="V49" i="2"/>
  <c r="AH46" i="2"/>
  <c r="H45" i="2"/>
  <c r="T42" i="2"/>
  <c r="AF40" i="2"/>
  <c r="F39" i="2"/>
  <c r="R37" i="2"/>
  <c r="AD35" i="2"/>
  <c r="D34" i="2"/>
  <c r="P32" i="2"/>
  <c r="AB30" i="2"/>
  <c r="AN28" i="2"/>
  <c r="N27" i="2"/>
  <c r="Z25" i="2"/>
  <c r="AL23" i="2"/>
  <c r="L22" i="2"/>
  <c r="X20" i="2"/>
  <c r="AJ18" i="2"/>
  <c r="J17" i="2"/>
  <c r="V15" i="2"/>
  <c r="Y18" i="2"/>
  <c r="AE13" i="2"/>
  <c r="E12" i="2"/>
  <c r="AE9" i="2"/>
  <c r="E20" i="2"/>
  <c r="AL13" i="2"/>
  <c r="L12" i="2"/>
  <c r="X10" i="2"/>
  <c r="AJ8" i="2"/>
  <c r="J7" i="2"/>
  <c r="S9" i="2"/>
  <c r="AI19" i="2"/>
  <c r="AK13" i="2"/>
  <c r="K12" i="2"/>
  <c r="W10" i="2"/>
  <c r="AI8" i="2"/>
  <c r="I7" i="2"/>
  <c r="C9" i="2"/>
  <c r="AM17" i="2"/>
  <c r="AB13" i="2"/>
  <c r="AN11" i="2"/>
  <c r="N10" i="2"/>
  <c r="Z8" i="2"/>
  <c r="AL6" i="2"/>
  <c r="AC6" i="2"/>
  <c r="M15" i="2"/>
  <c r="K13" i="2"/>
  <c r="W11" i="2"/>
  <c r="AE7" i="2"/>
  <c r="K15" i="2"/>
  <c r="J13" i="2"/>
  <c r="V11" i="2"/>
  <c r="AH9" i="2"/>
  <c r="H8" i="2"/>
  <c r="T6" i="2"/>
  <c r="E24" i="2"/>
  <c r="S14" i="2"/>
  <c r="AE12" i="2"/>
  <c r="E11" i="2"/>
  <c r="Q9" i="2"/>
  <c r="AC7" i="2"/>
  <c r="C6" i="2"/>
  <c r="AG18" i="2"/>
  <c r="AF13" i="2"/>
  <c r="F12" i="2"/>
  <c r="R10" i="2"/>
  <c r="AD8" i="2"/>
  <c r="D7" i="2"/>
  <c r="M8" i="2"/>
  <c r="AN9" i="2"/>
  <c r="AH18" i="3"/>
  <c r="E35" i="2"/>
  <c r="F28" i="2"/>
  <c r="E50" i="2"/>
  <c r="W29" i="2"/>
  <c r="D70" i="2"/>
  <c r="L55" i="2"/>
  <c r="AF38" i="2"/>
  <c r="AN26" i="2"/>
  <c r="AL21" i="2"/>
  <c r="Y69" i="2"/>
  <c r="AG54" i="2"/>
  <c r="C40" i="2"/>
  <c r="K28" i="2"/>
  <c r="S16" i="2"/>
  <c r="D63" i="2"/>
  <c r="Z50" i="2"/>
  <c r="V38" i="2"/>
  <c r="R28" i="2"/>
  <c r="V35" i="3"/>
  <c r="AL28" i="3"/>
  <c r="M12" i="3"/>
  <c r="E54" i="3"/>
  <c r="AF33" i="3"/>
  <c r="R12" i="3"/>
  <c r="AM62" i="2"/>
  <c r="U43" i="2"/>
  <c r="C30" i="2"/>
  <c r="W16" i="2"/>
  <c r="AB61" i="2"/>
  <c r="X46" i="2"/>
  <c r="AH38" i="2"/>
  <c r="F32" i="2"/>
  <c r="P25" i="2"/>
  <c r="Z18" i="2"/>
  <c r="W71" i="2"/>
  <c r="AG64" i="2"/>
  <c r="E55" i="2"/>
  <c r="O46" i="2"/>
  <c r="AC40" i="2"/>
  <c r="M36" i="2"/>
  <c r="AM33" i="2"/>
  <c r="M32" i="2"/>
  <c r="Y30" i="2"/>
  <c r="AK28" i="2"/>
  <c r="K27" i="2"/>
  <c r="W25" i="2"/>
  <c r="AF72" i="2"/>
  <c r="F71" i="2"/>
  <c r="R69" i="2"/>
  <c r="AD67" i="2"/>
  <c r="D66" i="2"/>
  <c r="P64" i="2"/>
  <c r="AB62" i="2"/>
  <c r="AN57" i="2"/>
  <c r="N56" i="2"/>
  <c r="Z54" i="2"/>
  <c r="AL51" i="2"/>
  <c r="L50" i="2"/>
  <c r="X47" i="2"/>
  <c r="AJ45" i="2"/>
  <c r="J43" i="2"/>
  <c r="V41" i="2"/>
  <c r="AH39" i="2"/>
  <c r="H38" i="2"/>
  <c r="T36" i="2"/>
  <c r="AF34" i="2"/>
  <c r="F33" i="2"/>
  <c r="R31" i="2"/>
  <c r="AD29" i="2"/>
  <c r="D28" i="2"/>
  <c r="P26" i="2"/>
  <c r="AB24" i="2"/>
  <c r="AN22" i="2"/>
  <c r="N21" i="2"/>
  <c r="Z19" i="2"/>
  <c r="AL17" i="2"/>
  <c r="L16" i="2"/>
  <c r="R7" i="3"/>
  <c r="O72" i="2"/>
  <c r="AA70" i="2"/>
  <c r="AM68" i="2"/>
  <c r="M67" i="2"/>
  <c r="Y65" i="2"/>
  <c r="AK63" i="2"/>
  <c r="K62" i="2"/>
  <c r="W57" i="2"/>
  <c r="AI55" i="2"/>
  <c r="I54" i="2"/>
  <c r="U51" i="2"/>
  <c r="AG49" i="2"/>
  <c r="G47" i="2"/>
  <c r="S45" i="2"/>
  <c r="AE42" i="2"/>
  <c r="E41" i="2"/>
  <c r="Q39" i="2"/>
  <c r="AC37" i="2"/>
  <c r="C36" i="2"/>
  <c r="O34" i="2"/>
  <c r="AA32" i="2"/>
  <c r="AM30" i="2"/>
  <c r="M29" i="2"/>
  <c r="Y27" i="2"/>
  <c r="AK25" i="2"/>
  <c r="K24" i="2"/>
  <c r="W22" i="2"/>
  <c r="AI20" i="2"/>
  <c r="I19" i="2"/>
  <c r="U17" i="2"/>
  <c r="AH8" i="3"/>
  <c r="V72" i="2"/>
  <c r="AH70" i="2"/>
  <c r="H69" i="2"/>
  <c r="T67" i="2"/>
  <c r="AF65" i="2"/>
  <c r="F64" i="2"/>
  <c r="R62" i="2"/>
  <c r="AD57" i="2"/>
  <c r="D56" i="2"/>
  <c r="P54" i="2"/>
  <c r="AB51" i="2"/>
  <c r="AN49" i="2"/>
  <c r="N47" i="2"/>
  <c r="Z45" i="2"/>
  <c r="AL42" i="2"/>
  <c r="L41" i="2"/>
  <c r="X39" i="2"/>
  <c r="AJ37" i="2"/>
  <c r="J36" i="2"/>
  <c r="V34" i="2"/>
  <c r="AH32" i="2"/>
  <c r="H31" i="2"/>
  <c r="T29" i="2"/>
  <c r="AF27" i="2"/>
  <c r="F26" i="2"/>
  <c r="R24" i="2"/>
  <c r="AD22" i="2"/>
  <c r="D21" i="2"/>
  <c r="P19" i="2"/>
  <c r="AB17" i="2"/>
  <c r="AN15" i="2"/>
  <c r="D7" i="3"/>
  <c r="M72" i="2"/>
  <c r="Y70" i="2"/>
  <c r="AK68" i="2"/>
  <c r="K67" i="2"/>
  <c r="W65" i="2"/>
  <c r="AI63" i="2"/>
  <c r="I62" i="2"/>
  <c r="U57" i="2"/>
  <c r="AG55" i="2"/>
  <c r="G54" i="2"/>
  <c r="S51" i="2"/>
  <c r="AE49" i="2"/>
  <c r="E47" i="2"/>
  <c r="Q45" i="2"/>
  <c r="AC42" i="2"/>
  <c r="C41" i="2"/>
  <c r="O39" i="2"/>
  <c r="AA37" i="2"/>
  <c r="AM35" i="2"/>
  <c r="M34" i="2"/>
  <c r="Y32" i="2"/>
  <c r="AK30" i="2"/>
  <c r="K29" i="2"/>
  <c r="W27" i="2"/>
  <c r="AI25" i="2"/>
  <c r="I24" i="2"/>
  <c r="U22" i="2"/>
  <c r="AG20" i="2"/>
  <c r="G19" i="2"/>
  <c r="S17" i="2"/>
  <c r="AE15" i="2"/>
  <c r="V73" i="2"/>
  <c r="AH71" i="2"/>
  <c r="H70" i="2"/>
  <c r="T68" i="2"/>
  <c r="AF66" i="2"/>
  <c r="F65" i="2"/>
  <c r="R63" i="2"/>
  <c r="AD61" i="2"/>
  <c r="D57" i="2"/>
  <c r="P55" i="2"/>
  <c r="AB52" i="2"/>
  <c r="AN50" i="2"/>
  <c r="N49" i="2"/>
  <c r="Z46" i="2"/>
  <c r="AL43" i="2"/>
  <c r="L42" i="2"/>
  <c r="X40" i="2"/>
  <c r="AJ38" i="2"/>
  <c r="J37" i="2"/>
  <c r="V35" i="2"/>
  <c r="AH33" i="2"/>
  <c r="H32" i="2"/>
  <c r="T30" i="2"/>
  <c r="AF28" i="2"/>
  <c r="F27" i="2"/>
  <c r="R25" i="2"/>
  <c r="AD23" i="2"/>
  <c r="D22" i="2"/>
  <c r="P20" i="2"/>
  <c r="AB18" i="2"/>
  <c r="AN16" i="2"/>
  <c r="N15" i="2"/>
  <c r="AK16" i="2"/>
  <c r="W13" i="2"/>
  <c r="AI11" i="2"/>
  <c r="O9" i="2"/>
  <c r="Q18" i="2"/>
  <c r="AD13" i="2"/>
  <c r="D12" i="2"/>
  <c r="P10" i="2"/>
  <c r="AB8" i="2"/>
  <c r="AN6" i="2"/>
  <c r="Q8" i="2"/>
  <c r="I18" i="2"/>
  <c r="AC13" i="2"/>
  <c r="C12" i="2"/>
  <c r="O10" i="2"/>
  <c r="AA8" i="2"/>
  <c r="AM6" i="2"/>
  <c r="I8" i="2"/>
  <c r="M16" i="2"/>
  <c r="T13" i="2"/>
  <c r="AF11" i="2"/>
  <c r="F10" i="2"/>
  <c r="R8" i="2"/>
  <c r="AD6" i="2"/>
  <c r="E6" i="2"/>
  <c r="AE14" i="2"/>
  <c r="C13" i="2"/>
  <c r="O11" i="2"/>
  <c r="AK6" i="2"/>
  <c r="AB14" i="2"/>
  <c r="AN12" i="2"/>
  <c r="N11" i="2"/>
  <c r="Z9" i="2"/>
  <c r="AL7" i="2"/>
  <c r="L6" i="2"/>
  <c r="Q22" i="2"/>
  <c r="K14" i="2"/>
  <c r="W12" i="2"/>
  <c r="AI10" i="2"/>
  <c r="I9" i="2"/>
  <c r="U7" i="2"/>
  <c r="I10" i="2"/>
  <c r="G17" i="2"/>
  <c r="X13" i="2"/>
  <c r="AJ11" i="2"/>
  <c r="J10" i="2"/>
  <c r="V8" i="2"/>
  <c r="AH6" i="2"/>
  <c r="S7" i="2"/>
  <c r="AB11" i="2"/>
  <c r="Y6" i="2"/>
  <c r="W50" i="2"/>
  <c r="X41" i="2"/>
  <c r="AG57" i="2"/>
  <c r="AI27" i="2"/>
  <c r="N63" i="2"/>
  <c r="J49" i="2"/>
  <c r="F37" i="2"/>
  <c r="N25" i="2"/>
  <c r="M71" i="2"/>
  <c r="AI62" i="2"/>
  <c r="Q43" i="2"/>
  <c r="Y31" i="2"/>
  <c r="AG19" i="2"/>
  <c r="AD64" i="2"/>
  <c r="L46" i="2"/>
  <c r="T33" i="2"/>
  <c r="AB21" i="2"/>
  <c r="AG10" i="3"/>
  <c r="V22" i="3"/>
  <c r="AC7" i="3"/>
  <c r="U30" i="3"/>
  <c r="R29" i="3"/>
  <c r="R10" i="3"/>
  <c r="M61" i="2"/>
  <c r="AG41" i="2"/>
  <c r="O28" i="2"/>
  <c r="T73" i="2"/>
  <c r="AN56" i="2"/>
  <c r="AL45" i="2"/>
  <c r="J38" i="2"/>
  <c r="T31" i="2"/>
  <c r="AD24" i="2"/>
  <c r="AN17" i="2"/>
  <c r="AK70" i="2"/>
  <c r="I64" i="2"/>
  <c r="S54" i="2"/>
  <c r="AC45" i="2"/>
  <c r="M40" i="2"/>
  <c r="E36" i="2"/>
  <c r="AE33" i="2"/>
  <c r="E32" i="2"/>
  <c r="Q30" i="2"/>
  <c r="AC28" i="2"/>
  <c r="C27" i="2"/>
  <c r="J9" i="3"/>
  <c r="X72" i="2"/>
  <c r="AJ70" i="2"/>
  <c r="J69" i="2"/>
  <c r="V67" i="2"/>
  <c r="AH65" i="2"/>
  <c r="H64" i="2"/>
  <c r="T62" i="2"/>
  <c r="AF57" i="2"/>
  <c r="F56" i="2"/>
  <c r="R54" i="2"/>
  <c r="AD51" i="2"/>
  <c r="D50" i="2"/>
  <c r="P47" i="2"/>
  <c r="AB45" i="2"/>
  <c r="AN42" i="2"/>
  <c r="N41" i="2"/>
  <c r="Z39" i="2"/>
  <c r="AL37" i="2"/>
  <c r="L36" i="2"/>
  <c r="X34" i="2"/>
  <c r="AJ32" i="2"/>
  <c r="J31" i="2"/>
  <c r="V29" i="2"/>
  <c r="AH27" i="2"/>
  <c r="H26" i="2"/>
  <c r="T24" i="2"/>
  <c r="AF22" i="2"/>
  <c r="F21" i="2"/>
  <c r="R19" i="2"/>
  <c r="AD17" i="2"/>
  <c r="D16" i="2"/>
  <c r="AH73" i="2"/>
  <c r="G72" i="2"/>
  <c r="S70" i="2"/>
  <c r="AE68" i="2"/>
  <c r="E67" i="2"/>
  <c r="Q65" i="2"/>
  <c r="AC63" i="2"/>
  <c r="C62" i="2"/>
  <c r="O57" i="2"/>
  <c r="AA55" i="2"/>
  <c r="AM52" i="2"/>
  <c r="M51" i="2"/>
  <c r="Y49" i="2"/>
  <c r="AK46" i="2"/>
  <c r="K45" i="2"/>
  <c r="W42" i="2"/>
  <c r="AI40" i="2"/>
  <c r="I39" i="2"/>
  <c r="U37" i="2"/>
  <c r="AG35" i="2"/>
  <c r="G34" i="2"/>
  <c r="S32" i="2"/>
  <c r="AE30" i="2"/>
  <c r="E29" i="2"/>
  <c r="Q27" i="2"/>
  <c r="AC25" i="2"/>
  <c r="C24" i="2"/>
  <c r="O22" i="2"/>
  <c r="AA20" i="2"/>
  <c r="AM18" i="2"/>
  <c r="M17" i="2"/>
  <c r="J7" i="3"/>
  <c r="N72" i="2"/>
  <c r="Z70" i="2"/>
  <c r="AL68" i="2"/>
  <c r="L67" i="2"/>
  <c r="X65" i="2"/>
  <c r="AJ63" i="2"/>
  <c r="J62" i="2"/>
  <c r="V57" i="2"/>
  <c r="AH55" i="2"/>
  <c r="H54" i="2"/>
  <c r="T51" i="2"/>
  <c r="AF49" i="2"/>
  <c r="F47" i="2"/>
  <c r="R45" i="2"/>
  <c r="AD42" i="2"/>
  <c r="D41" i="2"/>
  <c r="P39" i="2"/>
  <c r="AB37" i="2"/>
  <c r="AN35" i="2"/>
  <c r="N34" i="2"/>
  <c r="Z32" i="2"/>
  <c r="AL30" i="2"/>
  <c r="L29" i="2"/>
  <c r="X27" i="2"/>
  <c r="AJ25" i="2"/>
  <c r="J24" i="2"/>
  <c r="V22" i="2"/>
  <c r="AH20" i="2"/>
  <c r="H19" i="2"/>
  <c r="T17" i="2"/>
  <c r="AF15" i="2"/>
  <c r="AE73" i="2"/>
  <c r="E72" i="2"/>
  <c r="Q70" i="2"/>
  <c r="AC68" i="2"/>
  <c r="C67" i="2"/>
  <c r="O65" i="2"/>
  <c r="AA63" i="2"/>
  <c r="AM61" i="2"/>
  <c r="M57" i="2"/>
  <c r="Y55" i="2"/>
  <c r="AK52" i="2"/>
  <c r="K51" i="2"/>
  <c r="W49" i="2"/>
  <c r="AI46" i="2"/>
  <c r="I45" i="2"/>
  <c r="U42" i="2"/>
  <c r="AG40" i="2"/>
  <c r="G39" i="2"/>
  <c r="S37" i="2"/>
  <c r="AE35" i="2"/>
  <c r="E34" i="2"/>
  <c r="Q32" i="2"/>
  <c r="AC30" i="2"/>
  <c r="C29" i="2"/>
  <c r="O27" i="2"/>
  <c r="AA25" i="2"/>
  <c r="AM23" i="2"/>
  <c r="M22" i="2"/>
  <c r="Y20" i="2"/>
  <c r="AK18" i="2"/>
  <c r="K17" i="2"/>
  <c r="W15" i="2"/>
  <c r="N73" i="2"/>
  <c r="Z71" i="2"/>
  <c r="AL69" i="2"/>
  <c r="L68" i="2"/>
  <c r="X66" i="2"/>
  <c r="AJ64" i="2"/>
  <c r="J63" i="2"/>
  <c r="V61" i="2"/>
  <c r="AH56" i="2"/>
  <c r="H55" i="2"/>
  <c r="T52" i="2"/>
  <c r="AF50" i="2"/>
  <c r="F49" i="2"/>
  <c r="R46" i="2"/>
  <c r="AD43" i="2"/>
  <c r="D42" i="2"/>
  <c r="P40" i="2"/>
  <c r="AB38" i="2"/>
  <c r="AN36" i="2"/>
  <c r="N35" i="2"/>
  <c r="Z33" i="2"/>
  <c r="AL31" i="2"/>
  <c r="L30" i="2"/>
  <c r="X28" i="2"/>
  <c r="AJ26" i="2"/>
  <c r="J25" i="2"/>
  <c r="V23" i="2"/>
  <c r="AH21" i="2"/>
  <c r="H20" i="2"/>
  <c r="T18" i="2"/>
  <c r="AF16" i="2"/>
  <c r="F15" i="2"/>
  <c r="Y15" i="2"/>
  <c r="O13" i="2"/>
  <c r="AA11" i="2"/>
  <c r="U8" i="2"/>
  <c r="AC16" i="2"/>
  <c r="V13" i="2"/>
  <c r="AH11" i="2"/>
  <c r="H10" i="2"/>
  <c r="T8" i="2"/>
  <c r="AF6" i="2"/>
  <c r="W7" i="2"/>
  <c r="U16" i="2"/>
  <c r="U13" i="2"/>
  <c r="AG11" i="2"/>
  <c r="G10" i="2"/>
  <c r="S8" i="2"/>
  <c r="AE6" i="2"/>
  <c r="G7" i="2"/>
  <c r="Q15" i="2"/>
  <c r="L13" i="2"/>
  <c r="X11" i="2"/>
  <c r="AJ9" i="2"/>
  <c r="J8" i="2"/>
  <c r="V6" i="2"/>
  <c r="U24" i="2"/>
  <c r="U14" i="2"/>
  <c r="AG12" i="2"/>
  <c r="G11" i="2"/>
  <c r="M24" i="2"/>
  <c r="T14" i="2"/>
  <c r="AF12" i="2"/>
  <c r="F11" i="2"/>
  <c r="R9" i="2"/>
  <c r="AD7" i="2"/>
  <c r="D6" i="2"/>
  <c r="AC20" i="2"/>
  <c r="C14" i="2"/>
  <c r="O12" i="2"/>
  <c r="AA10" i="2"/>
  <c r="AM8" i="2"/>
  <c r="M7" i="2"/>
  <c r="AC8" i="2"/>
  <c r="AA15" i="2"/>
  <c r="P13" i="2"/>
  <c r="Z6" i="2"/>
  <c r="C68" i="2"/>
  <c r="AM37" i="2"/>
  <c r="AB66" i="2"/>
  <c r="V46" i="2"/>
  <c r="AD33" i="2"/>
  <c r="J15" i="2"/>
  <c r="U56" i="2"/>
  <c r="AA36" i="2"/>
  <c r="I23" i="2"/>
  <c r="AF69" i="2"/>
  <c r="AN54" i="2"/>
  <c r="AH36" i="2"/>
  <c r="P23" i="2"/>
  <c r="X14" i="3"/>
  <c r="F16" i="3"/>
  <c r="AN34" i="3"/>
  <c r="AI25" i="3"/>
  <c r="AH25" i="3"/>
  <c r="E73" i="2"/>
  <c r="Y56" i="2"/>
  <c r="G40" i="2"/>
  <c r="AA26" i="2"/>
  <c r="AF71" i="2"/>
  <c r="N55" i="2"/>
  <c r="AJ43" i="2"/>
  <c r="H37" i="2"/>
  <c r="R30" i="2"/>
  <c r="AB23" i="2"/>
  <c r="AL16" i="2"/>
  <c r="AI69" i="2"/>
  <c r="G63" i="2"/>
  <c r="Q52" i="2"/>
  <c r="E45" i="2"/>
  <c r="AA39" i="2"/>
  <c r="AI35" i="2"/>
  <c r="W33" i="2"/>
  <c r="AI31" i="2"/>
  <c r="I30" i="2"/>
  <c r="U28" i="2"/>
  <c r="AG26" i="2"/>
  <c r="Z7" i="3"/>
  <c r="P72" i="2"/>
  <c r="AB70" i="2"/>
  <c r="AN68" i="2"/>
  <c r="N67" i="2"/>
  <c r="Z65" i="2"/>
  <c r="AL63" i="2"/>
  <c r="L62" i="2"/>
  <c r="X57" i="2"/>
  <c r="AJ55" i="2"/>
  <c r="J54" i="2"/>
  <c r="V51" i="2"/>
  <c r="AH49" i="2"/>
  <c r="H47" i="2"/>
  <c r="T45" i="2"/>
  <c r="AF42" i="2"/>
  <c r="F41" i="2"/>
  <c r="R39" i="2"/>
  <c r="AD37" i="2"/>
  <c r="D36" i="2"/>
  <c r="P34" i="2"/>
  <c r="AB32" i="2"/>
  <c r="AN30" i="2"/>
  <c r="N29" i="2"/>
  <c r="Z27" i="2"/>
  <c r="AL25" i="2"/>
  <c r="L24" i="2"/>
  <c r="X22" i="2"/>
  <c r="AJ20" i="2"/>
  <c r="J19" i="2"/>
  <c r="V17" i="2"/>
  <c r="AH15" i="2"/>
  <c r="Y73" i="2"/>
  <c r="AK71" i="2"/>
  <c r="K70" i="2"/>
  <c r="W68" i="2"/>
  <c r="AI66" i="2"/>
  <c r="I65" i="2"/>
  <c r="U63" i="2"/>
  <c r="AG61" i="2"/>
  <c r="G57" i="2"/>
  <c r="S55" i="2"/>
  <c r="AE52" i="2"/>
  <c r="E51" i="2"/>
  <c r="Q49" i="2"/>
  <c r="AC46" i="2"/>
  <c r="C45" i="2"/>
  <c r="O42" i="2"/>
  <c r="AA40" i="2"/>
  <c r="AM38" i="2"/>
  <c r="M37" i="2"/>
  <c r="Y35" i="2"/>
  <c r="AK33" i="2"/>
  <c r="K32" i="2"/>
  <c r="W30" i="2"/>
  <c r="AI28" i="2"/>
  <c r="I27" i="2"/>
  <c r="U25" i="2"/>
  <c r="AG23" i="2"/>
  <c r="G22" i="2"/>
  <c r="S20" i="2"/>
  <c r="AE18" i="2"/>
  <c r="E17" i="2"/>
  <c r="AF73" i="2"/>
  <c r="F72" i="2"/>
  <c r="R70" i="2"/>
  <c r="AD68" i="2"/>
  <c r="D67" i="2"/>
  <c r="P65" i="2"/>
  <c r="AB63" i="2"/>
  <c r="AN61" i="2"/>
  <c r="N57" i="2"/>
  <c r="Z55" i="2"/>
  <c r="AL52" i="2"/>
  <c r="L51" i="2"/>
  <c r="X49" i="2"/>
  <c r="AJ46" i="2"/>
  <c r="J45" i="2"/>
  <c r="V42" i="2"/>
  <c r="AH40" i="2"/>
  <c r="H39" i="2"/>
  <c r="T37" i="2"/>
  <c r="AF35" i="2"/>
  <c r="F34" i="2"/>
  <c r="R32" i="2"/>
  <c r="AD30" i="2"/>
  <c r="D29" i="2"/>
  <c r="P27" i="2"/>
  <c r="AB25" i="2"/>
  <c r="AN23" i="2"/>
  <c r="N22" i="2"/>
  <c r="Z20" i="2"/>
  <c r="AL18" i="2"/>
  <c r="L17" i="2"/>
  <c r="X15" i="2"/>
  <c r="W73" i="2"/>
  <c r="AI71" i="2"/>
  <c r="I70" i="2"/>
  <c r="U68" i="2"/>
  <c r="AG66" i="2"/>
  <c r="G65" i="2"/>
  <c r="S63" i="2"/>
  <c r="AE61" i="2"/>
  <c r="E57" i="2"/>
  <c r="Q55" i="2"/>
  <c r="AC52" i="2"/>
  <c r="C51" i="2"/>
  <c r="O49" i="2"/>
  <c r="AA46" i="2"/>
  <c r="AM43" i="2"/>
  <c r="M42" i="2"/>
  <c r="Y40" i="2"/>
  <c r="AK38" i="2"/>
  <c r="K37" i="2"/>
  <c r="W35" i="2"/>
  <c r="AI33" i="2"/>
  <c r="I32" i="2"/>
  <c r="U30" i="2"/>
  <c r="AG28" i="2"/>
  <c r="G27" i="2"/>
  <c r="S25" i="2"/>
  <c r="AE23" i="2"/>
  <c r="E22" i="2"/>
  <c r="Q20" i="2"/>
  <c r="AC18" i="2"/>
  <c r="C17" i="2"/>
  <c r="O15" i="2"/>
  <c r="F73" i="2"/>
  <c r="R71" i="2"/>
  <c r="AD69" i="2"/>
  <c r="D68" i="2"/>
  <c r="P66" i="2"/>
  <c r="AB64" i="2"/>
  <c r="AN62" i="2"/>
  <c r="N61" i="2"/>
  <c r="Z56" i="2"/>
  <c r="AL54" i="2"/>
  <c r="L52" i="2"/>
  <c r="X50" i="2"/>
  <c r="AJ47" i="2"/>
  <c r="J46" i="2"/>
  <c r="V43" i="2"/>
  <c r="AH41" i="2"/>
  <c r="H40" i="2"/>
  <c r="T38" i="2"/>
  <c r="AF36" i="2"/>
  <c r="F35" i="2"/>
  <c r="R33" i="2"/>
  <c r="AD31" i="2"/>
  <c r="D30" i="2"/>
  <c r="P28" i="2"/>
  <c r="AB26" i="2"/>
  <c r="AN24" i="2"/>
  <c r="N23" i="2"/>
  <c r="Z21" i="2"/>
  <c r="AL19" i="2"/>
  <c r="L18" i="2"/>
  <c r="X16" i="2"/>
  <c r="AJ14" i="2"/>
  <c r="C15" i="2"/>
  <c r="G13" i="2"/>
  <c r="S11" i="2"/>
  <c r="AA7" i="2"/>
  <c r="U15" i="2"/>
  <c r="N13" i="2"/>
  <c r="Z11" i="2"/>
  <c r="AL9" i="2"/>
  <c r="L8" i="2"/>
  <c r="X6" i="2"/>
  <c r="U6" i="2"/>
  <c r="S15" i="2"/>
  <c r="M13" i="2"/>
  <c r="Y11" i="2"/>
  <c r="AK9" i="2"/>
  <c r="K8" i="2"/>
  <c r="W6" i="2"/>
  <c r="M6" i="2"/>
  <c r="AG14" i="2"/>
  <c r="D13" i="2"/>
  <c r="P11" i="2"/>
  <c r="AB9" i="2"/>
  <c r="AN7" i="2"/>
  <c r="AC10" i="2"/>
  <c r="AG22" i="2"/>
  <c r="M14" i="2"/>
  <c r="Y12" i="2"/>
  <c r="AK10" i="2"/>
  <c r="Y22" i="2"/>
  <c r="L14" i="2"/>
  <c r="X12" i="2"/>
  <c r="AJ10" i="2"/>
  <c r="J9" i="2"/>
  <c r="V7" i="2"/>
  <c r="AM9" i="2"/>
  <c r="C19" i="2"/>
  <c r="AG13" i="2"/>
  <c r="G12" i="2"/>
  <c r="S10" i="2"/>
  <c r="AE8" i="2"/>
  <c r="E7" i="2"/>
  <c r="AI7" i="2"/>
  <c r="E15" i="2"/>
  <c r="H13" i="2"/>
  <c r="T11" i="2"/>
  <c r="AF9" i="2"/>
  <c r="F8" i="2"/>
  <c r="R6" i="2"/>
  <c r="M25" i="3"/>
  <c r="Y21" i="2"/>
  <c r="P21" i="2"/>
  <c r="AK32" i="2"/>
  <c r="R73" i="2"/>
  <c r="AL56" i="2"/>
  <c r="H42" i="2"/>
  <c r="AB28" i="2"/>
  <c r="X18" i="2"/>
  <c r="K66" i="2"/>
  <c r="S50" i="2"/>
  <c r="O38" i="2"/>
  <c r="AI24" i="2"/>
  <c r="T71" i="2"/>
  <c r="P61" i="2"/>
  <c r="X43" i="2"/>
  <c r="F30" i="2"/>
  <c r="N18" i="2"/>
  <c r="AC35" i="3"/>
  <c r="AD9" i="3"/>
  <c r="AJ27" i="3"/>
  <c r="C22" i="3"/>
  <c r="Z23" i="3"/>
  <c r="Q71" i="2"/>
  <c r="AK54" i="2"/>
  <c r="S38" i="2"/>
  <c r="AM24" i="2"/>
  <c r="F70" i="2"/>
  <c r="Z52" i="2"/>
  <c r="L43" i="2"/>
  <c r="V36" i="2"/>
  <c r="AF29" i="2"/>
  <c r="D23" i="2"/>
  <c r="N16" i="2"/>
  <c r="K69" i="2"/>
  <c r="U62" i="2"/>
  <c r="AE51" i="2"/>
  <c r="AA43" i="2"/>
  <c r="C39" i="2"/>
  <c r="AA35" i="2"/>
  <c r="O33" i="2"/>
  <c r="AA31" i="2"/>
  <c r="AM29" i="2"/>
  <c r="M28" i="2"/>
  <c r="Y26" i="2"/>
  <c r="AJ73" i="2"/>
  <c r="H72" i="2"/>
  <c r="T70" i="2"/>
  <c r="AF68" i="2"/>
  <c r="F67" i="2"/>
  <c r="R65" i="2"/>
  <c r="AD63" i="2"/>
  <c r="D62" i="2"/>
  <c r="P57" i="2"/>
  <c r="AB55" i="2"/>
  <c r="AN52" i="2"/>
  <c r="N51" i="2"/>
  <c r="Z49" i="2"/>
  <c r="AL46" i="2"/>
  <c r="L45" i="2"/>
  <c r="X42" i="2"/>
  <c r="AJ40" i="2"/>
  <c r="J39" i="2"/>
  <c r="V37" i="2"/>
  <c r="AH35" i="2"/>
  <c r="H34" i="2"/>
  <c r="T32" i="2"/>
  <c r="AF30" i="2"/>
  <c r="F29" i="2"/>
  <c r="R27" i="2"/>
  <c r="AD25" i="2"/>
  <c r="D24" i="2"/>
  <c r="P22" i="2"/>
  <c r="AB20" i="2"/>
  <c r="AN18" i="2"/>
  <c r="N17" i="2"/>
  <c r="Z15" i="2"/>
  <c r="Q73" i="2"/>
  <c r="AC71" i="2"/>
  <c r="C70" i="2"/>
  <c r="O68" i="2"/>
  <c r="AA66" i="2"/>
  <c r="AM64" i="2"/>
  <c r="M63" i="2"/>
  <c r="Y61" i="2"/>
  <c r="AK56" i="2"/>
  <c r="K55" i="2"/>
  <c r="W52" i="2"/>
  <c r="AI50" i="2"/>
  <c r="I49" i="2"/>
  <c r="U46" i="2"/>
  <c r="AG43" i="2"/>
  <c r="G42" i="2"/>
  <c r="S40" i="2"/>
  <c r="AE38" i="2"/>
  <c r="E37" i="2"/>
  <c r="Q35" i="2"/>
  <c r="AC33" i="2"/>
  <c r="C32" i="2"/>
  <c r="O30" i="2"/>
  <c r="AA28" i="2"/>
  <c r="AM26" i="2"/>
  <c r="M25" i="2"/>
  <c r="Y23" i="2"/>
  <c r="AK21" i="2"/>
  <c r="K20" i="2"/>
  <c r="W18" i="2"/>
  <c r="AI16" i="2"/>
  <c r="X73" i="2"/>
  <c r="AJ71" i="2"/>
  <c r="J70" i="2"/>
  <c r="V68" i="2"/>
  <c r="AH66" i="2"/>
  <c r="H65" i="2"/>
  <c r="T63" i="2"/>
  <c r="AF61" i="2"/>
  <c r="F57" i="2"/>
  <c r="R55" i="2"/>
  <c r="AD52" i="2"/>
  <c r="D51" i="2"/>
  <c r="P49" i="2"/>
  <c r="AB46" i="2"/>
  <c r="AN43" i="2"/>
  <c r="N42" i="2"/>
  <c r="Z40" i="2"/>
  <c r="AL38" i="2"/>
  <c r="L37" i="2"/>
  <c r="X35" i="2"/>
  <c r="AJ33" i="2"/>
  <c r="J32" i="2"/>
  <c r="V30" i="2"/>
  <c r="AH28" i="2"/>
  <c r="H27" i="2"/>
  <c r="T25" i="2"/>
  <c r="AF23" i="2"/>
  <c r="F22" i="2"/>
  <c r="R20" i="2"/>
  <c r="AD18" i="2"/>
  <c r="D17" i="2"/>
  <c r="P15" i="2"/>
  <c r="O73" i="2"/>
  <c r="AA71" i="2"/>
  <c r="AM69" i="2"/>
  <c r="M68" i="2"/>
  <c r="Y66" i="2"/>
  <c r="AK64" i="2"/>
  <c r="K63" i="2"/>
  <c r="W61" i="2"/>
  <c r="AI56" i="2"/>
  <c r="I55" i="2"/>
  <c r="U52" i="2"/>
  <c r="AG50" i="2"/>
  <c r="G49" i="2"/>
  <c r="S46" i="2"/>
  <c r="AE43" i="2"/>
  <c r="E42" i="2"/>
  <c r="Q40" i="2"/>
  <c r="AC38" i="2"/>
  <c r="C37" i="2"/>
  <c r="O35" i="2"/>
  <c r="AA33" i="2"/>
  <c r="AM31" i="2"/>
  <c r="M30" i="2"/>
  <c r="Y28" i="2"/>
  <c r="AK26" i="2"/>
  <c r="K25" i="2"/>
  <c r="W23" i="2"/>
  <c r="AI21" i="2"/>
  <c r="I20" i="2"/>
  <c r="U18" i="2"/>
  <c r="AG16" i="2"/>
  <c r="G15" i="2"/>
  <c r="AJ72" i="2"/>
  <c r="J71" i="2"/>
  <c r="V69" i="2"/>
  <c r="AH67" i="2"/>
  <c r="H66" i="2"/>
  <c r="T64" i="2"/>
  <c r="AF62" i="2"/>
  <c r="F61" i="2"/>
  <c r="R56" i="2"/>
  <c r="AD54" i="2"/>
  <c r="D52" i="2"/>
  <c r="P50" i="2"/>
  <c r="AB47" i="2"/>
  <c r="AN45" i="2"/>
  <c r="N43" i="2"/>
  <c r="Z41" i="2"/>
  <c r="AL39" i="2"/>
  <c r="L38" i="2"/>
  <c r="X36" i="2"/>
  <c r="AJ34" i="2"/>
  <c r="J33" i="2"/>
  <c r="V31" i="2"/>
  <c r="AH29" i="2"/>
  <c r="H28" i="2"/>
  <c r="T26" i="2"/>
  <c r="AF24" i="2"/>
  <c r="F23" i="2"/>
  <c r="R21" i="2"/>
  <c r="AD19" i="2"/>
  <c r="D18" i="2"/>
  <c r="P16" i="2"/>
  <c r="O25" i="2"/>
  <c r="Y14" i="2"/>
  <c r="AK12" i="2"/>
  <c r="K11" i="2"/>
  <c r="AG6" i="2"/>
  <c r="AM14" i="2"/>
  <c r="F13" i="2"/>
  <c r="R11" i="2"/>
  <c r="AD9" i="2"/>
  <c r="D8" i="2"/>
  <c r="P6" i="2"/>
  <c r="Q6" i="2"/>
  <c r="AI14" i="2"/>
  <c r="E13" i="2"/>
  <c r="Q11" i="2"/>
  <c r="AC9" i="2"/>
  <c r="C8" i="2"/>
  <c r="O6" i="2"/>
  <c r="AC24" i="2"/>
  <c r="V14" i="2"/>
  <c r="AH12" i="2"/>
  <c r="H11" i="2"/>
  <c r="T9" i="2"/>
  <c r="AF7" i="2"/>
  <c r="AA9" i="2"/>
  <c r="G21" i="2"/>
  <c r="E14" i="2"/>
  <c r="Q12" i="2"/>
  <c r="M10" i="2"/>
  <c r="AK20" i="2"/>
  <c r="D14" i="2"/>
  <c r="P12" i="2"/>
  <c r="AB10" i="2"/>
  <c r="AN8" i="2"/>
  <c r="N7" i="2"/>
  <c r="AK8" i="2"/>
  <c r="O17" i="2"/>
  <c r="Y13" i="2"/>
  <c r="AK11" i="2"/>
  <c r="K10" i="2"/>
  <c r="W8" i="2"/>
  <c r="AI6" i="2"/>
  <c r="C7" i="2"/>
  <c r="Z14" i="2"/>
  <c r="AL12" i="2"/>
  <c r="L11" i="2"/>
  <c r="X9" i="2"/>
  <c r="AJ7" i="2"/>
  <c r="J6" i="2"/>
  <c r="T19" i="3"/>
  <c r="AD66" i="2"/>
  <c r="R9" i="3"/>
  <c r="Y34" i="2"/>
  <c r="AD71" i="2"/>
  <c r="Z61" i="2"/>
  <c r="AH43" i="2"/>
  <c r="D32" i="2"/>
  <c r="AJ16" i="2"/>
  <c r="W64" i="2"/>
  <c r="AE47" i="2"/>
  <c r="AM34" i="2"/>
  <c r="W26" i="2"/>
  <c r="H73" i="2"/>
  <c r="AB56" i="2"/>
  <c r="AJ41" i="2"/>
  <c r="AF31" i="2"/>
  <c r="AN19" i="2"/>
  <c r="AM25" i="3"/>
  <c r="T33" i="3"/>
  <c r="L23" i="3"/>
  <c r="AA17" i="3"/>
  <c r="R21" i="3"/>
  <c r="AC69" i="2"/>
  <c r="K52" i="2"/>
  <c r="AE36" i="2"/>
  <c r="M23" i="2"/>
  <c r="R68" i="2"/>
  <c r="AL50" i="2"/>
  <c r="J42" i="2"/>
  <c r="T35" i="2"/>
  <c r="AD28" i="2"/>
  <c r="AN21" i="2"/>
  <c r="L15" i="2"/>
  <c r="I68" i="2"/>
  <c r="S61" i="2"/>
  <c r="AC50" i="2"/>
  <c r="C43" i="2"/>
  <c r="Y38" i="2"/>
  <c r="K35" i="2"/>
  <c r="G33" i="2"/>
  <c r="S31" i="2"/>
  <c r="AE29" i="2"/>
  <c r="E28" i="2"/>
  <c r="Q26" i="2"/>
  <c r="Z73" i="2"/>
  <c r="AL71" i="2"/>
  <c r="L70" i="2"/>
  <c r="X68" i="2"/>
  <c r="AJ66" i="2"/>
  <c r="J65" i="2"/>
  <c r="V63" i="2"/>
  <c r="AH61" i="2"/>
  <c r="H57" i="2"/>
  <c r="T55" i="2"/>
  <c r="AF52" i="2"/>
  <c r="F51" i="2"/>
  <c r="R49" i="2"/>
  <c r="AD46" i="2"/>
  <c r="D45" i="2"/>
  <c r="P42" i="2"/>
  <c r="AB40" i="2"/>
  <c r="AN38" i="2"/>
  <c r="N37" i="2"/>
  <c r="Z35" i="2"/>
  <c r="AL33" i="2"/>
  <c r="L32" i="2"/>
  <c r="X30" i="2"/>
  <c r="AJ28" i="2"/>
  <c r="J27" i="2"/>
  <c r="V25" i="2"/>
  <c r="AH23" i="2"/>
  <c r="H22" i="2"/>
  <c r="T20" i="2"/>
  <c r="AF18" i="2"/>
  <c r="F17" i="2"/>
  <c r="R15" i="2"/>
  <c r="I73" i="2"/>
  <c r="U71" i="2"/>
  <c r="AG69" i="2"/>
  <c r="G68" i="2"/>
  <c r="S66" i="2"/>
  <c r="AE64" i="2"/>
  <c r="E63" i="2"/>
  <c r="Q61" i="2"/>
  <c r="AC56" i="2"/>
  <c r="C55" i="2"/>
  <c r="O52" i="2"/>
  <c r="AA50" i="2"/>
  <c r="AM47" i="2"/>
  <c r="M46" i="2"/>
  <c r="Y43" i="2"/>
  <c r="AK41" i="2"/>
  <c r="K40" i="2"/>
  <c r="W38" i="2"/>
  <c r="AI36" i="2"/>
  <c r="I35" i="2"/>
  <c r="U33" i="2"/>
  <c r="AG31" i="2"/>
  <c r="G30" i="2"/>
  <c r="S28" i="2"/>
  <c r="AE26" i="2"/>
  <c r="E25" i="2"/>
  <c r="Q23" i="2"/>
  <c r="AC21" i="2"/>
  <c r="C20" i="2"/>
  <c r="O18" i="2"/>
  <c r="AA16" i="2"/>
  <c r="P73" i="2"/>
  <c r="AB71" i="2"/>
  <c r="AN69" i="2"/>
  <c r="N68" i="2"/>
  <c r="Z66" i="2"/>
  <c r="AL64" i="2"/>
  <c r="L63" i="2"/>
  <c r="X61" i="2"/>
  <c r="AJ56" i="2"/>
  <c r="J55" i="2"/>
  <c r="V52" i="2"/>
  <c r="AH50" i="2"/>
  <c r="H49" i="2"/>
  <c r="T46" i="2"/>
  <c r="AF43" i="2"/>
  <c r="F42" i="2"/>
  <c r="R40" i="2"/>
  <c r="AD38" i="2"/>
  <c r="D37" i="2"/>
  <c r="P35" i="2"/>
  <c r="AB33" i="2"/>
  <c r="AN31" i="2"/>
  <c r="N30" i="2"/>
  <c r="Z28" i="2"/>
  <c r="AL26" i="2"/>
  <c r="L25" i="2"/>
  <c r="X23" i="2"/>
  <c r="AJ21" i="2"/>
  <c r="J20" i="2"/>
  <c r="V18" i="2"/>
  <c r="AH16" i="2"/>
  <c r="H15" i="2"/>
  <c r="G73" i="2"/>
  <c r="S71" i="2"/>
  <c r="AE69" i="2"/>
  <c r="E68" i="2"/>
  <c r="Q66" i="2"/>
  <c r="AC64" i="2"/>
  <c r="C63" i="2"/>
  <c r="O61" i="2"/>
  <c r="AA56" i="2"/>
  <c r="AM54" i="2"/>
  <c r="M52" i="2"/>
  <c r="Y50" i="2"/>
  <c r="AK47" i="2"/>
  <c r="K46" i="2"/>
  <c r="W43" i="2"/>
  <c r="AI41" i="2"/>
  <c r="I40" i="2"/>
  <c r="U38" i="2"/>
  <c r="AG36" i="2"/>
  <c r="G35" i="2"/>
  <c r="S33" i="2"/>
  <c r="AE31" i="2"/>
  <c r="E30" i="2"/>
  <c r="Q28" i="2"/>
  <c r="AC26" i="2"/>
  <c r="C25" i="2"/>
  <c r="O23" i="2"/>
  <c r="AA21" i="2"/>
  <c r="AM19" i="2"/>
  <c r="M18" i="2"/>
  <c r="Y16" i="2"/>
  <c r="AK14" i="2"/>
  <c r="AB72" i="2"/>
  <c r="AN70" i="2"/>
  <c r="N69" i="2"/>
  <c r="Z67" i="2"/>
  <c r="AL65" i="2"/>
  <c r="L64" i="2"/>
  <c r="X62" i="2"/>
  <c r="AJ57" i="2"/>
  <c r="J56" i="2"/>
  <c r="V54" i="2"/>
  <c r="AH51" i="2"/>
  <c r="H50" i="2"/>
  <c r="T47" i="2"/>
  <c r="AF45" i="2"/>
  <c r="F43" i="2"/>
  <c r="R41" i="2"/>
  <c r="AD39" i="2"/>
  <c r="D38" i="2"/>
  <c r="P36" i="2"/>
  <c r="AB34" i="2"/>
  <c r="AN32" i="2"/>
  <c r="N31" i="2"/>
  <c r="Z29" i="2"/>
  <c r="AL27" i="2"/>
  <c r="L26" i="2"/>
  <c r="X24" i="2"/>
  <c r="AJ22" i="2"/>
  <c r="J21" i="2"/>
  <c r="V19" i="2"/>
  <c r="AH17" i="2"/>
  <c r="H16" i="2"/>
  <c r="AA23" i="2"/>
  <c r="Q14" i="2"/>
  <c r="AC12" i="2"/>
  <c r="C11" i="2"/>
  <c r="G25" i="2"/>
  <c r="X14" i="2"/>
  <c r="AJ12" i="2"/>
  <c r="J11" i="2"/>
  <c r="V9" i="2"/>
  <c r="AH7" i="2"/>
  <c r="H6" i="2"/>
  <c r="AK24" i="2"/>
  <c r="W14" i="2"/>
  <c r="AI12" i="2"/>
  <c r="I11" i="2"/>
  <c r="U9" i="2"/>
  <c r="AG7" i="2"/>
  <c r="G6" i="2"/>
  <c r="C23" i="2"/>
  <c r="N14" i="2"/>
  <c r="Z12" i="2"/>
  <c r="AL10" i="2"/>
  <c r="L9" i="2"/>
  <c r="X7" i="2"/>
  <c r="AG8" i="2"/>
  <c r="S19" i="2"/>
  <c r="AI13" i="2"/>
  <c r="I12" i="2"/>
  <c r="AI9" i="2"/>
  <c r="K19" i="2"/>
  <c r="AH13" i="2"/>
  <c r="H12" i="2"/>
  <c r="T10" i="2"/>
  <c r="AF8" i="2"/>
  <c r="F7" i="2"/>
  <c r="E8" i="2"/>
  <c r="AG15" i="2"/>
  <c r="Q13" i="2"/>
  <c r="AC11" i="2"/>
  <c r="C10" i="2"/>
  <c r="O8" i="2"/>
  <c r="AA6" i="2"/>
  <c r="AI23" i="2"/>
  <c r="R14" i="2"/>
  <c r="AD12" i="2"/>
  <c r="D11" i="2"/>
  <c r="P9" i="2"/>
  <c r="AB7" i="2"/>
  <c r="Q10" i="2"/>
  <c r="W19" i="3"/>
  <c r="N50" i="2"/>
  <c r="W67" i="2"/>
  <c r="K31" i="2"/>
  <c r="P68" i="2"/>
  <c r="X52" i="2"/>
  <c r="T40" i="2"/>
  <c r="P30" i="2"/>
  <c r="L20" i="2"/>
  <c r="AK67" i="2"/>
  <c r="G52" i="2"/>
  <c r="AC41" i="2"/>
  <c r="AK29" i="2"/>
  <c r="G18" i="2"/>
  <c r="R66" i="2"/>
  <c r="N52" i="2"/>
  <c r="J40" i="2"/>
  <c r="AD26" i="2"/>
  <c r="Z16" i="2"/>
  <c r="AG62" i="2"/>
  <c r="O43" i="2"/>
  <c r="AI29" i="2"/>
  <c r="Q16" i="2"/>
  <c r="P62" i="2"/>
  <c r="AJ42" i="2"/>
  <c r="R29" i="2"/>
  <c r="AL15" i="2"/>
  <c r="AN10" i="2"/>
  <c r="M9" i="2"/>
  <c r="P7" i="2"/>
  <c r="AL11" i="2"/>
  <c r="AG9" i="2"/>
  <c r="T7" i="2"/>
  <c r="L10" i="2"/>
  <c r="W9" i="2"/>
  <c r="I22" i="2"/>
  <c r="R67" i="2"/>
  <c r="K9" i="2"/>
  <c r="AL14" i="2"/>
  <c r="G61" i="2"/>
  <c r="AA41" i="2"/>
  <c r="I28" i="2"/>
  <c r="AC14" i="2"/>
  <c r="AB57" i="2"/>
  <c r="J41" i="2"/>
  <c r="AD27" i="2"/>
  <c r="AM21" i="2"/>
  <c r="N9" i="2"/>
  <c r="Y7" i="2"/>
  <c r="AM7" i="2"/>
  <c r="G8" i="2"/>
  <c r="AI67" i="2"/>
  <c r="O14" i="2"/>
  <c r="AK72" i="2"/>
  <c r="S56" i="2"/>
  <c r="AM39" i="2"/>
  <c r="U26" i="2"/>
  <c r="T72" i="2"/>
  <c r="AN55" i="2"/>
  <c r="V39" i="2"/>
  <c r="D26" i="2"/>
  <c r="I14" i="2"/>
  <c r="Z7" i="2"/>
  <c r="F6" i="2"/>
  <c r="AE17" i="2"/>
  <c r="X8" i="2"/>
  <c r="S6" i="2"/>
  <c r="AK34" i="2"/>
  <c r="S23" i="2"/>
  <c r="K71" i="2"/>
  <c r="AE54" i="2"/>
  <c r="M38" i="2"/>
  <c r="AG24" i="2"/>
  <c r="AF70" i="2"/>
  <c r="N54" i="2"/>
  <c r="AH37" i="2"/>
  <c r="P24" i="2"/>
  <c r="U12" i="2"/>
  <c r="N6" i="2"/>
  <c r="O21" i="2"/>
  <c r="AA13" i="2"/>
  <c r="AJ6" i="2"/>
  <c r="Q50" i="2"/>
  <c r="T34" i="2"/>
  <c r="W69" i="2"/>
  <c r="E52" i="2"/>
  <c r="Y36" i="2"/>
  <c r="G23" i="2"/>
  <c r="F69" i="2"/>
  <c r="Z51" i="2"/>
  <c r="H36" i="2"/>
  <c r="AB22" i="2"/>
  <c r="AG10" i="2"/>
  <c r="K23" i="2"/>
  <c r="F14" i="2"/>
  <c r="AM11" i="2"/>
  <c r="K7" i="2"/>
  <c r="J14" i="2"/>
  <c r="S21" i="2"/>
  <c r="I15" i="2"/>
  <c r="I66" i="2"/>
  <c r="AC47" i="2"/>
  <c r="K33" i="2"/>
  <c r="AE19" i="2"/>
  <c r="AD65" i="2"/>
  <c r="L47" i="2"/>
  <c r="AF32" i="2"/>
  <c r="N19" i="2"/>
  <c r="P14" i="2"/>
  <c r="AA12" i="2"/>
  <c r="AD10" i="2"/>
  <c r="W17" i="2"/>
  <c r="I13" i="2"/>
  <c r="AH10" i="2"/>
  <c r="AL49" i="2"/>
  <c r="R12" i="2"/>
  <c r="U64" i="2"/>
  <c r="C46" i="2"/>
  <c r="W31" i="2"/>
  <c r="E18" i="2"/>
  <c r="D64" i="2"/>
  <c r="X45" i="2"/>
  <c r="F31" i="2"/>
  <c r="Z17" i="2"/>
  <c r="AB12" i="2"/>
  <c r="AM10" i="2"/>
  <c r="D9" i="2"/>
  <c r="Z13" i="2"/>
  <c r="U11" i="2"/>
  <c r="H9" i="2"/>
  <c r="AN20" i="2"/>
  <c r="V12" i="2"/>
</calcChain>
</file>

<file path=xl/sharedStrings.xml><?xml version="1.0" encoding="utf-8"?>
<sst xmlns="http://schemas.openxmlformats.org/spreadsheetml/2006/main" count="943" uniqueCount="507">
  <si>
    <t>Revenue</t>
  </si>
  <si>
    <t>Gross Profit</t>
  </si>
  <si>
    <t>Cash &amp; Equivalents</t>
  </si>
  <si>
    <t>Reference Items</t>
  </si>
  <si>
    <t>Right click to show data transparency (not supported for all values)</t>
  </si>
  <si>
    <t>Amazon.com Inc (AMZN US) - Adjusted</t>
  </si>
  <si>
    <t>In Millions of USD except Per Share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</si>
  <si>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</si>
  <si>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</si>
  <si>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</si>
  <si>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</si>
  <si>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</si>
  <si>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</si>
  <si>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</si>
  <si>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</si>
  <si>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</si>
  <si>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</si>
  <si>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</si>
  <si>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</si>
  <si>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</si>
  <si>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</si>
  <si>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</si>
  <si>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</si>
  <si>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</si>
  <si>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</si>
  <si>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</si>
  <si>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</si>
  <si>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</si>
  <si>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</si>
  <si>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</si>
  <si>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</si>
  <si>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</si>
  <si>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</si>
  <si>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</si>
  <si>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</si>
  <si>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</si>
  <si>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</si>
  <si>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</si>
  <si>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</si>
  <si>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</si>
  <si>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</si>
  <si>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</si>
  <si>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</si>
  <si>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</si>
  <si>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</si>
  <si>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 Est</t>
  </si>
  <si>
    <t>Q4 2018 Est</t>
  </si>
  <si>
    <t>3 Months Ending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</si>
  <si>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</si>
  <si>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</si>
  <si>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</si>
  <si>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</si>
  <si>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</si>
  <si>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</si>
  <si>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</si>
  <si>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</si>
  <si>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</si>
  <si>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</si>
  <si>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</si>
  <si>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</si>
  <si>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</si>
  <si>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</si>
  <si>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</si>
  <si>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</si>
  <si>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</si>
  <si>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</si>
  <si>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</si>
  <si>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</si>
  <si>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</si>
  <si>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</si>
  <si>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</si>
  <si>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</si>
  <si>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</si>
  <si>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</si>
  <si>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</si>
  <si>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</si>
  <si>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</si>
  <si>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</si>
  <si>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</si>
  <si>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</si>
  <si>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</si>
  <si>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</si>
  <si>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</si>
  <si>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</si>
  <si>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</si>
  <si>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</si>
  <si>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</si>
  <si>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</si>
  <si>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SALES_REV_TURN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</si>
  <si>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</si>
  <si>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</si>
  <si>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</si>
  <si>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</si>
  <si>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</si>
  <si>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</si>
  <si>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</si>
  <si>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</si>
  <si>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</si>
  <si>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</si>
  <si>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</si>
  <si>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</si>
  <si>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IS_SG&amp;A_EXPENSE</t>
  </si>
  <si>
    <t xml:space="preserve">    + Selling &amp; Marketing</t>
  </si>
  <si>
    <t>IS_SELLING_EXPENSES</t>
  </si>
  <si>
    <t xml:space="preserve">    + General &amp; Administrative</t>
  </si>
  <si>
    <t>IS_GENERAL_AND_ADMINISTRATIVE</t>
  </si>
  <si>
    <t xml:space="preserve">    + Research &amp; Development</t>
  </si>
  <si>
    <t>IS_OPEX_R&amp;D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</si>
  <si>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</si>
  <si>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</si>
  <si>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</si>
  <si>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</si>
  <si>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</si>
  <si>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</si>
  <si>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</si>
  <si>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</si>
  <si>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</si>
  <si>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</si>
  <si>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</si>
  <si>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</si>
  <si>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</si>
  <si>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</si>
  <si>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</si>
  <si>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</si>
  <si>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</si>
  <si>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</si>
  <si>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</si>
  <si>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</si>
  <si>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Merger/Acquisition Expense</t>
  </si>
  <si>
    <t>IS_MERGER_ACQUISITION_EXPENSE</t>
  </si>
  <si>
    <t xml:space="preserve">    + Legal Settlement</t>
  </si>
  <si>
    <t>IS_LEGAL_LITIGATION_SETTLEMENT</t>
  </si>
  <si>
    <t xml:space="preserve">    + Sale of Investments</t>
  </si>
  <si>
    <t>IS_GAIN_LOSS_ON_INVESTMENTS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</si>
  <si>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</si>
  <si>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</si>
  <si>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</si>
  <si>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</si>
  <si>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</si>
  <si>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- (Income) Loss from Affiliates</t>
  </si>
  <si>
    <t>IS_SH_PRO_EQY_MT_INV_NET_OF_TAX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</si>
  <si>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</si>
  <si>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</si>
  <si>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</si>
  <si>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</si>
  <si>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</si>
  <si>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</si>
  <si>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</si>
  <si>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IS_EXTRAORD_ITEMS_&amp;_ACCTG_CHNG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</si>
  <si>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</si>
  <si>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</si>
  <si>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</si>
  <si>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</si>
  <si>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</si>
  <si>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</si>
  <si>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</si>
  <si>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</si>
  <si>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</si>
  <si>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</si>
  <si>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</si>
  <si>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</si>
  <si>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</si>
  <si>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</si>
  <si>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</si>
  <si>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</si>
  <si>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</si>
  <si>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</si>
  <si>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</si>
  <si>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</si>
  <si>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</si>
  <si>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</si>
  <si>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</si>
  <si>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</si>
  <si>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</si>
  <si>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</si>
  <si>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</si>
  <si>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</si>
  <si>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</si>
  <si>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</si>
  <si>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</si>
  <si>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</si>
  <si>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Accounting Standard</t>
  </si>
  <si>
    <t>ACCOUNTING_STANDARD</t>
  </si>
  <si>
    <t>US GAAP</t>
  </si>
  <si>
    <t>EBITDA</t>
  </si>
  <si>
    <t>EBITDA Margin (T12M)</t>
  </si>
  <si>
    <t>EBITDA_MARGIN</t>
  </si>
  <si>
    <t>EBITA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</si>
  <si>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</si>
  <si>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</si>
  <si>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</si>
  <si>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</si>
  <si>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</si>
  <si>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</si>
  <si>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</si>
  <si>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</si>
  <si>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</si>
  <si>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</si>
  <si>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</si>
  <si>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</si>
  <si>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</si>
  <si>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Capitalized Interest Expense</t>
  </si>
  <si>
    <t>IS_CAP_INT_EXP</t>
  </si>
  <si>
    <t>Depreciation Expense</t>
  </si>
  <si>
    <t>IS_DEPR_EXP</t>
  </si>
  <si>
    <t>Rental Expense</t>
  </si>
  <si>
    <t>BS_CURR_RENTAL_EXPENSE</t>
  </si>
  <si>
    <t>Source: Bloomberg</t>
  </si>
  <si>
    <t>Amazon.com Inc (AMZN US) - Standardized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</si>
  <si>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</si>
  <si>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</si>
  <si>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</si>
  <si>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</si>
  <si>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</si>
  <si>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</si>
  <si>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</si>
  <si>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</si>
  <si>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</si>
  <si>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</si>
  <si>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</si>
  <si>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</si>
  <si>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</si>
  <si>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</si>
  <si>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</si>
  <si>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</si>
  <si>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</si>
  <si>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</si>
  <si>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</si>
  <si>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</si>
  <si>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</si>
  <si>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</si>
  <si>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</si>
  <si>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</si>
  <si>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</si>
  <si>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Derivative &amp; Hedging Assets</t>
  </si>
  <si>
    <t>BS_DERIV_&amp;_HEDGING_ASSETS_ST</t>
  </si>
  <si>
    <t xml:space="preserve">    + Deferred Tax Assets</t>
  </si>
  <si>
    <t>BS_DEFERRED_TAX_ASSETS_ST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</si>
  <si>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</si>
  <si>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</si>
  <si>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</si>
  <si>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</si>
  <si>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</si>
  <si>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</si>
  <si>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</si>
  <si>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</si>
  <si>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</si>
  <si>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</si>
  <si>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</si>
  <si>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</si>
  <si>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</si>
  <si>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</si>
  <si>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</si>
  <si>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</si>
  <si>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</si>
  <si>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</si>
  <si>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</si>
  <si>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</si>
  <si>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>BS_DEFERRED_TAX_ASSETS_LT</t>
  </si>
  <si>
    <t>BS_DERIV_&amp;_HEDGING_ASSETS_LT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</si>
  <si>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</si>
  <si>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</si>
  <si>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</si>
  <si>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</si>
  <si>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</si>
  <si>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</si>
  <si>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</si>
  <si>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</si>
  <si>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</si>
  <si>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</si>
  <si>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</si>
  <si>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</si>
  <si>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</si>
  <si>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BS_INTEREST_&amp;_DIVIDENDS_PAYABLE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</si>
  <si>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</si>
  <si>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</si>
  <si>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</si>
  <si>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</si>
  <si>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</si>
  <si>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</si>
  <si>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Capital Leases</t>
  </si>
  <si>
    <t>ST_CAPITAL_LEASE_OBLIGATIONS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</si>
  <si>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</si>
  <si>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</si>
  <si>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</si>
  <si>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</si>
  <si>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</si>
  <si>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</si>
  <si>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</si>
  <si>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BS_DERIVATIVE_&amp;_HEDGING_LIABS_ST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</si>
  <si>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</si>
  <si>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</si>
  <si>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</si>
  <si>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</si>
  <si>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</si>
  <si>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</si>
  <si>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</si>
  <si>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</si>
  <si>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Capital Leases</t>
  </si>
  <si>
    <t>LT_CAPITAL_LEASE_OBLIGATIONS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</si>
  <si>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</si>
  <si>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</si>
  <si>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</si>
  <si>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</si>
  <si>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</si>
  <si>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</si>
  <si>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>LT_DEFERRED_REVENUE</t>
  </si>
  <si>
    <t xml:space="preserve">    + Deferred Tax Liabilities</t>
  </si>
  <si>
    <t>BS_DEFERRED_TAX_LIABILITIES_LT</t>
  </si>
  <si>
    <t>BS_DERIVATIVE_&amp;_HEDGING_LIABS_LT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</si>
  <si>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</si>
  <si>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</si>
  <si>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</si>
  <si>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</si>
  <si>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</si>
  <si>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</si>
  <si>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</si>
  <si>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</si>
  <si>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</si>
  <si>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</si>
  <si>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</si>
  <si>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</si>
  <si>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</si>
  <si>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</si>
  <si>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</si>
  <si>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</si>
  <si>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</si>
  <si>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</si>
  <si>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</si>
  <si>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OTHER_INS_RES_TO_SHRHLDR_EQY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</si>
  <si>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</si>
  <si>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</si>
  <si>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</si>
  <si>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</si>
  <si>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</si>
  <si>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</si>
  <si>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</si>
  <si>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</si>
  <si>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Shares Outstanding</t>
  </si>
  <si>
    <t>BS_SH_OUT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</si>
  <si>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</si>
  <si>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</si>
  <si>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</si>
  <si>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</si>
  <si>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</si>
  <si>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</si>
  <si>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</si>
  <si>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</si>
  <si>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</si>
  <si>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</si>
  <si>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</si>
  <si>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</si>
  <si>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</si>
  <si>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</si>
  <si>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</si>
  <si>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</si>
  <si>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</si>
  <si>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</si>
  <si>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Cash Held Overseas</t>
  </si>
  <si>
    <t>BS_CASH_HELD_OVERSEAS</t>
  </si>
  <si>
    <t>Number of Employees</t>
  </si>
  <si>
    <t>NUM_OF_EMPLOYEES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</si>
  <si>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</si>
  <si>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</si>
  <si>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</si>
  <si>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</si>
  <si>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</si>
  <si>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</si>
  <si>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</si>
  <si>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</si>
  <si>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</si>
  <si>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</si>
  <si>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</si>
  <si>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</si>
  <si>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</si>
  <si>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</si>
  <si>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</si>
  <si>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</si>
  <si>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</si>
  <si>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</si>
  <si>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</si>
  <si>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</si>
  <si>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</si>
  <si>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</si>
  <si>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</si>
  <si>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</si>
  <si>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</si>
  <si>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</si>
  <si>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</si>
  <si>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</si>
  <si>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</si>
  <si>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</si>
  <si>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</si>
  <si>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</si>
  <si>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</si>
  <si>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</si>
  <si>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</si>
  <si>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</si>
  <si>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ACQUIS_FXD_&amp;_INTANG_DETAILED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</si>
  <si>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</si>
  <si>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</si>
  <si>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</si>
  <si>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</si>
  <si>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</si>
  <si>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</si>
  <si>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</si>
  <si>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</si>
  <si>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</si>
  <si>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</si>
  <si>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</si>
  <si>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</si>
  <si>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</si>
  <si>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</si>
  <si>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</si>
  <si>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</si>
  <si>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</si>
  <si>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</si>
  <si>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</si>
  <si>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</si>
  <si>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</si>
  <si>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</si>
  <si>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</si>
  <si>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</si>
  <si>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</si>
  <si>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</si>
  <si>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</si>
  <si>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</si>
  <si>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CF_NET_CHG_IN_ST_DBT_&amp;_CPTL_LEAS</t>
  </si>
  <si>
    <t xml:space="preserve">    + Cash From LT Debt</t>
  </si>
  <si>
    <t>CF_PROC_LT_DEBT_&amp;_CAPITAL_LEASE</t>
  </si>
  <si>
    <t xml:space="preserve">    + Repayments of LT Debt</t>
  </si>
  <si>
    <t>CF_PYMT_LT_DEBT_&amp;_CAPITAL_LEASE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</si>
  <si>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</si>
  <si>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</si>
  <si>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</si>
  <si>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</si>
  <si>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</si>
  <si>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</si>
  <si>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</si>
  <si>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CF_OTHER_FINANCING_ACT_EXCL_FX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</si>
  <si>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</si>
  <si>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</si>
  <si>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</si>
  <si>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</si>
  <si>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</si>
  <si>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</si>
  <si>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</si>
  <si>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</si>
  <si>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</si>
  <si>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</si>
  <si>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Trailing 12M EBITDA Margin</t>
  </si>
  <si>
    <t>Net Cash Paid for Acquisitions</t>
  </si>
  <si>
    <t>CF_NET_CASH_PAID_FOR_AQUIS</t>
  </si>
  <si>
    <t>Tax Benefit from Stock Options</t>
  </si>
  <si>
    <t>CF_TAX_BENEFIT_FRM_STOCK_OPTIONS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</si>
  <si>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</si>
  <si>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</si>
  <si>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</si>
  <si>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</si>
  <si>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</si>
  <si>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</si>
  <si>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</si>
  <si>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</si>
  <si>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</si>
  <si>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</si>
  <si>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</si>
  <si>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</si>
  <si>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Amazon.com Inc (AMZN US) - Per Share</t>
  </si>
  <si>
    <t>Basic Shares Outstanding</t>
  </si>
  <si>
    <t>Per Share Data Items</t>
  </si>
  <si>
    <t>REVENUE_PER_SH</t>
  </si>
  <si>
    <t>EBITDA_PER_SH</t>
  </si>
  <si>
    <t>Operating Income</t>
  </si>
  <si>
    <t>OPER_INC_PER_SH</t>
  </si>
  <si>
    <t>Net Income to Common - Basic</t>
  </si>
  <si>
    <t>Net Income before XO - Basic</t>
  </si>
  <si>
    <t>Normalized Net Income - Basic</t>
  </si>
  <si>
    <t>Net Income to Common - Diluted</t>
  </si>
  <si>
    <t>Net Income before XO - Diluted</t>
  </si>
  <si>
    <t>Normalized Net Income - Diluted</t>
  </si>
  <si>
    <t>Dividends</t>
  </si>
  <si>
    <t>Cash Flow</t>
  </si>
  <si>
    <t>CASH_FLOW_PER_SH</t>
  </si>
  <si>
    <t>CASH_ST_INVESTMENTS_PER_SH</t>
  </si>
  <si>
    <t>Book Value</t>
  </si>
  <si>
    <t>BOOK_VAL_PER_SH</t>
  </si>
  <si>
    <t>Tangible Book Value</t>
  </si>
  <si>
    <t>TANG_BOOK_VAL_PER_SH</t>
  </si>
  <si>
    <t>Amazon.com Inc (AMZN US) - Stock Value</t>
  </si>
  <si>
    <t>Current</t>
  </si>
  <si>
    <t>10/23/2018</t>
  </si>
  <si>
    <t>Last Price</t>
  </si>
  <si>
    <t>PX_LAST</t>
  </si>
  <si>
    <t xml:space="preserve">  Period-over-Period % Change</t>
  </si>
  <si>
    <t>CHG_PCT_PERIOD</t>
  </si>
  <si>
    <t>Open Price</t>
  </si>
  <si>
    <t>PX_OPEN</t>
  </si>
  <si>
    <t>High Price</t>
  </si>
  <si>
    <t>PX_HIGH</t>
  </si>
  <si>
    <t>Low Price</t>
  </si>
  <si>
    <t>PX_LOW</t>
  </si>
  <si>
    <t>Market Capitalization</t>
  </si>
  <si>
    <t>HISTORICAL_MARKET_CAP</t>
  </si>
  <si>
    <t xml:space="preserve">  Current Shares Outstanding</t>
  </si>
  <si>
    <t>EQY_SH_OUT</t>
  </si>
  <si>
    <t xml:space="preserve">  Equity Float</t>
  </si>
  <si>
    <t>EQY_FLOAT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</si>
</sst>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6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64" fontId="8" fillId="35" borderId="2">
      <alignment horizontal="right"/>
    </xf>
    <xf numFmtId="4" fontId="8" fillId="35" borderId="2">
      <alignment horizontal="right"/>
    </xf>
    <xf numFmtId="164" fontId="11" fillId="34" borderId="2">
      <alignment horizontal="right"/>
    </xf>
    <xf numFmtId="4" fontId="11" fillId="34" borderId="2">
      <alignment horizontal="right"/>
    </xf>
    <xf numFmtId="4" fontId="11" fillId="35" borderId="2">
      <alignment horizontal="right"/>
    </xf>
  </cellStyleXfs>
  <cellXfs count="25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6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64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4" fontId="1" fillId="35" borderId="2" xfId="56" applyNumberFormat="1" applyFont="1" applyFill="1" applyBorder="1" applyAlignment="1" applyProtection="1">
      <alignment horizontal="right"/>
    </xf>
    <xf numFmtId="3" fontId="8" fillId="34" borderId="2" xfId="57" applyNumberFormat="1" applyFont="1" applyFill="1" applyBorder="1" applyAlignment="1" applyProtection="1">
      <alignment horizontal="right"/>
    </xf>
    <xf numFmtId="164" fontId="8" fillId="34" borderId="2" xfId="58" applyNumberFormat="1" applyFont="1" applyFill="1" applyBorder="1" applyAlignment="1" applyProtection="1">
      <alignment horizontal="right"/>
    </xf>
    <xf numFmtId="4" fontId="8" fillId="34" borderId="2" xfId="59" applyNumberFormat="1" applyFont="1" applyFill="1" applyBorder="1" applyAlignment="1" applyProtection="1">
      <alignment horizontal="right"/>
    </xf>
    <xf numFmtId="3" fontId="8" fillId="35" borderId="2" xfId="60" applyNumberFormat="1" applyFont="1" applyFill="1" applyBorder="1" applyAlignment="1" applyProtection="1">
      <alignment horizontal="right"/>
    </xf>
    <xf numFmtId="164" fontId="8" fillId="35" borderId="2" xfId="61" applyNumberFormat="1" applyFont="1" applyFill="1" applyBorder="1" applyAlignment="1" applyProtection="1">
      <alignment horizontal="right"/>
    </xf>
    <xf numFmtId="4" fontId="8" fillId="35" borderId="2" xfId="62" applyNumberFormat="1" applyFont="1" applyFill="1" applyBorder="1" applyAlignment="1" applyProtection="1">
      <alignment horizontal="right"/>
    </xf>
    <xf numFmtId="164" fontId="11" fillId="34" borderId="2" xfId="63" applyNumberFormat="1" applyFont="1" applyFill="1" applyBorder="1" applyAlignment="1" applyProtection="1">
      <alignment horizontal="right"/>
    </xf>
    <xf numFmtId="4" fontId="11" fillId="34" borderId="2" xfId="64" applyNumberFormat="1" applyFont="1" applyFill="1" applyBorder="1" applyAlignment="1" applyProtection="1">
      <alignment horizontal="right"/>
    </xf>
    <xf numFmtId="4" fontId="11" fillId="35" borderId="2" xfId="65" applyNumberFormat="1" applyFont="1" applyFill="1" applyBorder="1" applyAlignment="1" applyProtection="1">
      <alignment horizontal="right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2"/>
    <cellStyle name="fa_column_header_empty" xfId="31"/>
    <cellStyle name="fa_column_header_top" xfId="32"/>
    <cellStyle name="fa_column_header_top_left" xfId="33"/>
    <cellStyle name="fa_data_bold_0_grouped" xfId="57"/>
    <cellStyle name="fa_data_bold_1_grouped" xfId="58"/>
    <cellStyle name="fa_data_bold_2_grouped" xfId="59"/>
    <cellStyle name="fa_data_current_bold_0_grouped" xfId="60"/>
    <cellStyle name="fa_data_current_bold_1_grouped" xfId="61"/>
    <cellStyle name="fa_data_current_bold_2_grouped" xfId="62"/>
    <cellStyle name="fa_data_current_italic_2_grouped" xfId="65"/>
    <cellStyle name="fa_data_current_standard_2_grouped" xfId="56"/>
    <cellStyle name="fa_data_italic_1_grouped" xfId="63"/>
    <cellStyle name="fa_data_italic_2_grouped" xfId="64"/>
    <cellStyle name="fa_data_standard_0_grouped" xfId="53"/>
    <cellStyle name="fa_data_standard_1_grouped" xfId="54"/>
    <cellStyle name="fa_data_standard_2_grouped" xfId="55"/>
    <cellStyle name="fa_footer_italic" xfId="34"/>
    <cellStyle name="fa_row_header_bold" xfId="35"/>
    <cellStyle name="fa_row_header_italic" xfId="36"/>
    <cellStyle name="fa_row_header_standard" xfId="37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183</v>
        <stp/>
        <stp>##V3_BDHV12</stp>
        <stp>AMZN US Equity</stp>
        <stp>CF_PROC_LT_DEBT_&amp;_CAPITAL_LEASE</stp>
        <stp>FQ1 2015</stp>
        <stp>FQ1 2015</stp>
        <stp>[AMZ_2009-2018.xlsx]Cash Flow - Standardized!R44C27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4" s="4"/>
      </tp>
      <tp>
        <v>2</v>
        <stp/>
        <stp>##V3_BDHV12</stp>
        <stp>AMZN US Equity</stp>
        <stp>CF_ACT_CASH_PAID_FOR_INT_DEBT</stp>
        <stp>FQ1 2010</stp>
        <stp>FQ1 2010</stp>
        <stp>[AMZ_2009-2018.xlsx]Cash Flow - Standardized!R58C7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8" s="4"/>
      </tp>
      <tp>
        <v>49</v>
        <stp/>
        <stp>##V3_BDHV12</stp>
        <stp>AMZN US Equity</stp>
        <stp>CF_PROC_LT_DEBT_&amp;_CAPITAL_LEASE</stp>
        <stp>FQ2 2017</stp>
        <stp>FQ2 2017</stp>
        <stp>[AMZ_2009-2018.xlsx]Cash Flow - Standardized!R44C36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4" s="4"/>
      </tp>
      <tp>
        <v>8</v>
        <stp/>
        <stp>##V3_BDHV12</stp>
        <stp>AMZN US Equity</stp>
        <stp>CF_PROC_LT_DEBT_&amp;_CAPITAL_LEASE</stp>
        <stp>FQ3 2016</stp>
        <stp>FQ3 2016</stp>
        <stp>[AMZ_2009-2018.xlsx]Cash Flow - Standardized!R44C33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4" s="4"/>
      </tp>
      <tp>
        <v>-1323</v>
        <stp/>
        <stp>##V3_BDHV12</stp>
        <stp>AMZN US Equity</stp>
        <stp>CF_PYMT_LT_DEBT_&amp;_CAPITAL_LEASE</stp>
        <stp>FQ2 2017</stp>
        <stp>FQ2 2017</stp>
        <stp>[AMZ_2009-2018.xlsx]Cash Flow - Standardized!R45C36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5" s="4"/>
      </tp>
      <tp>
        <v>-857</v>
        <stp/>
        <stp>##V3_BDHV12</stp>
        <stp>AMZN US Equity</stp>
        <stp>CF_PYMT_LT_DEBT_&amp;_CAPITAL_LEASE</stp>
        <stp>FQ1 2015</stp>
        <stp>FQ1 2015</stp>
        <stp>[AMZ_2009-2018.xlsx]Cash Flow - Standardized!R45C27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5" s="4"/>
      </tp>
      <tp>
        <v>-1008</v>
        <stp/>
        <stp>##V3_BDHV12</stp>
        <stp>AMZN US Equity</stp>
        <stp>CF_PYMT_LT_DEBT_&amp;_CAPITAL_LEASE</stp>
        <stp>FQ3 2016</stp>
        <stp>FQ3 2016</stp>
        <stp>[AMZ_2009-2018.xlsx]Cash Flow - Standardized!R45C33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5" s="4"/>
      </tp>
      <tp>
        <v>16070</v>
        <stp/>
        <stp>##V3_BDHV12</stp>
        <stp>AMZN US Equity</stp>
        <stp>SALES_REV_TURN</stp>
        <stp>FQ1 2013</stp>
        <stp>FQ1 2013</stp>
        <stp>[AMZ_2009-2018.xlsx]Income - Adjusted!R6C19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6" s="2"/>
      </tp>
      <tp>
        <v>21268</v>
        <stp/>
        <stp>##V3_BDHV12</stp>
        <stp>AMZN US Equity</stp>
        <stp>SALES_REV_TURN</stp>
        <stp>FQ4 2012</stp>
        <stp>FQ4 2012</stp>
        <stp>[AMZ_2009-2018.xlsx]Income - Adjusted!R6C18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6" s="2"/>
      </tp>
      <tp>
        <v>3.75</v>
        <stp/>
        <stp>##V3_BDHV12</stp>
        <stp>AMZN US Equity</stp>
        <stp>IS_DIL_EPS_BEF_XO</stp>
        <stp>FQ4 2017</stp>
        <stp>FQ4 2017</stp>
        <stp>[AMZ_2009-2018.xlsx]Income - Adjusted!R56C38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56" s="2"/>
      </tp>
      <tp>
        <v>0.21</v>
        <stp/>
        <stp>##V3_BDHV12</stp>
        <stp>AMZN US Equity</stp>
        <stp>IS_DIL_EPS_BEF_XO</stp>
        <stp>FQ4 2012</stp>
        <stp>FQ4 2012</stp>
        <stp>[AMZ_2009-2018.xlsx]Income - Adjusted!R56C18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56" s="2"/>
      </tp>
      <tp>
        <v>0.19</v>
        <stp/>
        <stp>##V3_BDHV12</stp>
        <stp>AMZN US Equity</stp>
        <stp>IS_DIL_EPS_BEF_XO</stp>
        <stp>FQ2 2015</stp>
        <stp>FQ2 2015</stp>
        <stp>[AMZ_2009-2018.xlsx]Income - Adjusted!R56C28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56" s="2"/>
      </tp>
      <tp>
        <v>0</v>
        <stp/>
        <stp>##V3_BDHV12</stp>
        <stp>AMZN US Equity</stp>
        <stp>IS_EXTRAORD_ITEMS_&amp;_ACCTG_CHNG</stp>
        <stp>FQ3 2010</stp>
        <stp>FQ3 2010</stp>
        <stp>[AMZ_2009-2018.xlsx]Income - Adjusted!R37C9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7" s="2"/>
      </tp>
      <tp>
        <v>827802.6</v>
        <stp/>
        <stp>##V3_BDHV12</stp>
        <stp>AMZN US Equity</stp>
        <stp>HISTORICAL_MARKET_CAP</stp>
        <stp>FQ2 2018</stp>
        <stp>FQ2 2018</stp>
        <stp>[AMZ_2009-2018.xlsx]Stock Value!R12C40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2" s="6"/>
      </tp>
      <tp>
        <v>25358</v>
        <stp/>
        <stp>##V3_BDHV12</stp>
        <stp>AMZN US Equity</stp>
        <stp>IS_SALES_AND_SERVICES_REVENUES</stp>
        <stp>FQ3 2015</stp>
        <stp>FQ3 2015</stp>
        <stp>[AMZ_2009-2018.xlsx]Income - Adjusted!R7C29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7" s="2"/>
      </tp>
      <tp>
        <v>183044.61</v>
        <stp/>
        <stp>##V3_BDHV12</stp>
        <stp>AMZN US Equity</stp>
        <stp>HISTORICAL_MARKET_CAP</stp>
        <stp>FQ4 2013</stp>
        <stp>FQ4 2013</stp>
        <stp>[AMZ_2009-2018.xlsx]Stock Value!R12C22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2" s="6"/>
      </tp>
      <tp>
        <v>297</v>
        <stp/>
        <stp>##V3_BDHV12</stp>
        <stp>AMZN US Equity</stp>
        <stp>PRETAX_INC</stp>
        <stp>FQ2 2010</stp>
        <stp>FQ2 2010</stp>
        <stp>[AMZ_2009-2018.xlsx]Income - Adjusted!R31C8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31" s="2"/>
      </tp>
      <tp>
        <v>2545</v>
        <stp/>
        <stp>##V3_BDHV12</stp>
        <stp>AMZN US Equity</stp>
        <stp>BS_PURE_RETAINED_EARNINGS</stp>
        <stp>FQ4 2015</stp>
        <stp>FQ4 2015</stp>
        <stp>[AMZ_2009-2018.xlsx]Bal Sheet - Standardized!R69C30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9" s="3"/>
      </tp>
      <tp>
        <v>2085</v>
        <stp/>
        <stp>##V3_BDHV12</stp>
        <stp>AMZN US Equity</stp>
        <stp>BS_PURE_RETAINED_EARNINGS</stp>
        <stp>FQ1 2012</stp>
        <stp>FQ1 2012</stp>
        <stp>[AMZ_2009-2018.xlsx]Bal Sheet - Standardized!R69C15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9" s="3"/>
      </tp>
      <tp>
        <v>144312.75</v>
        <stp/>
        <stp>##V3_BDHV12</stp>
        <stp>AMZN US Equity</stp>
        <stp>HISTORICAL_MARKET_CAP</stp>
        <stp>FQ4 2014</stp>
        <stp>FQ4 2014</stp>
        <stp>[AMZ_2009-2018.xlsx]Stock Value!R12C26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2" s="6"/>
      </tp>
      <tp>
        <v>1950</v>
        <stp/>
        <stp>##V3_BDHV12</stp>
        <stp>AMZN US Equity</stp>
        <stp>BS_PURE_RETAINED_EARNINGS</stp>
        <stp>FQ3 2013</stp>
        <stp>FQ3 2013</stp>
        <stp>[AMZ_2009-2018.xlsx]Bal Sheet - Standardized!R69C21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9" s="3"/>
      </tp>
      <tp>
        <v>1949</v>
        <stp/>
        <stp>##V3_BDHV12</stp>
        <stp>AMZN US Equity</stp>
        <stp>BS_PURE_RETAINED_EARNINGS</stp>
        <stp>FQ4 2014</stp>
        <stp>FQ4 2014</stp>
        <stp>[AMZ_2009-2018.xlsx]Bal Sheet - Standardized!R69C26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9" s="3"/>
      </tp>
      <tp>
        <v>1715</v>
        <stp/>
        <stp>##V3_BDHV12</stp>
        <stp>AMZN US Equity</stp>
        <stp>BS_PURE_RETAINED_EARNINGS</stp>
        <stp>FQ2 2011</stp>
        <stp>FQ2 2011</stp>
        <stp>[AMZ_2009-2018.xlsx]Bal Sheet - Standardized!R69C12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9" s="3"/>
      </tp>
      <tp>
        <v>469</v>
        <stp/>
        <stp>##V3_BDHV12</stp>
        <stp>AMZN US Equity</stp>
        <stp>BS_SH_OUT</stp>
        <stp>FQ3 2015</stp>
        <stp>FQ3 2015</stp>
        <stp>[AMZ_2009-2018.xlsx]Bal Sheet - Standardized!R78C29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78" s="3"/>
      </tp>
      <tp>
        <v>0</v>
        <stp/>
        <stp>##V3_BDHV12</stp>
        <stp>AMZN US Equity</stp>
        <stp>BS_OTHER_CUR_ASSET_LESS_PREPAY</stp>
        <stp>FQ1 2013</stp>
        <stp>FQ1 2013</stp>
        <stp>[AMZ_2009-2018.xlsx]Bal Sheet - Standardized!R21C19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1" s="3"/>
      </tp>
      <tp>
        <v>0</v>
        <stp/>
        <stp>##V3_BDHV12</stp>
        <stp>AMZN US Equity</stp>
        <stp>BS_OTHER_CUR_ASSET_LESS_PREPAY</stp>
        <stp>FQ2 2013</stp>
        <stp>FQ2 2013</stp>
        <stp>[AMZ_2009-2018.xlsx]Bal Sheet - Standardized!R21C20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1" s="3"/>
      </tp>
      <tp>
        <v>0</v>
        <stp/>
        <stp>##V3_BDHV12</stp>
        <stp>AMZN US Equity</stp>
        <stp>BS_OTHER_CUR_ASSET_LESS_PREPAY</stp>
        <stp>FQ3 2011</stp>
        <stp>FQ3 2011</stp>
        <stp>[AMZ_2009-2018.xlsx]Bal Sheet - Standardized!R21C13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1" s="3"/>
      </tp>
      <tp>
        <v>7895</v>
        <stp/>
        <stp>##V3_BDHV12</stp>
        <stp>AMZN US Equity</stp>
        <stp>C&amp;CE_AND_STI_DETAILED</stp>
        <stp>FQ1 2013</stp>
        <stp>FQ1 2013</stp>
        <stp>[AMZ_2009-2018.xlsx]Bal Sheet - Standardized!R7C19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" s="3"/>
      </tp>
      <tp>
        <v>408</v>
        <stp/>
        <stp>##V3_BDHV12</stp>
        <stp>AMZN US Equity</stp>
        <stp>IS_OPEX_R&amp;D</stp>
        <stp>FQ2 2010</stp>
        <stp>FQ2 2010</stp>
        <stp>[AMZ_2009-2018.xlsx]Income - Adjusted!R16C8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6" s="2"/>
      </tp>
      <tp>
        <v>89</v>
        <stp/>
        <stp>##V3_BDHV12</stp>
        <stp>AMZN US Equity</stp>
        <stp>IS_DEPR_EXP</stp>
        <stp>FQ1 2009</stp>
        <stp>FQ1 2009</stp>
        <stp>[AMZ_2009-2018.xlsx]Income - Adjusted!R72C3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2" s="2"/>
      </tp>
      <tp>
        <v>14001</v>
        <stp/>
        <stp>##V3_BDHV12</stp>
        <stp>AMZN US Equity</stp>
        <stp>C&amp;CE_AND_STI_DETAILED</stp>
        <stp>FQ2 2015</stp>
        <stp>FQ2 2015</stp>
        <stp>[AMZ_2009-2018.xlsx]Bal Sheet - Standardized!R7C28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" s="3"/>
      </tp>
      <tp>
        <v>8733</v>
        <stp/>
        <stp>##V3_BDHV12</stp>
        <stp>AMZN US Equity</stp>
        <stp>EQTY_BEF_MINORITY_INT_DETAILED</stp>
        <stp>FQ2 2013</stp>
        <stp>FQ2 2013</stp>
        <stp>[AMZ_2009-2018.xlsx]Bal Sheet - Standardized!R71C20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1" s="3"/>
      </tp>
      <tp>
        <v>7766</v>
        <stp/>
        <stp>##V3_BDHV12</stp>
        <stp>AMZN US Equity</stp>
        <stp>EQTY_BEF_MINORITY_INT_DETAILED</stp>
        <stp>FQ3 2011</stp>
        <stp>FQ3 2011</stp>
        <stp>[AMZ_2009-2018.xlsx]Bal Sheet - Standardized!R71C13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1" s="3"/>
      </tp>
      <tp>
        <v>7986</v>
        <stp/>
        <stp>##V3_BDHV12</stp>
        <stp>AMZN US Equity</stp>
        <stp>C&amp;CE_AND_STI_DETAILED</stp>
        <stp>FQ2 2014</stp>
        <stp>FQ2 2014</stp>
        <stp>[AMZ_2009-2018.xlsx]Bal Sheet - Standardized!R7C24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" s="3"/>
      </tp>
      <tp>
        <v>0.41</v>
        <stp/>
        <stp>##V3_BDHV12</stp>
        <stp>AMZN US Equity</stp>
        <stp>IS_DILUTED_EPS</stp>
        <stp>FQ1 2009</stp>
        <stp>FQ1 2009</stp>
        <stp>[AMZ_2009-2018.xlsx]Income - Adjusted!R55C3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55" s="2"/>
      </tp>
      <tp>
        <v>24310</v>
        <stp/>
        <stp>##V3_BDHV12</stp>
        <stp>AMZN US Equity</stp>
        <stp>C&amp;CE_AND_STI_DETAILED</stp>
        <stp>FQ3 2017</stp>
        <stp>FQ3 2017</stp>
        <stp>[AMZ_2009-2018.xlsx]Bal Sheet - Standardized!R7C37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" s="3"/>
      </tp>
      <tp>
        <v>0.66</v>
        <stp/>
        <stp>##V3_BDHV12</stp>
        <stp>AMZN US Equity</stp>
        <stp>IS_DILUTED_EPS</stp>
        <stp>FQ1 2010</stp>
        <stp>FQ1 2010</stp>
        <stp>[AMZ_2009-2018.xlsx]Income - Adjusted!R55C7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55" s="2"/>
      </tp>
      <tp>
        <v>0.45</v>
        <stp/>
        <stp>##V3_BDHV12</stp>
        <stp>AMZN US Equity</stp>
        <stp>IS_DILUTED_EPS</stp>
        <stp>FQ2 2010</stp>
        <stp>FQ2 2010</stp>
        <stp>[AMZ_2009-2018.xlsx]Income - Adjusted!R55C8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55" s="2"/>
      </tp>
      <tp>
        <v>0.45</v>
        <stp/>
        <stp>##V3_BDHV12</stp>
        <stp>AMZN US Equity</stp>
        <stp>IS_DILUTED_EPS</stp>
        <stp>FQ3 2009</stp>
        <stp>FQ3 2009</stp>
        <stp>[AMZ_2009-2018.xlsx]Income - Adjusted!R55C5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55" s="2"/>
      </tp>
      <tp>
        <v>15.8466</v>
        <stp/>
        <stp>##V3_BDHV12</stp>
        <stp>AMZN US Equity</stp>
        <stp>TCE_RATIO</stp>
        <stp>FQ1 2015</stp>
        <stp>FQ1 2015</stp>
        <stp>[AMZ_2009-2018.xlsx]Bal Sheet - Standardized!R85C27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85" s="3"/>
      </tp>
      <tp>
        <v>23.139199999999999</v>
        <stp/>
        <stp>##V3_BDHV12</stp>
        <stp>AMZN US Equity</stp>
        <stp>TCE_RATIO</stp>
        <stp>FQ1 2017</stp>
        <stp>FQ1 2017</stp>
        <stp>[AMZ_2009-2018.xlsx]Bal Sheet - Standardized!R85C35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85" s="3"/>
      </tp>
      <tp>
        <v>34.065399999999997</v>
        <stp/>
        <stp>##V3_BDHV12</stp>
        <stp>AMZN US Equity</stp>
        <stp>TCE_RATIO</stp>
        <stp>FQ3 2011</stp>
        <stp>FQ3 2011</stp>
        <stp>[AMZ_2009-2018.xlsx]Bal Sheet - Standardized!R85C13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85" s="3"/>
      </tp>
      <tp>
        <v>22.0762</v>
        <stp/>
        <stp>##V3_BDHV12</stp>
        <stp>AMZN US Equity</stp>
        <stp>TCE_RATIO</stp>
        <stp>FQ3 2013</stp>
        <stp>FQ3 2013</stp>
        <stp>[AMZ_2009-2018.xlsx]Bal Sheet - Standardized!R85C21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85" s="3"/>
      </tp>
      <tp>
        <v>13.204599999999999</v>
        <stp/>
        <stp>##V3_BDHV12</stp>
        <stp>AMZN US Equity</stp>
        <stp>TCE_RATIO</stp>
        <stp>FQ4 2014</stp>
        <stp>FQ4 2014</stp>
        <stp>[AMZ_2009-2018.xlsx]Bal Sheet - Standardized!R85C26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85" s="3"/>
      </tp>
      <tp>
        <v>18.5961</v>
        <stp/>
        <stp>##V3_BDHV12</stp>
        <stp>AMZN US Equity</stp>
        <stp>TCE_RATIO</stp>
        <stp>FQ4 2016</stp>
        <stp>FQ4 2016</stp>
        <stp>[AMZ_2009-2018.xlsx]Bal Sheet - Standardized!R85C34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85" s="3"/>
      </tp>
      <tp>
        <v>7463</v>
        <stp/>
        <stp>##V3_BDHV12</stp>
        <stp>AMZN US Equity</stp>
        <stp>C&amp;CE_AND_STI_DETAILED</stp>
        <stp>FQ2 2013</stp>
        <stp>FQ2 2013</stp>
        <stp>[AMZ_2009-2018.xlsx]Bal Sheet - Standardized!R7C20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" s="3"/>
      </tp>
      <tp>
        <v>6881</v>
        <stp/>
        <stp>##V3_BDHV12</stp>
        <stp>AMZN US Equity</stp>
        <stp>C&amp;CE_AND_STI_DETAILED</stp>
        <stp>FQ1 2011</stp>
        <stp>FQ1 2011</stp>
        <stp>[AMZ_2009-2018.xlsx]Bal Sheet - Standardized!R7C11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" s="3"/>
      </tp>
      <tp>
        <v>0.51</v>
        <stp/>
        <stp>##V3_BDHV12</stp>
        <stp>AMZN US Equity</stp>
        <stp>IS_DILUTED_EPS</stp>
        <stp>FQ3 2010</stp>
        <stp>FQ3 2010</stp>
        <stp>[AMZ_2009-2018.xlsx]Income - Adjusted!R55C9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55" s="2"/>
      </tp>
      <tp>
        <v>0.32</v>
        <stp/>
        <stp>##V3_BDHV12</stp>
        <stp>AMZN US Equity</stp>
        <stp>IS_DILUTED_EPS</stp>
        <stp>FQ2 2009</stp>
        <stp>FQ2 2009</stp>
        <stp>[AMZ_2009-2018.xlsx]Income - Adjusted!R55C4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55" s="2"/>
      </tp>
      <tp>
        <v>5715</v>
        <stp/>
        <stp>##V3_BDHV12</stp>
        <stp>AMZN US Equity</stp>
        <stp>C&amp;CE_AND_STI_DETAILED</stp>
        <stp>FQ1 2012</stp>
        <stp>FQ1 2012</stp>
        <stp>[AMZ_2009-2018.xlsx]Bal Sheet - Standardized!R7C15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" s="3"/>
      </tp>
      <tp>
        <v>18347</v>
        <stp/>
        <stp>##V3_BDHV12</stp>
        <stp>AMZN US Equity</stp>
        <stp>C&amp;CE_AND_STI_DETAILED</stp>
        <stp>FQ3 2016</stp>
        <stp>FQ3 2016</stp>
        <stp>[AMZ_2009-2018.xlsx]Bal Sheet - Standardized!R7C33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" s="3"/>
      </tp>
      <tp>
        <v>0.85</v>
        <stp/>
        <stp>##V3_BDHV12</stp>
        <stp>AMZN US Equity</stp>
        <stp>IS_DILUTED_EPS</stp>
        <stp>FQ4 2009</stp>
        <stp>FQ4 2009</stp>
        <stp>[AMZ_2009-2018.xlsx]Income - Adjusted!R55C6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55" s="2"/>
      </tp>
      <tp>
        <v>8432</v>
        <stp/>
        <stp>##V3_BDHV12</stp>
        <stp>AMZN US Equity</stp>
        <stp>EQTY_BEF_MINORITY_INT_DETAILED</stp>
        <stp>FQ1 2013</stp>
        <stp>FQ1 2013</stp>
        <stp>[AMZ_2009-2018.xlsx]Bal Sheet - Standardized!R71C19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1" s="3"/>
      </tp>
      <tp>
        <v>17736</v>
        <stp/>
        <stp>##V3_BDHV12</stp>
        <stp>AMZN US Equity</stp>
        <stp>BS_NET_FIX_ASSET</stp>
        <stp>FQ1 2015</stp>
        <stp>FQ1 2015</stp>
        <stp>[AMZ_2009-2018.xlsx]Bal Sheet - Standardized!R23C27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3" s="3"/>
      </tp>
      <tp>
        <v>37083</v>
        <stp/>
        <stp>##V3_BDHV12</stp>
        <stp>AMZN US Equity</stp>
        <stp>BS_NET_FIX_ASSET</stp>
        <stp>FQ2 2017</stp>
        <stp>FQ2 2017</stp>
        <stp>[AMZ_2009-2018.xlsx]Bal Sheet - Standardized!R23C36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3" s="3"/>
      </tp>
      <tp>
        <v>28377</v>
        <stp/>
        <stp>##V3_BDHV12</stp>
        <stp>AMZN US Equity</stp>
        <stp>TOT_LIAB_AND_EQY</stp>
        <stp>FQ1 2013</stp>
        <stp>FQ1 2013</stp>
        <stp>[AMZ_2009-2018.xlsx]Bal Sheet - Standardized!R74C19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4" s="3"/>
      </tp>
      <tp>
        <v>287</v>
        <stp/>
        <stp>##V3_BDHV12</stp>
        <stp>AMZN US Equity</stp>
        <stp>DISP_FXD_&amp;_INTANGIBLES_DETAILED</stp>
        <stp>FQ1 2017</stp>
        <stp>FQ1 2017</stp>
        <stp>[AMZ_2009-2018.xlsx]Cash Flow - Standardized!R23C35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3" s="4"/>
      </tp>
      <tp>
        <v>0</v>
        <stp/>
        <stp>##V3_BDHV12</stp>
        <stp>AMZN US Equity</stp>
        <stp>DISP_FXD_&amp;_INTANGIBLES_DETAILED</stp>
        <stp>FQ4 2010</stp>
        <stp>FQ4 2010</stp>
        <stp>[AMZ_2009-2018.xlsx]Cash Flow - Standardized!R23C10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3" s="4"/>
      </tp>
      <tp>
        <v>27177</v>
        <stp/>
        <stp>##V3_BDHV12</stp>
        <stp>AMZN US Equity</stp>
        <stp>BS_NET_FIX_ASSET</stp>
        <stp>FQ3 2016</stp>
        <stp>FQ3 2016</stp>
        <stp>[AMZ_2009-2018.xlsx]Bal Sheet - Standardized!R23C33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3" s="3"/>
      </tp>
      <tp>
        <v>0</v>
        <stp/>
        <stp>##V3_BDHV12</stp>
        <stp>AMZN US Equity</stp>
        <stp>DISP_FXD_&amp;_INTANGIBLES_DETAILED</stp>
        <stp>FQ4 2013</stp>
        <stp>FQ4 2013</stp>
        <stp>[AMZ_2009-2018.xlsx]Cash Flow - Standardized!R23C22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3" s="4"/>
      </tp>
      <tp>
        <v>0</v>
        <stp/>
        <stp>##V3_BDHV12</stp>
        <stp>AMZN US Equity</stp>
        <stp>DISP_FXD_&amp;_INTANGIBLES_DETAILED</stp>
        <stp>FQ3 2014</stp>
        <stp>FQ3 2014</stp>
        <stp>[AMZ_2009-2018.xlsx]Cash Flow - Standardized!R23C25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3" s="4"/>
      </tp>
      <tp>
        <v>29623</v>
        <stp/>
        <stp>##V3_BDHV12</stp>
        <stp>AMZN US Equity</stp>
        <stp>TOT_LIAB_AND_EQY</stp>
        <stp>FQ2 2013</stp>
        <stp>FQ2 2013</stp>
        <stp>[AMZ_2009-2018.xlsx]Bal Sheet - Standardized!R74C20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4" s="3"/>
      </tp>
      <tp>
        <v>19054</v>
        <stp/>
        <stp>##V3_BDHV12</stp>
        <stp>AMZN US Equity</stp>
        <stp>TOT_LIAB_AND_EQY</stp>
        <stp>FQ3 2011</stp>
        <stp>FQ3 2011</stp>
        <stp>[AMZ_2009-2018.xlsx]Bal Sheet - Standardized!R74C13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4" s="3"/>
      </tp>
      <tp>
        <v>0</v>
        <stp/>
        <stp>##V3_BDHV12</stp>
        <stp>AMZN US Equity</stp>
        <stp>DISP_FXD_&amp;_INTANGIBLES_DETAILED</stp>
        <stp>FQ2 2015</stp>
        <stp>FQ2 2015</stp>
        <stp>[AMZ_2009-2018.xlsx]Cash Flow - Standardized!R23C28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3" s="4"/>
      </tp>
      <tp t="s">
        <v>—</v>
        <stp/>
        <stp>##V3_BDHV12</stp>
        <stp>AMZN US Equity</stp>
        <stp>BS_TAXES_PAYABLE</stp>
        <stp>FQ2 2017</stp>
        <stp>FQ2 2017</stp>
        <stp>[AMZ_2009-2018.xlsx]Bal Sheet - Standardized!R40C36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0" s="3"/>
      </tp>
      <tp>
        <v>0</v>
        <stp/>
        <stp>##V3_BDHV12</stp>
        <stp>AMZN US Equity</stp>
        <stp>CF_ACQUISITION_OF_INTANG_ASSETS</stp>
        <stp>FQ2 2013</stp>
        <stp>FQ2 2013</stp>
        <stp>[AMZ_2009-2018.xlsx]Cash Flow - Standardized!R28C20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8" s="4"/>
      </tp>
      <tp>
        <v>0</v>
        <stp/>
        <stp>##V3_BDHV12</stp>
        <stp>AMZN US Equity</stp>
        <stp>CF_ACQUISITION_OF_INTANG_ASSETS</stp>
        <stp>FQ3 2011</stp>
        <stp>FQ3 2011</stp>
        <stp>[AMZ_2009-2018.xlsx]Cash Flow - Standardized!R28C13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8" s="4"/>
      </tp>
      <tp t="s">
        <v>—</v>
        <stp/>
        <stp>##V3_BDHV12</stp>
        <stp>AMZN US Equity</stp>
        <stp>BS_TAXES_PAYABLE</stp>
        <stp>FQ1 2015</stp>
        <stp>FQ1 2015</stp>
        <stp>[AMZ_2009-2018.xlsx]Bal Sheet - Standardized!R40C27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0" s="3"/>
      </tp>
      <tp>
        <v>1934</v>
        <stp/>
        <stp>##V3_BDHV12</stp>
        <stp>AMZN US Equity</stp>
        <stp>BS_DISCLOSED_INTANGIBLES</stp>
        <stp>FQ3 2011</stp>
        <stp>FQ3 2011</stp>
        <stp>[AMZ_2009-2018.xlsx]Bal Sheet - Standardized!R28C13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8" s="3"/>
      </tp>
      <tp t="s">
        <v>—</v>
        <stp/>
        <stp>##V3_BDHV12</stp>
        <stp>AMZN US Equity</stp>
        <stp>BS_TAXES_PAYABLE</stp>
        <stp>FQ3 2016</stp>
        <stp>FQ3 2016</stp>
        <stp>[AMZ_2009-2018.xlsx]Bal Sheet - Standardized!R40C33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0" s="3"/>
      </tp>
      <tp>
        <v>2614</v>
        <stp/>
        <stp>##V3_BDHV12</stp>
        <stp>AMZN US Equity</stp>
        <stp>BS_DISCLOSED_INTANGIBLES</stp>
        <stp>FQ2 2013</stp>
        <stp>FQ2 2013</stp>
        <stp>[AMZ_2009-2018.xlsx]Bal Sheet - Standardized!R28C20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8" s="3"/>
      </tp>
      <tp>
        <v>0</v>
        <stp/>
        <stp>##V3_BDHV12</stp>
        <stp>AMZN US Equity</stp>
        <stp>NOTES_RECEIVABLE</stp>
        <stp>FQ3 2015</stp>
        <stp>FQ3 2015</stp>
        <stp>[AMZ_2009-2018.xlsx]Bal Sheet - Standardized!R12C29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2" s="3"/>
      </tp>
      <tp>
        <v>0</v>
        <stp/>
        <stp>##V3_BDHV12</stp>
        <stp>AMZN US Equity</stp>
        <stp>SHORT_TERM_DEBT_DETAILED</stp>
        <stp>FQ2 2017</stp>
        <stp>FQ2 2017</stp>
        <stp>[AMZ_2009-2018.xlsx]Bal Sheet - Standardized!R44C36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4" s="3"/>
      </tp>
      <tp t="s">
        <v>—</v>
        <stp/>
        <stp>##V3_BDHV12</stp>
        <stp>AMZN US Equity</stp>
        <stp>BS_DERIVATIVE_&amp;_HEDGING_LIABS_LT</stp>
        <stp>FQ3 2016</stp>
        <stp>FQ3 2016</stp>
        <stp>[AMZ_2009-2018.xlsx]Bal Sheet - Standardized!R60C33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0" s="3"/>
      </tp>
      <tp>
        <v>0</v>
        <stp/>
        <stp>##V3_BDHV12</stp>
        <stp>AMZN US Equity</stp>
        <stp>CF_ACQUISITION_OF_INTANG_ASSETS</stp>
        <stp>FQ1 2013</stp>
        <stp>FQ1 2013</stp>
        <stp>[AMZ_2009-2018.xlsx]Cash Flow - Standardized!R28C19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8" s="4"/>
      </tp>
      <tp>
        <v>0</v>
        <stp/>
        <stp>##V3_BDHV12</stp>
        <stp>AMZN US Equity</stp>
        <stp>NOTES_RECEIVABLE</stp>
        <stp>FQ2 2014</stp>
        <stp>FQ2 2014</stp>
        <stp>[AMZ_2009-2018.xlsx]Bal Sheet - Standardized!R12C24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2" s="3"/>
      </tp>
      <tp t="s">
        <v>—</v>
        <stp/>
        <stp>##V3_BDHV12</stp>
        <stp>AMZN US Equity</stp>
        <stp>BS_DERIVATIVE_&amp;_HEDGING_LIABS_ST</stp>
        <stp>FQ3 2016</stp>
        <stp>FQ3 2016</stp>
        <stp>[AMZ_2009-2018.xlsx]Bal Sheet - Standardized!R49C33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9" s="3"/>
      </tp>
      <tp>
        <v>95.534000000000006</v>
        <stp/>
        <stp>##V3_BDHV12</stp>
        <stp>AMZN US Equity</stp>
        <stp>PX_TO_FREE_CASH_FLOW</stp>
        <stp>FQ2 2012</stp>
        <stp>FQ2 2012</stp>
        <stp>[AMZ_2009-2018.xlsx]Cash Flow - Standardized!R69C16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69" s="4"/>
      </tp>
      <tp>
        <v>43.944099999999999</v>
        <stp/>
        <stp>##V3_BDHV12</stp>
        <stp>AMZN US Equity</stp>
        <stp>PX_TO_FREE_CASH_FLOW</stp>
        <stp>FQ2 2016</stp>
        <stp>FQ2 2016</stp>
        <stp>[AMZ_2009-2018.xlsx]Cash Flow - Standardized!R69C32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69" s="4"/>
      </tp>
      <tp>
        <v>0</v>
        <stp/>
        <stp>##V3_BDHV12</stp>
        <stp>AMZN US Equity</stp>
        <stp>SHORT_TERM_DEBT_DETAILED</stp>
        <stp>FQ1 2015</stp>
        <stp>FQ1 2015</stp>
        <stp>[AMZ_2009-2018.xlsx]Bal Sheet - Standardized!R44C27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4" s="3"/>
      </tp>
      <tp>
        <v>2535</v>
        <stp/>
        <stp>##V3_BDHV12</stp>
        <stp>AMZN US Equity</stp>
        <stp>BS_DISCLOSED_INTANGIBLES</stp>
        <stp>FQ1 2013</stp>
        <stp>FQ1 2013</stp>
        <stp>[AMZ_2009-2018.xlsx]Bal Sheet - Standardized!R28C19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8" s="3"/>
      </tp>
      <tp>
        <v>1197</v>
        <stp/>
        <stp>##V3_BDHV12</stp>
        <stp>AMZN US Equity</stp>
        <stp>IS_SG&amp;A_EXPENSE</stp>
        <stp>FQ1 2014</stp>
        <stp>FQ1 2014</stp>
        <stp>[AMZ_2009-2018.xlsx]Income - Adjusted!R13C23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3" s="2"/>
      </tp>
      <tp>
        <v>0</v>
        <stp/>
        <stp>##V3_BDHV12</stp>
        <stp>AMZN US Equity</stp>
        <stp>SHORT_TERM_DEBT_DETAILED</stp>
        <stp>FQ3 2016</stp>
        <stp>FQ3 2016</stp>
        <stp>[AMZ_2009-2018.xlsx]Bal Sheet - Standardized!R44C33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4" s="3"/>
      </tp>
      <tp t="s">
        <v>—</v>
        <stp/>
        <stp>##V3_BDHV12</stp>
        <stp>AMZN US Equity</stp>
        <stp>BS_DERIVATIVE_&amp;_HEDGING_LIABS_LT</stp>
        <stp>FQ2 2017</stp>
        <stp>FQ2 2017</stp>
        <stp>[AMZ_2009-2018.xlsx]Bal Sheet - Standardized!R60C36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0" s="3"/>
      </tp>
      <tp>
        <v>0</v>
        <stp/>
        <stp>##V3_BDHV12</stp>
        <stp>AMZN US Equity</stp>
        <stp>NOTES_RECEIVABLE</stp>
        <stp>FQ1 2016</stp>
        <stp>FQ1 2016</stp>
        <stp>[AMZ_2009-2018.xlsx]Bal Sheet - Standardized!R12C31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2" s="3"/>
      </tp>
      <tp t="s">
        <v>—</v>
        <stp/>
        <stp>##V3_BDHV12</stp>
        <stp>AMZN US Equity</stp>
        <stp>BS_DERIVATIVE_&amp;_HEDGING_LIABS_ST</stp>
        <stp>FQ1 2015</stp>
        <stp>FQ1 2015</stp>
        <stp>[AMZ_2009-2018.xlsx]Bal Sheet - Standardized!R49C27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9" s="3"/>
      </tp>
      <tp>
        <v>545</v>
        <stp/>
        <stp>##V3_BDHV12</stp>
        <stp>AMZN US Equity</stp>
        <stp>IS_SG&amp;A_EXPENSE</stp>
        <stp>FQ3 2011</stp>
        <stp>FQ3 2011</stp>
        <stp>[AMZ_2009-2018.xlsx]Income - Adjusted!R13C13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3" s="2"/>
      </tp>
      <tp>
        <v>2377</v>
        <stp/>
        <stp>##V3_BDHV12</stp>
        <stp>AMZN US Equity</stp>
        <stp>IS_SG&amp;A_EXPENSE</stp>
        <stp>FQ3 2016</stp>
        <stp>FQ3 2016</stp>
        <stp>[AMZ_2009-2018.xlsx]Income - Adjusted!R13C33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3" s="2"/>
      </tp>
      <tp t="s">
        <v>—</v>
        <stp/>
        <stp>##V3_BDHV12</stp>
        <stp>AMZN US Equity</stp>
        <stp>BS_DERIVATIVE_&amp;_HEDGING_LIABS_ST</stp>
        <stp>FQ2 2017</stp>
        <stp>FQ2 2017</stp>
        <stp>[AMZ_2009-2018.xlsx]Bal Sheet - Standardized!R49C36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9" s="3"/>
      </tp>
      <tp>
        <v>0</v>
        <stp/>
        <stp>##V3_BDHV12</stp>
        <stp>AMZN US Equity</stp>
        <stp>NOTES_RECEIVABLE</stp>
        <stp>FQ4 2011</stp>
        <stp>FQ4 2011</stp>
        <stp>[AMZ_2009-2018.xlsx]Bal Sheet - Standardized!R12C14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2" s="3"/>
      </tp>
      <tp t="s">
        <v>—</v>
        <stp/>
        <stp>##V3_BDHV12</stp>
        <stp>AMZN US Equity</stp>
        <stp>BS_DERIVATIVE_&amp;_HEDGING_LIABS_LT</stp>
        <stp>FQ1 2015</stp>
        <stp>FQ1 2015</stp>
        <stp>[AMZ_2009-2018.xlsx]Bal Sheet - Standardized!R60C27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0" s="3"/>
      </tp>
      <tp>
        <v>16080</v>
        <stp/>
        <stp>##V3_BDHV12</stp>
        <stp>AMZN US Equity</stp>
        <stp>CF_PROC_LT_DEBT_&amp;_CAPITAL_LEASE</stp>
        <stp>FQ3 2017</stp>
        <stp>FQ3 2017</stp>
        <stp>[AMZ_2009-2018.xlsx]Cash Flow - Standardized!R44C37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4" s="4"/>
      </tp>
      <tp>
        <v>-156</v>
        <stp/>
        <stp>##V3_BDHV12</stp>
        <stp>AMZN US Equity</stp>
        <stp>CF_PYMT_LT_DEBT_&amp;_CAPITAL_LEASE</stp>
        <stp>FQ4 2012</stp>
        <stp>FQ4 2012</stp>
        <stp>[AMZ_2009-2018.xlsx]Cash Flow - Standardized!R45C18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5" s="4"/>
      </tp>
      <tp>
        <v>65</v>
        <stp/>
        <stp>##V3_BDHV12</stp>
        <stp>AMZN US Equity</stp>
        <stp>CF_PROC_LT_DEBT_&amp;_CAPITAL_LEASE</stp>
        <stp>FQ1 2014</stp>
        <stp>FQ1 2014</stp>
        <stp>[AMZ_2009-2018.xlsx]Cash Flow - Standardized!R44C23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4" s="4"/>
      </tp>
      <tp>
        <v>66</v>
        <stp/>
        <stp>##V3_BDHV12</stp>
        <stp>AMZN US Equity</stp>
        <stp>CF_PROC_LT_DEBT_&amp;_CAPITAL_LEASE</stp>
        <stp>FQ2 2016</stp>
        <stp>FQ2 2016</stp>
        <stp>[AMZ_2009-2018.xlsx]Cash Flow - Standardized!R44C32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4" s="4"/>
      </tp>
      <tp>
        <v>3083</v>
        <stp/>
        <stp>##V3_BDHV12</stp>
        <stp>AMZN US Equity</stp>
        <stp>CF_PROC_LT_DEBT_&amp;_CAPITAL_LEASE</stp>
        <stp>FQ4 2012</stp>
        <stp>FQ4 2012</stp>
        <stp>[AMZ_2009-2018.xlsx]Cash Flow - Standardized!R44C18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4" s="4"/>
      </tp>
      <tp>
        <v>-1395</v>
        <stp/>
        <stp>##V3_BDHV12</stp>
        <stp>AMZN US Equity</stp>
        <stp>CF_PYMT_LT_DEBT_&amp;_CAPITAL_LEASE</stp>
        <stp>FQ3 2017</stp>
        <stp>FQ3 2017</stp>
        <stp>[AMZ_2009-2018.xlsx]Cash Flow - Standardized!R45C37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5" s="4"/>
      </tp>
      <tp>
        <v>26</v>
        <stp/>
        <stp>##V3_BDHV12</stp>
        <stp>AMZN US Equity</stp>
        <stp>CF_ACT_CASH_PAID_FOR_INT_DEBT</stp>
        <stp>FQ1 2009</stp>
        <stp>FQ1 2009</stp>
        <stp>[AMZ_2009-2018.xlsx]Cash Flow - Standardized!R58C3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8" s="4"/>
      </tp>
      <tp>
        <v>-1218</v>
        <stp/>
        <stp>##V3_BDHV12</stp>
        <stp>AMZN US Equity</stp>
        <stp>CF_PYMT_LT_DEBT_&amp;_CAPITAL_LEASE</stp>
        <stp>FQ2 2016</stp>
        <stp>FQ2 2016</stp>
        <stp>[AMZ_2009-2018.xlsx]Cash Flow - Standardized!R45C32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5" s="4"/>
      </tp>
      <tp>
        <v>-361</v>
        <stp/>
        <stp>##V3_BDHV12</stp>
        <stp>AMZN US Equity</stp>
        <stp>CF_PYMT_LT_DEBT_&amp;_CAPITAL_LEASE</stp>
        <stp>FQ1 2014</stp>
        <stp>FQ1 2014</stp>
        <stp>[AMZ_2009-2018.xlsx]Cash Flow - Standardized!R45C23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5" s="4"/>
      </tp>
      <tp>
        <v>0.17</v>
        <stp/>
        <stp>##V3_BDHV12</stp>
        <stp>AMZN US Equity</stp>
        <stp>IS_DIL_EPS_BEF_XO</stp>
        <stp>FQ3 2015</stp>
        <stp>FQ3 2015</stp>
        <stp>[AMZ_2009-2018.xlsx]Income - Adjusted!R56C29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56" s="2"/>
      </tp>
      <tp>
        <v>0.18</v>
        <stp/>
        <stp>##V3_BDHV12</stp>
        <stp>AMZN US Equity</stp>
        <stp>IS_DIL_EPS_BEF_XO</stp>
        <stp>FQ1 2013</stp>
        <stp>FQ1 2013</stp>
        <stp>[AMZ_2009-2018.xlsx]Income - Adjusted!R56C19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56" s="2"/>
      </tp>
      <tp>
        <v>3.27</v>
        <stp/>
        <stp>##V3_BDHV12</stp>
        <stp>AMZN US Equity</stp>
        <stp>IS_DIL_EPS_BEF_XO</stp>
        <stp>FQ1 2018</stp>
        <stp>FQ1 2018</stp>
        <stp>[AMZ_2009-2018.xlsx]Income - Adjusted!R56C39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56" s="2"/>
      </tp>
      <tp>
        <v>0</v>
        <stp/>
        <stp>##V3_BDHV12</stp>
        <stp>AMZN US Equity</stp>
        <stp>IS_EXTRAORD_ITEMS_&amp;_ACCTG_CHNG</stp>
        <stp>FQ2 2010</stp>
        <stp>FQ2 2010</stp>
        <stp>[AMZ_2009-2018.xlsx]Income - Adjusted!R37C8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7" s="2"/>
      </tp>
      <tp>
        <v>1998</v>
        <stp/>
        <stp>##V3_BDHV12</stp>
        <stp>AMZN US Equity</stp>
        <stp>BS_PURE_RETAINED_EARNINGS</stp>
        <stp>FQ1 2013</stp>
        <stp>FQ1 2013</stp>
        <stp>[AMZ_2009-2018.xlsx]Bal Sheet - Standardized!R69C19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9" s="3"/>
      </tp>
      <tp>
        <v>566023.48</v>
        <stp/>
        <stp>##V3_BDHV12</stp>
        <stp>AMZN US Equity</stp>
        <stp>HISTORICAL_MARKET_CAP</stp>
        <stp>FQ4 2017</stp>
        <stp>FQ4 2017</stp>
        <stp>[AMZ_2009-2018.xlsx]Stock Value!R12C38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2" s="6"/>
      </tp>
      <tp>
        <v>23185</v>
        <stp/>
        <stp>##V3_BDHV12</stp>
        <stp>AMZN US Equity</stp>
        <stp>IS_SALES_AND_SERVICES_REVENUES</stp>
        <stp>FQ2 2015</stp>
        <stp>FQ2 2015</stp>
        <stp>[AMZ_2009-2018.xlsx]Income - Adjusted!R7C28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7" s="2"/>
      </tp>
      <tp>
        <v>292</v>
        <stp/>
        <stp>##V3_BDHV12</stp>
        <stp>AMZN US Equity</stp>
        <stp>PRETAX_INC</stp>
        <stp>FQ3 2010</stp>
        <stp>FQ3 2010</stp>
        <stp>[AMZ_2009-2018.xlsx]Income - Adjusted!R31C9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31" s="2"/>
      </tp>
      <tp>
        <v>357687.99</v>
        <stp/>
        <stp>##V3_BDHV12</stp>
        <stp>AMZN US Equity</stp>
        <stp>HISTORICAL_MARKET_CAP</stp>
        <stp>FQ4 2016</stp>
        <stp>FQ4 2016</stp>
        <stp>[AMZ_2009-2018.xlsx]Stock Value!R12C34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2" s="6"/>
      </tp>
      <tp>
        <v>318344.19</v>
        <stp/>
        <stp>##V3_BDHV12</stp>
        <stp>AMZN US Equity</stp>
        <stp>HISTORICAL_MARKET_CAP</stp>
        <stp>FQ4 2015</stp>
        <stp>FQ4 2015</stp>
        <stp>[AMZ_2009-2018.xlsx]Stock Value!R12C30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2" s="6"/>
      </tp>
      <tp>
        <v>1778</v>
        <stp/>
        <stp>##V3_BDHV12</stp>
        <stp>AMZN US Equity</stp>
        <stp>BS_PURE_RETAINED_EARNINGS</stp>
        <stp>FQ3 2011</stp>
        <stp>FQ3 2011</stp>
        <stp>[AMZ_2009-2018.xlsx]Bal Sheet - Standardized!R69C13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9" s="3"/>
      </tp>
      <tp>
        <v>1991</v>
        <stp/>
        <stp>##V3_BDHV12</stp>
        <stp>AMZN US Equity</stp>
        <stp>BS_PURE_RETAINED_EARNINGS</stp>
        <stp>FQ2 2013</stp>
        <stp>FQ2 2013</stp>
        <stp>[AMZ_2009-2018.xlsx]Bal Sheet - Standardized!R69C20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9" s="3"/>
      </tp>
      <tp>
        <v>468</v>
        <stp/>
        <stp>##V3_BDHV12</stp>
        <stp>AMZN US Equity</stp>
        <stp>BS_SH_OUT</stp>
        <stp>FQ2 2015</stp>
        <stp>FQ2 2015</stp>
        <stp>[AMZ_2009-2018.xlsx]Bal Sheet - Standardized!R78C28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78" s="3"/>
      </tp>
      <tp>
        <v>0</v>
        <stp/>
        <stp>##V3_BDHV12</stp>
        <stp>AMZN US Equity</stp>
        <stp>BS_OTHER_CUR_ASSET_LESS_PREPAY</stp>
        <stp>FQ4 2015</stp>
        <stp>FQ4 2015</stp>
        <stp>[AMZ_2009-2018.xlsx]Bal Sheet - Standardized!R21C30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1" s="3"/>
      </tp>
      <tp>
        <v>0</v>
        <stp/>
        <stp>##V3_BDHV12</stp>
        <stp>AMZN US Equity</stp>
        <stp>BS_OTHER_CUR_ASSET_LESS_PREPAY</stp>
        <stp>FQ1 2012</stp>
        <stp>FQ1 2012</stp>
        <stp>[AMZ_2009-2018.xlsx]Bal Sheet - Standardized!R21C15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1" s="3"/>
      </tp>
      <tp t="s">
        <v>—</v>
        <stp/>
        <stp>##V3_BDHV12</stp>
        <stp>AMZN US Equity</stp>
        <stp>BS_DEFERRED_TAX_LIABILITIES_LT</stp>
        <stp>FQ1 2018</stp>
        <stp>FQ1 2018</stp>
        <stp>[AMZ_2009-2018.xlsx]Bal Sheet - Standardized!R59C39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9" s="3"/>
      </tp>
      <tp>
        <v>0</v>
        <stp/>
        <stp>##V3_BDHV12</stp>
        <stp>AMZN US Equity</stp>
        <stp>BS_OTHER_CUR_ASSET_LESS_PREPAY</stp>
        <stp>FQ2 2011</stp>
        <stp>FQ2 2011</stp>
        <stp>[AMZ_2009-2018.xlsx]Bal Sheet - Standardized!R21C12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1" s="3"/>
      </tp>
      <tp>
        <v>0</v>
        <stp/>
        <stp>##V3_BDHV12</stp>
        <stp>AMZN US Equity</stp>
        <stp>BS_OTHER_CUR_ASSET_LESS_PREPAY</stp>
        <stp>FQ4 2014</stp>
        <stp>FQ4 2014</stp>
        <stp>[AMZ_2009-2018.xlsx]Bal Sheet - Standardized!R21C26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1" s="3"/>
      </tp>
      <tp>
        <v>0</v>
        <stp/>
        <stp>##V3_BDHV12</stp>
        <stp>AMZN US Equity</stp>
        <stp>BS_OTHER_CUR_ASSET_LESS_PREPAY</stp>
        <stp>FQ3 2013</stp>
        <stp>FQ3 2013</stp>
        <stp>[AMZ_2009-2018.xlsx]Bal Sheet - Standardized!R21C21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1" s="3"/>
      </tp>
      <tp>
        <v>13384</v>
        <stp/>
        <stp>##V3_BDHV12</stp>
        <stp>AMZN US Equity</stp>
        <stp>EQTY_BEF_MINORITY_INT_DETAILED</stp>
        <stp>FQ4 2015</stp>
        <stp>FQ4 2015</stp>
        <stp>[AMZ_2009-2018.xlsx]Bal Sheet - Standardized!R71C30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1" s="3"/>
      </tp>
      <tp>
        <v>442</v>
        <stp/>
        <stp>##V3_BDHV12</stp>
        <stp>AMZN US Equity</stp>
        <stp>IS_OPEX_R&amp;D</stp>
        <stp>FQ3 2010</stp>
        <stp>FQ3 2010</stp>
        <stp>[AMZ_2009-2018.xlsx]Income - Adjusted!R16C9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6" s="2"/>
      </tp>
      <tp>
        <v>7271</v>
        <stp/>
        <stp>##V3_BDHV12</stp>
        <stp>AMZN US Equity</stp>
        <stp>EQTY_BEF_MINORITY_INT_DETAILED</stp>
        <stp>FQ1 2012</stp>
        <stp>FQ1 2012</stp>
        <stp>[AMZ_2009-2018.xlsx]Bal Sheet - Standardized!R71C15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1" s="3"/>
      </tp>
      <tp>
        <v>14428</v>
        <stp/>
        <stp>##V3_BDHV12</stp>
        <stp>AMZN US Equity</stp>
        <stp>C&amp;CE_AND_STI_DETAILED</stp>
        <stp>FQ3 2015</stp>
        <stp>FQ3 2015</stp>
        <stp>[AMZ_2009-2018.xlsx]Bal Sheet - Standardized!R7C29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" s="3"/>
      </tp>
      <tp>
        <v>7765</v>
        <stp/>
        <stp>##V3_BDHV12</stp>
        <stp>AMZN US Equity</stp>
        <stp>EQTY_BEF_MINORITY_INT_DETAILED</stp>
        <stp>FQ2 2011</stp>
        <stp>FQ2 2011</stp>
        <stp>[AMZ_2009-2018.xlsx]Bal Sheet - Standardized!R71C12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1" s="3"/>
      </tp>
      <tp>
        <v>9087</v>
        <stp/>
        <stp>##V3_BDHV12</stp>
        <stp>AMZN US Equity</stp>
        <stp>EQTY_BEF_MINORITY_INT_DETAILED</stp>
        <stp>FQ3 2013</stp>
        <stp>FQ3 2013</stp>
        <stp>[AMZ_2009-2018.xlsx]Bal Sheet - Standardized!R71C21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1" s="3"/>
      </tp>
      <tp>
        <v>10741</v>
        <stp/>
        <stp>##V3_BDHV12</stp>
        <stp>AMZN US Equity</stp>
        <stp>EQTY_BEF_MINORITY_INT_DETAILED</stp>
        <stp>FQ4 2014</stp>
        <stp>FQ4 2014</stp>
        <stp>[AMZ_2009-2018.xlsx]Bal Sheet - Standardized!R71C26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1" s="3"/>
      </tp>
      <tp>
        <v>6883</v>
        <stp/>
        <stp>##V3_BDHV12</stp>
        <stp>AMZN US Equity</stp>
        <stp>C&amp;CE_AND_STI_DETAILED</stp>
        <stp>FQ3 2014</stp>
        <stp>FQ3 2014</stp>
        <stp>[AMZ_2009-2018.xlsx]Bal Sheet - Standardized!R7C25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" s="3"/>
      </tp>
      <tp>
        <v>21451</v>
        <stp/>
        <stp>##V3_BDHV12</stp>
        <stp>AMZN US Equity</stp>
        <stp>C&amp;CE_AND_STI_DETAILED</stp>
        <stp>FQ2 2017</stp>
        <stp>FQ2 2017</stp>
        <stp>[AMZ_2009-2018.xlsx]Bal Sheet - Standardized!R7C36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" s="3"/>
      </tp>
      <tp>
        <v>22.6554</v>
        <stp/>
        <stp>##V3_BDHV12</stp>
        <stp>AMZN US Equity</stp>
        <stp>TCE_RATIO</stp>
        <stp>FQ2 2013</stp>
        <stp>FQ2 2013</stp>
        <stp>[AMZ_2009-2018.xlsx]Bal Sheet - Standardized!R85C20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85" s="3"/>
      </tp>
      <tp>
        <v>36.526899999999998</v>
        <stp/>
        <stp>##V3_BDHV12</stp>
        <stp>AMZN US Equity</stp>
        <stp>TCE_RATIO</stp>
        <stp>FQ2 2011</stp>
        <stp>FQ2 2011</stp>
        <stp>[AMZ_2009-2018.xlsx]Bal Sheet - Standardized!R85C12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85" s="3"/>
      </tp>
      <tp>
        <v>7689</v>
        <stp/>
        <stp>##V3_BDHV12</stp>
        <stp>AMZN US Equity</stp>
        <stp>C&amp;CE_AND_STI_DETAILED</stp>
        <stp>FQ3 2013</stp>
        <stp>FQ3 2013</stp>
        <stp>[AMZ_2009-2018.xlsx]Bal Sheet - Standardized!R7C21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" s="3"/>
      </tp>
      <tp>
        <v>16540</v>
        <stp/>
        <stp>##V3_BDHV12</stp>
        <stp>AMZN US Equity</stp>
        <stp>C&amp;CE_AND_STI_DETAILED</stp>
        <stp>FQ2 2016</stp>
        <stp>FQ2 2016</stp>
        <stp>[AMZ_2009-2018.xlsx]Bal Sheet - Standardized!R7C32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" s="3"/>
      </tp>
      <tp>
        <v>12026</v>
        <stp/>
        <stp>##V3_BDHV12</stp>
        <stp>AMZN US Equity</stp>
        <stp>BS_ACCT_NOTE_RCV</stp>
        <stp>FQ1 2018</stp>
        <stp>FQ1 2018</stp>
        <stp>[AMZ_2009-2018.xlsx]Bal Sheet - Standardized!R10C39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0" s="3"/>
      </tp>
      <tp>
        <v>0</v>
        <stp/>
        <stp>##V3_BDHV12</stp>
        <stp>AMZN US Equity</stp>
        <stp>DISP_FXD_&amp;_INTANGIBLES_DETAILED</stp>
        <stp>FQ1 2016</stp>
        <stp>FQ1 2016</stp>
        <stp>[AMZ_2009-2018.xlsx]Cash Flow - Standardized!R23C31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3" s="4"/>
      </tp>
      <tp>
        <v>45335</v>
        <stp/>
        <stp>##V3_BDHV12</stp>
        <stp>AMZN US Equity</stp>
        <stp>BS_NET_FIX_ASSET</stp>
        <stp>FQ3 2017</stp>
        <stp>FQ3 2017</stp>
        <stp>[AMZ_2009-2018.xlsx]Bal Sheet - Standardized!R23C37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3" s="3"/>
      </tp>
      <tp>
        <v>0</v>
        <stp/>
        <stp>##V3_BDHV12</stp>
        <stp>AMZN US Equity</stp>
        <stp>DISP_FXD_&amp;_INTANGIBLES_DETAILED</stp>
        <stp>FQ4 2011</stp>
        <stp>FQ4 2011</stp>
        <stp>[AMZ_2009-2018.xlsx]Cash Flow - Standardized!R23C14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3" s="4"/>
      </tp>
      <tp>
        <v>12267</v>
        <stp/>
        <stp>##V3_BDHV12</stp>
        <stp>AMZN US Equity</stp>
        <stp>BS_NET_FIX_ASSET</stp>
        <stp>FQ1 2014</stp>
        <stp>FQ1 2014</stp>
        <stp>[AMZ_2009-2018.xlsx]Bal Sheet - Standardized!R23C23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3" s="3"/>
      </tp>
      <tp>
        <v>25190</v>
        <stp/>
        <stp>##V3_BDHV12</stp>
        <stp>AMZN US Equity</stp>
        <stp>BS_NET_FIX_ASSET</stp>
        <stp>FQ2 2016</stp>
        <stp>FQ2 2016</stp>
        <stp>[AMZ_2009-2018.xlsx]Bal Sheet - Standardized!R23C32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3" s="3"/>
      </tp>
      <tp>
        <v>0</v>
        <stp/>
        <stp>##V3_BDHV12</stp>
        <stp>AMZN US Equity</stp>
        <stp>DISP_FXD_&amp;_INTANGIBLES_DETAILED</stp>
        <stp>FQ2 2014</stp>
        <stp>FQ2 2014</stp>
        <stp>[AMZ_2009-2018.xlsx]Cash Flow - Standardized!R23C24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3" s="4"/>
      </tp>
      <tp>
        <v>7060</v>
        <stp/>
        <stp>##V3_BDHV12</stp>
        <stp>AMZN US Equity</stp>
        <stp>BS_NET_FIX_ASSET</stp>
        <stp>FQ4 2012</stp>
        <stp>FQ4 2012</stp>
        <stp>[AMZ_2009-2018.xlsx]Bal Sheet - Standardized!R23C18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3" s="3"/>
      </tp>
      <tp>
        <v>17941</v>
        <stp/>
        <stp>##V3_BDHV12</stp>
        <stp>AMZN US Equity</stp>
        <stp>TOT_LIAB_AND_EQY</stp>
        <stp>FQ2 2011</stp>
        <stp>FQ2 2011</stp>
        <stp>[AMZ_2009-2018.xlsx]Bal Sheet - Standardized!R74C12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4" s="3"/>
      </tp>
      <tp>
        <v>0</v>
        <stp/>
        <stp>##V3_BDHV12</stp>
        <stp>AMZN US Equity</stp>
        <stp>DISP_FXD_&amp;_INTANGIBLES_DETAILED</stp>
        <stp>FQ3 2015</stp>
        <stp>FQ3 2015</stp>
        <stp>[AMZ_2009-2018.xlsx]Cash Flow - Standardized!R23C29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3" s="4"/>
      </tp>
      <tp>
        <v>31861</v>
        <stp/>
        <stp>##V3_BDHV12</stp>
        <stp>AMZN US Equity</stp>
        <stp>TOT_LIAB_AND_EQY</stp>
        <stp>FQ3 2013</stp>
        <stp>FQ3 2013</stp>
        <stp>[AMZ_2009-2018.xlsx]Bal Sheet - Standardized!R74C21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4" s="3"/>
      </tp>
      <tp>
        <v>54505</v>
        <stp/>
        <stp>##V3_BDHV12</stp>
        <stp>AMZN US Equity</stp>
        <stp>TOT_LIAB_AND_EQY</stp>
        <stp>FQ4 2014</stp>
        <stp>FQ4 2014</stp>
        <stp>[AMZ_2009-2018.xlsx]Bal Sheet - Standardized!R74C26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4" s="3"/>
      </tp>
      <tp>
        <v>64747</v>
        <stp/>
        <stp>##V3_BDHV12</stp>
        <stp>AMZN US Equity</stp>
        <stp>TOT_LIAB_AND_EQY</stp>
        <stp>FQ4 2015</stp>
        <stp>FQ4 2015</stp>
        <stp>[AMZ_2009-2018.xlsx]Bal Sheet - Standardized!R74C30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4" s="3"/>
      </tp>
      <tp>
        <v>20339</v>
        <stp/>
        <stp>##V3_BDHV12</stp>
        <stp>AMZN US Equity</stp>
        <stp>TOT_LIAB_AND_EQY</stp>
        <stp>FQ1 2012</stp>
        <stp>FQ1 2012</stp>
        <stp>[AMZ_2009-2018.xlsx]Bal Sheet - Standardized!R74C15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4" s="3"/>
      </tp>
      <tp>
        <v>0</v>
        <stp/>
        <stp>##V3_BDHV12</stp>
        <stp>AMZN US Equity</stp>
        <stp>CF_ACQUISITION_OF_INTANG_ASSETS</stp>
        <stp>FQ2 2011</stp>
        <stp>FQ2 2011</stp>
        <stp>[AMZ_2009-2018.xlsx]Cash Flow - Standardized!R28C12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8" s="4"/>
      </tp>
      <tp>
        <v>-28.9268</v>
        <stp/>
        <stp>##V3_BDHV12</stp>
        <stp>AMZN US Equity</stp>
        <stp>CASH_FLOW_TO_NET_INC</stp>
        <stp>FQ1 2013</stp>
        <stp>FQ1 2013</stp>
        <stp>[AMZ_2009-2018.xlsx]Cash Flow - Standardized!R70C19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70" s="4"/>
      </tp>
      <tp>
        <v>-18.753799999999998</v>
        <stp/>
        <stp>##V3_BDHV12</stp>
        <stp>AMZN US Equity</stp>
        <stp>CASH_FLOW_TO_NET_INC</stp>
        <stp>FQ1 2012</stp>
        <stp>FQ1 2012</stp>
        <stp>[AMZ_2009-2018.xlsx]Cash Flow - Standardized!R70C15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70" s="4"/>
      </tp>
      <tp>
        <v>-7.8905000000000003</v>
        <stp/>
        <stp>##V3_BDHV12</stp>
        <stp>AMZN US Equity</stp>
        <stp>CASH_FLOW_TO_NET_INC</stp>
        <stp>FQ1 2011</stp>
        <stp>FQ1 2011</stp>
        <stp>[AMZ_2009-2018.xlsx]Cash Flow - Standardized!R70C11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70" s="4"/>
      </tp>
      <tp>
        <v>-23.166699999999999</v>
        <stp/>
        <stp>##V3_BDHV12</stp>
        <stp>AMZN US Equity</stp>
        <stp>CASH_FLOW_TO_NET_INC</stp>
        <stp>FQ1 2014</stp>
        <stp>FQ1 2014</stp>
        <stp>[AMZ_2009-2018.xlsx]Cash Flow - Standardized!R70C23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70" s="4"/>
      </tp>
      <tp t="s">
        <v>—</v>
        <stp/>
        <stp>##V3_BDHV12</stp>
        <stp>AMZN US Equity</stp>
        <stp>CASH_FLOW_TO_NET_INC</stp>
        <stp>FQ1 2015</stp>
        <stp>FQ1 2015</stp>
        <stp>[AMZ_2009-2018.xlsx]Cash Flow - Standardized!R70C27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70" s="4"/>
      </tp>
      <tp>
        <v>-2.2362000000000002</v>
        <stp/>
        <stp>##V3_BDHV12</stp>
        <stp>AMZN US Equity</stp>
        <stp>CASH_FLOW_TO_NET_INC</stp>
        <stp>FQ1 2017</stp>
        <stp>FQ1 2017</stp>
        <stp>[AMZ_2009-2018.xlsx]Cash Flow - Standardized!R70C35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70" s="4"/>
      </tp>
      <tp>
        <v>-3.8069999999999999</v>
        <stp/>
        <stp>##V3_BDHV12</stp>
        <stp>AMZN US Equity</stp>
        <stp>CASH_FLOW_TO_NET_INC</stp>
        <stp>FQ1 2016</stp>
        <stp>FQ1 2016</stp>
        <stp>[AMZ_2009-2018.xlsx]Cash Flow - Standardized!R70C31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70" s="4"/>
      </tp>
      <tp>
        <v>-1.0993999999999999</v>
        <stp/>
        <stp>##V3_BDHV12</stp>
        <stp>AMZN US Equity</stp>
        <stp>CASH_FLOW_TO_NET_INC</stp>
        <stp>FQ1 2018</stp>
        <stp>FQ1 2018</stp>
        <stp>[AMZ_2009-2018.xlsx]Cash Flow - Standardized!R70C39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70" s="4"/>
      </tp>
      <tp>
        <v>204.49</v>
        <stp/>
        <stp>##V3_BDHV12</stp>
        <stp>AMZN US Equity</stp>
        <stp>PX_LAST</stp>
        <stp>FQ2 2011</stp>
        <stp>FQ2 2011</stp>
        <stp>[AMZ_2009-2018.xlsx]Stock Value!R6C12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6" s="6"/>
      </tp>
      <tp>
        <v>1970</v>
        <stp/>
        <stp>##V3_BDHV12</stp>
        <stp>AMZN US Equity</stp>
        <stp>BS_DISCLOSED_INTANGIBLES</stp>
        <stp>FQ1 2012</stp>
        <stp>FQ1 2012</stp>
        <stp>[AMZ_2009-2018.xlsx]Bal Sheet - Standardized!R28C15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8" s="3"/>
      </tp>
      <tp t="s">
        <v>—</v>
        <stp/>
        <stp>##V3_BDHV12</stp>
        <stp>AMZN US Equity</stp>
        <stp>BS_TAXES_PAYABLE</stp>
        <stp>FQ3 2017</stp>
        <stp>FQ3 2017</stp>
        <stp>[AMZ_2009-2018.xlsx]Bal Sheet - Standardized!R40C37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0" s="3"/>
      </tp>
      <tp>
        <v>0</v>
        <stp/>
        <stp>##V3_BDHV12</stp>
        <stp>AMZN US Equity</stp>
        <stp>CF_ACQUISITION_OF_INTANG_ASSETS</stp>
        <stp>FQ4 2014</stp>
        <stp>FQ4 2014</stp>
        <stp>[AMZ_2009-2018.xlsx]Cash Flow - Standardized!R28C26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8" s="4"/>
      </tp>
      <tp>
        <v>0</v>
        <stp/>
        <stp>##V3_BDHV12</stp>
        <stp>AMZN US Equity</stp>
        <stp>CF_ACQUISITION_OF_INTANG_ASSETS</stp>
        <stp>FQ3 2013</stp>
        <stp>FQ3 2013</stp>
        <stp>[AMZ_2009-2018.xlsx]Cash Flow - Standardized!R28C21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8" s="4"/>
      </tp>
      <tp>
        <v>216.23</v>
        <stp/>
        <stp>##V3_BDHV12</stp>
        <stp>AMZN US Equity</stp>
        <stp>PX_LAST</stp>
        <stp>FQ3 2011</stp>
        <stp>FQ3 2011</stp>
        <stp>[AMZ_2009-2018.xlsx]Stock Value!R6C13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6" s="6"/>
      </tp>
      <tp>
        <v>749.87</v>
        <stp/>
        <stp>##V3_BDHV12</stp>
        <stp>AMZN US Equity</stp>
        <stp>PX_LAST</stp>
        <stp>FQ4 2016</stp>
        <stp>FQ4 2016</stp>
        <stp>[AMZ_2009-2018.xlsx]Stock Value!R6C34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6" s="6"/>
      </tp>
      <tp>
        <v>12.6508</v>
        <stp/>
        <stp>##V3_BDHV12</stp>
        <stp>AMZN US Equity</stp>
        <stp>CASH_FLOW_TO_NET_INC</stp>
        <stp>FQ3 2011</stp>
        <stp>FQ3 2011</stp>
        <stp>[AMZ_2009-2018.xlsx]Cash Flow - Standardized!R70C13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70" s="4"/>
      </tp>
      <tp t="s">
        <v>—</v>
        <stp/>
        <stp>##V3_BDHV12</stp>
        <stp>AMZN US Equity</stp>
        <stp>CASH_FLOW_TO_NET_INC</stp>
        <stp>FQ3 2013</stp>
        <stp>FQ3 2013</stp>
        <stp>[AMZ_2009-2018.xlsx]Cash Flow - Standardized!R70C21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70" s="4"/>
      </tp>
      <tp t="s">
        <v>—</v>
        <stp/>
        <stp>##V3_BDHV12</stp>
        <stp>AMZN US Equity</stp>
        <stp>CASH_FLOW_TO_NET_INC</stp>
        <stp>FQ3 2012</stp>
        <stp>FQ3 2012</stp>
        <stp>[AMZ_2009-2018.xlsx]Cash Flow - Standardized!R70C17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70" s="4"/>
      </tp>
      <tp>
        <v>15.042999999999999</v>
        <stp/>
        <stp>##V3_BDHV12</stp>
        <stp>AMZN US Equity</stp>
        <stp>CASH_FLOW_TO_NET_INC</stp>
        <stp>FQ3 2017</stp>
        <stp>FQ3 2017</stp>
        <stp>[AMZ_2009-2018.xlsx]Cash Flow - Standardized!R70C37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70" s="4"/>
      </tp>
      <tp>
        <v>18.488099999999999</v>
        <stp/>
        <stp>##V3_BDHV12</stp>
        <stp>AMZN US Equity</stp>
        <stp>CASH_FLOW_TO_NET_INC</stp>
        <stp>FQ3 2016</stp>
        <stp>FQ3 2016</stp>
        <stp>[AMZ_2009-2018.xlsx]Cash Flow - Standardized!R70C33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70" s="4"/>
      </tp>
      <tp t="s">
        <v>—</v>
        <stp/>
        <stp>##V3_BDHV12</stp>
        <stp>AMZN US Equity</stp>
        <stp>CASH_FLOW_TO_NET_INC</stp>
        <stp>FQ3 2014</stp>
        <stp>FQ3 2014</stp>
        <stp>[AMZ_2009-2018.xlsx]Cash Flow - Standardized!R70C25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70" s="4"/>
      </tp>
      <tp>
        <v>33.037999999999997</v>
        <stp/>
        <stp>##V3_BDHV12</stp>
        <stp>AMZN US Equity</stp>
        <stp>CASH_FLOW_TO_NET_INC</stp>
        <stp>FQ3 2015</stp>
        <stp>FQ3 2015</stp>
        <stp>[AMZ_2009-2018.xlsx]Cash Flow - Standardized!R70C29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70" s="4"/>
      </tp>
      <tp>
        <v>4751</v>
        <stp/>
        <stp>##V3_BDHV12</stp>
        <stp>AMZN US Equity</stp>
        <stp>BS_DISCLOSED_INTANGIBLES</stp>
        <stp>FQ4 2015</stp>
        <stp>FQ4 2015</stp>
        <stp>[AMZ_2009-2018.xlsx]Bal Sheet - Standardized!R28C30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8" s="3"/>
      </tp>
      <tp>
        <v>0</v>
        <stp/>
        <stp>##V3_BDHV12</stp>
        <stp>AMZN US Equity</stp>
        <stp>SHORT_TERM_DEBT_DETAILED</stp>
        <stp>FQ4 2012</stp>
        <stp>FQ4 2012</stp>
        <stp>[AMZ_2009-2018.xlsx]Bal Sheet - Standardized!R44C18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4" s="3"/>
      </tp>
      <tp t="s">
        <v>—</v>
        <stp/>
        <stp>##V3_BDHV12</stp>
        <stp>AMZN US Equity</stp>
        <stp>CASH_FLOW_TO_NET_INC</stp>
        <stp>FQ2 2013</stp>
        <stp>FQ2 2013</stp>
        <stp>[AMZ_2009-2018.xlsx]Cash Flow - Standardized!R70C20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70" s="4"/>
      </tp>
      <tp>
        <v>2.2147000000000001</v>
        <stp/>
        <stp>##V3_BDHV12</stp>
        <stp>AMZN US Equity</stp>
        <stp>CASH_FLOW_TO_NET_INC</stp>
        <stp>FQ2 2011</stp>
        <stp>FQ2 2011</stp>
        <stp>[AMZ_2009-2018.xlsx]Cash Flow - Standardized!R70C12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70" s="4"/>
      </tp>
      <tp>
        <v>84.857100000000003</v>
        <stp/>
        <stp>##V3_BDHV12</stp>
        <stp>AMZN US Equity</stp>
        <stp>CASH_FLOW_TO_NET_INC</stp>
        <stp>FQ2 2012</stp>
        <stp>FQ2 2012</stp>
        <stp>[AMZ_2009-2018.xlsx]Cash Flow - Standardized!R70C16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70" s="4"/>
      </tp>
      <tp>
        <v>4.1749999999999998</v>
        <stp/>
        <stp>##V3_BDHV12</stp>
        <stp>AMZN US Equity</stp>
        <stp>CASH_FLOW_TO_NET_INC</stp>
        <stp>FQ2 2016</stp>
        <stp>FQ2 2016</stp>
        <stp>[AMZ_2009-2018.xlsx]Cash Flow - Standardized!R70C32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70" s="4"/>
      </tp>
      <tp>
        <v>19.543099999999999</v>
        <stp/>
        <stp>##V3_BDHV12</stp>
        <stp>AMZN US Equity</stp>
        <stp>CASH_FLOW_TO_NET_INC</stp>
        <stp>FQ2 2017</stp>
        <stp>FQ2 2017</stp>
        <stp>[AMZ_2009-2018.xlsx]Cash Flow - Standardized!R70C36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70" s="4"/>
      </tp>
      <tp>
        <v>21.706499999999998</v>
        <stp/>
        <stp>##V3_BDHV12</stp>
        <stp>AMZN US Equity</stp>
        <stp>CASH_FLOW_TO_NET_INC</stp>
        <stp>FQ2 2015</stp>
        <stp>FQ2 2015</stp>
        <stp>[AMZ_2009-2018.xlsx]Cash Flow - Standardized!R70C28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70" s="4"/>
      </tp>
      <tp t="s">
        <v>—</v>
        <stp/>
        <stp>##V3_BDHV12</stp>
        <stp>AMZN US Equity</stp>
        <stp>CASH_FLOW_TO_NET_INC</stp>
        <stp>FQ2 2014</stp>
        <stp>FQ2 2014</stp>
        <stp>[AMZ_2009-2018.xlsx]Cash Flow - Standardized!R70C24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70" s="4"/>
      </tp>
      <tp>
        <v>2.9396</v>
        <stp/>
        <stp>##V3_BDHV12</stp>
        <stp>AMZN US Equity</stp>
        <stp>CASH_FLOW_TO_NET_INC</stp>
        <stp>FQ2 2018</stp>
        <stp>FQ2 2018</stp>
        <stp>[AMZ_2009-2018.xlsx]Cash Flow - Standardized!R70C40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70" s="4"/>
      </tp>
      <tp>
        <v>180.13</v>
        <stp/>
        <stp>##V3_BDHV12</stp>
        <stp>AMZN US Equity</stp>
        <stp>PX_LAST</stp>
        <stp>FQ1 2011</stp>
        <stp>FQ1 2011</stp>
        <stp>[AMZ_2009-2018.xlsx]Stock Value!R6C11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6" s="6"/>
      </tp>
      <tp>
        <v>2635</v>
        <stp/>
        <stp>##V3_BDHV12</stp>
        <stp>AMZN US Equity</stp>
        <stp>BS_DISCLOSED_INTANGIBLES</stp>
        <stp>FQ3 2013</stp>
        <stp>FQ3 2013</stp>
        <stp>[AMZ_2009-2018.xlsx]Bal Sheet - Standardized!R28C21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8" s="3"/>
      </tp>
      <tp>
        <v>4083</v>
        <stp/>
        <stp>##V3_BDHV12</stp>
        <stp>AMZN US Equity</stp>
        <stp>BS_DISCLOSED_INTANGIBLES</stp>
        <stp>FQ4 2014</stp>
        <stp>FQ4 2014</stp>
        <stp>[AMZ_2009-2018.xlsx]Bal Sheet - Standardized!R28C26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8" s="3"/>
      </tp>
      <tp>
        <v>0</v>
        <stp/>
        <stp>##V3_BDHV12</stp>
        <stp>AMZN US Equity</stp>
        <stp>CF_ACQUISITION_OF_INTANG_ASSETS</stp>
        <stp>FQ1 2012</stp>
        <stp>FQ1 2012</stp>
        <stp>[AMZ_2009-2018.xlsx]Cash Flow - Standardized!R28C15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8" s="4"/>
      </tp>
      <tp>
        <v>593.64</v>
        <stp/>
        <stp>##V3_BDHV12</stp>
        <stp>AMZN US Equity</stp>
        <stp>PX_LAST</stp>
        <stp>FQ1 2016</stp>
        <stp>FQ1 2016</stp>
        <stp>[AMZ_2009-2018.xlsx]Stock Value!R6C31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6" s="6"/>
      </tp>
      <tp>
        <v>1909</v>
        <stp/>
        <stp>##V3_BDHV12</stp>
        <stp>AMZN US Equity</stp>
        <stp>BS_DISCLOSED_INTANGIBLES</stp>
        <stp>FQ2 2011</stp>
        <stp>FQ2 2011</stp>
        <stp>[AMZ_2009-2018.xlsx]Bal Sheet - Standardized!R28C12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8" s="3"/>
      </tp>
      <tp t="s">
        <v>—</v>
        <stp/>
        <stp>##V3_BDHV12</stp>
        <stp>AMZN US Equity</stp>
        <stp>BS_TAXES_PAYABLE</stp>
        <stp>FQ2 2016</stp>
        <stp>FQ2 2016</stp>
        <stp>[AMZ_2009-2018.xlsx]Bal Sheet - Standardized!R40C32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0" s="3"/>
      </tp>
      <tp>
        <v>31.378499999999999</v>
        <stp/>
        <stp>##V3_BDHV12</stp>
        <stp>AMZN US Equity</stp>
        <stp>CASH_FLOW_TO_NET_INC</stp>
        <stp>FQ4 2014</stp>
        <stp>FQ4 2014</stp>
        <stp>[AMZ_2009-2018.xlsx]Cash Flow - Standardized!R70C26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70" s="4"/>
      </tp>
      <tp>
        <v>18.2822</v>
        <stp/>
        <stp>##V3_BDHV12</stp>
        <stp>AMZN US Equity</stp>
        <stp>CASH_FLOW_TO_NET_INC</stp>
        <stp>FQ4 2015</stp>
        <stp>FQ4 2015</stp>
        <stp>[AMZ_2009-2018.xlsx]Cash Flow - Standardized!R70C30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70" s="4"/>
      </tp>
      <tp>
        <v>14.668900000000001</v>
        <stp/>
        <stp>##V3_BDHV12</stp>
        <stp>AMZN US Equity</stp>
        <stp>CASH_FLOW_TO_NET_INC</stp>
        <stp>FQ4 2016</stp>
        <stp>FQ4 2016</stp>
        <stp>[AMZ_2009-2018.xlsx]Cash Flow - Standardized!R70C34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70" s="4"/>
      </tp>
      <tp>
        <v>6.6509</v>
        <stp/>
        <stp>##V3_BDHV12</stp>
        <stp>AMZN US Equity</stp>
        <stp>CASH_FLOW_TO_NET_INC</stp>
        <stp>FQ4 2017</stp>
        <stp>FQ4 2017</stp>
        <stp>[AMZ_2009-2018.xlsx]Cash Flow - Standardized!R70C38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70" s="4"/>
      </tp>
      <tp>
        <v>52.381399999999999</v>
        <stp/>
        <stp>##V3_BDHV12</stp>
        <stp>AMZN US Equity</stp>
        <stp>CASH_FLOW_TO_NET_INC</stp>
        <stp>FQ4 2012</stp>
        <stp>FQ4 2012</stp>
        <stp>[AMZ_2009-2018.xlsx]Cash Flow - Standardized!R70C18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70" s="4"/>
      </tp>
      <tp>
        <v>8.3653999999999993</v>
        <stp/>
        <stp>##V3_BDHV12</stp>
        <stp>AMZN US Equity</stp>
        <stp>CASH_FLOW_TO_NET_INC</stp>
        <stp>FQ4 2010</stp>
        <stp>FQ4 2010</stp>
        <stp>[AMZ_2009-2018.xlsx]Cash Flow - Standardized!R70C10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70" s="4"/>
      </tp>
      <tp>
        <v>23.338899999999999</v>
        <stp/>
        <stp>##V3_BDHV12</stp>
        <stp>AMZN US Equity</stp>
        <stp>CASH_FLOW_TO_NET_INC</stp>
        <stp>FQ4 2013</stp>
        <stp>FQ4 2013</stp>
        <stp>[AMZ_2009-2018.xlsx]Cash Flow - Standardized!R70C22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70" s="4"/>
      </tp>
      <tp>
        <v>24.118600000000001</v>
        <stp/>
        <stp>##V3_BDHV12</stp>
        <stp>AMZN US Equity</stp>
        <stp>CASH_FLOW_TO_NET_INC</stp>
        <stp>FQ4 2011</stp>
        <stp>FQ4 2011</stp>
        <stp>[AMZ_2009-2018.xlsx]Cash Flow - Standardized!R70C14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70" s="4"/>
      </tp>
      <tp>
        <v>0</v>
        <stp/>
        <stp>##V3_BDHV12</stp>
        <stp>AMZN US Equity</stp>
        <stp>BS_DERIVATIVE_&amp;_HEDGING_LIABS_ST</stp>
        <stp>FQ4 2012</stp>
        <stp>FQ4 2012</stp>
        <stp>[AMZ_2009-2018.xlsx]Bal Sheet - Standardized!R49C18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9" s="3"/>
      </tp>
      <tp t="s">
        <v>—</v>
        <stp/>
        <stp>##V3_BDHV12</stp>
        <stp>AMZN US Equity</stp>
        <stp>BS_TAXES_PAYABLE</stp>
        <stp>FQ1 2014</stp>
        <stp>FQ1 2014</stp>
        <stp>[AMZ_2009-2018.xlsx]Bal Sheet - Standardized!R40C23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0" s="3"/>
      </tp>
      <tp>
        <v>0</v>
        <stp/>
        <stp>##V3_BDHV12</stp>
        <stp>AMZN US Equity</stp>
        <stp>CF_ACQUISITION_OF_INTANG_ASSETS</stp>
        <stp>FQ4 2015</stp>
        <stp>FQ4 2015</stp>
        <stp>[AMZ_2009-2018.xlsx]Cash Flow - Standardized!R28C30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8" s="4"/>
      </tp>
      <tp>
        <v>173.1</v>
        <stp/>
        <stp>##V3_BDHV12</stp>
        <stp>AMZN US Equity</stp>
        <stp>PX_LAST</stp>
        <stp>FQ4 2011</stp>
        <stp>FQ4 2011</stp>
        <stp>[AMZ_2009-2018.xlsx]Stock Value!R6C14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6" s="6"/>
      </tp>
      <tp>
        <v>837.31</v>
        <stp/>
        <stp>##V3_BDHV12</stp>
        <stp>AMZN US Equity</stp>
        <stp>PX_LAST</stp>
        <stp>FQ3 2016</stp>
        <stp>FQ3 2016</stp>
        <stp>[AMZ_2009-2018.xlsx]Stock Value!R6C33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6" s="6"/>
      </tp>
      <tp>
        <v>0</v>
        <stp/>
        <stp>##V3_BDHV12</stp>
        <stp>AMZN US Equity</stp>
        <stp>NOTES_RECEIVABLE</stp>
        <stp>FQ2 2015</stp>
        <stp>FQ2 2015</stp>
        <stp>[AMZ_2009-2018.xlsx]Bal Sheet - Standardized!R12C28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2" s="3"/>
      </tp>
      <tp>
        <v>0</v>
        <stp/>
        <stp>##V3_BDHV12</stp>
        <stp>AMZN US Equity</stp>
        <stp>BS_DERIVATIVE_&amp;_HEDGING_LIABS_LT</stp>
        <stp>FQ4 2012</stp>
        <stp>FQ4 2012</stp>
        <stp>[AMZ_2009-2018.xlsx]Bal Sheet - Standardized!R60C18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0" s="3"/>
      </tp>
      <tp>
        <v>715.62</v>
        <stp/>
        <stp>##V3_BDHV12</stp>
        <stp>AMZN US Equity</stp>
        <stp>PX_LAST</stp>
        <stp>FQ2 2016</stp>
        <stp>FQ2 2016</stp>
        <stp>[AMZ_2009-2018.xlsx]Stock Value!R6C32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6" s="6"/>
      </tp>
      <tp>
        <v>0</v>
        <stp/>
        <stp>##V3_BDHV12</stp>
        <stp>AMZN US Equity</stp>
        <stp>NOTES_RECEIVABLE</stp>
        <stp>FQ1 2017</stp>
        <stp>FQ1 2017</stp>
        <stp>[AMZ_2009-2018.xlsx]Bal Sheet - Standardized!R12C35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2" s="3"/>
      </tp>
      <tp t="s">
        <v>—</v>
        <stp/>
        <stp>##V3_BDHV12</stp>
        <stp>AMZN US Equity</stp>
        <stp>BS_DERIVATIVE_&amp;_HEDGING_LIABS_ST</stp>
        <stp>FQ1 2014</stp>
        <stp>FQ1 2014</stp>
        <stp>[AMZ_2009-2018.xlsx]Bal Sheet - Standardized!R49C23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9" s="3"/>
      </tp>
      <tp>
        <v>1451</v>
        <stp/>
        <stp>##V3_BDHV12</stp>
        <stp>AMZN US Equity</stp>
        <stp>IS_SG&amp;A_EXPENSE</stp>
        <stp>FQ4 2013</stp>
        <stp>FQ4 2013</stp>
        <stp>[AMZ_2009-2018.xlsx]Income - Adjusted!R13C22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3" s="2"/>
      </tp>
      <tp>
        <v>0</v>
        <stp/>
        <stp>##V3_BDHV12</stp>
        <stp>AMZN US Equity</stp>
        <stp>SHORT_TERM_DEBT_DETAILED</stp>
        <stp>FQ3 2017</stp>
        <stp>FQ3 2017</stp>
        <stp>[AMZ_2009-2018.xlsx]Bal Sheet - Standardized!R44C37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4" s="3"/>
      </tp>
      <tp t="s">
        <v>—</v>
        <stp/>
        <stp>##V3_BDHV12</stp>
        <stp>AMZN US Equity</stp>
        <stp>BS_DERIVATIVE_&amp;_HEDGING_LIABS_LT</stp>
        <stp>FQ2 2016</stp>
        <stp>FQ2 2016</stp>
        <stp>[AMZ_2009-2018.xlsx]Bal Sheet - Standardized!R60C32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0" s="3"/>
      </tp>
      <tp>
        <v>0</v>
        <stp/>
        <stp>##V3_BDHV12</stp>
        <stp>AMZN US Equity</stp>
        <stp>NOTES_RECEIVABLE</stp>
        <stp>FQ4 2010</stp>
        <stp>FQ4 2010</stp>
        <stp>[AMZ_2009-2018.xlsx]Bal Sheet - Standardized!R12C10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2" s="3"/>
      </tp>
      <tp t="s">
        <v>—</v>
        <stp/>
        <stp>##V3_BDHV12</stp>
        <stp>AMZN US Equity</stp>
        <stp>BS_DERIVATIVE_&amp;_HEDGING_LIABS_LT</stp>
        <stp>FQ1 2014</stp>
        <stp>FQ1 2014</stp>
        <stp>[AMZ_2009-2018.xlsx]Bal Sheet - Standardized!R60C23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0" s="3"/>
      </tp>
      <tp>
        <v>43.411499999999997</v>
        <stp/>
        <stp>##V3_BDHV12</stp>
        <stp>AMZN US Equity</stp>
        <stp>PX_TO_FREE_CASH_FLOW</stp>
        <stp>FQ4 2015</stp>
        <stp>FQ4 2015</stp>
        <stp>[AMZ_2009-2018.xlsx]Cash Flow - Standardized!R69C30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69" s="4"/>
      </tp>
      <tp>
        <v>37.923299999999998</v>
        <stp/>
        <stp>##V3_BDHV12</stp>
        <stp>AMZN US Equity</stp>
        <stp>PX_TO_FREE_CASH_FLOW</stp>
        <stp>FQ4 2011</stp>
        <stp>FQ4 2011</stp>
        <stp>[AMZ_2009-2018.xlsx]Cash Flow - Standardized!R69C14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69" s="4"/>
      </tp>
      <tp>
        <v>110.4705</v>
        <stp/>
        <stp>##V3_BDHV12</stp>
        <stp>AMZN US Equity</stp>
        <stp>PX_TO_FREE_CASH_FLOW</stp>
        <stp>FQ3 2012</stp>
        <stp>FQ3 2012</stp>
        <stp>[AMZ_2009-2018.xlsx]Cash Flow - Standardized!R69C17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69" s="4"/>
      </tp>
      <tp>
        <v>43.595300000000002</v>
        <stp/>
        <stp>##V3_BDHV12</stp>
        <stp>AMZN US Equity</stp>
        <stp>PX_TO_FREE_CASH_FLOW</stp>
        <stp>FQ3 2016</stp>
        <stp>FQ3 2016</stp>
        <stp>[AMZ_2009-2018.xlsx]Cash Flow - Standardized!R69C33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69" s="4"/>
      </tp>
      <tp t="s">
        <v>—</v>
        <stp/>
        <stp>##V3_BDHV12</stp>
        <stp>AMZN US Equity</stp>
        <stp>BS_TAXES_PAYABLE</stp>
        <stp>FQ4 2012</stp>
        <stp>FQ4 2012</stp>
        <stp>[AMZ_2009-2018.xlsx]Bal Sheet - Standardized!R40C18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0" s="3"/>
      </tp>
      <tp>
        <v>0</v>
        <stp/>
        <stp>##V3_BDHV12</stp>
        <stp>AMZN US Equity</stp>
        <stp>NOTES_RECEIVABLE</stp>
        <stp>FQ3 2014</stp>
        <stp>FQ3 2014</stp>
        <stp>[AMZ_2009-2018.xlsx]Bal Sheet - Standardized!R12C25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2" s="3"/>
      </tp>
      <tp>
        <v>0</v>
        <stp/>
        <stp>##V3_BDHV12</stp>
        <stp>AMZN US Equity</stp>
        <stp>NOTES_RECEIVABLE</stp>
        <stp>FQ4 2013</stp>
        <stp>FQ4 2013</stp>
        <stp>[AMZ_2009-2018.xlsx]Bal Sheet - Standardized!R12C22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2" s="3"/>
      </tp>
      <tp t="s">
        <v>—</v>
        <stp/>
        <stp>##V3_BDHV12</stp>
        <stp>AMZN US Equity</stp>
        <stp>BS_DERIVATIVE_&amp;_HEDGING_LIABS_ST</stp>
        <stp>FQ2 2016</stp>
        <stp>FQ2 2016</stp>
        <stp>[AMZ_2009-2018.xlsx]Bal Sheet - Standardized!R49C32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9" s="3"/>
      </tp>
      <tp>
        <v>0</v>
        <stp/>
        <stp>##V3_BDHV12</stp>
        <stp>AMZN US Equity</stp>
        <stp>SHORT_TERM_DEBT_DETAILED</stp>
        <stp>FQ2 2016</stp>
        <stp>FQ2 2016</stp>
        <stp>[AMZ_2009-2018.xlsx]Bal Sheet - Standardized!R44C32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4" s="3"/>
      </tp>
      <tp t="s">
        <v>—</v>
        <stp/>
        <stp>##V3_BDHV12</stp>
        <stp>AMZN US Equity</stp>
        <stp>BS_DERIVATIVE_&amp;_HEDGING_LIABS_LT</stp>
        <stp>FQ3 2017</stp>
        <stp>FQ3 2017</stp>
        <stp>[AMZ_2009-2018.xlsx]Bal Sheet - Standardized!R60C37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0" s="3"/>
      </tp>
      <tp>
        <v>0</v>
        <stp/>
        <stp>##V3_BDHV12</stp>
        <stp>AMZN US Equity</stp>
        <stp>SHORT_TERM_DEBT_DETAILED</stp>
        <stp>FQ1 2014</stp>
        <stp>FQ1 2014</stp>
        <stp>[AMZ_2009-2018.xlsx]Bal Sheet - Standardized!R44C23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4" s="3"/>
      </tp>
      <tp>
        <v>507</v>
        <stp/>
        <stp>##V3_BDHV12</stp>
        <stp>AMZN US Equity</stp>
        <stp>IS_SG&amp;A_EXPENSE</stp>
        <stp>FQ2 2011</stp>
        <stp>FQ2 2011</stp>
        <stp>[AMZ_2009-2018.xlsx]Income - Adjusted!R13C12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3" s="2"/>
      </tp>
      <tp>
        <v>2126</v>
        <stp/>
        <stp>##V3_BDHV12</stp>
        <stp>AMZN US Equity</stp>
        <stp>IS_SG&amp;A_EXPENSE</stp>
        <stp>FQ2 2016</stp>
        <stp>FQ2 2016</stp>
        <stp>[AMZ_2009-2018.xlsx]Income - Adjusted!R13C32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3" s="2"/>
      </tp>
      <tp t="s">
        <v>—</v>
        <stp/>
        <stp>##V3_BDHV12</stp>
        <stp>AMZN US Equity</stp>
        <stp>BS_DERIVATIVE_&amp;_HEDGING_LIABS_ST</stp>
        <stp>FQ3 2017</stp>
        <stp>FQ3 2017</stp>
        <stp>[AMZ_2009-2018.xlsx]Bal Sheet - Standardized!R49C37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9" s="3"/>
      </tp>
      <tp>
        <v>286</v>
        <stp/>
        <stp>##V3_BDHV12</stp>
        <stp>AMZN US Equity</stp>
        <stp>CF_PROC_LT_DEBT_&amp;_CAPITAL_LEASE</stp>
        <stp>FQ2 2014</stp>
        <stp>FQ2 2014</stp>
        <stp>[AMZ_2009-2018.xlsx]Cash Flow - Standardized!R44C24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4" s="4"/>
      </tp>
      <tp>
        <v>9</v>
        <stp/>
        <stp>##V3_BDHV12</stp>
        <stp>AMZN US Equity</stp>
        <stp>CF_PROC_LT_DEBT_&amp;_CAPITAL_LEASE</stp>
        <stp>FQ1 2016</stp>
        <stp>FQ1 2016</stp>
        <stp>[AMZ_2009-2018.xlsx]Cash Flow - Standardized!R44C31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4" s="4"/>
      </tp>
      <tp>
        <v>-858</v>
        <stp/>
        <stp>##V3_BDHV12</stp>
        <stp>AMZN US Equity</stp>
        <stp>CF_PYMT_LT_DEBT_&amp;_CAPITAL_LEASE</stp>
        <stp>FQ3 2015</stp>
        <stp>FQ3 2015</stp>
        <stp>[AMZ_2009-2018.xlsx]Cash Flow - Standardized!R45C29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5" s="4"/>
      </tp>
      <tp>
        <v>47</v>
        <stp/>
        <stp>##V3_BDHV12</stp>
        <stp>AMZN US Equity</stp>
        <stp>CF_PROC_LT_DEBT_&amp;_CAPITAL_LEASE</stp>
        <stp>FQ4 2011</stp>
        <stp>FQ4 2011</stp>
        <stp>[AMZ_2009-2018.xlsx]Cash Flow - Standardized!R44C14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4" s="4"/>
      </tp>
      <tp>
        <v>2</v>
        <stp/>
        <stp>##V3_BDHV12</stp>
        <stp>AMZN US Equity</stp>
        <stp>CF_ACT_CASH_PAID_FOR_INT_DEBT</stp>
        <stp>FQ2 2009</stp>
        <stp>FQ2 2009</stp>
        <stp>[AMZ_2009-2018.xlsx]Cash Flow - Standardized!R58C4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8" s="4"/>
      </tp>
      <tp>
        <v>-475</v>
        <stp/>
        <stp>##V3_BDHV12</stp>
        <stp>AMZN US Equity</stp>
        <stp>CF_PYMT_LT_DEBT_&amp;_CAPITAL_LEASE</stp>
        <stp>FQ2 2014</stp>
        <stp>FQ2 2014</stp>
        <stp>[AMZ_2009-2018.xlsx]Cash Flow - Standardized!R45C24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5" s="4"/>
      </tp>
      <tp>
        <v>-35</v>
        <stp/>
        <stp>##V3_BDHV12</stp>
        <stp>AMZN US Equity</stp>
        <stp>OTHER_INS_RES_TO_SHRHLDR_EQY</stp>
        <stp>FQ3 2009</stp>
        <stp>FQ3 2009</stp>
        <stp>[AMZ_2009-2018.xlsx]Bal Sheet - Standardized!R70C5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70" s="3"/>
      </tp>
      <tp>
        <v>-58</v>
        <stp/>
        <stp>##V3_BDHV12</stp>
        <stp>AMZN US Equity</stp>
        <stp>OTHER_INS_RES_TO_SHRHLDR_EQY</stp>
        <stp>FQ2 2009</stp>
        <stp>FQ2 2009</stp>
        <stp>[AMZ_2009-2018.xlsx]Bal Sheet - Standardized!R70C4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70" s="3"/>
      </tp>
      <tp>
        <v>-104</v>
        <stp/>
        <stp>##V3_BDHV12</stp>
        <stp>AMZN US Equity</stp>
        <stp>CF_PYMT_LT_DEBT_&amp;_CAPITAL_LEASE</stp>
        <stp>FQ4 2011</stp>
        <stp>FQ4 2011</stp>
        <stp>[AMZ_2009-2018.xlsx]Cash Flow - Standardized!R45C14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5" s="4"/>
      </tp>
      <tp>
        <v>3</v>
        <stp/>
        <stp>##V3_BDHV12</stp>
        <stp>AMZN US Equity</stp>
        <stp>CF_ACT_CASH_PAID_FOR_INT_DEBT</stp>
        <stp>FQ3 2010</stp>
        <stp>FQ3 2010</stp>
        <stp>[AMZ_2009-2018.xlsx]Cash Flow - Standardized!R58C9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8" s="4"/>
      </tp>
      <tp>
        <v>33</v>
        <stp/>
        <stp>##V3_BDHV12</stp>
        <stp>AMZN US Equity</stp>
        <stp>CF_PROC_LT_DEBT_&amp;_CAPITAL_LEASE</stp>
        <stp>FQ3 2015</stp>
        <stp>FQ3 2015</stp>
        <stp>[AMZ_2009-2018.xlsx]Cash Flow - Standardized!R44C29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4" s="4"/>
      </tp>
      <tp>
        <v>-1005</v>
        <stp/>
        <stp>##V3_BDHV12</stp>
        <stp>AMZN US Equity</stp>
        <stp>CF_PYMT_LT_DEBT_&amp;_CAPITAL_LEASE</stp>
        <stp>FQ1 2016</stp>
        <stp>FQ1 2016</stp>
        <stp>[AMZ_2009-2018.xlsx]Cash Flow - Standardized!R45C31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5" s="4"/>
      </tp>
      <tp>
        <v>0</v>
        <stp/>
        <stp>##V3_BDHV12</stp>
        <stp>AMZN US Equity</stp>
        <stp>NET_CHG_IN_LT_INVEST_DETAILED</stp>
        <stp>FQ4 2009</stp>
        <stp>FQ4 2009</stp>
        <stp>[AMZ_2009-2018.xlsx]Cash Flow - Standardized!R29C6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9" s="4"/>
      </tp>
      <tp>
        <v>0</v>
        <stp/>
        <stp>##V3_BDHV12</stp>
        <stp>AMZN US Equity</stp>
        <stp>IS_EXTRAORD_ITEMS_&amp;_ACCTG_CHNG</stp>
        <stp>FQ1 2010</stp>
        <stp>FQ1 2010</stp>
        <stp>[AMZ_2009-2018.xlsx]Income - Adjusted!R37C7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7" s="2"/>
      </tp>
      <tp>
        <v>52886</v>
        <stp/>
        <stp>##V3_BDHV12</stp>
        <stp>AMZN US Equity</stp>
        <stp>SALES_REV_TURN</stp>
        <stp>FQ2 2018</stp>
        <stp>FQ2 2018</stp>
        <stp>[AMZ_2009-2018.xlsx]Income - Adjusted!R6C40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6" s="2"/>
      </tp>
      <tp>
        <v>299</v>
        <stp/>
        <stp>##V3_BDHV12</stp>
        <stp>AMZN US Equity</stp>
        <stp>NET_INCOME</stp>
        <stp>FQ1 2010</stp>
        <stp>FQ1 2010</stp>
        <stp>[AMZ_2009-2018.xlsx]Income - Adjusted!R40C7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40" s="2"/>
      </tp>
      <tp>
        <v>8636</v>
        <stp/>
        <stp>##V3_BDHV12</stp>
        <stp>AMZN US Equity</stp>
        <stp>BS_PURE_RETAINED_EARNINGS</stp>
        <stp>FQ4 2017</stp>
        <stp>FQ4 2017</stp>
        <stp>[AMZ_2009-2018.xlsx]Bal Sheet - Standardized!R69C38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9" s="3"/>
      </tp>
      <tp>
        <v>248</v>
        <stp/>
        <stp>##V3_BDHV12</stp>
        <stp>AMZN US Equity</stp>
        <stp>PRETAX_INC</stp>
        <stp>FQ1 2009</stp>
        <stp>FQ1 2009</stp>
        <stp>[AMZ_2009-2018.xlsx]Income - Adjusted!R31C3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2"/>
      </tp>
      <tp>
        <v>1818</v>
        <stp/>
        <stp>##V3_BDHV12</stp>
        <stp>AMZN US Equity</stp>
        <stp>BS_PURE_RETAINED_EARNINGS</stp>
        <stp>FQ3 2012</stp>
        <stp>FQ3 2012</stp>
        <stp>[AMZ_2009-2018.xlsx]Bal Sheet - Standardized!R69C17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9" s="3"/>
      </tp>
      <tp>
        <v>11.352</v>
        <stp/>
        <stp>##V3_BDHV12</stp>
        <stp>AMZN US Equity</stp>
        <stp>CASH_ST_INVESTMENTS_PER_SH</stp>
        <stp>FQ1 2010</stp>
        <stp>FQ1 2010</stp>
        <stp>[AMZ_2009-2018.xlsx]Per Share!R25C7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25" s="5"/>
      </tp>
      <tp>
        <v>0</v>
        <stp/>
        <stp>##V3_BDHV12</stp>
        <stp>AMZN US Equity</stp>
        <stp>BS_OTHER_CUR_ASSET_LESS_PREPAY</stp>
        <stp>FQ2 2012</stp>
        <stp>FQ2 2012</stp>
        <stp>[AMZ_2009-2018.xlsx]Bal Sheet - Standardized!R21C16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1" s="3"/>
      </tp>
      <tp>
        <v>0</v>
        <stp/>
        <stp>##V3_BDHV12</stp>
        <stp>AMZN US Equity</stp>
        <stp>BS_OTHER_CUR_ASSET_LESS_PREPAY</stp>
        <stp>FQ1 2011</stp>
        <stp>FQ1 2011</stp>
        <stp>[AMZ_2009-2018.xlsx]Bal Sheet - Standardized!R21C11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1" s="3"/>
      </tp>
      <tp>
        <v>0</v>
        <stp/>
        <stp>##V3_BDHV12</stp>
        <stp>AMZN US Equity</stp>
        <stp>BS_OTHER_CUR_ASSET_LESS_PREPAY</stp>
        <stp>FQ4 2016</stp>
        <stp>FQ4 2016</stp>
        <stp>[AMZ_2009-2018.xlsx]Bal Sheet - Standardized!R21C34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1" s="3"/>
      </tp>
      <tp>
        <v>7505</v>
        <stp/>
        <stp>##V3_BDHV12</stp>
        <stp>AMZN US Equity</stp>
        <stp>EQTY_BEF_MINORITY_INT_DETAILED</stp>
        <stp>FQ2 2012</stp>
        <stp>FQ2 2012</stp>
        <stp>[AMZ_2009-2018.xlsx]Bal Sheet - Standardized!R71C16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1" s="3"/>
      </tp>
      <tp>
        <v>7347</v>
        <stp/>
        <stp>##V3_BDHV12</stp>
        <stp>AMZN US Equity</stp>
        <stp>EQTY_BEF_MINORITY_INT_DETAILED</stp>
        <stp>FQ1 2011</stp>
        <stp>FQ1 2011</stp>
        <stp>[AMZ_2009-2018.xlsx]Bal Sheet - Standardized!R71C11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1" s="3"/>
      </tp>
      <tp>
        <v>96</v>
        <stp/>
        <stp>##V3_BDHV12</stp>
        <stp>AMZN US Equity</stp>
        <stp>IS_DEPR_EXP</stp>
        <stp>FQ3 2009</stp>
        <stp>FQ3 2009</stp>
        <stp>[AMZ_2009-2018.xlsx]Income - Adjusted!R72C5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2" s="2"/>
      </tp>
      <tp>
        <v>19285</v>
        <stp/>
        <stp>##V3_BDHV12</stp>
        <stp>AMZN US Equity</stp>
        <stp>EQTY_BEF_MINORITY_INT_DETAILED</stp>
        <stp>FQ4 2016</stp>
        <stp>FQ4 2016</stp>
        <stp>[AMZ_2009-2018.xlsx]Bal Sheet - Standardized!R71C34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1" s="3"/>
      </tp>
      <tp>
        <v>21531</v>
        <stp/>
        <stp>##V3_BDHV12</stp>
        <stp>AMZN US Equity</stp>
        <stp>C&amp;CE_AND_STI_DETAILED</stp>
        <stp>FQ1 2017</stp>
        <stp>FQ1 2017</stp>
        <stp>[AMZ_2009-2018.xlsx]Bal Sheet - Standardized!R7C35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" s="3"/>
      </tp>
      <tp>
        <v>24963</v>
        <stp/>
        <stp>##V3_BDHV12</stp>
        <stp>AMZN US Equity</stp>
        <stp>C&amp;CE_AND_STI_DETAILED</stp>
        <stp>FQ1 2018</stp>
        <stp>FQ1 2018</stp>
        <stp>[AMZ_2009-2018.xlsx]Bal Sheet - Standardized!R7C39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" s="3"/>
      </tp>
      <tp>
        <v>37.959499999999998</v>
        <stp/>
        <stp>##V3_BDHV12</stp>
        <stp>AMZN US Equity</stp>
        <stp>TCE_RATIO</stp>
        <stp>FQ1 2011</stp>
        <stp>FQ1 2011</stp>
        <stp>[AMZ_2009-2018.xlsx]Bal Sheet - Standardized!R85C11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85" s="3"/>
      </tp>
      <tp>
        <v>22.500800000000002</v>
        <stp/>
        <stp>##V3_BDHV12</stp>
        <stp>AMZN US Equity</stp>
        <stp>TCE_RATIO</stp>
        <stp>FQ2 2014</stp>
        <stp>FQ2 2014</stp>
        <stp>[AMZ_2009-2018.xlsx]Bal Sheet - Standardized!R85C24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85" s="3"/>
      </tp>
      <tp>
        <v>11.164199999999999</v>
        <stp/>
        <stp>##V3_BDHV12</stp>
        <stp>AMZN US Equity</stp>
        <stp>TCE_RATIO</stp>
        <stp>FQ3 2017</stp>
        <stp>FQ3 2017</stp>
        <stp>[AMZ_2009-2018.xlsx]Bal Sheet - Standardized!R85C37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85" s="3"/>
      </tp>
      <tp>
        <v>31.6082</v>
        <stp/>
        <stp>##V3_BDHV12</stp>
        <stp>AMZN US Equity</stp>
        <stp>TCE_RATIO</stp>
        <stp>FQ4 2010</stp>
        <stp>FQ4 2010</stp>
        <stp>[AMZ_2009-2018.xlsx]Bal Sheet - Standardized!R85C10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85" s="3"/>
      </tp>
      <tp>
        <v>6326</v>
        <stp/>
        <stp>##V3_BDHV12</stp>
        <stp>AMZN US Equity</stp>
        <stp>C&amp;CE_AND_STI_DETAILED</stp>
        <stp>FQ3 2011</stp>
        <stp>FQ3 2011</stp>
        <stp>[AMZ_2009-2018.xlsx]Bal Sheet - Standardized!R7C13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" s="3"/>
      </tp>
      <tp>
        <v>24851</v>
        <stp/>
        <stp>##V3_BDHV12</stp>
        <stp>AMZN US Equity</stp>
        <stp>BS_OTHER_ASSETS_DEF_CHRG_OTHER</stp>
        <stp>FQ2 2018</stp>
        <stp>FQ2 2018</stp>
        <stp>[AMZ_2009-2018.xlsx]Bal Sheet - Standardized!R27C40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7" s="3"/>
      </tp>
      <tp>
        <v>5248</v>
        <stp/>
        <stp>##V3_BDHV12</stp>
        <stp>AMZN US Equity</stp>
        <stp>C&amp;CE_AND_STI_DETAILED</stp>
        <stp>FQ3 2012</stp>
        <stp>FQ3 2012</stp>
        <stp>[AMZ_2009-2018.xlsx]Bal Sheet - Standardized!R7C17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" s="3"/>
      </tp>
      <tp>
        <v>15859</v>
        <stp/>
        <stp>##V3_BDHV12</stp>
        <stp>AMZN US Equity</stp>
        <stp>C&amp;CE_AND_STI_DETAILED</stp>
        <stp>FQ1 2016</stp>
        <stp>FQ1 2016</stp>
        <stp>[AMZ_2009-2018.xlsx]Bal Sheet - Standardized!R7C31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" s="3"/>
      </tp>
      <tp>
        <v>0</v>
        <stp/>
        <stp>##V3_BDHV12</stp>
        <stp>AMZN US Equity</stp>
        <stp>DISP_FXD_&amp;_INTANGIBLES_DETAILED</stp>
        <stp>FQ1 2014</stp>
        <stp>FQ1 2014</stp>
        <stp>[AMZ_2009-2018.xlsx]Cash Flow - Standardized!R23C23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3" s="4"/>
      </tp>
      <tp>
        <v>14089</v>
        <stp/>
        <stp>##V3_BDHV12</stp>
        <stp>AMZN US Equity</stp>
        <stp>BS_NET_FIX_ASSET</stp>
        <stp>FQ2 2014</stp>
        <stp>FQ2 2014</stp>
        <stp>[AMZ_2009-2018.xlsx]Bal Sheet - Standardized!R23C24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3" s="3"/>
      </tp>
      <tp>
        <v>0</v>
        <stp/>
        <stp>##V3_BDHV12</stp>
        <stp>AMZN US Equity</stp>
        <stp>DISP_FXD_&amp;_INTANGIBLES_DETAILED</stp>
        <stp>FQ2 2016</stp>
        <stp>FQ2 2016</stp>
        <stp>[AMZ_2009-2018.xlsx]Cash Flow - Standardized!R23C32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3" s="4"/>
      </tp>
      <tp>
        <v>23308</v>
        <stp/>
        <stp>##V3_BDHV12</stp>
        <stp>AMZN US Equity</stp>
        <stp>BS_NET_FIX_ASSET</stp>
        <stp>FQ1 2016</stp>
        <stp>FQ1 2016</stp>
        <stp>[AMZ_2009-2018.xlsx]Bal Sheet - Standardized!R23C31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3" s="3"/>
      </tp>
      <tp>
        <v>0</v>
        <stp/>
        <stp>##V3_BDHV12</stp>
        <stp>AMZN US Equity</stp>
        <stp>DISP_FXD_&amp;_INTANGIBLES_DETAILED</stp>
        <stp>FQ3 2017</stp>
        <stp>FQ3 2017</stp>
        <stp>[AMZ_2009-2018.xlsx]Cash Flow - Standardized!R23C37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3" s="4"/>
      </tp>
      <tp>
        <v>4417</v>
        <stp/>
        <stp>##V3_BDHV12</stp>
        <stp>AMZN US Equity</stp>
        <stp>BS_NET_FIX_ASSET</stp>
        <stp>FQ4 2011</stp>
        <stp>FQ4 2011</stp>
        <stp>[AMZ_2009-2018.xlsx]Bal Sheet - Standardized!R23C14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3" s="3"/>
      </tp>
      <tp>
        <v>16882</v>
        <stp/>
        <stp>##V3_BDHV12</stp>
        <stp>AMZN US Equity</stp>
        <stp>TOT_LIAB_AND_EQY</stp>
        <stp>FQ1 2011</stp>
        <stp>FQ1 2011</stp>
        <stp>[AMZ_2009-2018.xlsx]Bal Sheet - Standardized!R74C11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4" s="3"/>
      </tp>
      <tp>
        <v>83402</v>
        <stp/>
        <stp>##V3_BDHV12</stp>
        <stp>AMZN US Equity</stp>
        <stp>TOT_LIAB_AND_EQY</stp>
        <stp>FQ4 2016</stp>
        <stp>FQ4 2016</stp>
        <stp>[AMZ_2009-2018.xlsx]Bal Sheet - Standardized!R74C34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4" s="3"/>
      </tp>
      <tp>
        <v>0</v>
        <stp/>
        <stp>##V3_BDHV12</stp>
        <stp>AMZN US Equity</stp>
        <stp>DISP_FXD_&amp;_INTANGIBLES_DETAILED</stp>
        <stp>FQ4 2012</stp>
        <stp>FQ4 2012</stp>
        <stp>[AMZ_2009-2018.xlsx]Cash Flow - Standardized!R23C18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3" s="4"/>
      </tp>
      <tp>
        <v>21022</v>
        <stp/>
        <stp>##V3_BDHV12</stp>
        <stp>AMZN US Equity</stp>
        <stp>TOT_LIAB_AND_EQY</stp>
        <stp>FQ2 2012</stp>
        <stp>FQ2 2012</stp>
        <stp>[AMZ_2009-2018.xlsx]Bal Sheet - Standardized!R74C16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4" s="3"/>
      </tp>
      <tp>
        <v>20636</v>
        <stp/>
        <stp>##V3_BDHV12</stp>
        <stp>AMZN US Equity</stp>
        <stp>BS_NET_FIX_ASSET</stp>
        <stp>FQ3 2015</stp>
        <stp>FQ3 2015</stp>
        <stp>[AMZ_2009-2018.xlsx]Bal Sheet - Standardized!R23C29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3" s="3"/>
      </tp>
      <tp>
        <v>13813</v>
        <stp/>
        <stp>##V3_BDHV12</stp>
        <stp>AMZN US Equity</stp>
        <stp>TOT_LIAB_AND_EQY</stp>
        <stp>FQ4 2009</stp>
        <stp>FQ4 2009</stp>
        <stp>[AMZ_2009-2018.xlsx]Bal Sheet - Standardized!R74C6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4" s="3"/>
      </tp>
      <tp t="s">
        <v>—</v>
        <stp/>
        <stp>##V3_BDHV12</stp>
        <stp>AMZN US Equity</stp>
        <stp>BS_TAXES_PAYABLE</stp>
        <stp>FQ2 2014</stp>
        <stp>FQ2 2014</stp>
        <stp>[AMZ_2009-2018.xlsx]Bal Sheet - Standardized!R40C24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0" s="3"/>
      </tp>
      <tp>
        <v>0</v>
        <stp/>
        <stp>##V3_BDHV12</stp>
        <stp>AMZN US Equity</stp>
        <stp>CF_ACQUISITION_OF_INTANG_ASSETS</stp>
        <stp>FQ4 2016</stp>
        <stp>FQ4 2016</stp>
        <stp>[AMZ_2009-2018.xlsx]Cash Flow - Standardized!R28C34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8" s="4"/>
      </tp>
      <tp t="s">
        <v>—</v>
        <stp/>
        <stp>##V3_BDHV12</stp>
        <stp>AMZN US Equity</stp>
        <stp>BS_DERIVATIVE_&amp;_HEDGING_LIABS_LT</stp>
        <stp>FQ3 2015</stp>
        <stp>FQ3 2015</stp>
        <stp>[AMZ_2009-2018.xlsx]Bal Sheet - Standardized!R60C29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0" s="3"/>
      </tp>
      <tp>
        <v>2521</v>
        <stp/>
        <stp>##V3_BDHV12</stp>
        <stp>AMZN US Equity</stp>
        <stp>BS_DISCLOSED_INTANGIBLES</stp>
        <stp>FQ2 2012</stp>
        <stp>FQ2 2012</stp>
        <stp>[AMZ_2009-2018.xlsx]Bal Sheet - Standardized!R28C16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8" s="3"/>
      </tp>
      <tp>
        <v>0</v>
        <stp/>
        <stp>##V3_BDHV12</stp>
        <stp>AMZN US Equity</stp>
        <stp>OTHER_INTANGIBLE_ASSETS_DETAILED</stp>
        <stp>FQ2 2018</stp>
        <stp>FQ2 2018</stp>
        <stp>[AMZ_2009-2018.xlsx]Bal Sheet - Standardized!R30C40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0" s="3"/>
      </tp>
      <tp>
        <v>0</v>
        <stp/>
        <stp>##V3_BDHV12</stp>
        <stp>AMZN US Equity</stp>
        <stp>CF_ACQUISITION_OF_INTANG_ASSETS</stp>
        <stp>FQ1 2011</stp>
        <stp>FQ1 2011</stp>
        <stp>[AMZ_2009-2018.xlsx]Cash Flow - Standardized!R28C11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8" s="4"/>
      </tp>
      <tp t="s">
        <v>—</v>
        <stp/>
        <stp>##V3_BDHV12</stp>
        <stp>AMZN US Equity</stp>
        <stp>BS_DERIVATIVE_&amp;_HEDGING_LIABS_ST</stp>
        <stp>FQ3 2015</stp>
        <stp>FQ3 2015</stp>
        <stp>[AMZ_2009-2018.xlsx]Bal Sheet - Standardized!R49C29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9" s="3"/>
      </tp>
      <tp>
        <v>4638</v>
        <stp/>
        <stp>##V3_BDHV12</stp>
        <stp>AMZN US Equity</stp>
        <stp>BS_DISCLOSED_INTANGIBLES</stp>
        <stp>FQ4 2016</stp>
        <stp>FQ4 2016</stp>
        <stp>[AMZ_2009-2018.xlsx]Bal Sheet - Standardized!R28C34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8" s="3"/>
      </tp>
      <tp t="s">
        <v>—</v>
        <stp/>
        <stp>##V3_BDHV12</stp>
        <stp>AMZN US Equity</stp>
        <stp>BS_TAXES_PAYABLE</stp>
        <stp>FQ4 2011</stp>
        <stp>FQ4 2011</stp>
        <stp>[AMZ_2009-2018.xlsx]Bal Sheet - Standardized!R40C14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0" s="3"/>
      </tp>
      <tp>
        <v>0</v>
        <stp/>
        <stp>##V3_BDHV12</stp>
        <stp>AMZN US Equity</stp>
        <stp>SHORT_TERM_DEBT_DETAILED</stp>
        <stp>FQ3 2015</stp>
        <stp>FQ3 2015</stp>
        <stp>[AMZ_2009-2018.xlsx]Bal Sheet - Standardized!R44C29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4" s="3"/>
      </tp>
      <tp>
        <v>1513</v>
        <stp/>
        <stp>##V3_BDHV12</stp>
        <stp>AMZN US Equity</stp>
        <stp>BS_DISCLOSED_INTANGIBLES</stp>
        <stp>FQ1 2011</stp>
        <stp>FQ1 2011</stp>
        <stp>[AMZ_2009-2018.xlsx]Bal Sheet - Standardized!R28C11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8" s="3"/>
      </tp>
      <tp t="s">
        <v>—</v>
        <stp/>
        <stp>##V3_BDHV12</stp>
        <stp>AMZN US Equity</stp>
        <stp>BS_TAXES_PAYABLE</stp>
        <stp>FQ1 2016</stp>
        <stp>FQ1 2016</stp>
        <stp>[AMZ_2009-2018.xlsx]Bal Sheet - Standardized!R40C31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0" s="3"/>
      </tp>
      <tp>
        <v>0</v>
        <stp/>
        <stp>##V3_BDHV12</stp>
        <stp>AMZN US Equity</stp>
        <stp>CF_ACQUISITION_OF_INTANG_ASSETS</stp>
        <stp>FQ2 2012</stp>
        <stp>FQ2 2012</stp>
        <stp>[AMZ_2009-2018.xlsx]Cash Flow - Standardized!R28C16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8" s="4"/>
      </tp>
      <tp>
        <v>0</v>
        <stp/>
        <stp>##V3_BDHV12</stp>
        <stp>AMZN US Equity</stp>
        <stp>NOTES_RECEIVABLE</stp>
        <stp>FQ1 2015</stp>
        <stp>FQ1 2015</stp>
        <stp>[AMZ_2009-2018.xlsx]Bal Sheet - Standardized!R12C27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2" s="3"/>
      </tp>
      <tp>
        <v>0</v>
        <stp/>
        <stp>##V3_BDHV12</stp>
        <stp>AMZN US Equity</stp>
        <stp>BS_DERIVATIVE_&amp;_HEDGING_LIABS_LT</stp>
        <stp>FQ4 2011</stp>
        <stp>FQ4 2011</stp>
        <stp>[AMZ_2009-2018.xlsx]Bal Sheet - Standardized!R60C14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0" s="3"/>
      </tp>
      <tp t="s">
        <v>—</v>
        <stp/>
        <stp>##V3_BDHV12</stp>
        <stp>AMZN US Equity</stp>
        <stp>BS_DERIVATIVE_&amp;_HEDGING_LIABS_ST</stp>
        <stp>FQ1 2016</stp>
        <stp>FQ1 2016</stp>
        <stp>[AMZ_2009-2018.xlsx]Bal Sheet - Standardized!R49C31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9" s="3"/>
      </tp>
      <tp>
        <v>0</v>
        <stp/>
        <stp>##V3_BDHV12</stp>
        <stp>AMZN US Equity</stp>
        <stp>SHORT_TERM_DEBT_DETAILED</stp>
        <stp>FQ2 2014</stp>
        <stp>FQ2 2014</stp>
        <stp>[AMZ_2009-2018.xlsx]Bal Sheet - Standardized!R44C24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4" s="3"/>
      </tp>
      <tp t="s">
        <v>—</v>
        <stp/>
        <stp>##V3_BDHV12</stp>
        <stp>AMZN US Equity</stp>
        <stp>BS_DERIVATIVE_&amp;_HEDGING_LIABS_LT</stp>
        <stp>FQ1 2016</stp>
        <stp>FQ1 2016</stp>
        <stp>[AMZ_2009-2018.xlsx]Bal Sheet - Standardized!R60C31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0" s="3"/>
      </tp>
      <tp>
        <v>0</v>
        <stp/>
        <stp>##V3_BDHV12</stp>
        <stp>AMZN US Equity</stp>
        <stp>BS_DERIVATIVE_&amp;_HEDGING_LIABS_ST</stp>
        <stp>FQ4 2011</stp>
        <stp>FQ4 2011</stp>
        <stp>[AMZ_2009-2018.xlsx]Bal Sheet - Standardized!R49C14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9" s="3"/>
      </tp>
      <tp>
        <v>0</v>
        <stp/>
        <stp>##V3_BDHV12</stp>
        <stp>AMZN US Equity</stp>
        <stp>NOTES_RECEIVABLE</stp>
        <stp>FQ2 2017</stp>
        <stp>FQ2 2017</stp>
        <stp>[AMZ_2009-2018.xlsx]Bal Sheet - Standardized!R12C36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2" s="3"/>
      </tp>
      <tp>
        <v>460</v>
        <stp/>
        <stp>##V3_BDHV12</stp>
        <stp>AMZN US Equity</stp>
        <stp>IS_SG&amp;A_EXPENSE</stp>
        <stp>FQ1 2011</stp>
        <stp>FQ1 2011</stp>
        <stp>[AMZ_2009-2018.xlsx]Income - Adjusted!R13C11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3" s="2"/>
      </tp>
      <tp>
        <v>1933</v>
        <stp/>
        <stp>##V3_BDHV12</stp>
        <stp>AMZN US Equity</stp>
        <stp>IS_SG&amp;A_EXPENSE</stp>
        <stp>FQ1 2016</stp>
        <stp>FQ1 2016</stp>
        <stp>[AMZ_2009-2018.xlsx]Income - Adjusted!R13C31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3" s="2"/>
      </tp>
      <tp>
        <v>0</v>
        <stp/>
        <stp>##V3_BDHV12</stp>
        <stp>AMZN US Equity</stp>
        <stp>SHORT_TERM_DEBT_DETAILED</stp>
        <stp>FQ4 2011</stp>
        <stp>FQ4 2011</stp>
        <stp>[AMZ_2009-2018.xlsx]Bal Sheet - Standardized!R44C14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4" s="3"/>
      </tp>
      <tp t="s">
        <v>—</v>
        <stp/>
        <stp>##V3_BDHV12</stp>
        <stp>AMZN US Equity</stp>
        <stp>BS_TAXES_PAYABLE</stp>
        <stp>FQ3 2015</stp>
        <stp>FQ3 2015</stp>
        <stp>[AMZ_2009-2018.xlsx]Bal Sheet - Standardized!R40C29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0" s="3"/>
      </tp>
      <tp t="s">
        <v>—</v>
        <stp/>
        <stp>##V3_BDHV12</stp>
        <stp>AMZN US Equity</stp>
        <stp>BS_DERIVATIVE_&amp;_HEDGING_LIABS_LT</stp>
        <stp>FQ2 2014</stp>
        <stp>FQ2 2014</stp>
        <stp>[AMZ_2009-2018.xlsx]Bal Sheet - Standardized!R60C24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0" s="3"/>
      </tp>
      <tp>
        <v>972</v>
        <stp/>
        <stp>##V3_BDHV12</stp>
        <stp>AMZN US Equity</stp>
        <stp>IS_SG&amp;A_EXPENSE</stp>
        <stp>FQ3 2013</stp>
        <stp>FQ3 2013</stp>
        <stp>[AMZ_2009-2018.xlsx]Income - Adjusted!R13C21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3" s="2"/>
      </tp>
      <tp>
        <v>0</v>
        <stp/>
        <stp>##V3_BDHV12</stp>
        <stp>AMZN US Equity</stp>
        <stp>SHORT_TERM_DEBT_DETAILED</stp>
        <stp>FQ1 2016</stp>
        <stp>FQ1 2016</stp>
        <stp>[AMZ_2009-2018.xlsx]Bal Sheet - Standardized!R44C31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4" s="3"/>
      </tp>
      <tp>
        <v>0</v>
        <stp/>
        <stp>##V3_BDHV12</stp>
        <stp>AMZN US Equity</stp>
        <stp>NOTES_RECEIVABLE</stp>
        <stp>FQ3 2016</stp>
        <stp>FQ3 2016</stp>
        <stp>[AMZ_2009-2018.xlsx]Bal Sheet - Standardized!R12C33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2" s="3"/>
      </tp>
      <tp t="s">
        <v>—</v>
        <stp/>
        <stp>##V3_BDHV12</stp>
        <stp>AMZN US Equity</stp>
        <stp>BS_DERIVATIVE_&amp;_HEDGING_LIABS_ST</stp>
        <stp>FQ2 2014</stp>
        <stp>FQ2 2014</stp>
        <stp>[AMZ_2009-2018.xlsx]Bal Sheet - Standardized!R49C24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9" s="3"/>
      </tp>
      <tp>
        <v>21</v>
        <stp/>
        <stp>##V3_BDHV12</stp>
        <stp>AMZN US Equity</stp>
        <stp>CF_PROC_LT_DEBT_&amp;_CAPITAL_LEASE</stp>
        <stp>FQ1 2017</stp>
        <stp>FQ1 2017</stp>
        <stp>[AMZ_2009-2018.xlsx]Cash Flow - Standardized!R44C35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4" s="4"/>
      </tp>
      <tp>
        <v>43</v>
        <stp/>
        <stp>##V3_BDHV12</stp>
        <stp>AMZN US Equity</stp>
        <stp>CF_PROC_LT_DEBT_&amp;_CAPITAL_LEASE</stp>
        <stp>FQ4 2010</stp>
        <stp>FQ4 2010</stp>
        <stp>[AMZ_2009-2018.xlsx]Cash Flow - Standardized!R44C10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4" s="4"/>
      </tp>
      <tp>
        <v>28</v>
        <stp/>
        <stp>##V3_BDHV12</stp>
        <stp>AMZN US Equity</stp>
        <stp>CF_PROC_LT_DEBT_&amp;_CAPITAL_LEASE</stp>
        <stp>FQ3 2014</stp>
        <stp>FQ3 2014</stp>
        <stp>[AMZ_2009-2018.xlsx]Cash Flow - Standardized!R44C25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4" s="4"/>
      </tp>
      <tp>
        <v>249</v>
        <stp/>
        <stp>##V3_BDHV12</stp>
        <stp>AMZN US Equity</stp>
        <stp>CF_PROC_LT_DEBT_&amp;_CAPITAL_LEASE</stp>
        <stp>FQ4 2013</stp>
        <stp>FQ4 2013</stp>
        <stp>[AMZ_2009-2018.xlsx]Cash Flow - Standardized!R44C22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4" s="4"/>
      </tp>
      <tp>
        <v>-830</v>
        <stp/>
        <stp>##V3_BDHV12</stp>
        <stp>AMZN US Equity</stp>
        <stp>CF_PYMT_LT_DEBT_&amp;_CAPITAL_LEASE</stp>
        <stp>FQ2 2015</stp>
        <stp>FQ2 2015</stp>
        <stp>[AMZ_2009-2018.xlsx]Cash Flow - Standardized!R45C28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5" s="4"/>
      </tp>
      <tp>
        <v>3518</v>
        <stp/>
        <stp>##V3_BDHV12</stp>
        <stp>AMZN US Equity</stp>
        <stp>IS_COGS_TO_FE_AND_PP_AND_G</stp>
        <stp>FQ2 2009</stp>
        <stp>FQ2 2009</stp>
        <stp>[AMZ_2009-2018.xlsx]Income - Adjusted!R8C4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8" s="2"/>
      </tp>
      <tp>
        <v>4176</v>
        <stp/>
        <stp>##V3_BDHV12</stp>
        <stp>AMZN US Equity</stp>
        <stp>IS_COGS_TO_FE_AND_PP_AND_G</stp>
        <stp>FQ3 2009</stp>
        <stp>FQ3 2009</stp>
        <stp>[AMZ_2009-2018.xlsx]Income - Adjusted!R8C5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8" s="2"/>
      </tp>
      <tp>
        <v>-270</v>
        <stp/>
        <stp>##V3_BDHV12</stp>
        <stp>AMZN US Equity</stp>
        <stp>CF_PYMT_LT_DEBT_&amp;_CAPITAL_LEASE</stp>
        <stp>FQ4 2013</stp>
        <stp>FQ4 2013</stp>
        <stp>[AMZ_2009-2018.xlsx]Cash Flow - Standardized!R45C22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5" s="4"/>
      </tp>
      <tp>
        <v>-440</v>
        <stp/>
        <stp>##V3_BDHV12</stp>
        <stp>AMZN US Equity</stp>
        <stp>CF_PYMT_LT_DEBT_&amp;_CAPITAL_LEASE</stp>
        <stp>FQ3 2014</stp>
        <stp>FQ3 2014</stp>
        <stp>[AMZ_2009-2018.xlsx]Cash Flow - Standardized!R45C25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5" s="4"/>
      </tp>
      <tp>
        <v>2</v>
        <stp/>
        <stp>##V3_BDHV12</stp>
        <stp>AMZN US Equity</stp>
        <stp>CF_ACT_CASH_PAID_FOR_INT_DEBT</stp>
        <stp>FQ3 2009</stp>
        <stp>FQ3 2009</stp>
        <stp>[AMZ_2009-2018.xlsx]Cash Flow - Standardized!R58C5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8" s="4"/>
      </tp>
      <tp>
        <v>-100</v>
        <stp/>
        <stp>##V3_BDHV12</stp>
        <stp>AMZN US Equity</stp>
        <stp>CF_PYMT_LT_DEBT_&amp;_CAPITAL_LEASE</stp>
        <stp>FQ4 2010</stp>
        <stp>FQ4 2010</stp>
        <stp>[AMZ_2009-2018.xlsx]Cash Flow - Standardized!R45C10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5" s="4"/>
      </tp>
      <tp>
        <v>-909</v>
        <stp/>
        <stp>##V3_BDHV12</stp>
        <stp>AMZN US Equity</stp>
        <stp>CF_PYMT_LT_DEBT_&amp;_CAPITAL_LEASE</stp>
        <stp>FQ1 2017</stp>
        <stp>FQ1 2017</stp>
        <stp>[AMZ_2009-2018.xlsx]Cash Flow - Standardized!R45C35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5" s="4"/>
      </tp>
      <tp>
        <v>3</v>
        <stp/>
        <stp>##V3_BDHV12</stp>
        <stp>AMZN US Equity</stp>
        <stp>CF_ACT_CASH_PAID_FOR_INT_DEBT</stp>
        <stp>FQ2 2010</stp>
        <stp>FQ2 2010</stp>
        <stp>[AMZ_2009-2018.xlsx]Cash Flow - Standardized!R58C8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8" s="4"/>
      </tp>
      <tp>
        <v>44</v>
        <stp/>
        <stp>##V3_BDHV12</stp>
        <stp>AMZN US Equity</stp>
        <stp>CF_PROC_LT_DEBT_&amp;_CAPITAL_LEASE</stp>
        <stp>FQ2 2015</stp>
        <stp>FQ2 2015</stp>
        <stp>[AMZ_2009-2018.xlsx]Cash Flow - Standardized!R44C28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4" s="4"/>
      </tp>
      <tp>
        <v>0</v>
        <stp/>
        <stp>##V3_BDHV12</stp>
        <stp>AMZN US Equity</stp>
        <stp>BS_PFD_EQTY_&amp;_HYBRID_CPTL</stp>
        <stp>FQ1 2018</stp>
        <stp>FQ1 2018</stp>
        <stp>[AMZ_2009-2018.xlsx]Bal Sheet - Standardized!R64C39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4" s="3"/>
      </tp>
      <tp>
        <v>113894.98</v>
        <stp/>
        <stp>##V3_BDHV12</stp>
        <stp>AMZN US Equity</stp>
        <stp>HISTORICAL_MARKET_CAP</stp>
        <stp>FQ4 2012</stp>
        <stp>FQ4 2012</stp>
        <stp>[AMZ_2009-2018.xlsx]Stock Value!R12C18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2" s="6"/>
      </tp>
      <tp>
        <v>60453</v>
        <stp/>
        <stp>##V3_BDHV12</stp>
        <stp>AMZN US Equity</stp>
        <stp>IS_SALES_AND_SERVICES_REVENUES</stp>
        <stp>FQ4 2017</stp>
        <stp>FQ4 2017</stp>
        <stp>[AMZ_2009-2018.xlsx]Income - Adjusted!R7C38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7" s="2"/>
      </tp>
      <tp>
        <v>2092</v>
        <stp/>
        <stp>##V3_BDHV12</stp>
        <stp>AMZN US Equity</stp>
        <stp>BS_PURE_RETAINED_EARNINGS</stp>
        <stp>FQ2 2012</stp>
        <stp>FQ2 2012</stp>
        <stp>[AMZ_2009-2018.xlsx]Bal Sheet - Standardized!R69C16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9" s="3"/>
      </tp>
      <tp>
        <v>81180</v>
        <stp/>
        <stp>##V3_BDHV12</stp>
        <stp>AMZN US Equity</stp>
        <stp>HISTORICAL_MARKET_CAP</stp>
        <stp>FQ4 2010</stp>
        <stp>FQ4 2010</stp>
        <stp>[AMZ_2009-2018.xlsx]Stock Value!R12C10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2" s="6"/>
      </tp>
      <tp>
        <v>1525</v>
        <stp/>
        <stp>##V3_BDHV12</stp>
        <stp>AMZN US Equity</stp>
        <stp>BS_PURE_RETAINED_EARNINGS</stp>
        <stp>FQ1 2011</stp>
        <stp>FQ1 2011</stp>
        <stp>[AMZ_2009-2018.xlsx]Bal Sheet - Standardized!R69C11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9" s="3"/>
      </tp>
      <tp>
        <v>78760.5</v>
        <stp/>
        <stp>##V3_BDHV12</stp>
        <stp>AMZN US Equity</stp>
        <stp>HISTORICAL_MARKET_CAP</stp>
        <stp>FQ4 2011</stp>
        <stp>FQ4 2011</stp>
        <stp>[AMZ_2009-2018.xlsx]Stock Value!R12C14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2" s="6"/>
      </tp>
      <tp>
        <v>4916</v>
        <stp/>
        <stp>##V3_BDHV12</stp>
        <stp>AMZN US Equity</stp>
        <stp>BS_PURE_RETAINED_EARNINGS</stp>
        <stp>FQ4 2016</stp>
        <stp>FQ4 2016</stp>
        <stp>[AMZ_2009-2018.xlsx]Bal Sheet - Standardized!R69C34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9" s="3"/>
      </tp>
      <tp>
        <v>0</v>
        <stp/>
        <stp>##V3_BDHV12</stp>
        <stp>AMZN US Equity</stp>
        <stp>BS_OTHER_CUR_ASSET_LESS_PREPAY</stp>
        <stp>FQ4 2017</stp>
        <stp>FQ4 2017</stp>
        <stp>[AMZ_2009-2018.xlsx]Bal Sheet - Standardized!R21C38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1" s="3"/>
      </tp>
      <tp>
        <v>484</v>
        <stp/>
        <stp>##V3_BDHV12</stp>
        <stp>AMZN US Equity</stp>
        <stp>BS_SH_OUT</stp>
        <stp>FQ4 2017</stp>
        <stp>FQ4 2017</stp>
        <stp>[AMZ_2009-2018.xlsx]Bal Sheet - Standardized!R78C38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78" s="3"/>
      </tp>
      <tp>
        <v>0</v>
        <stp/>
        <stp>##V3_BDHV12</stp>
        <stp>AMZN US Equity</stp>
        <stp>BS_OTHER_CUR_ASSET_LESS_PREPAY</stp>
        <stp>FQ3 2012</stp>
        <stp>FQ3 2012</stp>
        <stp>[AMZ_2009-2018.xlsx]Bal Sheet - Standardized!R21C17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1" s="3"/>
      </tp>
      <tp>
        <v>7553</v>
        <stp/>
        <stp>##V3_BDHV12</stp>
        <stp>AMZN US Equity</stp>
        <stp>EQTY_BEF_MINORITY_INT_DETAILED</stp>
        <stp>FQ3 2012</stp>
        <stp>FQ3 2012</stp>
        <stp>[AMZ_2009-2018.xlsx]Bal Sheet - Standardized!R71C17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1" s="3"/>
      </tp>
      <tp>
        <v>91</v>
        <stp/>
        <stp>##V3_BDHV12</stp>
        <stp>AMZN US Equity</stp>
        <stp>IS_DEPR_EXP</stp>
        <stp>FQ2 2009</stp>
        <stp>FQ2 2009</stp>
        <stp>[AMZ_2009-2018.xlsx]Income - Adjusted!R72C4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2" s="2"/>
      </tp>
      <tp>
        <v>13781</v>
        <stp/>
        <stp>##V3_BDHV12</stp>
        <stp>AMZN US Equity</stp>
        <stp>C&amp;CE_AND_STI_DETAILED</stp>
        <stp>FQ1 2015</stp>
        <stp>FQ1 2015</stp>
        <stp>[AMZ_2009-2018.xlsx]Bal Sheet - Standardized!R7C27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" s="3"/>
      </tp>
      <tp>
        <v>27709</v>
        <stp/>
        <stp>##V3_BDHV12</stp>
        <stp>AMZN US Equity</stp>
        <stp>EQTY_BEF_MINORITY_INT_DETAILED</stp>
        <stp>FQ4 2017</stp>
        <stp>FQ4 2017</stp>
        <stp>[AMZ_2009-2018.xlsx]Bal Sheet - Standardized!R71C38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1" s="3"/>
      </tp>
      <tp>
        <v>15.9993</v>
        <stp/>
        <stp>##V3_BDHV12</stp>
        <stp>AMZN US Equity</stp>
        <stp>TCE_RATIO</stp>
        <stp>FQ1 2018</stp>
        <stp>FQ1 2018</stp>
        <stp>[AMZ_2009-2018.xlsx]Bal Sheet - Standardized!R85C39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85" s="3"/>
      </tp>
      <tp>
        <v>22.699200000000001</v>
        <stp/>
        <stp>##V3_BDHV12</stp>
        <stp>AMZN US Equity</stp>
        <stp>TCE_RATIO</stp>
        <stp>FQ2 2017</stp>
        <stp>FQ2 2017</stp>
        <stp>[AMZ_2009-2018.xlsx]Bal Sheet - Standardized!R85C36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85" s="3"/>
      </tp>
      <tp>
        <v>18.885300000000001</v>
        <stp/>
        <stp>##V3_BDHV12</stp>
        <stp>AMZN US Equity</stp>
        <stp>TCE_RATIO</stp>
        <stp>FQ3 2014</stp>
        <stp>FQ3 2014</stp>
        <stp>[AMZ_2009-2018.xlsx]Bal Sheet - Standardized!R85C25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85" s="3"/>
      </tp>
      <tp>
        <v>17.488299999999999</v>
        <stp/>
        <stp>##V3_BDHV12</stp>
        <stp>AMZN US Equity</stp>
        <stp>TCE_RATIO</stp>
        <stp>FQ4 2013</stp>
        <stp>FQ4 2013</stp>
        <stp>[AMZ_2009-2018.xlsx]Bal Sheet - Standardized!R85C22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85" s="3"/>
      </tp>
      <tp>
        <v>6355</v>
        <stp/>
        <stp>##V3_BDHV12</stp>
        <stp>AMZN US Equity</stp>
        <stp>C&amp;CE_AND_STI_DETAILED</stp>
        <stp>FQ2 2011</stp>
        <stp>FQ2 2011</stp>
        <stp>[AMZ_2009-2018.xlsx]Bal Sheet - Standardized!R7C12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" s="3"/>
      </tp>
      <tp>
        <v>366</v>
        <stp/>
        <stp>##V3_BDHV12</stp>
        <stp>AMZN US Equity</stp>
        <stp>IS_OPEX_R&amp;D</stp>
        <stp>FQ1 2010</stp>
        <stp>FQ1 2010</stp>
        <stp>[AMZ_2009-2018.xlsx]Income - Adjusted!R16C7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6" s="2"/>
      </tp>
      <tp>
        <v>4970</v>
        <stp/>
        <stp>##V3_BDHV12</stp>
        <stp>AMZN US Equity</stp>
        <stp>C&amp;CE_AND_STI_DETAILED</stp>
        <stp>FQ2 2012</stp>
        <stp>FQ2 2012</stp>
        <stp>[AMZ_2009-2018.xlsx]Bal Sheet - Standardized!R7C16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" s="3"/>
      </tp>
      <tp>
        <v>8666</v>
        <stp/>
        <stp>##V3_BDHV12</stp>
        <stp>AMZN US Equity</stp>
        <stp>C&amp;CE_AND_STI_DETAILED</stp>
        <stp>FQ1 2014</stp>
        <stp>FQ1 2014</stp>
        <stp>[AMZ_2009-2018.xlsx]Bal Sheet - Standardized!R7C23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" s="3"/>
      </tp>
      <tp>
        <v>32632</v>
        <stp/>
        <stp>##V3_BDHV12</stp>
        <stp>AMZN US Equity</stp>
        <stp>BS_NET_FIX_ASSET</stp>
        <stp>FQ1 2017</stp>
        <stp>FQ1 2017</stp>
        <stp>[AMZ_2009-2018.xlsx]Bal Sheet - Standardized!R23C35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3" s="3"/>
      </tp>
      <tp>
        <v>2414</v>
        <stp/>
        <stp>##V3_BDHV12</stp>
        <stp>AMZN US Equity</stp>
        <stp>BS_NET_FIX_ASSET</stp>
        <stp>FQ4 2010</stp>
        <stp>FQ4 2010</stp>
        <stp>[AMZ_2009-2018.xlsx]Bal Sheet - Standardized!R23C10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3" s="3"/>
      </tp>
      <tp>
        <v>10949</v>
        <stp/>
        <stp>##V3_BDHV12</stp>
        <stp>AMZN US Equity</stp>
        <stp>BS_NET_FIX_ASSET</stp>
        <stp>FQ4 2013</stp>
        <stp>FQ4 2013</stp>
        <stp>[AMZ_2009-2018.xlsx]Bal Sheet - Standardized!R23C22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3" s="3"/>
      </tp>
      <tp>
        <v>15702</v>
        <stp/>
        <stp>##V3_BDHV12</stp>
        <stp>AMZN US Equity</stp>
        <stp>BS_NET_FIX_ASSET</stp>
        <stp>FQ3 2014</stp>
        <stp>FQ3 2014</stp>
        <stp>[AMZ_2009-2018.xlsx]Bal Sheet - Standardized!R23C25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3" s="3"/>
      </tp>
      <tp>
        <v>0</v>
        <stp/>
        <stp>##V3_BDHV12</stp>
        <stp>AMZN US Equity</stp>
        <stp>DISP_FXD_&amp;_INTANGIBLES_DETAILED</stp>
        <stp>FQ3 2016</stp>
        <stp>FQ3 2016</stp>
        <stp>[AMZ_2009-2018.xlsx]Cash Flow - Standardized!R23C33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3" s="4"/>
      </tp>
      <tp>
        <v>0</v>
        <stp/>
        <stp>##V3_BDHV12</stp>
        <stp>AMZN US Equity</stp>
        <stp>DISP_FXD_&amp;_INTANGIBLES_DETAILED</stp>
        <stp>FQ1 2015</stp>
        <stp>FQ1 2015</stp>
        <stp>[AMZ_2009-2018.xlsx]Cash Flow - Standardized!R23C27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3" s="4"/>
      </tp>
      <tp>
        <v>131310</v>
        <stp/>
        <stp>##V3_BDHV12</stp>
        <stp>AMZN US Equity</stp>
        <stp>TOT_LIAB_AND_EQY</stp>
        <stp>FQ4 2017</stp>
        <stp>FQ4 2017</stp>
        <stp>[AMZ_2009-2018.xlsx]Bal Sheet - Standardized!R74C38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4" s="3"/>
      </tp>
      <tp>
        <v>612</v>
        <stp/>
        <stp>##V3_BDHV12</stp>
        <stp>AMZN US Equity</stp>
        <stp>DISP_FXD_&amp;_INTANGIBLES_DETAILED</stp>
        <stp>FQ2 2017</stp>
        <stp>FQ2 2017</stp>
        <stp>[AMZ_2009-2018.xlsx]Cash Flow - Standardized!R23C36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3" s="4"/>
      </tp>
      <tp>
        <v>0</v>
        <stp/>
        <stp>##V3_BDHV12</stp>
        <stp>AMZN US Equity</stp>
        <stp>SHORT_TERM_DEBT_DETAILED</stp>
        <stp>FQ4 2009</stp>
        <stp>FQ4 2009</stp>
        <stp>[AMZ_2009-2018.xlsx]Bal Sheet - Standardized!R44C6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4" s="3"/>
      </tp>
      <tp>
        <v>22834</v>
        <stp/>
        <stp>##V3_BDHV12</stp>
        <stp>AMZN US Equity</stp>
        <stp>TOT_LIAB_AND_EQY</stp>
        <stp>FQ3 2012</stp>
        <stp>FQ3 2012</stp>
        <stp>[AMZ_2009-2018.xlsx]Bal Sheet - Standardized!R74C17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4" s="3"/>
      </tp>
      <tp>
        <v>19479</v>
        <stp/>
        <stp>##V3_BDHV12</stp>
        <stp>AMZN US Equity</stp>
        <stp>BS_NET_FIX_ASSET</stp>
        <stp>FQ2 2015</stp>
        <stp>FQ2 2015</stp>
        <stp>[AMZ_2009-2018.xlsx]Bal Sheet - Standardized!R23C28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3" s="3"/>
      </tp>
      <tp>
        <v>-1394</v>
        <stp/>
        <stp>##V3_BDHV12</stp>
        <stp>AMZN US Equity</stp>
        <stp>CFF_ACTIVITIES_DETAILED</stp>
        <stp>FQ2 2018</stp>
        <stp>FQ2 2018</stp>
        <stp>[AMZ_2009-2018.xlsx]Cash Flow - Standardized!R51C40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1" s="4"/>
      </tp>
      <tp t="s">
        <v>—</v>
        <stp/>
        <stp>##V3_BDHV12</stp>
        <stp>AMZN US Equity</stp>
        <stp>BS_TAXES_PAYABLE</stp>
        <stp>FQ3 2014</stp>
        <stp>FQ3 2014</stp>
        <stp>[AMZ_2009-2018.xlsx]Bal Sheet - Standardized!R40C25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0" s="3"/>
      </tp>
      <tp t="s">
        <v>—</v>
        <stp/>
        <stp>##V3_BDHV12</stp>
        <stp>AMZN US Equity</stp>
        <stp>BS_TAXES_PAYABLE</stp>
        <stp>FQ4 2013</stp>
        <stp>FQ4 2013</stp>
        <stp>[AMZ_2009-2018.xlsx]Bal Sheet - Standardized!R40C22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0" s="3"/>
      </tp>
      <tp>
        <v>0</v>
        <stp/>
        <stp>##V3_BDHV12</stp>
        <stp>AMZN US Equity</stp>
        <stp>NOTES_RECEIVABLE</stp>
        <stp>FQ4 2012</stp>
        <stp>FQ4 2012</stp>
        <stp>[AMZ_2009-2018.xlsx]Bal Sheet - Standardized!R12C18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2" s="3"/>
      </tp>
      <tp>
        <v>0.88539999999999996</v>
        <stp/>
        <stp>##V3_BDHV12</stp>
        <stp>AMZN US Equity</stp>
        <stp>OPER_INC_PER_SH</stp>
        <stp>FQ1 2010</stp>
        <stp>FQ1 2010</stp>
        <stp>[AMZ_2009-2018.xlsx]Per Share!R13C7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13" s="5"/>
      </tp>
      <tp t="s">
        <v>—</v>
        <stp/>
        <stp>##V3_BDHV12</stp>
        <stp>AMZN US Equity</stp>
        <stp>BS_DERIVATIVE_&amp;_HEDGING_LIABS_LT</stp>
        <stp>FQ2 2015</stp>
        <stp>FQ2 2015</stp>
        <stp>[AMZ_2009-2018.xlsx]Bal Sheet - Standardized!R60C28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0" s="3"/>
      </tp>
      <tp t="s">
        <v>—</v>
        <stp/>
        <stp>##V3_BDHV12</stp>
        <stp>AMZN US Equity</stp>
        <stp>BS_TAXES_PAYABLE</stp>
        <stp>FQ4 2010</stp>
        <stp>FQ4 2010</stp>
        <stp>[AMZ_2009-2018.xlsx]Bal Sheet - Standardized!R40C10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0" s="3"/>
      </tp>
      <tp>
        <v>0.56879999999999997</v>
        <stp/>
        <stp>##V3_BDHV12</stp>
        <stp>AMZN US Equity</stp>
        <stp>OPER_INC_PER_SH</stp>
        <stp>FQ1 2009</stp>
        <stp>FQ1 2009</stp>
        <stp>[AMZ_2009-2018.xlsx]Per Share!R13C3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13" s="5"/>
      </tp>
      <tp>
        <v>0.36890000000000001</v>
        <stp/>
        <stp>##V3_BDHV12</stp>
        <stp>AMZN US Equity</stp>
        <stp>OPER_INC_PER_SH</stp>
        <stp>FQ2 2009</stp>
        <stp>FQ2 2009</stp>
        <stp>[AMZ_2009-2018.xlsx]Per Share!R13C4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13" s="5"/>
      </tp>
      <tp>
        <v>0.59819999999999995</v>
        <stp/>
        <stp>##V3_BDHV12</stp>
        <stp>AMZN US Equity</stp>
        <stp>OPER_INC_PER_SH</stp>
        <stp>FQ3 2010</stp>
        <stp>FQ3 2010</stp>
        <stp>[AMZ_2009-2018.xlsx]Per Share!R13C9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13" s="5"/>
      </tp>
      <tp>
        <v>277.69</v>
        <stp/>
        <stp>##V3_BDHV12</stp>
        <stp>AMZN US Equity</stp>
        <stp>PX_LAST</stp>
        <stp>FQ2 2013</stp>
        <stp>FQ2 2013</stp>
        <stp>[AMZ_2009-2018.xlsx]Stock Value!R6C20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6" s="6"/>
      </tp>
      <tp t="s">
        <v>—</v>
        <stp/>
        <stp>##V3_BDHV12</stp>
        <stp>AMZN US Equity</stp>
        <stp>BS_DERIVATIVE_&amp;_HEDGING_LIABS_ST</stp>
        <stp>FQ2 2015</stp>
        <stp>FQ2 2015</stp>
        <stp>[AMZ_2009-2018.xlsx]Bal Sheet - Standardized!R49C28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9" s="3"/>
      </tp>
      <tp>
        <v>2540</v>
        <stp/>
        <stp>##V3_BDHV12</stp>
        <stp>AMZN US Equity</stp>
        <stp>BS_DISCLOSED_INTANGIBLES</stp>
        <stp>FQ3 2012</stp>
        <stp>FQ3 2012</stp>
        <stp>[AMZ_2009-2018.xlsx]Bal Sheet - Standardized!R28C17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8" s="3"/>
      </tp>
      <tp>
        <v>-13</v>
        <stp/>
        <stp>##V3_BDHV12</stp>
        <stp>AMZN US Equity</stp>
        <stp>CF_CASH_FOR_ACQUIS_SUBSIDIARIES</stp>
        <stp>FQ1 2018</stp>
        <stp>FQ1 2018</stp>
        <stp>[AMZ_2009-2018.xlsx]Cash Flow - Standardized!R34C39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4" s="4"/>
      </tp>
      <tp t="s">
        <v>—</v>
        <stp/>
        <stp>##V3_BDHV12</stp>
        <stp>AMZN US Equity</stp>
        <stp>BS_TAXES_PAYABLE</stp>
        <stp>FQ1 2017</stp>
        <stp>FQ1 2017</stp>
        <stp>[AMZ_2009-2018.xlsx]Bal Sheet - Standardized!R40C35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0" s="3"/>
      </tp>
      <tp>
        <v>0.58099999999999996</v>
        <stp/>
        <stp>##V3_BDHV12</stp>
        <stp>AMZN US Equity</stp>
        <stp>OPER_INC_PER_SH</stp>
        <stp>FQ3 2009</stp>
        <stp>FQ3 2009</stp>
        <stp>[AMZ_2009-2018.xlsx]Per Share!R13C5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13" s="5"/>
      </tp>
      <tp>
        <v>0.60399999999999998</v>
        <stp/>
        <stp>##V3_BDHV12</stp>
        <stp>AMZN US Equity</stp>
        <stp>OPER_INC_PER_SH</stp>
        <stp>FQ2 2010</stp>
        <stp>FQ2 2010</stp>
        <stp>[AMZ_2009-2018.xlsx]Per Share!R13C8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13" s="5"/>
      </tp>
      <tp>
        <v>312.64</v>
        <stp/>
        <stp>##V3_BDHV12</stp>
        <stp>AMZN US Equity</stp>
        <stp>PX_LAST</stp>
        <stp>FQ3 2013</stp>
        <stp>FQ3 2013</stp>
        <stp>[AMZ_2009-2018.xlsx]Stock Value!R6C21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6" s="6"/>
      </tp>
      <tp>
        <v>310.35000000000002</v>
        <stp/>
        <stp>##V3_BDHV12</stp>
        <stp>AMZN US Equity</stp>
        <stp>PX_LAST</stp>
        <stp>FQ4 2014</stp>
        <stp>FQ4 2014</stp>
        <stp>[AMZ_2009-2018.xlsx]Stock Value!R6C26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6" s="6"/>
      </tp>
      <tp>
        <v>0</v>
        <stp/>
        <stp>##V3_BDHV12</stp>
        <stp>AMZN US Equity</stp>
        <stp>SHORT_TERM_DEBT_DETAILED</stp>
        <stp>FQ2 2015</stp>
        <stp>FQ2 2015</stp>
        <stp>[AMZ_2009-2018.xlsx]Bal Sheet - Standardized!R44C28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4" s="3"/>
      </tp>
      <tp>
        <v>1.0818000000000001</v>
        <stp/>
        <stp>##V3_BDHV12</stp>
        <stp>AMZN US Equity</stp>
        <stp>OPER_INC_PER_SH</stp>
        <stp>FQ4 2009</stp>
        <stp>FQ4 2009</stp>
        <stp>[AMZ_2009-2018.xlsx]Per Share!R13C6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13" s="5"/>
      </tp>
      <tp>
        <v>10907</v>
        <stp/>
        <stp>##V3_BDHV12</stp>
        <stp>AMZN US Equity</stp>
        <stp>OTHER_NONCURRENT_ASSETS_DETAILED</stp>
        <stp>FQ2 2018</stp>
        <stp>FQ2 2018</stp>
        <stp>[AMZ_2009-2018.xlsx]Bal Sheet - Standardized!R33C40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3" s="3"/>
      </tp>
      <tp>
        <v>0</v>
        <stp/>
        <stp>##V3_BDHV12</stp>
        <stp>AMZN US Equity</stp>
        <stp>CF_ACQUISITION_OF_INTANG_ASSETS</stp>
        <stp>FQ3 2012</stp>
        <stp>FQ3 2012</stp>
        <stp>[AMZ_2009-2018.xlsx]Cash Flow - Standardized!R28C17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8" s="4"/>
      </tp>
      <tp>
        <v>336.36500000000001</v>
        <stp/>
        <stp>##V3_BDHV12</stp>
        <stp>AMZN US Equity</stp>
        <stp>PX_LAST</stp>
        <stp>FQ1 2014</stp>
        <stp>FQ1 2014</stp>
        <stp>[AMZ_2009-2018.xlsx]Stock Value!R6C23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6" s="6"/>
      </tp>
      <tp>
        <v>0</v>
        <stp/>
        <stp>##V3_BDHV12</stp>
        <stp>AMZN US Equity</stp>
        <stp>SHORT_TERM_DEBT_DETAILED</stp>
        <stp>FQ3 2014</stp>
        <stp>FQ3 2014</stp>
        <stp>[AMZ_2009-2018.xlsx]Bal Sheet - Standardized!R44C25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4" s="3"/>
      </tp>
      <tp>
        <v>0</v>
        <stp/>
        <stp>##V3_BDHV12</stp>
        <stp>AMZN US Equity</stp>
        <stp>SHORT_TERM_DEBT_DETAILED</stp>
        <stp>FQ4 2013</stp>
        <stp>FQ4 2013</stp>
        <stp>[AMZ_2009-2018.xlsx]Bal Sheet - Standardized!R44C22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4" s="3"/>
      </tp>
      <tp>
        <v>16721</v>
        <stp/>
        <stp>##V3_BDHV12</stp>
        <stp>AMZN US Equity</stp>
        <stp>BS_DISCLOSED_INTANGIBLES</stp>
        <stp>FQ4 2017</stp>
        <stp>FQ4 2017</stp>
        <stp>[AMZ_2009-2018.xlsx]Bal Sheet - Standardized!R28C38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8" s="3"/>
      </tp>
      <tp>
        <v>2145</v>
        <stp/>
        <stp>##V3_BDHV12</stp>
        <stp>AMZN US Equity</stp>
        <stp>IS_SG&amp;A_EXPENSE</stp>
        <stp>FQ4 2015</stp>
        <stp>FQ4 2015</stp>
        <stp>[AMZ_2009-2018.xlsx]Income - Adjusted!R13C30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3" s="2"/>
      </tp>
      <tp>
        <v>519</v>
        <stp/>
        <stp>##V3_BDHV12</stp>
        <stp>AMZN US Equity</stp>
        <stp>IS_SG&amp;A_EXPENSE</stp>
        <stp>FQ4 2010</stp>
        <stp>FQ4 2010</stp>
        <stp>[AMZ_2009-2018.xlsx]Income - Adjusted!R13C10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3" s="2"/>
      </tp>
      <tp>
        <v>0</v>
        <stp/>
        <stp>##V3_BDHV12</stp>
        <stp>AMZN US Equity</stp>
        <stp>SHORT_TERM_DEBT_DETAILED</stp>
        <stp>FQ4 2010</stp>
        <stp>FQ4 2010</stp>
        <stp>[AMZ_2009-2018.xlsx]Bal Sheet - Standardized!R44C10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4" s="3"/>
      </tp>
      <tp>
        <v>1699.8</v>
        <stp/>
        <stp>##V3_BDHV12</stp>
        <stp>AMZN US Equity</stp>
        <stp>PX_LAST</stp>
        <stp>FQ2 2018</stp>
        <stp>FQ2 2018</stp>
        <stp>[AMZ_2009-2018.xlsx]Stock Value!R6C40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6" s="6"/>
      </tp>
      <tp>
        <v>0</v>
        <stp/>
        <stp>##V3_BDHV12</stp>
        <stp>AMZN US Equity</stp>
        <stp>NOTES_RECEIVABLE</stp>
        <stp>FQ3 2017</stp>
        <stp>FQ3 2017</stp>
        <stp>[AMZ_2009-2018.xlsx]Bal Sheet - Standardized!R12C37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2" s="3"/>
      </tp>
      <tp>
        <v>80.75</v>
        <stp/>
        <stp>##V3_BDHV12</stp>
        <stp>AMZN US Equity</stp>
        <stp>PX_TO_FREE_CASH_FLOW</stp>
        <stp>FQ1 2012</stp>
        <stp>FQ1 2012</stp>
        <stp>[AMZ_2009-2018.xlsx]Cash Flow - Standardized!R69C15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69" s="4"/>
      </tp>
      <tp>
        <v>42.353099999999998</v>
        <stp/>
        <stp>##V3_BDHV12</stp>
        <stp>AMZN US Equity</stp>
        <stp>PX_TO_FREE_CASH_FLOW</stp>
        <stp>FQ1 2016</stp>
        <stp>FQ1 2016</stp>
        <stp>[AMZ_2009-2018.xlsx]Cash Flow - Standardized!R69C31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69" s="4"/>
      </tp>
      <tp>
        <v>102.19589999999999</v>
        <stp/>
        <stp>##V3_BDHV12</stp>
        <stp>AMZN US Equity</stp>
        <stp>PX_TO_FREE_CASH_FLOW</stp>
        <stp>FQ1 2014</stp>
        <stp>FQ1 2014</stp>
        <stp>[AMZ_2009-2018.xlsx]Cash Flow - Standardized!R69C23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69" s="4"/>
      </tp>
      <tp>
        <v>0</v>
        <stp/>
        <stp>##V3_BDHV12</stp>
        <stp>AMZN US Equity</stp>
        <stp>SHORT_TERM_DEBT_DETAILED</stp>
        <stp>FQ1 2017</stp>
        <stp>FQ1 2017</stp>
        <stp>[AMZ_2009-2018.xlsx]Bal Sheet - Standardized!R44C35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4" s="3"/>
      </tp>
      <tp t="s">
        <v>—</v>
        <stp/>
        <stp>##V3_BDHV12</stp>
        <stp>AMZN US Equity</stp>
        <stp>BS_TAXES_PAYABLE</stp>
        <stp>FQ2 2015</stp>
        <stp>FQ2 2015</stp>
        <stp>[AMZ_2009-2018.xlsx]Bal Sheet - Standardized!R40C28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0" s="3"/>
      </tp>
      <tp>
        <v>0</v>
        <stp/>
        <stp>##V3_BDHV12</stp>
        <stp>AMZN US Equity</stp>
        <stp>CF_ACQUISITION_OF_INTANG_ASSETS</stp>
        <stp>FQ4 2017</stp>
        <stp>FQ4 2017</stp>
        <stp>[AMZ_2009-2018.xlsx]Cash Flow - Standardized!R28C38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8" s="4"/>
      </tp>
      <tp>
        <v>0</v>
        <stp/>
        <stp>##V3_BDHV12</stp>
        <stp>AMZN US Equity</stp>
        <stp>BS_DERIVATIVE_&amp;_HEDGING_LIABS_LT</stp>
        <stp>FQ4 2013</stp>
        <stp>FQ4 2013</stp>
        <stp>[AMZ_2009-2018.xlsx]Bal Sheet - Standardized!R60C22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0" s="3"/>
      </tp>
      <tp t="s">
        <v>—</v>
        <stp/>
        <stp>##V3_BDHV12</stp>
        <stp>AMZN US Equity</stp>
        <stp>BS_DERIVATIVE_&amp;_HEDGING_LIABS_LT</stp>
        <stp>FQ3 2014</stp>
        <stp>FQ3 2014</stp>
        <stp>[AMZ_2009-2018.xlsx]Bal Sheet - Standardized!R60C25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0" s="3"/>
      </tp>
      <tp>
        <v>0</v>
        <stp/>
        <stp>##V3_BDHV12</stp>
        <stp>AMZN US Equity</stp>
        <stp>NOTES_RECEIVABLE</stp>
        <stp>FQ1 2014</stp>
        <stp>FQ1 2014</stp>
        <stp>[AMZ_2009-2018.xlsx]Bal Sheet - Standardized!R12C23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2" s="3"/>
      </tp>
      <tp>
        <v>0</v>
        <stp/>
        <stp>##V3_BDHV12</stp>
        <stp>AMZN US Equity</stp>
        <stp>BS_DERIVATIVE_&amp;_HEDGING_LIABS_LT</stp>
        <stp>FQ4 2010</stp>
        <stp>FQ4 2010</stp>
        <stp>[AMZ_2009-2018.xlsx]Bal Sheet - Standardized!R60C10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0" s="3"/>
      </tp>
      <tp t="s">
        <v>—</v>
        <stp/>
        <stp>##V3_BDHV12</stp>
        <stp>AMZN US Equity</stp>
        <stp>BS_DERIVATIVE_&amp;_HEDGING_LIABS_ST</stp>
        <stp>FQ1 2017</stp>
        <stp>FQ1 2017</stp>
        <stp>[AMZ_2009-2018.xlsx]Bal Sheet - Standardized!R49C35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9" s="3"/>
      </tp>
      <tp>
        <v>0</v>
        <stp/>
        <stp>##V3_BDHV12</stp>
        <stp>AMZN US Equity</stp>
        <stp>NOTES_RECEIVABLE</stp>
        <stp>FQ2 2016</stp>
        <stp>FQ2 2016</stp>
        <stp>[AMZ_2009-2018.xlsx]Bal Sheet - Standardized!R12C32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2" s="3"/>
      </tp>
      <tp>
        <v>0</v>
        <stp/>
        <stp>##V3_BDHV12</stp>
        <stp>AMZN US Equity</stp>
        <stp>BS_DERIVATIVE_&amp;_HEDGING_LIABS_ST</stp>
        <stp>FQ4 2013</stp>
        <stp>FQ4 2013</stp>
        <stp>[AMZ_2009-2018.xlsx]Bal Sheet - Standardized!R49C22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9" s="3"/>
      </tp>
      <tp t="s">
        <v>—</v>
        <stp/>
        <stp>##V3_BDHV12</stp>
        <stp>AMZN US Equity</stp>
        <stp>BS_DERIVATIVE_&amp;_HEDGING_LIABS_ST</stp>
        <stp>FQ3 2014</stp>
        <stp>FQ3 2014</stp>
        <stp>[AMZ_2009-2018.xlsx]Bal Sheet - Standardized!R49C25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9" s="3"/>
      </tp>
      <tp>
        <v>4012</v>
        <stp/>
        <stp>##V3_BDHV12</stp>
        <stp>AMZN US Equity</stp>
        <stp>IS_SG&amp;A_EXPENSE</stp>
        <stp>FQ2 2018</stp>
        <stp>FQ2 2018</stp>
        <stp>[AMZ_2009-2018.xlsx]Income - Adjusted!R13C40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3" s="2"/>
      </tp>
      <tp>
        <v>961</v>
        <stp/>
        <stp>##V3_BDHV12</stp>
        <stp>AMZN US Equity</stp>
        <stp>IS_SG&amp;A_EXPENSE</stp>
        <stp>FQ2 2013</stp>
        <stp>FQ2 2013</stp>
        <stp>[AMZ_2009-2018.xlsx]Income - Adjusted!R13C20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3" s="2"/>
      </tp>
      <tp t="s">
        <v>—</v>
        <stp/>
        <stp>##V3_BDHV12</stp>
        <stp>AMZN US Equity</stp>
        <stp>BS_DERIVATIVE_&amp;_HEDGING_LIABS_LT</stp>
        <stp>FQ1 2017</stp>
        <stp>FQ1 2017</stp>
        <stp>[AMZ_2009-2018.xlsx]Bal Sheet - Standardized!R60C35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0" s="3"/>
      </tp>
      <tp>
        <v>0</v>
        <stp/>
        <stp>##V3_BDHV12</stp>
        <stp>AMZN US Equity</stp>
        <stp>BS_DERIVATIVE_&amp;_HEDGING_LIABS_ST</stp>
        <stp>FQ4 2010</stp>
        <stp>FQ4 2010</stp>
        <stp>[AMZ_2009-2018.xlsx]Bal Sheet - Standardized!R49C10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9" s="3"/>
      </tp>
      <tp>
        <v>25</v>
        <stp/>
        <stp>##V3_BDHV12</stp>
        <stp>AMZN US Equity</stp>
        <stp>CF_PROC_LT_DEBT_&amp;_CAPITAL_LEASE</stp>
        <stp>FQ3 2013</stp>
        <stp>FQ3 2013</stp>
        <stp>[AMZ_2009-2018.xlsx]Cash Flow - Standardized!R44C21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4" s="4"/>
      </tp>
      <tp>
        <v>5981</v>
        <stp/>
        <stp>##V3_BDHV12</stp>
        <stp>AMZN US Equity</stp>
        <stp>CF_PROC_LT_DEBT_&amp;_CAPITAL_LEASE</stp>
        <stp>FQ4 2014</stp>
        <stp>FQ4 2014</stp>
        <stp>[AMZ_2009-2018.xlsx]Cash Flow - Standardized!R44C26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4" s="4"/>
      </tp>
      <tp>
        <v>34</v>
        <stp/>
        <stp>##V3_BDHV12</stp>
        <stp>AMZN US Equity</stp>
        <stp>CF_PROC_LT_DEBT_&amp;_CAPITAL_LEASE</stp>
        <stp>FQ2 2011</stp>
        <stp>FQ2 2011</stp>
        <stp>[AMZ_2009-2018.xlsx]Cash Flow - Standardized!R44C12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4" s="4"/>
      </tp>
      <tp>
        <v>68</v>
        <stp/>
        <stp>##V3_BDHV12</stp>
        <stp>AMZN US Equity</stp>
        <stp>CF_PROC_LT_DEBT_&amp;_CAPITAL_LEASE</stp>
        <stp>FQ1 2012</stp>
        <stp>FQ1 2012</stp>
        <stp>[AMZ_2009-2018.xlsx]Cash Flow - Standardized!R44C15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4" s="4"/>
      </tp>
      <tp>
        <v>93</v>
        <stp/>
        <stp>##V3_BDHV12</stp>
        <stp>AMZN US Equity</stp>
        <stp>CF_PROC_LT_DEBT_&amp;_CAPITAL_LEASE</stp>
        <stp>FQ4 2015</stp>
        <stp>FQ4 2015</stp>
        <stp>[AMZ_2009-2018.xlsx]Cash Flow - Standardized!R44C30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4" s="4"/>
      </tp>
      <tp>
        <v>-140</v>
        <stp/>
        <stp>##V3_BDHV12</stp>
        <stp>AMZN US Equity</stp>
        <stp>CF_PYMT_LT_DEBT_&amp;_CAPITAL_LEASE</stp>
        <stp>FQ2 2011</stp>
        <stp>FQ2 2011</stp>
        <stp>[AMZ_2009-2018.xlsx]Cash Flow - Standardized!R45C12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5" s="4"/>
      </tp>
      <tp>
        <v>-657</v>
        <stp/>
        <stp>##V3_BDHV12</stp>
        <stp>AMZN US Equity</stp>
        <stp>CF_PYMT_LT_DEBT_&amp;_CAPITAL_LEASE</stp>
        <stp>FQ4 2014</stp>
        <stp>FQ4 2014</stp>
        <stp>[AMZ_2009-2018.xlsx]Cash Flow - Standardized!R45C26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5" s="4"/>
      </tp>
      <tp>
        <v>-255</v>
        <stp/>
        <stp>##V3_BDHV12</stp>
        <stp>AMZN US Equity</stp>
        <stp>CF_PYMT_LT_DEBT_&amp;_CAPITAL_LEASE</stp>
        <stp>FQ3 2013</stp>
        <stp>FQ3 2013</stp>
        <stp>[AMZ_2009-2018.xlsx]Cash Flow - Standardized!R45C21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5" s="4"/>
      </tp>
      <tp>
        <v>-1690</v>
        <stp/>
        <stp>##V3_BDHV12</stp>
        <stp>AMZN US Equity</stp>
        <stp>CF_PYMT_LT_DEBT_&amp;_CAPITAL_LEASE</stp>
        <stp>FQ4 2015</stp>
        <stp>FQ4 2015</stp>
        <stp>[AMZ_2009-2018.xlsx]Cash Flow - Standardized!R45C30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5" s="4"/>
      </tp>
      <tp>
        <v>2</v>
        <stp/>
        <stp>##V3_BDHV12</stp>
        <stp>AMZN US Equity</stp>
        <stp>CF_ACT_CASH_PAID_FOR_INT_DEBT</stp>
        <stp>FQ4 2009</stp>
        <stp>FQ4 2009</stp>
        <stp>[AMZ_2009-2018.xlsx]Cash Flow - Standardized!R58C6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8" s="4"/>
      </tp>
      <tp>
        <v>-153</v>
        <stp/>
        <stp>##V3_BDHV12</stp>
        <stp>AMZN US Equity</stp>
        <stp>CF_PYMT_LT_DEBT_&amp;_CAPITAL_LEASE</stp>
        <stp>FQ1 2012</stp>
        <stp>FQ1 2012</stp>
        <stp>[AMZ_2009-2018.xlsx]Cash Flow - Standardized!R45C15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5" s="4"/>
      </tp>
      <tp>
        <v>0</v>
        <stp/>
        <stp>##V3_BDHV12</stp>
        <stp>AMZN US Equity</stp>
        <stp>NET_CHG_IN_LT_INVEST_DETAILED</stp>
        <stp>FQ3 2010</stp>
        <stp>FQ3 2010</stp>
        <stp>[AMZ_2009-2018.xlsx]Cash Flow - Standardized!R29C9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9" s="4"/>
      </tp>
      <tp>
        <v>0</v>
        <stp/>
        <stp>##V3_BDHV12</stp>
        <stp>AMZN US Equity</stp>
        <stp>NET_CHG_IN_LT_INVEST_DETAILED</stp>
        <stp>FQ2 2009</stp>
        <stp>FQ2 2009</stp>
        <stp>[AMZ_2009-2018.xlsx]Cash Flow - Standardized!R29C4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9" s="4"/>
      </tp>
      <tp>
        <v>513</v>
        <stp/>
        <stp>##V3_BDHV12</stp>
        <stp>AMZN US Equity</stp>
        <stp>EBITDA</stp>
        <stp>FQ1 2010</stp>
        <stp>FQ1 2010</stp>
        <stp>[AMZ_2009-2018.xlsx]Income - Adjusted!R61C7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61" s="2"/>
      </tp>
      <tp>
        <v>52886</v>
        <stp/>
        <stp>##V3_BDHV12</stp>
        <stp>AMZN US Equity</stp>
        <stp>IS_SALES_AND_SERVICES_REVENUES</stp>
        <stp>FQ2 2018</stp>
        <stp>FQ2 2018</stp>
        <stp>[AMZ_2009-2018.xlsx]Income - Adjusted!R7C40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7" s="2"/>
      </tp>
      <tp>
        <v>262</v>
        <stp/>
        <stp>##V3_BDHV12</stp>
        <stp>AMZN US Equity</stp>
        <stp>PRETAX_INC</stp>
        <stp>FQ3 2009</stp>
        <stp>FQ3 2009</stp>
        <stp>[AMZ_2009-2018.xlsx]Income - Adjusted!R31C5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31" s="2"/>
      </tp>
      <tp>
        <v>4167</v>
        <stp/>
        <stp>##V3_BDHV12</stp>
        <stp>AMZN US Equity</stp>
        <stp>BS_PURE_RETAINED_EARNINGS</stp>
        <stp>FQ3 2016</stp>
        <stp>FQ3 2016</stp>
        <stp>[AMZ_2009-2018.xlsx]Bal Sheet - Standardized!R69C33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9" s="3"/>
      </tp>
      <tp>
        <v>280198.08</v>
        <stp/>
        <stp>##V3_BDHV12</stp>
        <stp>AMZN US Equity</stp>
        <stp>HISTORICAL_MARKET_CAP</stp>
        <stp>FQ1 2016</stp>
        <stp>FQ1 2016</stp>
        <stp>[AMZ_2009-2018.xlsx]Stock Value!R12C31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2" s="6"/>
      </tp>
      <tp>
        <v>115206.96</v>
        <stp/>
        <stp>##V3_BDHV12</stp>
        <stp>AMZN US Equity</stp>
        <stp>HISTORICAL_MARKET_CAP</stp>
        <stp>FQ3 2012</stp>
        <stp>FQ3 2012</stp>
        <stp>[AMZ_2009-2018.xlsx]Stock Value!R12C17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2" s="6"/>
      </tp>
      <tp>
        <v>98384.65</v>
        <stp/>
        <stp>##V3_BDHV12</stp>
        <stp>AMZN US Equity</stp>
        <stp>HISTORICAL_MARKET_CAP</stp>
        <stp>FQ3 2011</stp>
        <stp>FQ3 2011</stp>
        <stp>[AMZ_2009-2018.xlsx]Stock Value!R12C13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2" s="6"/>
      </tp>
      <tp>
        <v>700512.56</v>
        <stp/>
        <stp>##V3_BDHV12</stp>
        <stp>AMZN US Equity</stp>
        <stp>HISTORICAL_MARKET_CAP</stp>
        <stp>FQ1 2018</stp>
        <stp>FQ1 2018</stp>
        <stp>[AMZ_2009-2018.xlsx]Stock Value!R12C39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2" s="6"/>
      </tp>
      <tp>
        <v>6524</v>
        <stp/>
        <stp>##V3_BDHV12</stp>
        <stp>AMZN US Equity</stp>
        <stp>BS_PURE_RETAINED_EARNINGS</stp>
        <stp>FQ2 2017</stp>
        <stp>FQ2 2017</stp>
        <stp>[AMZ_2009-2018.xlsx]Bal Sheet - Standardized!R69C36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9" s="3"/>
      </tp>
      <tp>
        <v>1892</v>
        <stp/>
        <stp>##V3_BDHV12</stp>
        <stp>AMZN US Equity</stp>
        <stp>BS_PURE_RETAINED_EARNINGS</stp>
        <stp>FQ1 2015</stp>
        <stp>FQ1 2015</stp>
        <stp>[AMZ_2009-2018.xlsx]Bal Sheet - Standardized!R69C27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9" s="3"/>
      </tp>
      <tp>
        <v>423766.12</v>
        <stp/>
        <stp>##V3_BDHV12</stp>
        <stp>AMZN US Equity</stp>
        <stp>HISTORICAL_MARKET_CAP</stp>
        <stp>FQ1 2017</stp>
        <stp>FQ1 2017</stp>
        <stp>[AMZ_2009-2018.xlsx]Stock Value!R12C35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2" s="6"/>
      </tp>
      <tp>
        <v>487</v>
        <stp/>
        <stp>##V3_BDHV12</stp>
        <stp>AMZN US Equity</stp>
        <stp>BS_SH_OUT</stp>
        <stp>FQ2 2018</stp>
        <stp>FQ2 2018</stp>
        <stp>[AMZ_2009-2018.xlsx]Bal Sheet - Standardized!R78C40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78" s="3"/>
      </tp>
      <tp>
        <v>0</v>
        <stp/>
        <stp>##V3_BDHV12</stp>
        <stp>AMZN US Equity</stp>
        <stp>BS_OTHER_CUR_ASSET_LESS_PREPAY</stp>
        <stp>FQ4 2012</stp>
        <stp>FQ4 2012</stp>
        <stp>[AMZ_2009-2018.xlsx]Bal Sheet - Standardized!R21C18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1" s="3"/>
      </tp>
      <tp>
        <v>0</v>
        <stp/>
        <stp>##V3_BDHV12</stp>
        <stp>AMZN US Equity</stp>
        <stp>BS_OTHER_CUR_ASSET_LESS_PREPAY</stp>
        <stp>FQ2 2016</stp>
        <stp>FQ2 2016</stp>
        <stp>[AMZ_2009-2018.xlsx]Bal Sheet - Standardized!R21C32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1" s="3"/>
      </tp>
      <tp>
        <v>0</v>
        <stp/>
        <stp>##V3_BDHV12</stp>
        <stp>AMZN US Equity</stp>
        <stp>BS_OTHER_CUR_ASSET_LESS_PREPAY</stp>
        <stp>FQ1 2014</stp>
        <stp>FQ1 2014</stp>
        <stp>[AMZ_2009-2018.xlsx]Bal Sheet - Standardized!R21C23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1" s="3"/>
      </tp>
      <tp>
        <v>0</v>
        <stp/>
        <stp>##V3_BDHV12</stp>
        <stp>AMZN US Equity</stp>
        <stp>BS_OTHER_CUR_ASSET_LESS_PREPAY</stp>
        <stp>FQ3 2017</stp>
        <stp>FQ3 2017</stp>
        <stp>[AMZ_2009-2018.xlsx]Bal Sheet - Standardized!R21C37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1" s="3"/>
      </tp>
      <tp>
        <v>16538</v>
        <stp/>
        <stp>##V3_BDHV12</stp>
        <stp>AMZN US Equity</stp>
        <stp>EQTY_BEF_MINORITY_INT_DETAILED</stp>
        <stp>FQ2 2016</stp>
        <stp>FQ2 2016</stp>
        <stp>[AMZ_2009-2018.xlsx]Bal Sheet - Standardized!R71C32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1" s="3"/>
      </tp>
      <tp>
        <v>10328</v>
        <stp/>
        <stp>##V3_BDHV12</stp>
        <stp>AMZN US Equity</stp>
        <stp>EQTY_BEF_MINORITY_INT_DETAILED</stp>
        <stp>FQ1 2014</stp>
        <stp>FQ1 2014</stp>
        <stp>[AMZ_2009-2018.xlsx]Bal Sheet - Standardized!R71C23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1" s="3"/>
      </tp>
      <tp>
        <v>24658</v>
        <stp/>
        <stp>##V3_BDHV12</stp>
        <stp>AMZN US Equity</stp>
        <stp>EQTY_BEF_MINORITY_INT_DETAILED</stp>
        <stp>FQ3 2017</stp>
        <stp>FQ3 2017</stp>
        <stp>[AMZ_2009-2018.xlsx]Bal Sheet - Standardized!R71C37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1" s="3"/>
      </tp>
      <tp>
        <v>8192</v>
        <stp/>
        <stp>##V3_BDHV12</stp>
        <stp>AMZN US Equity</stp>
        <stp>EQTY_BEF_MINORITY_INT_DETAILED</stp>
        <stp>FQ4 2012</stp>
        <stp>FQ4 2012</stp>
        <stp>[AMZ_2009-2018.xlsx]Bal Sheet - Standardized!R71C18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1" s="3"/>
      </tp>
      <tp>
        <v>16967</v>
        <stp/>
        <stp>##V3_BDHV12</stp>
        <stp>AMZN US Equity</stp>
        <stp>BS_NET_FIX_ASSET</stp>
        <stp>FQ4 2014</stp>
        <stp>FQ4 2014</stp>
        <stp>[AMZ_2009-2018.xlsx]Bal Sheet - Standardized!R23C26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3" s="3"/>
      </tp>
      <tp>
        <v>9991</v>
        <stp/>
        <stp>##V3_BDHV12</stp>
        <stp>AMZN US Equity</stp>
        <stp>BS_NET_FIX_ASSET</stp>
        <stp>FQ3 2013</stp>
        <stp>FQ3 2013</stp>
        <stp>[AMZ_2009-2018.xlsx]Bal Sheet - Standardized!R23C21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3" s="3"/>
      </tp>
      <tp>
        <v>3470</v>
        <stp/>
        <stp>##V3_BDHV12</stp>
        <stp>AMZN US Equity</stp>
        <stp>BS_NET_FIX_ASSET</stp>
        <stp>FQ2 2011</stp>
        <stp>FQ2 2011</stp>
        <stp>[AMZ_2009-2018.xlsx]Bal Sheet - Standardized!R23C12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3" s="3"/>
      </tp>
      <tp>
        <v>0</v>
        <stp/>
        <stp>##V3_BDHV12</stp>
        <stp>AMZN US Equity</stp>
        <stp>DISP_FXD_&amp;_INTANGIBLES_DETAILED</stp>
        <stp>FQ2 2012</stp>
        <stp>FQ2 2012</stp>
        <stp>[AMZ_2009-2018.xlsx]Cash Flow - Standardized!R23C16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3" s="4"/>
      </tp>
      <tp>
        <v>32555</v>
        <stp/>
        <stp>##V3_BDHV12</stp>
        <stp>AMZN US Equity</stp>
        <stp>TOT_LIAB_AND_EQY</stp>
        <stp>FQ4 2012</stp>
        <stp>FQ4 2012</stp>
        <stp>[AMZ_2009-2018.xlsx]Bal Sheet - Standardized!R74C18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4" s="3"/>
      </tp>
      <tp>
        <v>409</v>
        <stp/>
        <stp>##V3_BDHV12</stp>
        <stp>AMZN US Equity</stp>
        <stp>DISP_FXD_&amp;_INTANGIBLES_DETAILED</stp>
        <stp>FQ4 2016</stp>
        <stp>FQ4 2016</stp>
        <stp>[AMZ_2009-2018.xlsx]Cash Flow - Standardized!R23C34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3" s="4"/>
      </tp>
      <tp>
        <v>4653</v>
        <stp/>
        <stp>##V3_BDHV12</stp>
        <stp>AMZN US Equity</stp>
        <stp>BS_NET_FIX_ASSET</stp>
        <stp>FQ1 2012</stp>
        <stp>FQ1 2012</stp>
        <stp>[AMZ_2009-2018.xlsx]Bal Sheet - Standardized!R23C15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3" s="3"/>
      </tp>
      <tp>
        <v>0</v>
        <stp/>
        <stp>##V3_BDHV12</stp>
        <stp>AMZN US Equity</stp>
        <stp>DISP_FXD_&amp;_INTANGIBLES_DETAILED</stp>
        <stp>FQ1 2011</stp>
        <stp>FQ1 2011</stp>
        <stp>[AMZ_2009-2018.xlsx]Cash Flow - Standardized!R23C11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3" s="4"/>
      </tp>
      <tp>
        <v>21838</v>
        <stp/>
        <stp>##V3_BDHV12</stp>
        <stp>AMZN US Equity</stp>
        <stp>BS_NET_FIX_ASSET</stp>
        <stp>FQ4 2015</stp>
        <stp>FQ4 2015</stp>
        <stp>[AMZ_2009-2018.xlsx]Bal Sheet - Standardized!R23C30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3" s="3"/>
      </tp>
      <tp>
        <v>115267</v>
        <stp/>
        <stp>##V3_BDHV12</stp>
        <stp>AMZN US Equity</stp>
        <stp>TOT_LIAB_AND_EQY</stp>
        <stp>FQ3 2017</stp>
        <stp>FQ3 2017</stp>
        <stp>[AMZ_2009-2018.xlsx]Bal Sheet - Standardized!R74C37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4" s="3"/>
      </tp>
      <tp>
        <v>7675</v>
        <stp/>
        <stp>##V3_BDHV12</stp>
        <stp>AMZN US Equity</stp>
        <stp>TOT_LIAB_AND_EQY</stp>
        <stp>FQ2 2009</stp>
        <stp>FQ2 2009</stp>
        <stp>[AMZ_2009-2018.xlsx]Bal Sheet - Standardized!R74C4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4" s="3"/>
      </tp>
      <tp t="s">
        <v>—</v>
        <stp/>
        <stp>##V3_BDHV12</stp>
        <stp>AMZN US Equity</stp>
        <stp>SHORT_TERM_DEBT_DETAILED</stp>
        <stp>FQ2 2010</stp>
        <stp>FQ2 2010</stp>
        <stp>[AMZ_2009-2018.xlsx]Bal Sheet - Standardized!R44C8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4" s="3"/>
      </tp>
      <tp>
        <v>65076</v>
        <stp/>
        <stp>##V3_BDHV12</stp>
        <stp>AMZN US Equity</stp>
        <stp>TOT_LIAB_AND_EQY</stp>
        <stp>FQ2 2016</stp>
        <stp>FQ2 2016</stp>
        <stp>[AMZ_2009-2018.xlsx]Bal Sheet - Standardized!R74C32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4" s="3"/>
      </tp>
      <tp>
        <v>36364</v>
        <stp/>
        <stp>##V3_BDHV12</stp>
        <stp>AMZN US Equity</stp>
        <stp>TOT_LIAB_AND_EQY</stp>
        <stp>FQ1 2014</stp>
        <stp>FQ1 2014</stp>
        <stp>[AMZ_2009-2018.xlsx]Bal Sheet - Standardized!R74C23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4" s="3"/>
      </tp>
      <tp>
        <v>14162</v>
        <stp/>
        <stp>##V3_BDHV12</stp>
        <stp>AMZN US Equity</stp>
        <stp>TOT_LIAB_AND_EQY</stp>
        <stp>FQ3 2010</stp>
        <stp>FQ3 2010</stp>
        <stp>[AMZ_2009-2018.xlsx]Bal Sheet - Standardized!R74C9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4" s="3"/>
      </tp>
      <tp t="s">
        <v>—</v>
        <stp/>
        <stp>##V3_BDHV12</stp>
        <stp>AMZN US Equity</stp>
        <stp>SHORT_TERM_DEBT_DETAILED</stp>
        <stp>FQ3 2009</stp>
        <stp>FQ3 2009</stp>
        <stp>[AMZ_2009-2018.xlsx]Bal Sheet - Standardized!R44C5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4" s="3"/>
      </tp>
      <tp>
        <v>2653</v>
        <stp/>
        <stp>##V3_BDHV12</stp>
        <stp>AMZN US Equity</stp>
        <stp>BS_DISCLOSED_INTANGIBLES</stp>
        <stp>FQ1 2014</stp>
        <stp>FQ1 2014</stp>
        <stp>[AMZ_2009-2018.xlsx]Bal Sheet - Standardized!R28C23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8" s="3"/>
      </tp>
      <tp>
        <v>3774</v>
        <stp/>
        <stp>##V3_BDHV12</stp>
        <stp>AMZN US Equity</stp>
        <stp>BS_DISCLOSED_INTANGIBLES</stp>
        <stp>FQ2 2016</stp>
        <stp>FQ2 2016</stp>
        <stp>[AMZ_2009-2018.xlsx]Bal Sheet - Standardized!R28C32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8" s="3"/>
      </tp>
      <tp t="s">
        <v>—</v>
        <stp/>
        <stp>##V3_BDHV12</stp>
        <stp>AMZN US Equity</stp>
        <stp>BS_TAXES_PAYABLE</stp>
        <stp>FQ2 2011</stp>
        <stp>FQ2 2011</stp>
        <stp>[AMZ_2009-2018.xlsx]Bal Sheet - Standardized!R40C12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0" s="3"/>
      </tp>
      <tp t="s">
        <v>—</v>
        <stp/>
        <stp>##V3_BDHV12</stp>
        <stp>AMZN US Equity</stp>
        <stp>BS_TAXES_PAYABLE</stp>
        <stp>FQ3 2013</stp>
        <stp>FQ3 2013</stp>
        <stp>[AMZ_2009-2018.xlsx]Bal Sheet - Standardized!R40C21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0" s="3"/>
      </tp>
      <tp>
        <v>0</v>
        <stp/>
        <stp>##V3_BDHV12</stp>
        <stp>AMZN US Equity</stp>
        <stp>BS_TAXES_PAYABLE</stp>
        <stp>FQ4 2014</stp>
        <stp>FQ4 2014</stp>
        <stp>[AMZ_2009-2018.xlsx]Bal Sheet - Standardized!R40C26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0" s="3"/>
      </tp>
      <tp>
        <v>0</v>
        <stp/>
        <stp>##V3_BDHV12</stp>
        <stp>AMZN US Equity</stp>
        <stp>CF_ACQUISITION_OF_INTANG_ASSETS</stp>
        <stp>FQ3 2017</stp>
        <stp>FQ3 2017</stp>
        <stp>[AMZ_2009-2018.xlsx]Cash Flow - Standardized!R28C37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8" s="4"/>
      </tp>
      <tp t="s">
        <v>—</v>
        <stp/>
        <stp>##V3_BDHV12</stp>
        <stp>AMZN US Equity</stp>
        <stp>BS_TAXES_PAYABLE</stp>
        <stp>FQ4 2015</stp>
        <stp>FQ4 2015</stp>
        <stp>[AMZ_2009-2018.xlsx]Bal Sheet - Standardized!R40C30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0" s="3"/>
      </tp>
      <tp>
        <v>0</v>
        <stp/>
        <stp>##V3_BDHV12</stp>
        <stp>AMZN US Equity</stp>
        <stp>CF_ACQUISITION_OF_INTANG_ASSETS</stp>
        <stp>FQ1 2014</stp>
        <stp>FQ1 2014</stp>
        <stp>[AMZ_2009-2018.xlsx]Cash Flow - Standardized!R28C23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8" s="4"/>
      </tp>
      <tp>
        <v>0</v>
        <stp/>
        <stp>##V3_BDHV12</stp>
        <stp>AMZN US Equity</stp>
        <stp>NOTES_RECEIVABLE</stp>
        <stp>FQ4 2017</stp>
        <stp>FQ4 2017</stp>
        <stp>[AMZ_2009-2018.xlsx]Bal Sheet - Standardized!R12C38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2" s="3"/>
      </tp>
      <tp>
        <v>13271</v>
        <stp/>
        <stp>##V3_BDHV12</stp>
        <stp>AMZN US Equity</stp>
        <stp>BS_DISCLOSED_INTANGIBLES</stp>
        <stp>FQ3 2017</stp>
        <stp>FQ3 2017</stp>
        <stp>[AMZ_2009-2018.xlsx]Bal Sheet - Standardized!R28C37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8" s="3"/>
      </tp>
      <tp t="s">
        <v>—</v>
        <stp/>
        <stp>##V3_BDHV12</stp>
        <stp>AMZN US Equity</stp>
        <stp>BS_TAXES_PAYABLE</stp>
        <stp>FQ1 2012</stp>
        <stp>FQ1 2012</stp>
        <stp>[AMZ_2009-2018.xlsx]Bal Sheet - Standardized!R40C15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0" s="3"/>
      </tp>
      <tp>
        <v>0</v>
        <stp/>
        <stp>##V3_BDHV12</stp>
        <stp>AMZN US Equity</stp>
        <stp>CF_ACQUISITION_OF_INTANG_ASSETS</stp>
        <stp>FQ2 2016</stp>
        <stp>FQ2 2016</stp>
        <stp>[AMZ_2009-2018.xlsx]Cash Flow - Standardized!R28C32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8" s="4"/>
      </tp>
      <tp>
        <v>0</v>
        <stp/>
        <stp>##V3_BDHV12</stp>
        <stp>AMZN US Equity</stp>
        <stp>BS_DERIVATIVE_&amp;_HEDGING_LIABS_LT</stp>
        <stp>FQ4 2015</stp>
        <stp>FQ4 2015</stp>
        <stp>[AMZ_2009-2018.xlsx]Bal Sheet - Standardized!R60C30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0" s="3"/>
      </tp>
      <tp t="s">
        <v>—</v>
        <stp/>
        <stp>##V3_BDHV12</stp>
        <stp>AMZN US Equity</stp>
        <stp>BS_DERIVATIVE_&amp;_HEDGING_LIABS_ST</stp>
        <stp>FQ1 2012</stp>
        <stp>FQ1 2012</stp>
        <stp>[AMZ_2009-2018.xlsx]Bal Sheet - Standardized!R49C15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9" s="3"/>
      </tp>
      <tp>
        <v>0</v>
        <stp/>
        <stp>##V3_BDHV12</stp>
        <stp>AMZN US Equity</stp>
        <stp>CF_ACQUISITION_OF_INTANG_ASSETS</stp>
        <stp>FQ4 2012</stp>
        <stp>FQ4 2012</stp>
        <stp>[AMZ_2009-2018.xlsx]Cash Flow - Standardized!R28C18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8" s="4"/>
      </tp>
      <tp>
        <v>0</v>
        <stp/>
        <stp>##V3_BDHV12</stp>
        <stp>AMZN US Equity</stp>
        <stp>SHORT_TERM_DEBT_DETAILED</stp>
        <stp>FQ2 2011</stp>
        <stp>FQ2 2011</stp>
        <stp>[AMZ_2009-2018.xlsx]Bal Sheet - Standardized!R44C12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4" s="3"/>
      </tp>
      <tp t="s">
        <v>—</v>
        <stp/>
        <stp>##V3_BDHV12</stp>
        <stp>AMZN US Equity</stp>
        <stp>BS_DERIVATIVE_&amp;_HEDGING_LIABS_LT</stp>
        <stp>FQ1 2012</stp>
        <stp>FQ1 2012</stp>
        <stp>[AMZ_2009-2018.xlsx]Bal Sheet - Standardized!R60C15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0" s="3"/>
      </tp>
      <tp>
        <v>0</v>
        <stp/>
        <stp>##V3_BDHV12</stp>
        <stp>AMZN US Equity</stp>
        <stp>BS_DERIVATIVE_&amp;_HEDGING_LIABS_ST</stp>
        <stp>FQ4 2015</stp>
        <stp>FQ4 2015</stp>
        <stp>[AMZ_2009-2018.xlsx]Bal Sheet - Standardized!R49C30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9" s="3"/>
      </tp>
      <tp>
        <v>32.4407</v>
        <stp/>
        <stp>##V3_BDHV12</stp>
        <stp>AMZN US Equity</stp>
        <stp>PX_TO_FREE_CASH_FLOW</stp>
        <stp>FQ4 2010</stp>
        <stp>FQ4 2010</stp>
        <stp>[AMZ_2009-2018.xlsx]Cash Flow - Standardized!R69C10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69" s="4"/>
      </tp>
      <tp>
        <v>43.371099999999998</v>
        <stp/>
        <stp>##V3_BDHV12</stp>
        <stp>AMZN US Equity</stp>
        <stp>PX_TO_FREE_CASH_FLOW</stp>
        <stp>FQ1 2011</stp>
        <stp>FQ1 2011</stp>
        <stp>[AMZ_2009-2018.xlsx]Cash Flow - Standardized!R69C11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69" s="4"/>
      </tp>
      <tp>
        <v>140.71109999999999</v>
        <stp/>
        <stp>##V3_BDHV12</stp>
        <stp>AMZN US Equity</stp>
        <stp>PX_TO_FREE_CASH_FLOW</stp>
        <stp>FQ2 2014</stp>
        <stp>FQ2 2014</stp>
        <stp>[AMZ_2009-2018.xlsx]Cash Flow - Standardized!R69C24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69" s="4"/>
      </tp>
      <tp>
        <v>68.036000000000001</v>
        <stp/>
        <stp>##V3_BDHV12</stp>
        <stp>AMZN US Equity</stp>
        <stp>PX_TO_FREE_CASH_FLOW</stp>
        <stp>FQ3 2017</stp>
        <stp>FQ3 2017</stp>
        <stp>[AMZ_2009-2018.xlsx]Cash Flow - Standardized!R69C37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69" s="4"/>
      </tp>
      <tp>
        <v>0</v>
        <stp/>
        <stp>##V3_BDHV12</stp>
        <stp>AMZN US Equity</stp>
        <stp>SHORT_TERM_DEBT_DETAILED</stp>
        <stp>FQ3 2013</stp>
        <stp>FQ3 2013</stp>
        <stp>[AMZ_2009-2018.xlsx]Bal Sheet - Standardized!R44C21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4" s="3"/>
      </tp>
      <tp>
        <v>0</v>
        <stp/>
        <stp>##V3_BDHV12</stp>
        <stp>AMZN US Equity</stp>
        <stp>SHORT_TERM_DEBT_DETAILED</stp>
        <stp>FQ4 2014</stp>
        <stp>FQ4 2014</stp>
        <stp>[AMZ_2009-2018.xlsx]Bal Sheet - Standardized!R44C26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4" s="3"/>
      </tp>
      <tp>
        <v>3277</v>
        <stp/>
        <stp>##V3_BDHV12</stp>
        <stp>AMZN US Equity</stp>
        <stp>BS_DISCLOSED_INTANGIBLES</stp>
        <stp>FQ4 2012</stp>
        <stp>FQ4 2012</stp>
        <stp>[AMZ_2009-2018.xlsx]Bal Sheet - Standardized!R28C18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8" s="3"/>
      </tp>
      <tp>
        <v>1510</v>
        <stp/>
        <stp>##V3_BDHV12</stp>
        <stp>AMZN US Equity</stp>
        <stp>IS_SG&amp;A_EXPENSE</stp>
        <stp>FQ1 2015</stp>
        <stp>FQ1 2015</stp>
        <stp>[AMZ_2009-2018.xlsx]Income - Adjusted!R13C27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3" s="2"/>
      </tp>
      <tp>
        <v>0</v>
        <stp/>
        <stp>##V3_BDHV12</stp>
        <stp>AMZN US Equity</stp>
        <stp>SHORT_TERM_DEBT_DETAILED</stp>
        <stp>FQ4 2015</stp>
        <stp>FQ4 2015</stp>
        <stp>[AMZ_2009-2018.xlsx]Bal Sheet - Standardized!R44C30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4" s="3"/>
      </tp>
      <tp t="s">
        <v>—</v>
        <stp/>
        <stp>##V3_BDHV12</stp>
        <stp>AMZN US Equity</stp>
        <stp>BS_DERIVATIVE_&amp;_HEDGING_LIABS_ST</stp>
        <stp>FQ2 2011</stp>
        <stp>FQ2 2011</stp>
        <stp>[AMZ_2009-2018.xlsx]Bal Sheet - Standardized!R49C12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9" s="3"/>
      </tp>
      <tp>
        <v>0</v>
        <stp/>
        <stp>##V3_BDHV12</stp>
        <stp>AMZN US Equity</stp>
        <stp>BS_DERIVATIVE_&amp;_HEDGING_LIABS_ST</stp>
        <stp>FQ4 2014</stp>
        <stp>FQ4 2014</stp>
        <stp>[AMZ_2009-2018.xlsx]Bal Sheet - Standardized!R49C26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9" s="3"/>
      </tp>
      <tp t="s">
        <v>—</v>
        <stp/>
        <stp>##V3_BDHV12</stp>
        <stp>AMZN US Equity</stp>
        <stp>BS_DERIVATIVE_&amp;_HEDGING_LIABS_ST</stp>
        <stp>FQ3 2013</stp>
        <stp>FQ3 2013</stp>
        <stp>[AMZ_2009-2018.xlsx]Bal Sheet - Standardized!R49C21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9" s="3"/>
      </tp>
      <tp>
        <v>770</v>
        <stp/>
        <stp>##V3_BDHV12</stp>
        <stp>AMZN US Equity</stp>
        <stp>IS_SG&amp;A_EXPENSE</stp>
        <stp>FQ3 2012</stp>
        <stp>FQ3 2012</stp>
        <stp>[AMZ_2009-2018.xlsx]Income - Adjusted!R13C17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3" s="2"/>
      </tp>
      <tp>
        <v>3439</v>
        <stp/>
        <stp>##V3_BDHV12</stp>
        <stp>AMZN US Equity</stp>
        <stp>IS_SG&amp;A_EXPENSE</stp>
        <stp>FQ3 2017</stp>
        <stp>FQ3 2017</stp>
        <stp>[AMZ_2009-2018.xlsx]Income - Adjusted!R13C37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3" s="2"/>
      </tp>
      <tp t="s">
        <v>—</v>
        <stp/>
        <stp>##V3_BDHV12</stp>
        <stp>AMZN US Equity</stp>
        <stp>SHORT_TERM_DEBT_DETAILED</stp>
        <stp>FQ1 2012</stp>
        <stp>FQ1 2012</stp>
        <stp>[AMZ_2009-2018.xlsx]Bal Sheet - Standardized!R44C15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4" s="3"/>
      </tp>
      <tp t="s">
        <v>—</v>
        <stp/>
        <stp>##V3_BDHV12</stp>
        <stp>AMZN US Equity</stp>
        <stp>BS_DERIVATIVE_&amp;_HEDGING_LIABS_LT</stp>
        <stp>FQ2 2011</stp>
        <stp>FQ2 2011</stp>
        <stp>[AMZ_2009-2018.xlsx]Bal Sheet - Standardized!R60C12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0" s="3"/>
      </tp>
      <tp>
        <v>0</v>
        <stp/>
        <stp>##V3_BDHV12</stp>
        <stp>AMZN US Equity</stp>
        <stp>NOTES_RECEIVABLE</stp>
        <stp>FQ3 2012</stp>
        <stp>FQ3 2012</stp>
        <stp>[AMZ_2009-2018.xlsx]Bal Sheet - Standardized!R12C17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2" s="3"/>
      </tp>
      <tp>
        <v>0</v>
        <stp/>
        <stp>##V3_BDHV12</stp>
        <stp>AMZN US Equity</stp>
        <stp>BS_DERIVATIVE_&amp;_HEDGING_LIABS_LT</stp>
        <stp>FQ4 2014</stp>
        <stp>FQ4 2014</stp>
        <stp>[AMZ_2009-2018.xlsx]Bal Sheet - Standardized!R60C26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0" s="3"/>
      </tp>
      <tp t="s">
        <v>—</v>
        <stp/>
        <stp>##V3_BDHV12</stp>
        <stp>AMZN US Equity</stp>
        <stp>BS_DERIVATIVE_&amp;_HEDGING_LIABS_LT</stp>
        <stp>FQ3 2013</stp>
        <stp>FQ3 2013</stp>
        <stp>[AMZ_2009-2018.xlsx]Bal Sheet - Standardized!R60C21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0" s="3"/>
      </tp>
      <tp>
        <v>9</v>
        <stp/>
        <stp>##V3_BDHV12</stp>
        <stp>AMZN US Equity</stp>
        <stp>CF_PROC_LT_DEBT_&amp;_CAPITAL_LEASE</stp>
        <stp>FQ3 2011</stp>
        <stp>FQ3 2011</stp>
        <stp>[AMZ_2009-2018.xlsx]Cash Flow - Standardized!R44C13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4" s="4"/>
      </tp>
      <tp>
        <v>81</v>
        <stp/>
        <stp>##V3_BDHV12</stp>
        <stp>AMZN US Equity</stp>
        <stp>CF_PROC_LT_DEBT_&amp;_CAPITAL_LEASE</stp>
        <stp>FQ2 2013</stp>
        <stp>FQ2 2013</stp>
        <stp>[AMZ_2009-2018.xlsx]Cash Flow - Standardized!R44C20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4" s="4"/>
      </tp>
      <tp>
        <v>-182</v>
        <stp/>
        <stp>##V3_BDHV12</stp>
        <stp>AMZN US Equity</stp>
        <stp>CF_PYMT_LT_DEBT_&amp;_CAPITAL_LEASE</stp>
        <stp>FQ1 2013</stp>
        <stp>FQ1 2013</stp>
        <stp>[AMZ_2009-2018.xlsx]Cash Flow - Standardized!R45C19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5" s="4"/>
      </tp>
      <tp>
        <v>25</v>
        <stp/>
        <stp>##V3_BDHV12</stp>
        <stp>AMZN US Equity</stp>
        <stp>CF_PROC_LT_DEBT_&amp;_CAPITAL_LEASE</stp>
        <stp>FQ1 2013</stp>
        <stp>FQ1 2013</stp>
        <stp>[AMZ_2009-2018.xlsx]Cash Flow - Standardized!R44C19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4" s="4"/>
      </tp>
      <tp>
        <v>-290</v>
        <stp/>
        <stp>##V3_BDHV12</stp>
        <stp>AMZN US Equity</stp>
        <stp>CF_PYMT_LT_DEBT_&amp;_CAPITAL_LEASE</stp>
        <stp>FQ2 2013</stp>
        <stp>FQ2 2013</stp>
        <stp>[AMZ_2009-2018.xlsx]Cash Flow - Standardized!R45C20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5" s="4"/>
      </tp>
      <tp>
        <v>-91</v>
        <stp/>
        <stp>##V3_BDHV12</stp>
        <stp>AMZN US Equity</stp>
        <stp>CF_PYMT_LT_DEBT_&amp;_CAPITAL_LEASE</stp>
        <stp>FQ3 2011</stp>
        <stp>FQ3 2011</stp>
        <stp>[AMZ_2009-2018.xlsx]Cash Flow - Standardized!R45C13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5" s="4"/>
      </tp>
      <tp>
        <v>0</v>
        <stp/>
        <stp>##V3_BDHV12</stp>
        <stp>AMZN US Equity</stp>
        <stp>NET_CHG_IN_LT_INVEST_DETAILED</stp>
        <stp>FQ2 2010</stp>
        <stp>FQ2 2010</stp>
        <stp>[AMZ_2009-2018.xlsx]Cash Flow - Standardized!R29C8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9" s="4"/>
      </tp>
      <tp>
        <v>0</v>
        <stp/>
        <stp>##V3_BDHV12</stp>
        <stp>AMZN US Equity</stp>
        <stp>NET_CHG_IN_LT_INVEST_DETAILED</stp>
        <stp>FQ3 2009</stp>
        <stp>FQ3 2009</stp>
        <stp>[AMZ_2009-2018.xlsx]Cash Flow - Standardized!R29C5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9" s="4"/>
      </tp>
      <tp>
        <v>60453</v>
        <stp/>
        <stp>##V3_BDHV12</stp>
        <stp>AMZN US Equity</stp>
        <stp>SALES_REV_TURN</stp>
        <stp>FQ4 2017</stp>
        <stp>FQ4 2017</stp>
        <stp>[AMZ_2009-2018.xlsx]Income - Adjusted!R6C38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6" s="2"/>
      </tp>
      <tp>
        <v>1916</v>
        <stp/>
        <stp>##V3_BDHV12</stp>
        <stp>AMZN US Equity</stp>
        <stp>BS_PURE_RETAINED_EARNINGS</stp>
        <stp>FQ4 2012</stp>
        <stp>FQ4 2012</stp>
        <stp>[AMZ_2009-2018.xlsx]Bal Sheet - Standardized!R69C18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9" s="3"/>
      </tp>
      <tp>
        <v>3915</v>
        <stp/>
        <stp>##V3_BDHV12</stp>
        <stp>AMZN US Equity</stp>
        <stp>BS_PURE_RETAINED_EARNINGS</stp>
        <stp>FQ2 2016</stp>
        <stp>FQ2 2016</stp>
        <stp>[AMZ_2009-2018.xlsx]Bal Sheet - Standardized!R69C32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9" s="3"/>
      </tp>
      <tp>
        <v>179</v>
        <stp/>
        <stp>##V3_BDHV12</stp>
        <stp>AMZN US Equity</stp>
        <stp>PRETAX_INC</stp>
        <stp>FQ2 2009</stp>
        <stp>FQ2 2009</stp>
        <stp>[AMZ_2009-2018.xlsx]Income - Adjusted!R31C4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31" s="2"/>
      </tp>
      <tp>
        <v>2298</v>
        <stp/>
        <stp>##V3_BDHV12</stp>
        <stp>AMZN US Equity</stp>
        <stp>BS_PURE_RETAINED_EARNINGS</stp>
        <stp>FQ1 2014</stp>
        <stp>FQ1 2014</stp>
        <stp>[AMZ_2009-2018.xlsx]Bal Sheet - Standardized!R69C23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9" s="3"/>
      </tp>
      <tp>
        <v>154727.9</v>
        <stp/>
        <stp>##V3_BDHV12</stp>
        <stp>AMZN US Equity</stp>
        <stp>HISTORICAL_MARKET_CAP</stp>
        <stp>FQ1 2014</stp>
        <stp>FQ1 2014</stp>
        <stp>[AMZ_2009-2018.xlsx]Stock Value!R12C23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2" s="6"/>
      </tp>
      <tp>
        <v>103214.2</v>
        <stp/>
        <stp>##V3_BDHV12</stp>
        <stp>AMZN US Equity</stp>
        <stp>HISTORICAL_MARKET_CAP</stp>
        <stp>FQ2 2012</stp>
        <stp>FQ2 2012</stp>
        <stp>[AMZ_2009-2018.xlsx]Stock Value!R12C16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2" s="6"/>
      </tp>
      <tp>
        <v>6779</v>
        <stp/>
        <stp>##V3_BDHV12</stp>
        <stp>AMZN US Equity</stp>
        <stp>BS_PURE_RETAINED_EARNINGS</stp>
        <stp>FQ3 2017</stp>
        <stp>FQ3 2017</stp>
        <stp>[AMZ_2009-2018.xlsx]Bal Sheet - Standardized!R69C37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9" s="3"/>
      </tp>
      <tp>
        <v>92838.46</v>
        <stp/>
        <stp>##V3_BDHV12</stp>
        <stp>AMZN US Equity</stp>
        <stp>HISTORICAL_MARKET_CAP</stp>
        <stp>FQ2 2011</stp>
        <stp>FQ2 2011</stp>
        <stp>[AMZ_2009-2018.xlsx]Stock Value!R12C12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2" s="6"/>
      </tp>
      <tp>
        <v>173398.6</v>
        <stp/>
        <stp>##V3_BDHV12</stp>
        <stp>AMZN US Equity</stp>
        <stp>HISTORICAL_MARKET_CAP</stp>
        <stp>FQ1 2015</stp>
        <stp>FQ1 2015</stp>
        <stp>[AMZ_2009-2018.xlsx]Stock Value!R12C27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2" s="6"/>
      </tp>
      <tp t="s">
        <v>—</v>
        <stp/>
        <stp>##V3_BDHV12</stp>
        <stp>AMZN US Equity</stp>
        <stp>BS_DEFERRED_TAX_LIABILITIES_LT</stp>
        <stp>FQ2 2018</stp>
        <stp>FQ2 2018</stp>
        <stp>[AMZ_2009-2018.xlsx]Bal Sheet - Standardized!R59C40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9" s="3"/>
      </tp>
      <tp>
        <v>0</v>
        <stp/>
        <stp>##V3_BDHV12</stp>
        <stp>AMZN US Equity</stp>
        <stp>BS_OTHER_CUR_ASSET_LESS_PREPAY</stp>
        <stp>FQ3 2016</stp>
        <stp>FQ3 2016</stp>
        <stp>[AMZ_2009-2018.xlsx]Bal Sheet - Standardized!R21C33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1" s="3"/>
      </tp>
      <tp>
        <v>0</v>
        <stp/>
        <stp>##V3_BDHV12</stp>
        <stp>AMZN US Equity</stp>
        <stp>BS_OTHER_CUR_ASSET_LESS_PREPAY</stp>
        <stp>FQ2 2017</stp>
        <stp>FQ2 2017</stp>
        <stp>[AMZ_2009-2018.xlsx]Bal Sheet - Standardized!R21C36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1" s="3"/>
      </tp>
      <tp>
        <v>0</v>
        <stp/>
        <stp>##V3_BDHV12</stp>
        <stp>AMZN US Equity</stp>
        <stp>BS_OTHER_CUR_ASSET_LESS_PREPAY</stp>
        <stp>FQ1 2015</stp>
        <stp>FQ1 2015</stp>
        <stp>[AMZ_2009-2018.xlsx]Bal Sheet - Standardized!R21C27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1" s="3"/>
      </tp>
      <tp>
        <v>17782</v>
        <stp/>
        <stp>##V3_BDHV12</stp>
        <stp>AMZN US Equity</stp>
        <stp>EQTY_BEF_MINORITY_INT_DETAILED</stp>
        <stp>FQ3 2016</stp>
        <stp>FQ3 2016</stp>
        <stp>[AMZ_2009-2018.xlsx]Bal Sheet - Standardized!R71C33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1" s="3"/>
      </tp>
      <tp>
        <v>11448</v>
        <stp/>
        <stp>##V3_BDHV12</stp>
        <stp>AMZN US Equity</stp>
        <stp>C&amp;CE_AND_STI_DETAILED</stp>
        <stp>FQ4 2012</stp>
        <stp>FQ4 2012</stp>
        <stp>[AMZ_2009-2018.xlsx]Bal Sheet - Standardized!R7C18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" s="3"/>
      </tp>
      <tp>
        <v>23214</v>
        <stp/>
        <stp>##V3_BDHV12</stp>
        <stp>AMZN US Equity</stp>
        <stp>EQTY_BEF_MINORITY_INT_DETAILED</stp>
        <stp>FQ2 2017</stp>
        <stp>FQ2 2017</stp>
        <stp>[AMZ_2009-2018.xlsx]Bal Sheet - Standardized!R71C36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1" s="3"/>
      </tp>
      <tp>
        <v>108</v>
        <stp/>
        <stp>##V3_BDHV12</stp>
        <stp>AMZN US Equity</stp>
        <stp>IS_DEPR_EXP</stp>
        <stp>FQ4 2009</stp>
        <stp>FQ4 2009</stp>
        <stp>[AMZ_2009-2018.xlsx]Income - Adjusted!R72C6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2" s="2"/>
      </tp>
      <tp>
        <v>10873</v>
        <stp/>
        <stp>##V3_BDHV12</stp>
        <stp>AMZN US Equity</stp>
        <stp>EQTY_BEF_MINORITY_INT_DETAILED</stp>
        <stp>FQ1 2015</stp>
        <stp>FQ1 2015</stp>
        <stp>[AMZ_2009-2018.xlsx]Bal Sheet - Standardized!R71C27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1" s="3"/>
      </tp>
      <tp>
        <v>22.766999999999999</v>
        <stp/>
        <stp>##V3_BDHV12</stp>
        <stp>AMZN US Equity</stp>
        <stp>TCE_RATIO</stp>
        <stp>FQ1 2014</stp>
        <stp>FQ1 2014</stp>
        <stp>[AMZ_2009-2018.xlsx]Bal Sheet - Standardized!R85C23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85" s="3"/>
      </tp>
      <tp>
        <v>19.132200000000001</v>
        <stp/>
        <stp>##V3_BDHV12</stp>
        <stp>AMZN US Equity</stp>
        <stp>TCE_RATIO</stp>
        <stp>FQ1 2016</stp>
        <stp>FQ1 2016</stp>
        <stp>[AMZ_2009-2018.xlsx]Bal Sheet - Standardized!R85C31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85" s="3"/>
      </tp>
      <tp>
        <v>28.8584</v>
        <stp/>
        <stp>##V3_BDHV12</stp>
        <stp>AMZN US Equity</stp>
        <stp>TCE_RATIO</stp>
        <stp>FQ1 2012</stp>
        <stp>FQ1 2012</stp>
        <stp>[AMZ_2009-2018.xlsx]Bal Sheet - Standardized!R85C15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85" s="3"/>
      </tp>
      <tp>
        <v>9576</v>
        <stp/>
        <stp>##V3_BDHV12</stp>
        <stp>AMZN US Equity</stp>
        <stp>C&amp;CE_AND_STI_DETAILED</stp>
        <stp>FQ4 2011</stp>
        <stp>FQ4 2011</stp>
        <stp>[AMZ_2009-2018.xlsx]Bal Sheet - Standardized!R7C14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" s="3"/>
      </tp>
      <tp>
        <v>8762</v>
        <stp/>
        <stp>##V3_BDHV12</stp>
        <stp>AMZN US Equity</stp>
        <stp>C&amp;CE_AND_STI_DETAILED</stp>
        <stp>FQ4 2010</stp>
        <stp>FQ4 2010</stp>
        <stp>[AMZ_2009-2018.xlsx]Bal Sheet - Standardized!R7C10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" s="3"/>
      </tp>
      <tp>
        <v>3999</v>
        <stp/>
        <stp>##V3_BDHV12</stp>
        <stp>AMZN US Equity</stp>
        <stp>BS_NET_FIX_ASSET</stp>
        <stp>FQ3 2011</stp>
        <stp>FQ3 2011</stp>
        <stp>[AMZ_2009-2018.xlsx]Bal Sheet - Standardized!R23C13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3" s="3"/>
      </tp>
      <tp>
        <v>8789</v>
        <stp/>
        <stp>##V3_BDHV12</stp>
        <stp>AMZN US Equity</stp>
        <stp>BS_NET_FIX_ASSET</stp>
        <stp>FQ2 2013</stp>
        <stp>FQ2 2013</stp>
        <stp>[AMZ_2009-2018.xlsx]Bal Sheet - Standardized!R23C20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3" s="3"/>
      </tp>
      <tp>
        <v>0</v>
        <stp/>
        <stp>##V3_BDHV12</stp>
        <stp>AMZN US Equity</stp>
        <stp>DISP_FXD_&amp;_INTANGIBLES_DETAILED</stp>
        <stp>FQ3 2012</stp>
        <stp>FQ3 2012</stp>
        <stp>[AMZ_2009-2018.xlsx]Cash Flow - Standardized!R23C17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3" s="4"/>
      </tp>
      <tp>
        <v>7674</v>
        <stp/>
        <stp>##V3_BDHV12</stp>
        <stp>AMZN US Equity</stp>
        <stp>BS_NET_FIX_ASSET</stp>
        <stp>FQ1 2013</stp>
        <stp>FQ1 2013</stp>
        <stp>[AMZ_2009-2018.xlsx]Bal Sheet - Standardized!R23C19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3" s="3"/>
      </tp>
      <tp>
        <v>12607</v>
        <stp/>
        <stp>##V3_BDHV12</stp>
        <stp>AMZN US Equity</stp>
        <stp>BS_ACCT_NOTE_RCV</stp>
        <stp>FQ2 2018</stp>
        <stp>FQ2 2018</stp>
        <stp>[AMZ_2009-2018.xlsx]Bal Sheet - Standardized!R10C40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0" s="3"/>
      </tp>
      <tp>
        <v>87781</v>
        <stp/>
        <stp>##V3_BDHV12</stp>
        <stp>AMZN US Equity</stp>
        <stp>TOT_LIAB_AND_EQY</stp>
        <stp>FQ2 2017</stp>
        <stp>FQ2 2017</stp>
        <stp>[AMZ_2009-2018.xlsx]Bal Sheet - Standardized!R74C36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4" s="3"/>
      </tp>
      <tp>
        <v>583</v>
        <stp/>
        <stp>##V3_BDHV12</stp>
        <stp>AMZN US Equity</stp>
        <stp>DISP_FXD_&amp;_INTANGIBLES_DETAILED</stp>
        <stp>FQ4 2017</stp>
        <stp>FQ4 2017</stp>
        <stp>[AMZ_2009-2018.xlsx]Cash Flow - Standardized!R23C38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3" s="4"/>
      </tp>
      <tp>
        <v>8972</v>
        <stp/>
        <stp>##V3_BDHV12</stp>
        <stp>AMZN US Equity</stp>
        <stp>TOT_LIAB_AND_EQY</stp>
        <stp>FQ3 2009</stp>
        <stp>FQ3 2009</stp>
        <stp>[AMZ_2009-2018.xlsx]Bal Sheet - Standardized!R74C5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4" s="3"/>
      </tp>
      <tp>
        <v>50075</v>
        <stp/>
        <stp>##V3_BDHV12</stp>
        <stp>AMZN US Equity</stp>
        <stp>TOT_LIAB_AND_EQY</stp>
        <stp>FQ1 2015</stp>
        <stp>FQ1 2015</stp>
        <stp>[AMZ_2009-2018.xlsx]Bal Sheet - Standardized!R74C27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4" s="3"/>
      </tp>
      <tp t="s">
        <v>—</v>
        <stp/>
        <stp>##V3_BDHV12</stp>
        <stp>AMZN US Equity</stp>
        <stp>SHORT_TERM_DEBT_DETAILED</stp>
        <stp>FQ3 2010</stp>
        <stp>FQ3 2010</stp>
        <stp>[AMZ_2009-2018.xlsx]Bal Sheet - Standardized!R44C9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4" s="3"/>
      </tp>
      <tp>
        <v>70897</v>
        <stp/>
        <stp>##V3_BDHV12</stp>
        <stp>AMZN US Equity</stp>
        <stp>TOT_LIAB_AND_EQY</stp>
        <stp>FQ3 2016</stp>
        <stp>FQ3 2016</stp>
        <stp>[AMZ_2009-2018.xlsx]Bal Sheet - Standardized!R74C33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4" s="3"/>
      </tp>
      <tp>
        <v>12397</v>
        <stp/>
        <stp>##V3_BDHV12</stp>
        <stp>AMZN US Equity</stp>
        <stp>TOT_LIAB_AND_EQY</stp>
        <stp>FQ2 2010</stp>
        <stp>FQ2 2010</stp>
        <stp>[AMZ_2009-2018.xlsx]Bal Sheet - Standardized!R74C8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4" s="3"/>
      </tp>
      <tp t="s">
        <v>—</v>
        <stp/>
        <stp>##V3_BDHV12</stp>
        <stp>AMZN US Equity</stp>
        <stp>SHORT_TERM_DEBT_DETAILED</stp>
        <stp>FQ2 2009</stp>
        <stp>FQ2 2009</stp>
        <stp>[AMZ_2009-2018.xlsx]Bal Sheet - Standardized!R44C4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4" s="3"/>
      </tp>
      <tp>
        <v>202.51</v>
        <stp/>
        <stp>##V3_BDHV12</stp>
        <stp>AMZN US Equity</stp>
        <stp>PX_LAST</stp>
        <stp>FQ1 2012</stp>
        <stp>FQ1 2012</stp>
        <stp>[AMZ_2009-2018.xlsx]Stock Value!R6C15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6" s="6"/>
      </tp>
      <tp>
        <v>0</v>
        <stp/>
        <stp>##V3_BDHV12</stp>
        <stp>AMZN US Equity</stp>
        <stp>CF_ACQUISITION_OF_INTANG_ASSETS</stp>
        <stp>FQ1 2015</stp>
        <stp>FQ1 2015</stp>
        <stp>[AMZ_2009-2018.xlsx]Cash Flow - Standardized!R28C27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8" s="4"/>
      </tp>
      <tp t="s">
        <v>—</v>
        <stp/>
        <stp>##V3_BDHV12</stp>
        <stp>AMZN US Equity</stp>
        <stp>BS_TAXES_PAYABLE</stp>
        <stp>FQ2 2013</stp>
        <stp>FQ2 2013</stp>
        <stp>[AMZ_2009-2018.xlsx]Bal Sheet - Standardized!R40C20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0" s="3"/>
      </tp>
      <tp>
        <v>0</v>
        <stp/>
        <stp>##V3_BDHV12</stp>
        <stp>AMZN US Equity</stp>
        <stp>CF_ACQUISITION_OF_INTANG_ASSETS</stp>
        <stp>FQ2 2017</stp>
        <stp>FQ2 2017</stp>
        <stp>[AMZ_2009-2018.xlsx]Cash Flow - Standardized!R28C36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8" s="4"/>
      </tp>
      <tp>
        <v>254.32</v>
        <stp/>
        <stp>##V3_BDHV12</stp>
        <stp>AMZN US Equity</stp>
        <stp>PX_LAST</stp>
        <stp>FQ3 2012</stp>
        <stp>FQ3 2012</stp>
        <stp>[AMZ_2009-2018.xlsx]Stock Value!R6C17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6" s="6"/>
      </tp>
      <tp>
        <v>675.89</v>
        <stp/>
        <stp>##V3_BDHV12</stp>
        <stp>AMZN US Equity</stp>
        <stp>PX_LAST</stp>
        <stp>FQ4 2015</stp>
        <stp>FQ4 2015</stp>
        <stp>[AMZ_2009-2018.xlsx]Stock Value!R6C30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6" s="6"/>
      </tp>
      <tp>
        <v>3815</v>
        <stp/>
        <stp>##V3_BDHV12</stp>
        <stp>AMZN US Equity</stp>
        <stp>BS_DISCLOSED_INTANGIBLES</stp>
        <stp>FQ3 2016</stp>
        <stp>FQ3 2016</stp>
        <stp>[AMZ_2009-2018.xlsx]Bal Sheet - Standardized!R28C33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8" s="3"/>
      </tp>
      <tp t="s">
        <v>—</v>
        <stp/>
        <stp>##V3_BDHV12</stp>
        <stp>AMZN US Equity</stp>
        <stp>BS_TAXES_PAYABLE</stp>
        <stp>FQ3 2011</stp>
        <stp>FQ3 2011</stp>
        <stp>[AMZ_2009-2018.xlsx]Bal Sheet - Standardized!R40C13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0" s="3"/>
      </tp>
      <tp>
        <v>0</v>
        <stp/>
        <stp>##V3_BDHV12</stp>
        <stp>AMZN US Equity</stp>
        <stp>SHORT_TERM_DEBT_DETAILED</stp>
        <stp>FQ1 2013</stp>
        <stp>FQ1 2013</stp>
        <stp>[AMZ_2009-2018.xlsx]Bal Sheet - Standardized!R44C19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4" s="3"/>
      </tp>
      <tp>
        <v>228.35</v>
        <stp/>
        <stp>##V3_BDHV12</stp>
        <stp>AMZN US Equity</stp>
        <stp>PX_LAST</stp>
        <stp>FQ2 2012</stp>
        <stp>FQ2 2012</stp>
        <stp>[AMZ_2009-2018.xlsx]Stock Value!R6C16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6" s="6"/>
      </tp>
      <tp>
        <v>3491</v>
        <stp/>
        <stp>##V3_BDHV12</stp>
        <stp>AMZN US Equity</stp>
        <stp>BS_DISCLOSED_INTANGIBLES</stp>
        <stp>FQ1 2015</stp>
        <stp>FQ1 2015</stp>
        <stp>[AMZ_2009-2018.xlsx]Bal Sheet - Standardized!R28C27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8" s="3"/>
      </tp>
      <tp t="s">
        <v>—</v>
        <stp/>
        <stp>##V3_BDHV12</stp>
        <stp>AMZN US Equity</stp>
        <stp>BS_DERIVATIVE_&amp;_HEDGING_LIABS_ST</stp>
        <stp>FQ1 2013</stp>
        <stp>FQ1 2013</stp>
        <stp>[AMZ_2009-2018.xlsx]Bal Sheet - Standardized!R49C19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9" s="3"/>
      </tp>
      <tp>
        <v>886.54</v>
        <stp/>
        <stp>##V3_BDHV12</stp>
        <stp>AMZN US Equity</stp>
        <stp>PX_LAST</stp>
        <stp>FQ1 2017</stp>
        <stp>FQ1 2017</stp>
        <stp>[AMZ_2009-2018.xlsx]Stock Value!R6C35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6" s="6"/>
      </tp>
      <tp>
        <v>0</v>
        <stp/>
        <stp>##V3_BDHV12</stp>
        <stp>AMZN US Equity</stp>
        <stp>CF_ACQUISITION_OF_INTANG_ASSETS</stp>
        <stp>FQ3 2016</stp>
        <stp>FQ3 2016</stp>
        <stp>[AMZ_2009-2018.xlsx]Cash Flow - Standardized!R28C33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8" s="4"/>
      </tp>
      <tp>
        <v>968</v>
        <stp/>
        <stp>##V3_BDHV12</stp>
        <stp>AMZN US Equity</stp>
        <stp>PX_LAST</stp>
        <stp>FQ2 2017</stp>
        <stp>FQ2 2017</stp>
        <stp>[AMZ_2009-2018.xlsx]Stock Value!R6C36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6" s="6"/>
      </tp>
      <tp>
        <v>4254</v>
        <stp/>
        <stp>##V3_BDHV12</stp>
        <stp>AMZN US Equity</stp>
        <stp>BS_DISCLOSED_INTANGIBLES</stp>
        <stp>FQ2 2017</stp>
        <stp>FQ2 2017</stp>
        <stp>[AMZ_2009-2018.xlsx]Bal Sheet - Standardized!R28C36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8" s="3"/>
      </tp>
      <tp t="s">
        <v>—</v>
        <stp/>
        <stp>##V3_BDHV12</stp>
        <stp>AMZN US Equity</stp>
        <stp>BS_DERIVATIVE_&amp;_HEDGING_LIABS_LT</stp>
        <stp>FQ1 2013</stp>
        <stp>FQ1 2013</stp>
        <stp>[AMZ_2009-2018.xlsx]Bal Sheet - Standardized!R60C19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0" s="3"/>
      </tp>
      <tp>
        <v>180</v>
        <stp/>
        <stp>##V3_BDHV12</stp>
        <stp>AMZN US Equity</stp>
        <stp>PX_LAST</stp>
        <stp>FQ4 2010</stp>
        <stp>FQ4 2010</stp>
        <stp>[AMZ_2009-2018.xlsx]Stock Value!R6C10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6" s="6"/>
      </tp>
      <tp>
        <v>961.35</v>
        <stp/>
        <stp>##V3_BDHV12</stp>
        <stp>AMZN US Equity</stp>
        <stp>PX_LAST</stp>
        <stp>FQ3 2017</stp>
        <stp>FQ3 2017</stp>
        <stp>[AMZ_2009-2018.xlsx]Stock Value!R6C37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6" s="6"/>
      </tp>
      <tp>
        <v>0</v>
        <stp/>
        <stp>##V3_BDHV12</stp>
        <stp>AMZN US Equity</stp>
        <stp>NOTES_RECEIVABLE</stp>
        <stp>FQ4 2016</stp>
        <stp>FQ4 2016</stp>
        <stp>[AMZ_2009-2018.xlsx]Bal Sheet - Standardized!R12C34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2" s="3"/>
      </tp>
      <tp>
        <v>1968</v>
        <stp/>
        <stp>##V3_BDHV12</stp>
        <stp>AMZN US Equity</stp>
        <stp>IS_SG&amp;A_EXPENSE</stp>
        <stp>FQ4 2014</stp>
        <stp>FQ4 2014</stp>
        <stp>[AMZ_2009-2018.xlsx]Income - Adjusted!R13C26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3" s="2"/>
      </tp>
      <tp>
        <v>0</v>
        <stp/>
        <stp>##V3_BDHV12</stp>
        <stp>AMZN US Equity</stp>
        <stp>NOTES_RECEIVABLE</stp>
        <stp>FQ1 2011</stp>
        <stp>FQ1 2011</stp>
        <stp>[AMZ_2009-2018.xlsx]Bal Sheet - Standardized!R12C11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2" s="3"/>
      </tp>
      <tp>
        <v>0</v>
        <stp/>
        <stp>##V3_BDHV12</stp>
        <stp>AMZN US Equity</stp>
        <stp>SHORT_TERM_DEBT_DETAILED</stp>
        <stp>FQ2 2013</stp>
        <stp>FQ2 2013</stp>
        <stp>[AMZ_2009-2018.xlsx]Bal Sheet - Standardized!R44C20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4" s="3"/>
      </tp>
      <tp>
        <v>90.7864</v>
        <stp/>
        <stp>##V3_BDHV12</stp>
        <stp>AMZN US Equity</stp>
        <stp>PX_TO_FREE_CASH_FLOW</stp>
        <stp>FQ4 2013</stp>
        <stp>FQ4 2013</stp>
        <stp>[AMZ_2009-2018.xlsx]Cash Flow - Standardized!R69C22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69" s="4"/>
      </tp>
      <tp>
        <v>120.81570000000001</v>
        <stp/>
        <stp>##V3_BDHV12</stp>
        <stp>AMZN US Equity</stp>
        <stp>PX_TO_FREE_CASH_FLOW</stp>
        <stp>FQ1 2018</stp>
        <stp>FQ1 2018</stp>
        <stp>[AMZ_2009-2018.xlsx]Cash Flow - Standardized!R69C39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69" s="4"/>
      </tp>
      <tp>
        <v>55.009399999999999</v>
        <stp/>
        <stp>##V3_BDHV12</stp>
        <stp>AMZN US Equity</stp>
        <stp>PX_TO_FREE_CASH_FLOW</stp>
        <stp>FQ2 2017</stp>
        <stp>FQ2 2017</stp>
        <stp>[AMZ_2009-2018.xlsx]Cash Flow - Standardized!R69C36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69" s="4"/>
      </tp>
      <tp>
        <v>135.46289999999999</v>
        <stp/>
        <stp>##V3_BDHV12</stp>
        <stp>AMZN US Equity</stp>
        <stp>PX_TO_FREE_CASH_FLOW</stp>
        <stp>FQ3 2014</stp>
        <stp>FQ3 2014</stp>
        <stp>[AMZ_2009-2018.xlsx]Cash Flow - Standardized!R69C25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69" s="4"/>
      </tp>
      <tp t="s">
        <v>—</v>
        <stp/>
        <stp>##V3_BDHV12</stp>
        <stp>AMZN US Equity</stp>
        <stp>BS_TAXES_PAYABLE</stp>
        <stp>FQ1 2013</stp>
        <stp>FQ1 2013</stp>
        <stp>[AMZ_2009-2018.xlsx]Bal Sheet - Standardized!R40C19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0" s="3"/>
      </tp>
      <tp>
        <v>0</v>
        <stp/>
        <stp>##V3_BDHV12</stp>
        <stp>AMZN US Equity</stp>
        <stp>SHORT_TERM_DEBT_DETAILED</stp>
        <stp>FQ3 2011</stp>
        <stp>FQ3 2011</stp>
        <stp>[AMZ_2009-2018.xlsx]Bal Sheet - Standardized!R44C13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4" s="3"/>
      </tp>
      <tp t="s">
        <v>—</v>
        <stp/>
        <stp>##V3_BDHV12</stp>
        <stp>AMZN US Equity</stp>
        <stp>BS_DERIVATIVE_&amp;_HEDGING_LIABS_ST</stp>
        <stp>FQ2 2013</stp>
        <stp>FQ2 2013</stp>
        <stp>[AMZ_2009-2018.xlsx]Bal Sheet - Standardized!R49C20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9" s="3"/>
      </tp>
      <tp t="s">
        <v>—</v>
        <stp/>
        <stp>##V3_BDHV12</stp>
        <stp>AMZN US Equity</stp>
        <stp>BS_DERIVATIVE_&amp;_HEDGING_LIABS_ST</stp>
        <stp>FQ3 2011</stp>
        <stp>FQ3 2011</stp>
        <stp>[AMZ_2009-2018.xlsx]Bal Sheet - Standardized!R49C13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9" s="3"/>
      </tp>
      <tp>
        <v>0</v>
        <stp/>
        <stp>##V3_BDHV12</stp>
        <stp>AMZN US Equity</stp>
        <stp>NOTES_RECEIVABLE</stp>
        <stp>FQ2 2012</stp>
        <stp>FQ2 2012</stp>
        <stp>[AMZ_2009-2018.xlsx]Bal Sheet - Standardized!R12C16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2" s="3"/>
      </tp>
      <tp t="s">
        <v>—</v>
        <stp/>
        <stp>##V3_BDHV12</stp>
        <stp>AMZN US Equity</stp>
        <stp>BS_DERIVATIVE_&amp;_HEDGING_LIABS_LT</stp>
        <stp>FQ2 2013</stp>
        <stp>FQ2 2013</stp>
        <stp>[AMZ_2009-2018.xlsx]Bal Sheet - Standardized!R60C20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0" s="3"/>
      </tp>
      <tp>
        <v>769</v>
        <stp/>
        <stp>##V3_BDHV12</stp>
        <stp>AMZN US Equity</stp>
        <stp>IS_SG&amp;A_EXPENSE</stp>
        <stp>FQ2 2012</stp>
        <stp>FQ2 2012</stp>
        <stp>[AMZ_2009-2018.xlsx]Income - Adjusted!R13C16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3" s="2"/>
      </tp>
      <tp>
        <v>3103</v>
        <stp/>
        <stp>##V3_BDHV12</stp>
        <stp>AMZN US Equity</stp>
        <stp>IS_SG&amp;A_EXPENSE</stp>
        <stp>FQ2 2017</stp>
        <stp>FQ2 2017</stp>
        <stp>[AMZ_2009-2018.xlsx]Income - Adjusted!R13C36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3" s="2"/>
      </tp>
      <tp t="s">
        <v>—</v>
        <stp/>
        <stp>##V3_BDHV12</stp>
        <stp>AMZN US Equity</stp>
        <stp>BS_DERIVATIVE_&amp;_HEDGING_LIABS_LT</stp>
        <stp>FQ3 2011</stp>
        <stp>FQ3 2011</stp>
        <stp>[AMZ_2009-2018.xlsx]Bal Sheet - Standardized!R60C13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0" s="3"/>
      </tp>
      <tp>
        <v>-282</v>
        <stp/>
        <stp>##V3_BDHV12</stp>
        <stp>AMZN US Equity</stp>
        <stp>OTHER_INS_RES_TO_SHRHLDR_EQY</stp>
        <stp>FQ2 2010</stp>
        <stp>FQ2 2010</stp>
        <stp>[AMZ_2009-2018.xlsx]Bal Sheet - Standardized!R70C8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70" s="3"/>
      </tp>
      <tp>
        <v>-131</v>
        <stp/>
        <stp>##V3_BDHV12</stp>
        <stp>AMZN US Equity</stp>
        <stp>OTHER_INS_RES_TO_SHRHLDR_EQY</stp>
        <stp>FQ3 2010</stp>
        <stp>FQ3 2010</stp>
        <stp>[AMZ_2009-2018.xlsx]Bal Sheet - Standardized!R70C9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70" s="3"/>
      </tp>
      <tp>
        <v>-2708</v>
        <stp/>
        <stp>##V3_BDHV12</stp>
        <stp>AMZN US Equity</stp>
        <stp>CF_PYMT_LT_DEBT_&amp;_CAPITAL_LEASE</stp>
        <stp>FQ4 2017</stp>
        <stp>FQ4 2017</stp>
        <stp>[AMZ_2009-2018.xlsx]Cash Flow - Standardized!R45C38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5" s="4"/>
      </tp>
      <tp>
        <v>109</v>
        <stp/>
        <stp>##V3_BDHV12</stp>
        <stp>AMZN US Equity</stp>
        <stp>CF_PROC_LT_DEBT_&amp;_CAPITAL_LEASE</stp>
        <stp>FQ3 2012</stp>
        <stp>FQ3 2012</stp>
        <stp>[AMZ_2009-2018.xlsx]Cash Flow - Standardized!R44C17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4" s="4"/>
      </tp>
      <tp>
        <v>-143</v>
        <stp/>
        <stp>##V3_BDHV12</stp>
        <stp>AMZN US Equity</stp>
        <stp>OTHER_INS_RES_TO_SHRHLDR_EQY</stp>
        <stp>FQ1 2009</stp>
        <stp>FQ1 2009</stp>
        <stp>[AMZ_2009-2018.xlsx]Bal Sheet - Standardized!R70C3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70" s="3"/>
      </tp>
      <tp>
        <v>-56</v>
        <stp/>
        <stp>##V3_BDHV12</stp>
        <stp>AMZN US Equity</stp>
        <stp>OTHER_INS_RES_TO_SHRHLDR_EQY</stp>
        <stp>FQ4 2009</stp>
        <stp>FQ4 2009</stp>
        <stp>[AMZ_2009-2018.xlsx]Bal Sheet - Standardized!R70C6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70" s="3"/>
      </tp>
      <tp>
        <v>-144</v>
        <stp/>
        <stp>##V3_BDHV12</stp>
        <stp>AMZN US Equity</stp>
        <stp>CF_PYMT_LT_DEBT_&amp;_CAPITAL_LEASE</stp>
        <stp>FQ3 2012</stp>
        <stp>FQ3 2012</stp>
        <stp>[AMZ_2009-2018.xlsx]Cash Flow - Standardized!R45C17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5" s="4"/>
      </tp>
      <tp>
        <v>61</v>
        <stp/>
        <stp>##V3_BDHV12</stp>
        <stp>AMZN US Equity</stp>
        <stp>CF_PROC_LT_DEBT_&amp;_CAPITAL_LEASE</stp>
        <stp>FQ4 2017</stp>
        <stp>FQ4 2017</stp>
        <stp>[AMZ_2009-2018.xlsx]Cash Flow - Standardized!R44C38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4" s="4"/>
      </tp>
      <tp>
        <v>0</v>
        <stp/>
        <stp>##V3_BDHV12</stp>
        <stp>AMZN US Equity</stp>
        <stp>NET_CHG_IN_LT_INVEST_DETAILED</stp>
        <stp>FQ1 2010</stp>
        <stp>FQ1 2010</stp>
        <stp>[AMZ_2009-2018.xlsx]Cash Flow - Standardized!R29C7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9" s="4"/>
      </tp>
      <tp>
        <v>25358</v>
        <stp/>
        <stp>##V3_BDHV12</stp>
        <stp>AMZN US Equity</stp>
        <stp>SALES_REV_TURN</stp>
        <stp>FQ3 2015</stp>
        <stp>FQ3 2015</stp>
        <stp>[AMZ_2009-2018.xlsx]Income - Adjusted!R6C29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6" s="2"/>
      </tp>
      <tp>
        <v>2063</v>
        <stp/>
        <stp>##V3_BDHV12</stp>
        <stp>AMZN US Equity</stp>
        <stp>BS_PURE_RETAINED_EARNINGS</stp>
        <stp>FQ3 2015</stp>
        <stp>FQ3 2015</stp>
        <stp>[AMZ_2009-2018.xlsx]Bal Sheet - Standardized!R69C29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9" s="3"/>
      </tp>
      <tp>
        <v>203154.12</v>
        <stp/>
        <stp>##V3_BDHV12</stp>
        <stp>AMZN US Equity</stp>
        <stp>HISTORICAL_MARKET_CAP</stp>
        <stp>FQ2 2015</stp>
        <stp>FQ2 2015</stp>
        <stp>[AMZ_2009-2018.xlsx]Stock Value!R12C28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2" s="6"/>
      </tp>
      <tp>
        <v>121252.95</v>
        <stp/>
        <stp>##V3_BDHV12</stp>
        <stp>AMZN US Equity</stp>
        <stp>HISTORICAL_MARKET_CAP</stp>
        <stp>FQ1 2013</stp>
        <stp>FQ1 2013</stp>
        <stp>[AMZ_2009-2018.xlsx]Stock Value!R12C19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2" s="6"/>
      </tp>
      <tp>
        <v>16070</v>
        <stp/>
        <stp>##V3_BDHV12</stp>
        <stp>AMZN US Equity</stp>
        <stp>IS_SALES_AND_SERVICES_REVENUES</stp>
        <stp>FQ1 2013</stp>
        <stp>FQ1 2013</stp>
        <stp>[AMZ_2009-2018.xlsx]Income - Adjusted!R7C19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7" s="2"/>
      </tp>
      <tp>
        <v>21268</v>
        <stp/>
        <stp>##V3_BDHV12</stp>
        <stp>AMZN US Equity</stp>
        <stp>IS_SALES_AND_SERVICES_REVENUES</stp>
        <stp>FQ4 2012</stp>
        <stp>FQ4 2012</stp>
        <stp>[AMZ_2009-2018.xlsx]Income - Adjusted!R7C18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7" s="2"/>
      </tp>
      <tp>
        <v>1955</v>
        <stp/>
        <stp>##V3_BDHV12</stp>
        <stp>AMZN US Equity</stp>
        <stp>BS_PURE_RETAINED_EARNINGS</stp>
        <stp>FQ4 2011</stp>
        <stp>FQ4 2011</stp>
        <stp>[AMZ_2009-2018.xlsx]Bal Sheet - Standardized!R69C14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9" s="3"/>
      </tp>
      <tp>
        <v>3058</v>
        <stp/>
        <stp>##V3_BDHV12</stp>
        <stp>AMZN US Equity</stp>
        <stp>BS_PURE_RETAINED_EARNINGS</stp>
        <stp>FQ1 2016</stp>
        <stp>FQ1 2016</stp>
        <stp>[AMZ_2009-2018.xlsx]Bal Sheet - Standardized!R69C31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9" s="3"/>
      </tp>
      <tp>
        <v>397722.25</v>
        <stp/>
        <stp>##V3_BDHV12</stp>
        <stp>AMZN US Equity</stp>
        <stp>HISTORICAL_MARKET_CAP</stp>
        <stp>FQ3 2016</stp>
        <stp>FQ3 2016</stp>
        <stp>[AMZ_2009-2018.xlsx]Stock Value!R12C33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2" s="6"/>
      </tp>
      <tp>
        <v>91129.5</v>
        <stp/>
        <stp>##V3_BDHV12</stp>
        <stp>AMZN US Equity</stp>
        <stp>HISTORICAL_MARKET_CAP</stp>
        <stp>FQ1 2012</stp>
        <stp>FQ1 2012</stp>
        <stp>[AMZ_2009-2018.xlsx]Stock Value!R12C15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2" s="6"/>
      </tp>
      <tp>
        <v>2172</v>
        <stp/>
        <stp>##V3_BDHV12</stp>
        <stp>AMZN US Equity</stp>
        <stp>BS_PURE_RETAINED_EARNINGS</stp>
        <stp>FQ2 2014</stp>
        <stp>FQ2 2014</stp>
        <stp>[AMZ_2009-2018.xlsx]Bal Sheet - Standardized!R69C24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9" s="3"/>
      </tp>
      <tp>
        <v>81418.759999999995</v>
        <stp/>
        <stp>##V3_BDHV12</stp>
        <stp>AMZN US Equity</stp>
        <stp>HISTORICAL_MARKET_CAP</stp>
        <stp>FQ1 2011</stp>
        <stp>FQ1 2011</stp>
        <stp>[AMZ_2009-2018.xlsx]Stock Value!R12C11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2" s="6"/>
      </tp>
      <tp>
        <v>126904.33</v>
        <stp/>
        <stp>##V3_BDHV12</stp>
        <stp>AMZN US Equity</stp>
        <stp>HISTORICAL_MARKET_CAP</stp>
        <stp>FQ2 2013</stp>
        <stp>FQ2 2013</stp>
        <stp>[AMZ_2009-2018.xlsx]Stock Value!R12C20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2" s="6"/>
      </tp>
      <tp>
        <v>463370.7</v>
        <stp/>
        <stp>##V3_BDHV12</stp>
        <stp>AMZN US Equity</stp>
        <stp>HISTORICAL_MARKET_CAP</stp>
        <stp>FQ3 2017</stp>
        <stp>FQ3 2017</stp>
        <stp>[AMZ_2009-2018.xlsx]Stock Value!R12C37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2" s="6"/>
      </tp>
      <tp>
        <v>150048.35999999999</v>
        <stp/>
        <stp>##V3_BDHV12</stp>
        <stp>AMZN US Equity</stp>
        <stp>HISTORICAL_MARKET_CAP</stp>
        <stp>FQ2 2014</stp>
        <stp>FQ2 2014</stp>
        <stp>[AMZ_2009-2018.xlsx]Stock Value!R12C24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2" s="6"/>
      </tp>
      <tp>
        <v>0</v>
        <stp/>
        <stp>##V3_BDHV12</stp>
        <stp>AMZN US Equity</stp>
        <stp>BS_OTHER_CUR_ASSET_LESS_PREPAY</stp>
        <stp>FQ2 2015</stp>
        <stp>FQ2 2015</stp>
        <stp>[AMZ_2009-2018.xlsx]Bal Sheet - Standardized!R21C28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1" s="3"/>
      </tp>
      <tp>
        <v>454</v>
        <stp/>
        <stp>##V3_BDHV12</stp>
        <stp>AMZN US Equity</stp>
        <stp>BS_SH_OUT</stp>
        <stp>FQ4 2012</stp>
        <stp>FQ4 2012</stp>
        <stp>[AMZ_2009-2018.xlsx]Bal Sheet - Standardized!R78C18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78" s="3"/>
      </tp>
      <tp>
        <v>455</v>
        <stp/>
        <stp>##V3_BDHV12</stp>
        <stp>AMZN US Equity</stp>
        <stp>BS_SH_OUT</stp>
        <stp>FQ1 2013</stp>
        <stp>FQ1 2013</stp>
        <stp>[AMZ_2009-2018.xlsx]Bal Sheet - Standardized!R78C19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78" s="3"/>
      </tp>
      <tp>
        <v>0</v>
        <stp/>
        <stp>##V3_BDHV12</stp>
        <stp>AMZN US Equity</stp>
        <stp>BS_OTHER_CUR_ASSET_LESS_PREPAY</stp>
        <stp>FQ4 2013</stp>
        <stp>FQ4 2013</stp>
        <stp>[AMZ_2009-2018.xlsx]Bal Sheet - Standardized!R21C22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1" s="3"/>
      </tp>
      <tp>
        <v>0</v>
        <stp/>
        <stp>##V3_BDHV12</stp>
        <stp>AMZN US Equity</stp>
        <stp>BS_OTHER_CUR_ASSET_LESS_PREPAY</stp>
        <stp>FQ3 2014</stp>
        <stp>FQ3 2014</stp>
        <stp>[AMZ_2009-2018.xlsx]Bal Sheet - Standardized!R21C25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1" s="3"/>
      </tp>
      <tp>
        <v>0</v>
        <stp/>
        <stp>##V3_BDHV12</stp>
        <stp>AMZN US Equity</stp>
        <stp>BS_OTHER_CUR_ASSET_LESS_PREPAY</stp>
        <stp>FQ4 2010</stp>
        <stp>FQ4 2010</stp>
        <stp>[AMZ_2009-2018.xlsx]Bal Sheet - Standardized!R21C10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1" s="3"/>
      </tp>
      <tp>
        <v>0</v>
        <stp/>
        <stp>##V3_BDHV12</stp>
        <stp>AMZN US Equity</stp>
        <stp>BS_OTHER_CUR_ASSET_LESS_PREPAY</stp>
        <stp>FQ1 2017</stp>
        <stp>FQ1 2017</stp>
        <stp>[AMZ_2009-2018.xlsx]Bal Sheet - Standardized!R21C35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1" s="3"/>
      </tp>
      <tp>
        <v>27050</v>
        <stp/>
        <stp>##V3_BDHV12</stp>
        <stp>AMZN US Equity</stp>
        <stp>C&amp;CE_AND_STI_DETAILED</stp>
        <stp>FQ2 2018</stp>
        <stp>FQ2 2018</stp>
        <stp>[AMZ_2009-2018.xlsx]Bal Sheet - Standardized!R7C40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" s="3"/>
      </tp>
      <tp>
        <v>23202</v>
        <stp/>
        <stp>##V3_BDHV12</stp>
        <stp>AMZN US Equity</stp>
        <stp>BS_OTHER_ASSETS_DEF_CHRG_OTHER</stp>
        <stp>FQ1 2018</stp>
        <stp>FQ1 2018</stp>
        <stp>[AMZ_2009-2018.xlsx]Bal Sheet - Standardized!R27C39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7" s="3"/>
      </tp>
      <tp>
        <v>10336</v>
        <stp/>
        <stp>##V3_BDHV12</stp>
        <stp>AMZN US Equity</stp>
        <stp>EQTY_BEF_MINORITY_INT_DETAILED</stp>
        <stp>FQ3 2014</stp>
        <stp>FQ3 2014</stp>
        <stp>[AMZ_2009-2018.xlsx]Bal Sheet - Standardized!R71C25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1" s="3"/>
      </tp>
      <tp>
        <v>9746</v>
        <stp/>
        <stp>##V3_BDHV12</stp>
        <stp>AMZN US Equity</stp>
        <stp>EQTY_BEF_MINORITY_INT_DETAILED</stp>
        <stp>FQ4 2013</stp>
        <stp>FQ4 2013</stp>
        <stp>[AMZ_2009-2018.xlsx]Bal Sheet - Standardized!R71C22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1" s="3"/>
      </tp>
      <tp>
        <v>6864</v>
        <stp/>
        <stp>##V3_BDHV12</stp>
        <stp>AMZN US Equity</stp>
        <stp>EQTY_BEF_MINORITY_INT_DETAILED</stp>
        <stp>FQ4 2010</stp>
        <stp>FQ4 2010</stp>
        <stp>[AMZ_2009-2018.xlsx]Bal Sheet - Standardized!R71C10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1" s="3"/>
      </tp>
      <tp>
        <v>21674</v>
        <stp/>
        <stp>##V3_BDHV12</stp>
        <stp>AMZN US Equity</stp>
        <stp>EQTY_BEF_MINORITY_INT_DETAILED</stp>
        <stp>FQ1 2017</stp>
        <stp>FQ1 2017</stp>
        <stp>[AMZ_2009-2018.xlsx]Bal Sheet - Standardized!R71C35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1" s="3"/>
      </tp>
      <tp>
        <v>11768</v>
        <stp/>
        <stp>##V3_BDHV12</stp>
        <stp>AMZN US Equity</stp>
        <stp>EQTY_BEF_MINORITY_INT_DETAILED</stp>
        <stp>FQ2 2015</stp>
        <stp>FQ2 2015</stp>
        <stp>[AMZ_2009-2018.xlsx]Bal Sheet - Standardized!R71C28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1" s="3"/>
      </tp>
      <tp>
        <v>20.8215</v>
        <stp/>
        <stp>##V3_BDHV12</stp>
        <stp>AMZN US Equity</stp>
        <stp>TCE_RATIO</stp>
        <stp>FQ2 2016</stp>
        <stp>FQ2 2016</stp>
        <stp>[AMZ_2009-2018.xlsx]Bal Sheet - Standardized!R85C32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85" s="3"/>
      </tp>
      <tp>
        <v>26.9391</v>
        <stp/>
        <stp>##V3_BDHV12</stp>
        <stp>AMZN US Equity</stp>
        <stp>TCE_RATIO</stp>
        <stp>FQ2 2012</stp>
        <stp>FQ2 2012</stp>
        <stp>[AMZ_2009-2018.xlsx]Bal Sheet - Standardized!R85C16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85" s="3"/>
      </tp>
      <tp>
        <v>17416</v>
        <stp/>
        <stp>##V3_BDHV12</stp>
        <stp>AMZN US Equity</stp>
        <stp>C&amp;CE_AND_STI_DETAILED</stp>
        <stp>FQ4 2014</stp>
        <stp>FQ4 2014</stp>
        <stp>[AMZ_2009-2018.xlsx]Bal Sheet - Standardized!R7C26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" s="3"/>
      </tp>
      <tp>
        <v>12447</v>
        <stp/>
        <stp>##V3_BDHV12</stp>
        <stp>AMZN US Equity</stp>
        <stp>C&amp;CE_AND_STI_DETAILED</stp>
        <stp>FQ4 2013</stp>
        <stp>FQ4 2013</stp>
        <stp>[AMZ_2009-2018.xlsx]Bal Sheet - Standardized!R7C22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" s="3"/>
      </tp>
      <tp>
        <v>12042</v>
        <stp/>
        <stp>##V3_BDHV12</stp>
        <stp>AMZN US Equity</stp>
        <stp>TOT_LIAB_AND_EQY</stp>
        <stp>FQ1 2010</stp>
        <stp>FQ1 2010</stp>
        <stp>[AMZ_2009-2018.xlsx]Bal Sheet - Standardized!R74C7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4" s="3"/>
      </tp>
      <tp>
        <v>52440</v>
        <stp/>
        <stp>##V3_BDHV12</stp>
        <stp>AMZN US Equity</stp>
        <stp>TOT_LIAB_AND_EQY</stp>
        <stp>FQ2 2015</stp>
        <stp>FQ2 2015</stp>
        <stp>[AMZ_2009-2018.xlsx]Bal Sheet - Standardized!R74C28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4" s="3"/>
      </tp>
      <tp>
        <v>0</v>
        <stp/>
        <stp>##V3_BDHV12</stp>
        <stp>AMZN US Equity</stp>
        <stp>DISP_FXD_&amp;_INTANGIBLES_DETAILED</stp>
        <stp>FQ3 2011</stp>
        <stp>FQ3 2011</stp>
        <stp>[AMZ_2009-2018.xlsx]Cash Flow - Standardized!R23C13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3" s="4"/>
      </tp>
      <tp>
        <v>0</v>
        <stp/>
        <stp>##V3_BDHV12</stp>
        <stp>AMZN US Equity</stp>
        <stp>DISP_FXD_&amp;_INTANGIBLES_DETAILED</stp>
        <stp>FQ2 2013</stp>
        <stp>FQ2 2013</stp>
        <stp>[AMZ_2009-2018.xlsx]Cash Flow - Standardized!R23C20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3" s="4"/>
      </tp>
      <tp>
        <v>5662</v>
        <stp/>
        <stp>##V3_BDHV12</stp>
        <stp>AMZN US Equity</stp>
        <stp>BS_NET_FIX_ASSET</stp>
        <stp>FQ3 2012</stp>
        <stp>FQ3 2012</stp>
        <stp>[AMZ_2009-2018.xlsx]Bal Sheet - Standardized!R23C17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3" s="3"/>
      </tp>
      <tp>
        <v>40419</v>
        <stp/>
        <stp>##V3_BDHV12</stp>
        <stp>AMZN US Equity</stp>
        <stp>TOT_LIAB_AND_EQY</stp>
        <stp>FQ3 2014</stp>
        <stp>FQ3 2014</stp>
        <stp>[AMZ_2009-2018.xlsx]Bal Sheet - Standardized!R74C25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4" s="3"/>
      </tp>
      <tp>
        <v>40159</v>
        <stp/>
        <stp>##V3_BDHV12</stp>
        <stp>AMZN US Equity</stp>
        <stp>TOT_LIAB_AND_EQY</stp>
        <stp>FQ4 2013</stp>
        <stp>FQ4 2013</stp>
        <stp>[AMZ_2009-2018.xlsx]Bal Sheet - Standardized!R74C22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4" s="3"/>
      </tp>
      <tp>
        <v>18797</v>
        <stp/>
        <stp>##V3_BDHV12</stp>
        <stp>AMZN US Equity</stp>
        <stp>TOT_LIAB_AND_EQY</stp>
        <stp>FQ4 2010</stp>
        <stp>FQ4 2010</stp>
        <stp>[AMZ_2009-2018.xlsx]Bal Sheet - Standardized!R74C10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4" s="3"/>
      </tp>
      <tp>
        <v>80969</v>
        <stp/>
        <stp>##V3_BDHV12</stp>
        <stp>AMZN US Equity</stp>
        <stp>TOT_LIAB_AND_EQY</stp>
        <stp>FQ1 2017</stp>
        <stp>FQ1 2017</stp>
        <stp>[AMZ_2009-2018.xlsx]Bal Sheet - Standardized!R74C35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4" s="3"/>
      </tp>
      <tp>
        <v>0</v>
        <stp/>
        <stp>##V3_BDHV12</stp>
        <stp>AMZN US Equity</stp>
        <stp>SHORT_TERM_DEBT_DETAILED</stp>
        <stp>FQ1 2009</stp>
        <stp>FQ1 2009</stp>
        <stp>[AMZ_2009-2018.xlsx]Bal Sheet - Standardized!R44C3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4" s="3"/>
      </tp>
      <tp>
        <v>0</v>
        <stp/>
        <stp>##V3_BDHV12</stp>
        <stp>AMZN US Equity</stp>
        <stp>DISP_FXD_&amp;_INTANGIBLES_DETAILED</stp>
        <stp>FQ1 2013</stp>
        <stp>FQ1 2013</stp>
        <stp>[AMZ_2009-2018.xlsx]Cash Flow - Standardized!R23C19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3" s="4"/>
      </tp>
      <tp>
        <v>48866</v>
        <stp/>
        <stp>##V3_BDHV12</stp>
        <stp>AMZN US Equity</stp>
        <stp>BS_NET_FIX_ASSET</stp>
        <stp>FQ4 2017</stp>
        <stp>FQ4 2017</stp>
        <stp>[AMZ_2009-2018.xlsx]Bal Sheet - Standardized!R23C38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3" s="3"/>
      </tp>
      <tp>
        <v>0</v>
        <stp/>
        <stp>##V3_BDHV12</stp>
        <stp>AMZN US Equity</stp>
        <stp>BS_DERIVATIVE_&amp;_HEDGING_LIABS_ST</stp>
        <stp>FQ4 2017</stp>
        <stp>FQ4 2017</stp>
        <stp>[AMZ_2009-2018.xlsx]Bal Sheet - Standardized!R49C38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9" s="3"/>
      </tp>
      <tp>
        <v>0</v>
        <stp/>
        <stp>##V3_BDHV12</stp>
        <stp>AMZN US Equity</stp>
        <stp>CF_ACQUISITION_OF_INTANG_ASSETS</stp>
        <stp>FQ1 2017</stp>
        <stp>FQ1 2017</stp>
        <stp>[AMZ_2009-2018.xlsx]Cash Flow - Standardized!R28C35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8" s="4"/>
      </tp>
      <tp>
        <v>0</v>
        <stp/>
        <stp>##V3_BDHV12</stp>
        <stp>AMZN US Equity</stp>
        <stp>CF_ACQUISITION_OF_INTANG_ASSETS</stp>
        <stp>FQ4 2013</stp>
        <stp>FQ4 2013</stp>
        <stp>[AMZ_2009-2018.xlsx]Cash Flow - Standardized!R28C22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8" s="4"/>
      </tp>
      <tp>
        <v>0</v>
        <stp/>
        <stp>##V3_BDHV12</stp>
        <stp>AMZN US Equity</stp>
        <stp>CF_ACQUISITION_OF_INTANG_ASSETS</stp>
        <stp>FQ3 2014</stp>
        <stp>FQ3 2014</stp>
        <stp>[AMZ_2009-2018.xlsx]Cash Flow - Standardized!R28C25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8" s="4"/>
      </tp>
      <tp>
        <v>0</v>
        <stp/>
        <stp>##V3_BDHV12</stp>
        <stp>AMZN US Equity</stp>
        <stp>BS_DERIVATIVE_&amp;_HEDGING_LIABS_LT</stp>
        <stp>FQ4 2017</stp>
        <stp>FQ4 2017</stp>
        <stp>[AMZ_2009-2018.xlsx]Bal Sheet - Standardized!R60C38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0" s="3"/>
      </tp>
      <tp>
        <v>0</v>
        <stp/>
        <stp>##V3_BDHV12</stp>
        <stp>AMZN US Equity</stp>
        <stp>CF_ACQUISITION_OF_INTANG_ASSETS</stp>
        <stp>FQ4 2010</stp>
        <stp>FQ4 2010</stp>
        <stp>[AMZ_2009-2018.xlsx]Cash Flow - Standardized!R28C10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8" s="4"/>
      </tp>
      <tp>
        <v>3823</v>
        <stp/>
        <stp>##V3_BDHV12</stp>
        <stp>AMZN US Equity</stp>
        <stp>BS_DISCLOSED_INTANGIBLES</stp>
        <stp>FQ1 2017</stp>
        <stp>FQ1 2017</stp>
        <stp>[AMZ_2009-2018.xlsx]Bal Sheet - Standardized!R28C35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8" s="3"/>
      </tp>
      <tp t="s">
        <v>—</v>
        <stp/>
        <stp>##V3_BDHV12</stp>
        <stp>AMZN US Equity</stp>
        <stp>BS_TAXES_PAYABLE</stp>
        <stp>FQ3 2012</stp>
        <stp>FQ3 2012</stp>
        <stp>[AMZ_2009-2018.xlsx]Bal Sheet - Standardized!R40C17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0" s="3"/>
      </tp>
      <tp>
        <v>1349</v>
        <stp/>
        <stp>##V3_BDHV12</stp>
        <stp>AMZN US Equity</stp>
        <stp>BS_DISCLOSED_INTANGIBLES</stp>
        <stp>FQ4 2010</stp>
        <stp>FQ4 2010</stp>
        <stp>[AMZ_2009-2018.xlsx]Bal Sheet - Standardized!R28C10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8" s="3"/>
      </tp>
      <tp>
        <v>0</v>
        <stp/>
        <stp>##V3_BDHV12</stp>
        <stp>AMZN US Equity</stp>
        <stp>SHORT_TERM_DEBT_DETAILED</stp>
        <stp>FQ4 2017</stp>
        <stp>FQ4 2017</stp>
        <stp>[AMZ_2009-2018.xlsx]Bal Sheet - Standardized!R44C38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4" s="3"/>
      </tp>
      <tp>
        <v>3332</v>
        <stp/>
        <stp>##V3_BDHV12</stp>
        <stp>AMZN US Equity</stp>
        <stp>BS_DISCLOSED_INTANGIBLES</stp>
        <stp>FQ3 2014</stp>
        <stp>FQ3 2014</stp>
        <stp>[AMZ_2009-2018.xlsx]Bal Sheet - Standardized!R28C25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8" s="3"/>
      </tp>
      <tp>
        <v>3300</v>
        <stp/>
        <stp>##V3_BDHV12</stp>
        <stp>AMZN US Equity</stp>
        <stp>BS_DISCLOSED_INTANGIBLES</stp>
        <stp>FQ4 2013</stp>
        <stp>FQ4 2013</stp>
        <stp>[AMZ_2009-2018.xlsx]Bal Sheet - Standardized!R28C22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8" s="3"/>
      </tp>
      <tp>
        <v>0</v>
        <stp/>
        <stp>##V3_BDHV12</stp>
        <stp>AMZN US Equity</stp>
        <stp>NOTES_RECEIVABLE</stp>
        <stp>FQ3 2013</stp>
        <stp>FQ3 2013</stp>
        <stp>[AMZ_2009-2018.xlsx]Bal Sheet - Standardized!R12C21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2" s="3"/>
      </tp>
      <tp>
        <v>0</v>
        <stp/>
        <stp>##V3_BDHV12</stp>
        <stp>AMZN US Equity</stp>
        <stp>NOTES_RECEIVABLE</stp>
        <stp>FQ4 2014</stp>
        <stp>FQ4 2014</stp>
        <stp>[AMZ_2009-2018.xlsx]Bal Sheet - Standardized!R12C26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2" s="3"/>
      </tp>
      <tp t="s">
        <v>—</v>
        <stp/>
        <stp>##V3_BDHV12</stp>
        <stp>AMZN US Equity</stp>
        <stp>BS_DERIVATIVE_&amp;_HEDGING_LIABS_LT</stp>
        <stp>FQ3 2012</stp>
        <stp>FQ3 2012</stp>
        <stp>[AMZ_2009-2018.xlsx]Bal Sheet - Standardized!R60C17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0" s="3"/>
      </tp>
      <tp>
        <v>0</v>
        <stp/>
        <stp>##V3_BDHV12</stp>
        <stp>AMZN US Equity</stp>
        <stp>NOTES_RECEIVABLE</stp>
        <stp>FQ2 2011</stp>
        <stp>FQ2 2011</stp>
        <stp>[AMZ_2009-2018.xlsx]Bal Sheet - Standardized!R12C12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2" s="3"/>
      </tp>
      <tp>
        <v>0</v>
        <stp/>
        <stp>##V3_BDHV12</stp>
        <stp>AMZN US Equity</stp>
        <stp>OTHER_INTANGIBLE_ASSETS_DETAILED</stp>
        <stp>FQ1 2018</stp>
        <stp>FQ1 2018</stp>
        <stp>[AMZ_2009-2018.xlsx]Bal Sheet - Standardized!R30C39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0" s="3"/>
      </tp>
      <tp t="s">
        <v>—</v>
        <stp/>
        <stp>##V3_BDHV12</stp>
        <stp>AMZN US Equity</stp>
        <stp>BS_DERIVATIVE_&amp;_HEDGING_LIABS_ST</stp>
        <stp>FQ3 2012</stp>
        <stp>FQ3 2012</stp>
        <stp>[AMZ_2009-2018.xlsx]Bal Sheet - Standardized!R49C17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9" s="3"/>
      </tp>
      <tp>
        <v>3523</v>
        <stp/>
        <stp>##V3_BDHV12</stp>
        <stp>AMZN US Equity</stp>
        <stp>BS_DISCLOSED_INTANGIBLES</stp>
        <stp>FQ2 2015</stp>
        <stp>FQ2 2015</stp>
        <stp>[AMZ_2009-2018.xlsx]Bal Sheet - Standardized!R28C28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8" s="3"/>
      </tp>
      <tp>
        <v>35.282800000000002</v>
        <stp/>
        <stp>##V3_BDHV12</stp>
        <stp>AMZN US Equity</stp>
        <stp>PX_TO_FREE_CASH_FLOW</stp>
        <stp>FQ4 2016</stp>
        <stp>FQ4 2016</stp>
        <stp>[AMZ_2009-2018.xlsx]Cash Flow - Standardized!R69C34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69" s="4"/>
      </tp>
      <tp>
        <v>75.161600000000007</v>
        <stp/>
        <stp>##V3_BDHV12</stp>
        <stp>AMZN US Equity</stp>
        <stp>PX_TO_FREE_CASH_FLOW</stp>
        <stp>FQ4 2014</stp>
        <stp>FQ4 2014</stp>
        <stp>[AMZ_2009-2018.xlsx]Cash Flow - Standardized!R69C26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69" s="4"/>
      </tp>
      <tp>
        <v>44.314799999999998</v>
        <stp/>
        <stp>##V3_BDHV12</stp>
        <stp>AMZN US Equity</stp>
        <stp>PX_TO_FREE_CASH_FLOW</stp>
        <stp>FQ1 2017</stp>
        <stp>FQ1 2017</stp>
        <stp>[AMZ_2009-2018.xlsx]Cash Flow - Standardized!R69C35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69" s="4"/>
      </tp>
      <tp>
        <v>54.565800000000003</v>
        <stp/>
        <stp>##V3_BDHV12</stp>
        <stp>AMZN US Equity</stp>
        <stp>PX_TO_FREE_CASH_FLOW</stp>
        <stp>FQ1 2015</stp>
        <stp>FQ1 2015</stp>
        <stp>[AMZ_2009-2018.xlsx]Cash Flow - Standardized!R69C27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69" s="4"/>
      </tp>
      <tp>
        <v>63.685200000000002</v>
        <stp/>
        <stp>##V3_BDHV12</stp>
        <stp>AMZN US Equity</stp>
        <stp>PX_TO_FREE_CASH_FLOW</stp>
        <stp>FQ3 2011</stp>
        <stp>FQ3 2011</stp>
        <stp>[AMZ_2009-2018.xlsx]Cash Flow - Standardized!R69C13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69" s="4"/>
      </tp>
      <tp>
        <v>360.91109999999998</v>
        <stp/>
        <stp>##V3_BDHV12</stp>
        <stp>AMZN US Equity</stp>
        <stp>PX_TO_FREE_CASH_FLOW</stp>
        <stp>FQ3 2013</stp>
        <stp>FQ3 2013</stp>
        <stp>[AMZ_2009-2018.xlsx]Cash Flow - Standardized!R69C21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69" s="4"/>
      </tp>
      <tp>
        <v>680</v>
        <stp/>
        <stp>##V3_BDHV12</stp>
        <stp>AMZN US Equity</stp>
        <stp>IS_SG&amp;A_EXPENSE</stp>
        <stp>FQ1 2012</stp>
        <stp>FQ1 2012</stp>
        <stp>[AMZ_2009-2018.xlsx]Income - Adjusted!R13C15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3" s="2"/>
      </tp>
      <tp>
        <v>2715</v>
        <stp/>
        <stp>##V3_BDHV12</stp>
        <stp>AMZN US Equity</stp>
        <stp>IS_SG&amp;A_EXPENSE</stp>
        <stp>FQ1 2017</stp>
        <stp>FQ1 2017</stp>
        <stp>[AMZ_2009-2018.xlsx]Income - Adjusted!R13C35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3" s="2"/>
      </tp>
      <tp>
        <v>0</v>
        <stp/>
        <stp>##V3_BDHV12</stp>
        <stp>AMZN US Equity</stp>
        <stp>SHORT_TERM_DEBT_DETAILED</stp>
        <stp>FQ3 2012</stp>
        <stp>FQ3 2012</stp>
        <stp>[AMZ_2009-2018.xlsx]Bal Sheet - Standardized!R44C17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4" s="3"/>
      </tp>
      <tp>
        <v>0</v>
        <stp/>
        <stp>##V3_BDHV12</stp>
        <stp>AMZN US Equity</stp>
        <stp>NOTES_RECEIVABLE</stp>
        <stp>FQ1 2012</stp>
        <stp>FQ1 2012</stp>
        <stp>[AMZ_2009-2018.xlsx]Bal Sheet - Standardized!R12C15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2" s="3"/>
      </tp>
      <tp>
        <v>1399</v>
        <stp/>
        <stp>##V3_BDHV12</stp>
        <stp>AMZN US Equity</stp>
        <stp>IS_SG&amp;A_EXPENSE</stp>
        <stp>FQ3 2014</stp>
        <stp>FQ3 2014</stp>
        <stp>[AMZ_2009-2018.xlsx]Income - Adjusted!R13C25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3" s="2"/>
      </tp>
      <tp t="s">
        <v>—</v>
        <stp/>
        <stp>##V3_BDHV12</stp>
        <stp>AMZN US Equity</stp>
        <stp>BS_TAXES_PAYABLE</stp>
        <stp>FQ4 2017</stp>
        <stp>FQ4 2017</stp>
        <stp>[AMZ_2009-2018.xlsx]Bal Sheet - Standardized!R40C38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0" s="3"/>
      </tp>
      <tp>
        <v>0</v>
        <stp/>
        <stp>##V3_BDHV12</stp>
        <stp>AMZN US Equity</stp>
        <stp>CF_ACQUISITION_OF_INTANG_ASSETS</stp>
        <stp>FQ2 2015</stp>
        <stp>FQ2 2015</stp>
        <stp>[AMZ_2009-2018.xlsx]Cash Flow - Standardized!R28C28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8" s="4"/>
      </tp>
      <tp>
        <v>0</v>
        <stp/>
        <stp>##V3_BDHV12</stp>
        <stp>AMZN US Equity</stp>
        <stp>NOTES_RECEIVABLE</stp>
        <stp>FQ4 2015</stp>
        <stp>FQ4 2015</stp>
        <stp>[AMZ_2009-2018.xlsx]Bal Sheet - Standardized!R12C30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2" s="3"/>
      </tp>
      <tp>
        <v>537</v>
        <stp/>
        <stp>##V3_BDHV12</stp>
        <stp>AMZN US Equity</stp>
        <stp>CF_PROC_LT_DEBT_&amp;_CAPITAL_LEASE</stp>
        <stp>FQ4 2016</stp>
        <stp>FQ4 2016</stp>
        <stp>[AMZ_2009-2018.xlsx]Cash Flow - Standardized!R44C34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4" s="4"/>
      </tp>
      <tp>
        <v>89</v>
        <stp/>
        <stp>##V3_BDHV12</stp>
        <stp>AMZN US Equity</stp>
        <stp>CF_PROC_LT_DEBT_&amp;_CAPITAL_LEASE</stp>
        <stp>FQ1 2011</stp>
        <stp>FQ1 2011</stp>
        <stp>[AMZ_2009-2018.xlsx]Cash Flow - Standardized!R44C11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4" s="4"/>
      </tp>
      <tp>
        <v>123</v>
        <stp/>
        <stp>##V3_BDHV12</stp>
        <stp>AMZN US Equity</stp>
        <stp>CF_PROC_LT_DEBT_&amp;_CAPITAL_LEASE</stp>
        <stp>FQ2 2012</stp>
        <stp>FQ2 2012</stp>
        <stp>[AMZ_2009-2018.xlsx]Cash Flow - Standardized!R44C16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4" s="4"/>
      </tp>
      <tp>
        <v>3741</v>
        <stp/>
        <stp>##V3_BDHV12</stp>
        <stp>AMZN US Equity</stp>
        <stp>IS_COGS_TO_FE_AND_PP_AND_G</stp>
        <stp>FQ1 2009</stp>
        <stp>FQ1 2009</stp>
        <stp>[AMZ_2009-2018.xlsx]Income - Adjusted!R8C3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8" s="2"/>
      </tp>
      <tp>
        <v>7543</v>
        <stp/>
        <stp>##V3_BDHV12</stp>
        <stp>AMZN US Equity</stp>
        <stp>IS_COGS_TO_FE_AND_PP_AND_G</stp>
        <stp>FQ4 2009</stp>
        <stp>FQ4 2009</stp>
        <stp>[AMZ_2009-2018.xlsx]Income - Adjusted!R8C6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8" s="2"/>
      </tp>
      <tp>
        <v>-111</v>
        <stp/>
        <stp>##V3_BDHV12</stp>
        <stp>AMZN US Equity</stp>
        <stp>CF_PYMT_LT_DEBT_&amp;_CAPITAL_LEASE</stp>
        <stp>FQ1 2011</stp>
        <stp>FQ1 2011</stp>
        <stp>[AMZ_2009-2018.xlsx]Cash Flow - Standardized!R45C11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5" s="4"/>
      </tp>
      <tp>
        <v>-1129</v>
        <stp/>
        <stp>##V3_BDHV12</stp>
        <stp>AMZN US Equity</stp>
        <stp>CF_PYMT_LT_DEBT_&amp;_CAPITAL_LEASE</stp>
        <stp>FQ4 2016</stp>
        <stp>FQ4 2016</stp>
        <stp>[AMZ_2009-2018.xlsx]Cash Flow - Standardized!R45C34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5" s="4"/>
      </tp>
      <tp>
        <v>-141</v>
        <stp/>
        <stp>##V3_BDHV12</stp>
        <stp>AMZN US Equity</stp>
        <stp>CF_PYMT_LT_DEBT_&amp;_CAPITAL_LEASE</stp>
        <stp>FQ2 2012</stp>
        <stp>FQ2 2012</stp>
        <stp>[AMZ_2009-2018.xlsx]Cash Flow - Standardized!R45C16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5" s="4"/>
      </tp>
      <tp>
        <v>5786</v>
        <stp/>
        <stp>##V3_BDHV12</stp>
        <stp>AMZN US Equity</stp>
        <stp>IS_COGS_TO_FE_AND_PP_AND_G</stp>
        <stp>FQ3 2010</stp>
        <stp>FQ3 2010</stp>
        <stp>[AMZ_2009-2018.xlsx]Income - Adjusted!R8C9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8" s="2"/>
      </tp>
      <tp>
        <v>4957</v>
        <stp/>
        <stp>##V3_BDHV12</stp>
        <stp>AMZN US Equity</stp>
        <stp>IS_COGS_TO_FE_AND_PP_AND_G</stp>
        <stp>FQ2 2010</stp>
        <stp>FQ2 2010</stp>
        <stp>[AMZ_2009-2018.xlsx]Income - Adjusted!R8C8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8" s="2"/>
      </tp>
      <tp>
        <v>0</v>
        <stp/>
        <stp>##V3_BDHV12</stp>
        <stp>AMZN US Equity</stp>
        <stp>NET_CHG_IN_LT_INVEST_DETAILED</stp>
        <stp>FQ1 2009</stp>
        <stp>FQ1 2009</stp>
        <stp>[AMZ_2009-2018.xlsx]Cash Flow - Standardized!R29C3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4"/>
      </tp>
      <tp>
        <v>23185</v>
        <stp/>
        <stp>##V3_BDHV12</stp>
        <stp>AMZN US Equity</stp>
        <stp>SALES_REV_TURN</stp>
        <stp>FQ2 2015</stp>
        <stp>FQ2 2015</stp>
        <stp>[AMZ_2009-2018.xlsx]Income - Adjusted!R6C28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6" s="2"/>
      </tp>
      <tp>
        <v>1984</v>
        <stp/>
        <stp>##V3_BDHV12</stp>
        <stp>AMZN US Equity</stp>
        <stp>BS_PURE_RETAINED_EARNINGS</stp>
        <stp>FQ2 2015</stp>
        <stp>FQ2 2015</stp>
        <stp>[AMZ_2009-2018.xlsx]Bal Sheet - Standardized!R69C28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9" s="3"/>
      </tp>
      <tp>
        <v>240076.41</v>
        <stp/>
        <stp>##V3_BDHV12</stp>
        <stp>AMZN US Equity</stp>
        <stp>HISTORICAL_MARKET_CAP</stp>
        <stp>FQ3 2015</stp>
        <stp>FQ3 2015</stp>
        <stp>[AMZ_2009-2018.xlsx]Stock Value!R12C29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2" s="6"/>
      </tp>
      <tp>
        <v>0</v>
        <stp/>
        <stp>##V3_BDHV12</stp>
        <stp>AMZN US Equity</stp>
        <stp>BS_PFD_EQTY_&amp;_HYBRID_CPTL</stp>
        <stp>FQ2 2018</stp>
        <stp>FQ2 2018</stp>
        <stp>[AMZ_2009-2018.xlsx]Bal Sheet - Standardized!R64C40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4" s="3"/>
      </tp>
      <tp>
        <v>471</v>
        <stp/>
        <stp>##V3_BDHV12</stp>
        <stp>AMZN US Equity</stp>
        <stp>PRETAX_INC</stp>
        <stp>FQ4 2009</stp>
        <stp>FQ4 2009</stp>
        <stp>[AMZ_2009-2018.xlsx]Income - Adjusted!R31C6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31" s="2"/>
      </tp>
      <tp>
        <v>339203.88</v>
        <stp/>
        <stp>##V3_BDHV12</stp>
        <stp>AMZN US Equity</stp>
        <stp>HISTORICAL_MARKET_CAP</stp>
        <stp>FQ2 2016</stp>
        <stp>FQ2 2016</stp>
        <stp>[AMZ_2009-2018.xlsx]Stock Value!R12C32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2" s="6"/>
      </tp>
      <tp>
        <v>1324</v>
        <stp/>
        <stp>##V3_BDHV12</stp>
        <stp>AMZN US Equity</stp>
        <stp>BS_PURE_RETAINED_EARNINGS</stp>
        <stp>FQ4 2010</stp>
        <stp>FQ4 2010</stp>
        <stp>[AMZ_2009-2018.xlsx]Bal Sheet - Standardized!R69C10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9" s="3"/>
      </tp>
      <tp>
        <v>143189.12</v>
        <stp/>
        <stp>##V3_BDHV12</stp>
        <stp>AMZN US Equity</stp>
        <stp>HISTORICAL_MARKET_CAP</stp>
        <stp>FQ3 2013</stp>
        <stp>FQ3 2013</stp>
        <stp>[AMZ_2009-2018.xlsx]Stock Value!R12C21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2" s="6"/>
      </tp>
      <tp>
        <v>1735</v>
        <stp/>
        <stp>##V3_BDHV12</stp>
        <stp>AMZN US Equity</stp>
        <stp>BS_PURE_RETAINED_EARNINGS</stp>
        <stp>FQ3 2014</stp>
        <stp>FQ3 2014</stp>
        <stp>[AMZ_2009-2018.xlsx]Bal Sheet - Standardized!R69C25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9" s="3"/>
      </tp>
      <tp>
        <v>2190</v>
        <stp/>
        <stp>##V3_BDHV12</stp>
        <stp>AMZN US Equity</stp>
        <stp>BS_PURE_RETAINED_EARNINGS</stp>
        <stp>FQ4 2013</stp>
        <stp>FQ4 2013</stp>
        <stp>[AMZ_2009-2018.xlsx]Bal Sheet - Standardized!R69C22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9" s="3"/>
      </tp>
      <tp>
        <v>6327</v>
        <stp/>
        <stp>##V3_BDHV12</stp>
        <stp>AMZN US Equity</stp>
        <stp>BS_PURE_RETAINED_EARNINGS</stp>
        <stp>FQ1 2017</stp>
        <stp>FQ1 2017</stp>
        <stp>[AMZ_2009-2018.xlsx]Bal Sheet - Standardized!R69C35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9" s="3"/>
      </tp>
      <tp>
        <v>464640</v>
        <stp/>
        <stp>##V3_BDHV12</stp>
        <stp>AMZN US Equity</stp>
        <stp>HISTORICAL_MARKET_CAP</stp>
        <stp>FQ2 2017</stp>
        <stp>FQ2 2017</stp>
        <stp>[AMZ_2009-2018.xlsx]Stock Value!R12C36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2" s="6"/>
      </tp>
      <tp>
        <v>149289.72</v>
        <stp/>
        <stp>##V3_BDHV12</stp>
        <stp>AMZN US Equity</stp>
        <stp>HISTORICAL_MARKET_CAP</stp>
        <stp>FQ3 2014</stp>
        <stp>FQ3 2014</stp>
        <stp>[AMZ_2009-2018.xlsx]Stock Value!R12C25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2" s="6"/>
      </tp>
      <tp>
        <v>0</v>
        <stp/>
        <stp>##V3_BDHV12</stp>
        <stp>AMZN US Equity</stp>
        <stp>BS_OTHER_CUR_ASSET_LESS_PREPAY</stp>
        <stp>FQ3 2015</stp>
        <stp>FQ3 2015</stp>
        <stp>[AMZ_2009-2018.xlsx]Bal Sheet - Standardized!R21C29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1" s="3"/>
      </tp>
      <tp>
        <v>0</v>
        <stp/>
        <stp>##V3_BDHV12</stp>
        <stp>AMZN US Equity</stp>
        <stp>BS_OTHER_CUR_ASSET_LESS_PREPAY</stp>
        <stp>FQ4 2011</stp>
        <stp>FQ4 2011</stp>
        <stp>[AMZ_2009-2018.xlsx]Bal Sheet - Standardized!R21C14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1" s="3"/>
      </tp>
      <tp>
        <v>0</v>
        <stp/>
        <stp>##V3_BDHV12</stp>
        <stp>AMZN US Equity</stp>
        <stp>BS_OTHER_CUR_ASSET_LESS_PREPAY</stp>
        <stp>FQ1 2016</stp>
        <stp>FQ1 2016</stp>
        <stp>[AMZ_2009-2018.xlsx]Bal Sheet - Standardized!R21C31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1" s="3"/>
      </tp>
      <tp>
        <v>0</v>
        <stp/>
        <stp>##V3_BDHV12</stp>
        <stp>AMZN US Equity</stp>
        <stp>BS_OTHER_CUR_ASSET_LESS_PREPAY</stp>
        <stp>FQ2 2014</stp>
        <stp>FQ2 2014</stp>
        <stp>[AMZ_2009-2018.xlsx]Bal Sheet - Standardized!R21C24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1" s="3"/>
      </tp>
      <tp>
        <v>7757</v>
        <stp/>
        <stp>##V3_BDHV12</stp>
        <stp>AMZN US Equity</stp>
        <stp>EQTY_BEF_MINORITY_INT_DETAILED</stp>
        <stp>FQ4 2011</stp>
        <stp>FQ4 2011</stp>
        <stp>[AMZ_2009-2018.xlsx]Bal Sheet - Standardized!R71C14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1" s="3"/>
      </tp>
      <tp>
        <v>30986</v>
        <stp/>
        <stp>##V3_BDHV12</stp>
        <stp>AMZN US Equity</stp>
        <stp>C&amp;CE_AND_STI_DETAILED</stp>
        <stp>FQ4 2017</stp>
        <stp>FQ4 2017</stp>
        <stp>[AMZ_2009-2018.xlsx]Bal Sheet - Standardized!R7C38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" s="3"/>
      </tp>
      <tp>
        <v>14756</v>
        <stp/>
        <stp>##V3_BDHV12</stp>
        <stp>AMZN US Equity</stp>
        <stp>EQTY_BEF_MINORITY_INT_DETAILED</stp>
        <stp>FQ1 2016</stp>
        <stp>FQ1 2016</stp>
        <stp>[AMZ_2009-2018.xlsx]Bal Sheet - Standardized!R71C31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1" s="3"/>
      </tp>
      <tp>
        <v>10602</v>
        <stp/>
        <stp>##V3_BDHV12</stp>
        <stp>AMZN US Equity</stp>
        <stp>EQTY_BEF_MINORITY_INT_DETAILED</stp>
        <stp>FQ2 2014</stp>
        <stp>FQ2 2014</stp>
        <stp>[AMZ_2009-2018.xlsx]Bal Sheet - Standardized!R71C24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1" s="3"/>
      </tp>
      <tp>
        <v>12430</v>
        <stp/>
        <stp>##V3_BDHV12</stp>
        <stp>AMZN US Equity</stp>
        <stp>EQTY_BEF_MINORITY_INT_DETAILED</stp>
        <stp>FQ3 2015</stp>
        <stp>FQ3 2015</stp>
        <stp>[AMZ_2009-2018.xlsx]Bal Sheet - Standardized!R71C29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1" s="3"/>
      </tp>
      <tp>
        <v>20.820799999999998</v>
        <stp/>
        <stp>##V3_BDHV12</stp>
        <stp>AMZN US Equity</stp>
        <stp>TCE_RATIO</stp>
        <stp>FQ3 2016</stp>
        <stp>FQ3 2016</stp>
        <stp>[AMZ_2009-2018.xlsx]Bal Sheet - Standardized!R85C33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85" s="3"/>
      </tp>
      <tp>
        <v>24.701899999999998</v>
        <stp/>
        <stp>##V3_BDHV12</stp>
        <stp>AMZN US Equity</stp>
        <stp>TCE_RATIO</stp>
        <stp>FQ3 2012</stp>
        <stp>FQ3 2012</stp>
        <stp>[AMZ_2009-2018.xlsx]Bal Sheet - Standardized!R85C17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85" s="3"/>
      </tp>
      <tp>
        <v>22.7333</v>
        <stp/>
        <stp>##V3_BDHV12</stp>
        <stp>AMZN US Equity</stp>
        <stp>TCE_RATIO</stp>
        <stp>FQ4 2011</stp>
        <stp>FQ4 2011</stp>
        <stp>[AMZ_2009-2018.xlsx]Bal Sheet - Standardized!R85C14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85" s="3"/>
      </tp>
      <tp>
        <v>14.3893</v>
        <stp/>
        <stp>##V3_BDHV12</stp>
        <stp>AMZN US Equity</stp>
        <stp>TCE_RATIO</stp>
        <stp>FQ4 2015</stp>
        <stp>FQ4 2015</stp>
        <stp>[AMZ_2009-2018.xlsx]Bal Sheet - Standardized!R85C30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85" s="3"/>
      </tp>
      <tp>
        <v>19808</v>
        <stp/>
        <stp>##V3_BDHV12</stp>
        <stp>AMZN US Equity</stp>
        <stp>C&amp;CE_AND_STI_DETAILED</stp>
        <stp>FQ4 2015</stp>
        <stp>FQ4 2015</stp>
        <stp>[AMZ_2009-2018.xlsx]Bal Sheet - Standardized!R7C30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" s="3"/>
      </tp>
      <tp>
        <v>25981</v>
        <stp/>
        <stp>##V3_BDHV12</stp>
        <stp>AMZN US Equity</stp>
        <stp>C&amp;CE_AND_STI_DETAILED</stp>
        <stp>FQ4 2016</stp>
        <stp>FQ4 2016</stp>
        <stp>[AMZ_2009-2018.xlsx]Bal Sheet - Standardized!R7C34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" s="3"/>
      </tp>
      <tp>
        <v>29114</v>
        <stp/>
        <stp>##V3_BDHV12</stp>
        <stp>AMZN US Equity</stp>
        <stp>BS_NET_FIX_ASSET</stp>
        <stp>FQ4 2016</stp>
        <stp>FQ4 2016</stp>
        <stp>[AMZ_2009-2018.xlsx]Bal Sheet - Standardized!R23C34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3" s="3"/>
      </tp>
      <tp>
        <v>0</v>
        <stp/>
        <stp>##V3_BDHV12</stp>
        <stp>AMZN US Equity</stp>
        <stp>DISP_FXD_&amp;_INTANGIBLES_DETAILED</stp>
        <stp>FQ1 2012</stp>
        <stp>FQ1 2012</stp>
        <stp>[AMZ_2009-2018.xlsx]Cash Flow - Standardized!R23C15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3" s="4"/>
      </tp>
      <tp>
        <v>2902</v>
        <stp/>
        <stp>##V3_BDHV12</stp>
        <stp>AMZN US Equity</stp>
        <stp>BS_NET_FIX_ASSET</stp>
        <stp>FQ1 2011</stp>
        <stp>FQ1 2011</stp>
        <stp>[AMZ_2009-2018.xlsx]Bal Sheet - Standardized!R23C11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3" s="3"/>
      </tp>
      <tp>
        <v>0</v>
        <stp/>
        <stp>##V3_BDHV12</stp>
        <stp>AMZN US Equity</stp>
        <stp>DISP_FXD_&amp;_INTANGIBLES_DETAILED</stp>
        <stp>FQ4 2015</stp>
        <stp>FQ4 2015</stp>
        <stp>[AMZ_2009-2018.xlsx]Cash Flow - Standardized!R23C30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3" s="4"/>
      </tp>
      <tp>
        <v>0</v>
        <stp/>
        <stp>##V3_BDHV12</stp>
        <stp>AMZN US Equity</stp>
        <stp>DISP_FXD_&amp;_INTANGIBLES_DETAILED</stp>
        <stp>FQ4 2014</stp>
        <stp>FQ4 2014</stp>
        <stp>[AMZ_2009-2018.xlsx]Cash Flow - Standardized!R23C26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3" s="4"/>
      </tp>
      <tp>
        <v>0</v>
        <stp/>
        <stp>##V3_BDHV12</stp>
        <stp>AMZN US Equity</stp>
        <stp>DISP_FXD_&amp;_INTANGIBLES_DETAILED</stp>
        <stp>FQ3 2013</stp>
        <stp>FQ3 2013</stp>
        <stp>[AMZ_2009-2018.xlsx]Cash Flow - Standardized!R23C21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3" s="4"/>
      </tp>
      <tp>
        <v>56230</v>
        <stp/>
        <stp>##V3_BDHV12</stp>
        <stp>AMZN US Equity</stp>
        <stp>TOT_LIAB_AND_EQY</stp>
        <stp>FQ3 2015</stp>
        <stp>FQ3 2015</stp>
        <stp>[AMZ_2009-2018.xlsx]Bal Sheet - Standardized!R74C29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4" s="3"/>
      </tp>
      <tp>
        <v>0</v>
        <stp/>
        <stp>##V3_BDHV12</stp>
        <stp>AMZN US Equity</stp>
        <stp>DISP_FXD_&amp;_INTANGIBLES_DETAILED</stp>
        <stp>FQ2 2011</stp>
        <stp>FQ2 2011</stp>
        <stp>[AMZ_2009-2018.xlsx]Cash Flow - Standardized!R23C12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3" s="4"/>
      </tp>
      <tp>
        <v>5097</v>
        <stp/>
        <stp>##V3_BDHV12</stp>
        <stp>AMZN US Equity</stp>
        <stp>BS_NET_FIX_ASSET</stp>
        <stp>FQ2 2012</stp>
        <stp>FQ2 2012</stp>
        <stp>[AMZ_2009-2018.xlsx]Bal Sheet - Standardized!R23C16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3" s="3"/>
      </tp>
      <tp>
        <v>0</v>
        <stp/>
        <stp>##V3_BDHV12</stp>
        <stp>AMZN US Equity</stp>
        <stp>SHORT_TERM_DEBT_DETAILED</stp>
        <stp>FQ1 2010</stp>
        <stp>FQ1 2010</stp>
        <stp>[AMZ_2009-2018.xlsx]Bal Sheet - Standardized!R44C7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4" s="3"/>
      </tp>
      <tp>
        <v>37898</v>
        <stp/>
        <stp>##V3_BDHV12</stp>
        <stp>AMZN US Equity</stp>
        <stp>TOT_LIAB_AND_EQY</stp>
        <stp>FQ2 2014</stp>
        <stp>FQ2 2014</stp>
        <stp>[AMZ_2009-2018.xlsx]Bal Sheet - Standardized!R74C24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4" s="3"/>
      </tp>
      <tp>
        <v>25278</v>
        <stp/>
        <stp>##V3_BDHV12</stp>
        <stp>AMZN US Equity</stp>
        <stp>TOT_LIAB_AND_EQY</stp>
        <stp>FQ4 2011</stp>
        <stp>FQ4 2011</stp>
        <stp>[AMZ_2009-2018.xlsx]Bal Sheet - Standardized!R74C14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4" s="3"/>
      </tp>
      <tp>
        <v>61128</v>
        <stp/>
        <stp>##V3_BDHV12</stp>
        <stp>AMZN US Equity</stp>
        <stp>TOT_LIAB_AND_EQY</stp>
        <stp>FQ1 2016</stp>
        <stp>FQ1 2016</stp>
        <stp>[AMZ_2009-2018.xlsx]Bal Sheet - Standardized!R74C31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4" s="3"/>
      </tp>
      <tp>
        <v>6980</v>
        <stp/>
        <stp>##V3_BDHV12</stp>
        <stp>AMZN US Equity</stp>
        <stp>TOT_LIAB_AND_EQY</stp>
        <stp>FQ1 2009</stp>
        <stp>FQ1 2009</stp>
        <stp>[AMZ_2009-2018.xlsx]Bal Sheet - Standardized!R74C3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4" s="3"/>
      </tp>
      <tp>
        <v>0</v>
        <stp/>
        <stp>##V3_BDHV12</stp>
        <stp>AMZN US Equity</stp>
        <stp>NOTES_RECEIVABLE</stp>
        <stp>FQ1 2013</stp>
        <stp>FQ1 2013</stp>
        <stp>[AMZ_2009-2018.xlsx]Bal Sheet - Standardized!R12C19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2" s="3"/>
      </tp>
      <tp>
        <v>3785</v>
        <stp/>
        <stp>##V3_BDHV12</stp>
        <stp>AMZN US Equity</stp>
        <stp>BS_DISCLOSED_INTANGIBLES</stp>
        <stp>FQ1 2016</stp>
        <stp>FQ1 2016</stp>
        <stp>[AMZ_2009-2018.xlsx]Bal Sheet - Standardized!R28C31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8" s="3"/>
      </tp>
      <tp t="s">
        <v>—</v>
        <stp/>
        <stp>##V3_BDHV12</stp>
        <stp>AMZN US Equity</stp>
        <stp>BS_TAXES_PAYABLE</stp>
        <stp>FQ1 2011</stp>
        <stp>FQ1 2011</stp>
        <stp>[AMZ_2009-2018.xlsx]Bal Sheet - Standardized!R40C11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0" s="3"/>
      </tp>
      <tp>
        <v>2602</v>
        <stp/>
        <stp>##V3_BDHV12</stp>
        <stp>AMZN US Equity</stp>
        <stp>BS_DISCLOSED_INTANGIBLES</stp>
        <stp>FQ4 2011</stp>
        <stp>FQ4 2011</stp>
        <stp>[AMZ_2009-2018.xlsx]Bal Sheet - Standardized!R28C14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8" s="3"/>
      </tp>
      <tp t="s">
        <v>—</v>
        <stp/>
        <stp>##V3_BDHV12</stp>
        <stp>AMZN US Equity</stp>
        <stp>BS_TAXES_PAYABLE</stp>
        <stp>FQ4 2016</stp>
        <stp>FQ4 2016</stp>
        <stp>[AMZ_2009-2018.xlsx]Bal Sheet - Standardized!R40C34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0" s="3"/>
      </tp>
      <tp>
        <v>0</v>
        <stp/>
        <stp>##V3_BDHV12</stp>
        <stp>AMZN US Equity</stp>
        <stp>CF_ACQUISITION_OF_INTANG_ASSETS</stp>
        <stp>FQ2 2014</stp>
        <stp>FQ2 2014</stp>
        <stp>[AMZ_2009-2018.xlsx]Cash Flow - Standardized!R28C24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8" s="4"/>
      </tp>
      <tp>
        <v>0</v>
        <stp/>
        <stp>##V3_BDHV12</stp>
        <stp>AMZN US Equity</stp>
        <stp>CF_ACQUISITION_OF_INTANG_ASSETS</stp>
        <stp>FQ1 2016</stp>
        <stp>FQ1 2016</stp>
        <stp>[AMZ_2009-2018.xlsx]Cash Flow - Standardized!R28C31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8" s="4"/>
      </tp>
      <tp>
        <v>398.79</v>
        <stp/>
        <stp>##V3_BDHV12</stp>
        <stp>AMZN US Equity</stp>
        <stp>PX_LAST</stp>
        <stp>FQ4 2013</stp>
        <stp>FQ4 2013</stp>
        <stp>[AMZ_2009-2018.xlsx]Stock Value!R6C22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6" s="6"/>
      </tp>
      <tp>
        <v>322.44</v>
        <stp/>
        <stp>##V3_BDHV12</stp>
        <stp>AMZN US Equity</stp>
        <stp>PX_LAST</stp>
        <stp>FQ3 2014</stp>
        <stp>FQ3 2014</stp>
        <stp>[AMZ_2009-2018.xlsx]Stock Value!R6C25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6" s="6"/>
      </tp>
      <tp t="s">
        <v>—</v>
        <stp/>
        <stp>##V3_BDHV12</stp>
        <stp>AMZN US Equity</stp>
        <stp>BS_TAXES_PAYABLE</stp>
        <stp>FQ2 2012</stp>
        <stp>FQ2 2012</stp>
        <stp>[AMZ_2009-2018.xlsx]Bal Sheet - Standardized!R40C16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0" s="3"/>
      </tp>
      <tp>
        <v>324.77999999999997</v>
        <stp/>
        <stp>##V3_BDHV12</stp>
        <stp>AMZN US Equity</stp>
        <stp>PX_LAST</stp>
        <stp>FQ2 2014</stp>
        <stp>FQ2 2014</stp>
        <stp>[AMZ_2009-2018.xlsx]Stock Value!R6C24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6" s="6"/>
      </tp>
      <tp>
        <v>2677</v>
        <stp/>
        <stp>##V3_BDHV12</stp>
        <stp>AMZN US Equity</stp>
        <stp>BS_DISCLOSED_INTANGIBLES</stp>
        <stp>FQ2 2014</stp>
        <stp>FQ2 2014</stp>
        <stp>[AMZ_2009-2018.xlsx]Bal Sheet - Standardized!R28C24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8" s="3"/>
      </tp>
      <tp>
        <v>0</v>
        <stp/>
        <stp>##V3_BDHV12</stp>
        <stp>AMZN US Equity</stp>
        <stp>CF_ACQUISITION_OF_INTANG_ASSETS</stp>
        <stp>FQ4 2011</stp>
        <stp>FQ4 2011</stp>
        <stp>[AMZ_2009-2018.xlsx]Cash Flow - Standardized!R28C14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8" s="4"/>
      </tp>
      <tp>
        <v>372.1</v>
        <stp/>
        <stp>##V3_BDHV12</stp>
        <stp>AMZN US Equity</stp>
        <stp>PX_LAST</stp>
        <stp>FQ1 2015</stp>
        <stp>FQ1 2015</stp>
        <stp>[AMZ_2009-2018.xlsx]Stock Value!R6C27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6" s="6"/>
      </tp>
      <tp>
        <v>0</v>
        <stp/>
        <stp>##V3_BDHV12</stp>
        <stp>AMZN US Equity</stp>
        <stp>NOTES_RECEIVABLE</stp>
        <stp>FQ3 2011</stp>
        <stp>FQ3 2011</stp>
        <stp>[AMZ_2009-2018.xlsx]Bal Sheet - Standardized!R12C13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2" s="3"/>
      </tp>
      <tp>
        <v>-2164</v>
        <stp/>
        <stp>##V3_BDHV12</stp>
        <stp>AMZN US Equity</stp>
        <stp>CFF_ACTIVITIES_DETAILED</stp>
        <stp>FQ1 2018</stp>
        <stp>FQ1 2018</stp>
        <stp>[AMZ_2009-2018.xlsx]Cash Flow - Standardized!R51C39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1" s="4"/>
      </tp>
      <tp>
        <v>3230</v>
        <stp/>
        <stp>##V3_BDHV12</stp>
        <stp>AMZN US Equity</stp>
        <stp>IS_SG&amp;A_EXPENSE</stp>
        <stp>FQ4 2016</stp>
        <stp>FQ4 2016</stp>
        <stp>[AMZ_2009-2018.xlsx]Income - Adjusted!R13C34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3" s="2"/>
      </tp>
      <tp>
        <v>777</v>
        <stp/>
        <stp>##V3_BDHV12</stp>
        <stp>AMZN US Equity</stp>
        <stp>IS_SG&amp;A_EXPENSE</stp>
        <stp>FQ4 2011</stp>
        <stp>FQ4 2011</stp>
        <stp>[AMZ_2009-2018.xlsx]Income - Adjusted!R13C14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3" s="2"/>
      </tp>
      <tp>
        <v>0</v>
        <stp/>
        <stp>##V3_BDHV12</stp>
        <stp>AMZN US Equity</stp>
        <stp>NOTES_RECEIVABLE</stp>
        <stp>FQ2 2013</stp>
        <stp>FQ2 2013</stp>
        <stp>[AMZ_2009-2018.xlsx]Bal Sheet - Standardized!R12C20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2" s="3"/>
      </tp>
      <tp t="s">
        <v>—</v>
        <stp/>
        <stp>##V3_BDHV12</stp>
        <stp>AMZN US Equity</stp>
        <stp>SHORT_TERM_DEBT_DETAILED</stp>
        <stp>FQ1 2011</stp>
        <stp>FQ1 2011</stp>
        <stp>[AMZ_2009-2018.xlsx]Bal Sheet - Standardized!R44C11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4" s="3"/>
      </tp>
      <tp t="s">
        <v>—</v>
        <stp/>
        <stp>##V3_BDHV12</stp>
        <stp>AMZN US Equity</stp>
        <stp>BS_DERIVATIVE_&amp;_HEDGING_LIABS_LT</stp>
        <stp>FQ2 2012</stp>
        <stp>FQ2 2012</stp>
        <stp>[AMZ_2009-2018.xlsx]Bal Sheet - Standardized!R60C16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0" s="3"/>
      </tp>
      <tp>
        <v>3529</v>
        <stp/>
        <stp>##V3_BDHV12</stp>
        <stp>AMZN US Equity</stp>
        <stp>BS_DISCLOSED_INTANGIBLES</stp>
        <stp>FQ3 2015</stp>
        <stp>FQ3 2015</stp>
        <stp>[AMZ_2009-2018.xlsx]Bal Sheet - Standardized!R28C29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8" s="3"/>
      </tp>
      <tp>
        <v>-866</v>
        <stp/>
        <stp>##V3_BDHV12</stp>
        <stp>AMZN US Equity</stp>
        <stp>CF_CASH_FOR_ACQUIS_SUBSIDIARIES</stp>
        <stp>FQ2 2018</stp>
        <stp>FQ2 2018</stp>
        <stp>[AMZ_2009-2018.xlsx]Cash Flow - Standardized!R34C40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4" s="4"/>
      </tp>
      <tp>
        <v>460.81959999999998</v>
        <stp/>
        <stp>##V3_BDHV12</stp>
        <stp>AMZN US Equity</stp>
        <stp>PX_TO_FREE_CASH_FLOW</stp>
        <stp>FQ2 2013</stp>
        <stp>FQ2 2013</stp>
        <stp>[AMZ_2009-2018.xlsx]Cash Flow - Standardized!R69C20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69" s="4"/>
      </tp>
      <tp>
        <v>50.990699999999997</v>
        <stp/>
        <stp>##V3_BDHV12</stp>
        <stp>AMZN US Equity</stp>
        <stp>PX_TO_FREE_CASH_FLOW</stp>
        <stp>FQ2 2011</stp>
        <stp>FQ2 2011</stp>
        <stp>[AMZ_2009-2018.xlsx]Cash Flow - Standardized!R69C12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69" s="4"/>
      </tp>
      <tp>
        <v>0</v>
        <stp/>
        <stp>##V3_BDHV12</stp>
        <stp>AMZN US Equity</stp>
        <stp>SHORT_TERM_DEBT_DETAILED</stp>
        <stp>FQ4 2016</stp>
        <stp>FQ4 2016</stp>
        <stp>[AMZ_2009-2018.xlsx]Bal Sheet - Standardized!R44C34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4" s="3"/>
      </tp>
      <tp t="s">
        <v>—</v>
        <stp/>
        <stp>##V3_BDHV12</stp>
        <stp>AMZN US Equity</stp>
        <stp>BS_DERIVATIVE_&amp;_HEDGING_LIABS_ST</stp>
        <stp>FQ2 2012</stp>
        <stp>FQ2 2012</stp>
        <stp>[AMZ_2009-2018.xlsx]Bal Sheet - Standardized!R49C16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9" s="3"/>
      </tp>
      <tp>
        <v>0</v>
        <stp/>
        <stp>##V3_BDHV12</stp>
        <stp>AMZN US Equity</stp>
        <stp>SHORT_TERM_DEBT_DETAILED</stp>
        <stp>FQ2 2012</stp>
        <stp>FQ2 2012</stp>
        <stp>[AMZ_2009-2018.xlsx]Bal Sheet - Standardized!R44C16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4" s="3"/>
      </tp>
      <tp t="s">
        <v>—</v>
        <stp/>
        <stp>##V3_BDHV12</stp>
        <stp>AMZN US Equity</stp>
        <stp>BS_DERIVATIVE_&amp;_HEDGING_LIABS_LT</stp>
        <stp>FQ1 2011</stp>
        <stp>FQ1 2011</stp>
        <stp>[AMZ_2009-2018.xlsx]Bal Sheet - Standardized!R60C11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0" s="3"/>
      </tp>
      <tp>
        <v>0</v>
        <stp/>
        <stp>##V3_BDHV12</stp>
        <stp>AMZN US Equity</stp>
        <stp>BS_DERIVATIVE_&amp;_HEDGING_LIABS_ST</stp>
        <stp>FQ4 2016</stp>
        <stp>FQ4 2016</stp>
        <stp>[AMZ_2009-2018.xlsx]Bal Sheet - Standardized!R49C34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9" s="3"/>
      </tp>
      <tp>
        <v>1320</v>
        <stp/>
        <stp>##V3_BDHV12</stp>
        <stp>AMZN US Equity</stp>
        <stp>IS_SG&amp;A_EXPENSE</stp>
        <stp>FQ2 2014</stp>
        <stp>FQ2 2014</stp>
        <stp>[AMZ_2009-2018.xlsx]Income - Adjusted!R13C24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3" s="2"/>
      </tp>
      <tp>
        <v>9814</v>
        <stp/>
        <stp>##V3_BDHV12</stp>
        <stp>AMZN US Equity</stp>
        <stp>OTHER_NONCURRENT_ASSETS_DETAILED</stp>
        <stp>FQ1 2018</stp>
        <stp>FQ1 2018</stp>
        <stp>[AMZ_2009-2018.xlsx]Bal Sheet - Standardized!R33C39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3" s="3"/>
      </tp>
      <tp>
        <v>0</v>
        <stp/>
        <stp>##V3_BDHV12</stp>
        <stp>AMZN US Equity</stp>
        <stp>CF_ACQUISITION_OF_INTANG_ASSETS</stp>
        <stp>FQ3 2015</stp>
        <stp>FQ3 2015</stp>
        <stp>[AMZ_2009-2018.xlsx]Cash Flow - Standardized!R28C29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8" s="4"/>
      </tp>
      <tp>
        <v>0</v>
        <stp/>
        <stp>##V3_BDHV12</stp>
        <stp>AMZN US Equity</stp>
        <stp>BS_DERIVATIVE_&amp;_HEDGING_LIABS_LT</stp>
        <stp>FQ4 2016</stp>
        <stp>FQ4 2016</stp>
        <stp>[AMZ_2009-2018.xlsx]Bal Sheet - Standardized!R60C34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0" s="3"/>
      </tp>
      <tp t="s">
        <v>—</v>
        <stp/>
        <stp>##V3_BDHV12</stp>
        <stp>AMZN US Equity</stp>
        <stp>BS_DERIVATIVE_&amp;_HEDGING_LIABS_ST</stp>
        <stp>FQ1 2011</stp>
        <stp>FQ1 2011</stp>
        <stp>[AMZ_2009-2018.xlsx]Bal Sheet - Standardized!R49C11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9" s="3"/>
      </tp>
      <tp>
        <v>-1490</v>
        <stp/>
        <stp>##V3_BDHV12</stp>
        <stp>AMZN US Equity</stp>
        <stp>CF_PYMT_LT_DEBT_&amp;_CAPITAL_LEASE</stp>
        <stp>FQ2 2018</stp>
        <stp>FQ2 2018</stp>
        <stp>[AMZ_2009-2018.xlsx]Cash Flow - Standardized!R45C40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5" s="4"/>
      </tp>
      <tp>
        <v>75</v>
        <stp/>
        <stp>##V3_BDHV12</stp>
        <stp>AMZN US Equity</stp>
        <stp>PROC_FR_REPURCH_EQTY_DETAILED</stp>
        <stp>FQ3 2010</stp>
        <stp>FQ3 2010</stp>
        <stp>[AMZ_2009-2018.xlsx]Cash Flow - Standardized!R46C9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6" s="4"/>
      </tp>
      <tp>
        <v>96</v>
        <stp/>
        <stp>##V3_BDHV12</stp>
        <stp>AMZN US Equity</stp>
        <stp>CF_PROC_LT_DEBT_&amp;_CAPITAL_LEASE</stp>
        <stp>FQ2 2018</stp>
        <stp>FQ2 2018</stp>
        <stp>[AMZ_2009-2018.xlsx]Cash Flow - Standardized!R44C40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4" s="4"/>
      </tp>
      <tp>
        <v>2370</v>
        <stp/>
        <stp>##V3_BDHV12</stp>
        <stp>AMZN US Equity</stp>
        <stp>FREE_CASH_FLOW_EQUITY</stp>
        <stp>FQ4 2009</stp>
        <stp>FQ4 2009</stp>
        <stp>[AMZ_2009-2018.xlsx]Cash Flow - Standardized!R67C6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7" s="4"/>
      </tp>
      <tp>
        <v>20</v>
        <stp/>
        <stp>##V3_BDHV12</stp>
        <stp>AMZN US Equity</stp>
        <stp>PROC_FR_REPURCH_EQTY_DETAILED</stp>
        <stp>FQ2 2009</stp>
        <stp>FQ2 2009</stp>
        <stp>[AMZ_2009-2018.xlsx]Cash Flow - Standardized!R46C4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6" s="4"/>
      </tp>
      <tp>
        <v>701</v>
        <stp/>
        <stp>##V3_BDHV12</stp>
        <stp>AMZN US Equity</stp>
        <stp>CF_CHANGE_IN_ACCOUNTS_PAYABLE</stp>
        <stp>FQ3 2009</stp>
        <stp>FQ3 2009</stp>
        <stp>[AMZ_2009-2018.xlsx]Cash Flow - Standardized!R16C5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6" s="4"/>
      </tp>
      <tp>
        <v>-81</v>
        <stp/>
        <stp>##V3_BDHV12</stp>
        <stp>AMZN US Equity</stp>
        <stp>CF_CHANGE_IN_ACCOUNTS_PAYABLE</stp>
        <stp>FQ2 2010</stp>
        <stp>FQ2 2010</stp>
        <stp>[AMZ_2009-2018.xlsx]Cash Flow - Standardized!R16C8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6" s="4"/>
      </tp>
      <tp>
        <v>17092</v>
        <stp/>
        <stp>##V3_BDHV12</stp>
        <stp>AMZN US Equity</stp>
        <stp>SALES_REV_TURN</stp>
        <stp>FQ3 2013</stp>
        <stp>FQ3 2013</stp>
        <stp>[AMZ_2009-2018.xlsx]Income - Adjusted!R6C21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6" s="2"/>
      </tp>
      <tp>
        <v>10876</v>
        <stp/>
        <stp>##V3_BDHV12</stp>
        <stp>AMZN US Equity</stp>
        <stp>SALES_REV_TURN</stp>
        <stp>FQ3 2011</stp>
        <stp>FQ3 2011</stp>
        <stp>[AMZ_2009-2018.xlsx]Income - Adjusted!R6C13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6" s="2"/>
      </tp>
      <tp>
        <v>22717</v>
        <stp/>
        <stp>##V3_BDHV12</stp>
        <stp>AMZN US Equity</stp>
        <stp>SALES_REV_TURN</stp>
        <stp>FQ1 2015</stp>
        <stp>FQ1 2015</stp>
        <stp>[AMZ_2009-2018.xlsx]Income - Adjusted!R6C27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6" s="2"/>
      </tp>
      <tp>
        <v>35714</v>
        <stp/>
        <stp>##V3_BDHV12</stp>
        <stp>AMZN US Equity</stp>
        <stp>SALES_REV_TURN</stp>
        <stp>FQ1 2017</stp>
        <stp>FQ1 2017</stp>
        <stp>[AMZ_2009-2018.xlsx]Income - Adjusted!R6C35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6" s="2"/>
      </tp>
      <tp>
        <v>29328</v>
        <stp/>
        <stp>##V3_BDHV12</stp>
        <stp>AMZN US Equity</stp>
        <stp>SALES_REV_TURN</stp>
        <stp>FQ4 2014</stp>
        <stp>FQ4 2014</stp>
        <stp>[AMZ_2009-2018.xlsx]Income - Adjusted!R6C26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6" s="2"/>
      </tp>
      <tp>
        <v>43741</v>
        <stp/>
        <stp>##V3_BDHV12</stp>
        <stp>AMZN US Equity</stp>
        <stp>SALES_REV_TURN</stp>
        <stp>FQ4 2016</stp>
        <stp>FQ4 2016</stp>
        <stp>[AMZ_2009-2018.xlsx]Income - Adjusted!R6C34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6" s="2"/>
      </tp>
      <tp>
        <v>1</v>
        <stp/>
        <stp>##V3_BDHV12</stp>
        <stp>AMZN US Equity</stp>
        <stp>IS_DIL_EPS_BEF_XO</stp>
        <stp>FQ4 2015</stp>
        <stp>FQ4 2015</stp>
        <stp>[AMZ_2009-2018.xlsx]Income - Adjusted!R56C30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56" s="2"/>
      </tp>
      <tp>
        <v>0.91</v>
        <stp/>
        <stp>##V3_BDHV12</stp>
        <stp>AMZN US Equity</stp>
        <stp>IS_DIL_EPS_BEF_XO</stp>
        <stp>FQ4 2010</stp>
        <stp>FQ4 2010</stp>
        <stp>[AMZ_2009-2018.xlsx]Income - Adjusted!R56C10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56" s="2"/>
      </tp>
      <tp>
        <v>65</v>
        <stp/>
        <stp>##V3_BDHV12</stp>
        <stp>AMZN US Equity</stp>
        <stp>CF_STOCK_BASED_COMPENSATION</stp>
        <stp>FQ2 2009</stp>
        <stp>FQ2 2009</stp>
        <stp>[AMZ_2009-2018.xlsx]Cash Flow - Standardized!R10C4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0" s="4"/>
      </tp>
      <tp>
        <v>-0.02</v>
        <stp/>
        <stp>##V3_BDHV12</stp>
        <stp>AMZN US Equity</stp>
        <stp>IS_DIL_EPS_BEF_XO</stp>
        <stp>FQ2 2013</stp>
        <stp>FQ2 2013</stp>
        <stp>[AMZ_2009-2018.xlsx]Income - Adjusted!R56C20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56" s="2"/>
      </tp>
      <tp>
        <v>5.07</v>
        <stp/>
        <stp>##V3_BDHV12</stp>
        <stp>AMZN US Equity</stp>
        <stp>IS_DIL_EPS_BEF_XO</stp>
        <stp>FQ2 2018</stp>
        <stp>FQ2 2018</stp>
        <stp>[AMZ_2009-2018.xlsx]Income - Adjusted!R56C40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56" s="2"/>
      </tp>
      <tp>
        <v>32</v>
        <stp/>
        <stp>##V3_BDHV12</stp>
        <stp>AMZN US Equity</stp>
        <stp>CF_STOCK_BASED_COMPENSATION</stp>
        <stp>FQ3 2010</stp>
        <stp>FQ3 2010</stp>
        <stp>[AMZ_2009-2018.xlsx]Cash Flow - Standardized!R10C9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0" s="4"/>
      </tp>
      <tp>
        <v>0</v>
        <stp/>
        <stp>##V3_BDHV12</stp>
        <stp>AMZN US Equity</stp>
        <stp>IS_EXTRAORD_ITEMS_&amp;_ACCTG_CHNG</stp>
        <stp>FQ3 2009</stp>
        <stp>FQ3 2009</stp>
        <stp>[AMZ_2009-2018.xlsx]Income - Adjusted!R37C5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7" s="2"/>
      </tp>
      <tp>
        <v>142</v>
        <stp/>
        <stp>##V3_BDHV12</stp>
        <stp>AMZN US Equity</stp>
        <stp>NET_INCOME</stp>
        <stp>FQ2 2009</stp>
        <stp>FQ2 2009</stp>
        <stp>[AMZ_2009-2018.xlsx]Income - Adjusted!R40C4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40" s="2"/>
      </tp>
      <tp>
        <v>0</v>
        <stp/>
        <stp>##V3_BDHV12</stp>
        <stp>AMZN US Equity</stp>
        <stp>BS_PFD_EQTY_&amp;_HYBRID_CPTL</stp>
        <stp>FQ1 2011</stp>
        <stp>FQ1 2011</stp>
        <stp>[AMZ_2009-2018.xlsx]Bal Sheet - Standardized!R64C11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4" s="3"/>
      </tp>
      <tp>
        <v>0</v>
        <stp/>
        <stp>##V3_BDHV12</stp>
        <stp>AMZN US Equity</stp>
        <stp>BS_PFD_EQTY_&amp;_HYBRID_CPTL</stp>
        <stp>FQ4 2016</stp>
        <stp>FQ4 2016</stp>
        <stp>[AMZ_2009-2018.xlsx]Bal Sheet - Standardized!R64C34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4" s="3"/>
      </tp>
      <tp>
        <v>0</v>
        <stp/>
        <stp>##V3_BDHV12</stp>
        <stp>AMZN US Equity</stp>
        <stp>BS_PFD_EQTY_&amp;_HYBRID_CPTL</stp>
        <stp>FQ2 2012</stp>
        <stp>FQ2 2012</stp>
        <stp>[AMZ_2009-2018.xlsx]Bal Sheet - Standardized!R64C16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4" s="3"/>
      </tp>
      <tp>
        <v>12834</v>
        <stp/>
        <stp>##V3_BDHV12</stp>
        <stp>AMZN US Equity</stp>
        <stp>IS_SALES_AND_SERVICES_REVENUES</stp>
        <stp>FQ2 2012</stp>
        <stp>FQ2 2012</stp>
        <stp>[AMZ_2009-2018.xlsx]Income - Adjusted!R7C16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7" s="2"/>
      </tp>
      <tp>
        <v>30404</v>
        <stp/>
        <stp>##V3_BDHV12</stp>
        <stp>AMZN US Equity</stp>
        <stp>IS_SALES_AND_SERVICES_REVENUES</stp>
        <stp>FQ2 2016</stp>
        <stp>FQ2 2016</stp>
        <stp>[AMZ_2009-2018.xlsx]Income - Adjusted!R7C32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7" s="2"/>
      </tp>
      <tp>
        <v>7.4352</v>
        <stp/>
        <stp>##V3_BDHV12</stp>
        <stp>AMZN US Equity</stp>
        <stp>CASH_ST_INVESTMENTS_PER_SH</stp>
        <stp>FQ2 2009</stp>
        <stp>FQ2 2009</stp>
        <stp>[AMZ_2009-2018.xlsx]Per Share!R25C4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25" s="5"/>
      </tp>
      <tp>
        <v>11199</v>
        <stp/>
        <stp>##V3_BDHV12</stp>
        <stp>AMZN US Equity</stp>
        <stp>BS_PURE_RETAINED_EARNINGS</stp>
        <stp>FQ1 2018</stp>
        <stp>FQ1 2018</stp>
        <stp>[AMZ_2009-2018.xlsx]Bal Sheet - Standardized!R69C39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9" s="3"/>
      </tp>
      <tp t="s">
        <v>—</v>
        <stp/>
        <stp>##V3_BDHV12</stp>
        <stp>AMZN US Equity</stp>
        <stp>BS_DEFERRED_TAX_LIABILITIES_LT</stp>
        <stp>FQ1 2013</stp>
        <stp>FQ1 2013</stp>
        <stp>[AMZ_2009-2018.xlsx]Bal Sheet - Standardized!R59C19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9" s="3"/>
      </tp>
      <tp>
        <v>452</v>
        <stp/>
        <stp>##V3_BDHV12</stp>
        <stp>AMZN US Equity</stp>
        <stp>BS_SH_OUT</stp>
        <stp>FQ2 2012</stp>
        <stp>FQ2 2012</stp>
        <stp>[AMZ_2009-2018.xlsx]Bal Sheet - Standardized!R78C16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78" s="3"/>
      </tp>
      <tp>
        <v>474</v>
        <stp/>
        <stp>##V3_BDHV12</stp>
        <stp>AMZN US Equity</stp>
        <stp>BS_SH_OUT</stp>
        <stp>FQ2 2016</stp>
        <stp>FQ2 2016</stp>
        <stp>[AMZ_2009-2018.xlsx]Bal Sheet - Standardized!R78C32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78" s="3"/>
      </tp>
      <tp t="s">
        <v>—</v>
        <stp/>
        <stp>##V3_BDHV12</stp>
        <stp>AMZN US Equity</stp>
        <stp>BS_DEFERRED_TAX_LIABILITIES_LT</stp>
        <stp>FQ3 2011</stp>
        <stp>FQ3 2011</stp>
        <stp>[AMZ_2009-2018.xlsx]Bal Sheet - Standardized!R59C13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9" s="3"/>
      </tp>
      <tp>
        <v>0</v>
        <stp/>
        <stp>##V3_BDHV12</stp>
        <stp>AMZN US Equity</stp>
        <stp>CF_OTHER_FINANCING_ACT_EXCL_FX</stp>
        <stp>FQ2 2010</stp>
        <stp>FQ2 2010</stp>
        <stp>[AMZ_2009-2018.xlsx]Cash Flow - Standardized!R49C8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9" s="4"/>
      </tp>
      <tp t="s">
        <v>—</v>
        <stp/>
        <stp>##V3_BDHV12</stp>
        <stp>AMZN US Equity</stp>
        <stp>BS_DEFERRED_TAX_LIABILITIES_LT</stp>
        <stp>FQ2 2013</stp>
        <stp>FQ2 2013</stp>
        <stp>[AMZ_2009-2018.xlsx]Bal Sheet - Standardized!R59C20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9" s="3"/>
      </tp>
      <tp>
        <v>-17</v>
        <stp/>
        <stp>##V3_BDHV12</stp>
        <stp>AMZN US Equity</stp>
        <stp>CF_OTHER_FINANCING_ACT_EXCL_FX</stp>
        <stp>FQ3 2009</stp>
        <stp>FQ3 2009</stp>
        <stp>[AMZ_2009-2018.xlsx]Cash Flow - Standardized!R49C5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9" s="4"/>
      </tp>
      <tp>
        <v>5054</v>
        <stp/>
        <stp>##V3_BDHV12</stp>
        <stp>AMZN US Equity</stp>
        <stp>BS_OTHER_ASSETS_DEF_CHRG_OTHER</stp>
        <stp>FQ2 2014</stp>
        <stp>FQ2 2014</stp>
        <stp>[AMZ_2009-2018.xlsx]Bal Sheet - Standardized!R27C24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7" s="3"/>
      </tp>
      <tp>
        <v>7307</v>
        <stp/>
        <stp>##V3_BDHV12</stp>
        <stp>AMZN US Equity</stp>
        <stp>BS_OTHER_ASSETS_DEF_CHRG_OTHER</stp>
        <stp>FQ1 2016</stp>
        <stp>FQ1 2016</stp>
        <stp>[AMZ_2009-2018.xlsx]Bal Sheet - Standardized!R27C31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7" s="3"/>
      </tp>
      <tp>
        <v>299</v>
        <stp/>
        <stp>##V3_BDHV12</stp>
        <stp>AMZN US Equity</stp>
        <stp>IS_OPEX_R&amp;D</stp>
        <stp>FQ2 2009</stp>
        <stp>FQ2 2009</stp>
        <stp>[AMZ_2009-2018.xlsx]Income - Adjusted!R16C4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6" s="2"/>
      </tp>
      <tp>
        <v>3371</v>
        <stp/>
        <stp>##V3_BDHV12</stp>
        <stp>AMZN US Equity</stp>
        <stp>BS_OTHER_ASSETS_DEF_CHRG_OTHER</stp>
        <stp>FQ4 2011</stp>
        <stp>FQ4 2011</stp>
        <stp>[AMZ_2009-2018.xlsx]Bal Sheet - Standardized!R27C14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7" s="3"/>
      </tp>
      <tp>
        <v>22.819400000000002</v>
        <stp/>
        <stp>##V3_BDHV12</stp>
        <stp>AMZN US Equity</stp>
        <stp>TCE_RATIO</stp>
        <stp>FQ1 2013</stp>
        <stp>FQ1 2013</stp>
        <stp>[AMZ_2009-2018.xlsx]Bal Sheet - Standardized!R85C19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85" s="3"/>
      </tp>
      <tp>
        <v>16.787299999999998</v>
        <stp/>
        <stp>##V3_BDHV12</stp>
        <stp>AMZN US Equity</stp>
        <stp>TCE_RATIO</stp>
        <stp>FQ4 2012</stp>
        <stp>FQ4 2012</stp>
        <stp>[AMZ_2009-2018.xlsx]Bal Sheet - Standardized!R85C18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85" s="3"/>
      </tp>
      <tp t="s">
        <v>—</v>
        <stp/>
        <stp>##V3_BDHV12</stp>
        <stp>AMZN US Equity</stp>
        <stp>IS_DEPR_EXP</stp>
        <stp>FQ1 2010</stp>
        <stp>FQ1 2010</stp>
        <stp>[AMZ_2009-2018.xlsx]Income - Adjusted!R72C7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2" s="2"/>
      </tp>
      <tp>
        <v>6745</v>
        <stp/>
        <stp>##V3_BDHV12</stp>
        <stp>AMZN US Equity</stp>
        <stp>BS_OTHER_ASSETS_DEF_CHRG_OTHER</stp>
        <stp>FQ3 2015</stp>
        <stp>FQ3 2015</stp>
        <stp>[AMZ_2009-2018.xlsx]Bal Sheet - Standardized!R27C29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7" s="3"/>
      </tp>
      <tp>
        <v>1496</v>
        <stp/>
        <stp>##V3_BDHV12</stp>
        <stp>AMZN US Equity</stp>
        <stp>BS_ACCT_NOTE_RCV</stp>
        <stp>FQ3 2011</stp>
        <stp>FQ3 2011</stp>
        <stp>[AMZ_2009-2018.xlsx]Bal Sheet - Standardized!R10C13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0" s="3"/>
      </tp>
      <tp>
        <v>671</v>
        <stp/>
        <stp>##V3_BDHV12</stp>
        <stp>AMZN US Equity</stp>
        <stp>BS_ACCT_NOTE_RCV</stp>
        <stp>FQ3 2009</stp>
        <stp>FQ3 2009</stp>
        <stp>[AMZ_2009-2018.xlsx]Bal Sheet - Standardized!R10C5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0" s="3"/>
      </tp>
      <tp>
        <v>2861</v>
        <stp/>
        <stp>##V3_BDHV12</stp>
        <stp>AMZN US Equity</stp>
        <stp>BS_ACCT_NOTE_RCV</stp>
        <stp>FQ2 2013</stp>
        <stp>FQ2 2013</stp>
        <stp>[AMZ_2009-2018.xlsx]Bal Sheet - Standardized!R10C20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0" s="3"/>
      </tp>
      <tp>
        <v>805</v>
        <stp/>
        <stp>##V3_BDHV12</stp>
        <stp>AMZN US Equity</stp>
        <stp>BS_ACCT_NOTE_RCV</stp>
        <stp>FQ2 2010</stp>
        <stp>FQ2 2010</stp>
        <stp>[AMZ_2009-2018.xlsx]Bal Sheet - Standardized!R10C8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0" s="3"/>
      </tp>
      <tp>
        <v>54768</v>
        <stp/>
        <stp>##V3_BDHV12</stp>
        <stp>AMZN US Equity</stp>
        <stp>BS_NET_FIX_ASSET</stp>
        <stp>FQ2 2018</stp>
        <stp>FQ2 2018</stp>
        <stp>[AMZ_2009-2018.xlsx]Bal Sheet - Standardized!R23C40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3" s="3"/>
      </tp>
      <tp>
        <v>2516</v>
        <stp/>
        <stp>##V3_BDHV12</stp>
        <stp>AMZN US Equity</stp>
        <stp>BS_ACCT_NOTE_RCV</stp>
        <stp>FQ1 2013</stp>
        <stp>FQ1 2013</stp>
        <stp>[AMZ_2009-2018.xlsx]Bal Sheet - Standardized!R10C19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0" s="3"/>
      </tp>
      <tp>
        <v>1234</v>
        <stp/>
        <stp>##V3_BDHV12</stp>
        <stp>AMZN US Equity</stp>
        <stp>BS_DISCLOSED_INTANGIBLES</stp>
        <stp>FQ4 2009</stp>
        <stp>FQ4 2009</stp>
        <stp>[AMZ_2009-2018.xlsx]Bal Sheet - Standardized!R28C6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8" s="3"/>
      </tp>
      <tp>
        <v>-3</v>
        <stp/>
        <stp>##V3_BDHV12</stp>
        <stp>AMZN US Equity</stp>
        <stp>CF_CASH_FOR_ACQUIS_SUBSIDIARIES</stp>
        <stp>FQ4 2016</stp>
        <stp>FQ4 2016</stp>
        <stp>[AMZ_2009-2018.xlsx]Cash Flow - Standardized!R34C34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4" s="4"/>
      </tp>
      <tp>
        <v>0</v>
        <stp/>
        <stp>##V3_BDHV12</stp>
        <stp>AMZN US Equity</stp>
        <stp>SHORT_TERM_DEBT_DETAILED</stp>
        <stp>FQ2 2018</stp>
        <stp>FQ2 2018</stp>
        <stp>[AMZ_2009-2018.xlsx]Bal Sheet - Standardized!R44C40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4" s="3"/>
      </tp>
      <tp>
        <v>-139</v>
        <stp/>
        <stp>##V3_BDHV12</stp>
        <stp>AMZN US Equity</stp>
        <stp>CF_CASH_FOR_ACQUIS_SUBSIDIARIES</stp>
        <stp>FQ1 2011</stp>
        <stp>FQ1 2011</stp>
        <stp>[AMZ_2009-2018.xlsx]Cash Flow - Standardized!R34C11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4" s="4"/>
      </tp>
      <tp>
        <v>3047</v>
        <stp/>
        <stp>##V3_BDHV12</stp>
        <stp>AMZN US Equity</stp>
        <stp>OTHER_NONCURRENT_ASSETS_DETAILED</stp>
        <stp>FQ2 2015</stp>
        <stp>FQ2 2015</stp>
        <stp>[AMZ_2009-2018.xlsx]Bal Sheet - Standardized!R33C28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3" s="3"/>
      </tp>
      <tp>
        <v>-691</v>
        <stp/>
        <stp>##V3_BDHV12</stp>
        <stp>AMZN US Equity</stp>
        <stp>CFF_ACTIVITIES_DETAILED</stp>
        <stp>FQ2 2015</stp>
        <stp>FQ2 2015</stp>
        <stp>[AMZ_2009-2018.xlsx]Cash Flow - Standardized!R51C28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1" s="4"/>
      </tp>
      <tp t="s">
        <v>—</v>
        <stp/>
        <stp>##V3_BDHV12</stp>
        <stp>AMZN US Equity</stp>
        <stp>BS_DERIVATIVE_&amp;_HEDGING_LIABS_LT</stp>
        <stp>FQ2 2018</stp>
        <stp>FQ2 2018</stp>
        <stp>[AMZ_2009-2018.xlsx]Bal Sheet - Standardized!R60C40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0" s="3"/>
      </tp>
      <tp>
        <v>-624</v>
        <stp/>
        <stp>##V3_BDHV12</stp>
        <stp>AMZN US Equity</stp>
        <stp>CF_CASH_FOR_ACQUIS_SUBSIDIARIES</stp>
        <stp>FQ2 2012</stp>
        <stp>FQ2 2012</stp>
        <stp>[AMZ_2009-2018.xlsx]Cash Flow - Standardized!R34C16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4" s="4"/>
      </tp>
      <tp>
        <v>0</v>
        <stp/>
        <stp>##V3_BDHV12</stp>
        <stp>AMZN US Equity</stp>
        <stp>OTHER_INTANGIBLE_ASSETS_DETAILED</stp>
        <stp>FQ3 2015</stp>
        <stp>FQ3 2015</stp>
        <stp>[AMZ_2009-2018.xlsx]Bal Sheet - Standardized!R30C29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0" s="3"/>
      </tp>
      <tp t="s">
        <v>—</v>
        <stp/>
        <stp>##V3_BDHV12</stp>
        <stp>AMZN US Equity</stp>
        <stp>BS_DERIVATIVE_&amp;_HEDGING_LIABS_ST</stp>
        <stp>FQ2 2018</stp>
        <stp>FQ2 2018</stp>
        <stp>[AMZ_2009-2018.xlsx]Bal Sheet - Standardized!R49C40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9" s="3"/>
      </tp>
      <tp>
        <v>-34</v>
        <stp/>
        <stp>##V3_BDHV12</stp>
        <stp>AMZN US Equity</stp>
        <stp>CFF_ACTIVITIES_DETAILED</stp>
        <stp>FQ4 2010</stp>
        <stp>FQ4 2010</stp>
        <stp>[AMZ_2009-2018.xlsx]Cash Flow - Standardized!R51C10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1" s="4"/>
      </tp>
      <tp>
        <v>57</v>
        <stp/>
        <stp>##V3_BDHV12</stp>
        <stp>AMZN US Equity</stp>
        <stp>CFF_ACTIVITIES_DETAILED</stp>
        <stp>FQ4 2013</stp>
        <stp>FQ4 2013</stp>
        <stp>[AMZ_2009-2018.xlsx]Cash Flow - Standardized!R51C22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1" s="4"/>
      </tp>
      <tp>
        <v>-412</v>
        <stp/>
        <stp>##V3_BDHV12</stp>
        <stp>AMZN US Equity</stp>
        <stp>CFF_ACTIVITIES_DETAILED</stp>
        <stp>FQ3 2014</stp>
        <stp>FQ3 2014</stp>
        <stp>[AMZ_2009-2018.xlsx]Cash Flow - Standardized!R51C25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1" s="4"/>
      </tp>
      <tp t="s">
        <v>—</v>
        <stp/>
        <stp>##V3_BDHV12</stp>
        <stp>AMZN US Equity</stp>
        <stp>BS_TAXES_PAYABLE</stp>
        <stp>FQ2 2018</stp>
        <stp>FQ2 2018</stp>
        <stp>[AMZ_2009-2018.xlsx]Bal Sheet - Standardized!R40C40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0" s="3"/>
      </tp>
      <tp>
        <v>-888</v>
        <stp/>
        <stp>##V3_BDHV12</stp>
        <stp>AMZN US Equity</stp>
        <stp>CFF_ACTIVITIES_DETAILED</stp>
        <stp>FQ1 2017</stp>
        <stp>FQ1 2017</stp>
        <stp>[AMZ_2009-2018.xlsx]Cash Flow - Standardized!R51C35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1" s="4"/>
      </tp>
      <tp>
        <v>0</v>
        <stp/>
        <stp>##V3_BDHV12</stp>
        <stp>AMZN US Equity</stp>
        <stp>OTHER_INTANGIBLE_ASSETS_DETAILED</stp>
        <stp>FQ2 2014</stp>
        <stp>FQ2 2014</stp>
        <stp>[AMZ_2009-2018.xlsx]Bal Sheet - Standardized!R30C24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0" s="3"/>
      </tp>
      <tp>
        <v>44.082900000000002</v>
        <stp/>
        <stp>##V3_BDHV12</stp>
        <stp>AMZN US Equity</stp>
        <stp>PX_TO_FREE_CASH_FLOW</stp>
        <stp>FQ3 2015</stp>
        <stp>FQ3 2015</stp>
        <stp>[AMZ_2009-2018.xlsx]Cash Flow - Standardized!R69C29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69" s="4"/>
      </tp>
      <tp>
        <v>0</v>
        <stp/>
        <stp>##V3_BDHV12</stp>
        <stp>AMZN US Equity</stp>
        <stp>OTHER_INTANGIBLE_ASSETS_DETAILED</stp>
        <stp>FQ1 2016</stp>
        <stp>FQ1 2016</stp>
        <stp>[AMZ_2009-2018.xlsx]Bal Sheet - Standardized!R30C31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0" s="3"/>
      </tp>
      <tp>
        <v>5054</v>
        <stp/>
        <stp>##V3_BDHV12</stp>
        <stp>AMZN US Equity</stp>
        <stp>OTHER_NONCURRENT_ASSETS_DETAILED</stp>
        <stp>FQ1 2017</stp>
        <stp>FQ1 2017</stp>
        <stp>[AMZ_2009-2018.xlsx]Bal Sheet - Standardized!R33C35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3" s="3"/>
      </tp>
      <tp>
        <v>647</v>
        <stp/>
        <stp>##V3_BDHV12</stp>
        <stp>AMZN US Equity</stp>
        <stp>OTHER_INTANGIBLE_ASSETS_DETAILED</stp>
        <stp>FQ4 2011</stp>
        <stp>FQ4 2011</stp>
        <stp>[AMZ_2009-2018.xlsx]Bal Sheet - Standardized!R30C14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0" s="3"/>
      </tp>
      <tp>
        <v>1265</v>
        <stp/>
        <stp>##V3_BDHV12</stp>
        <stp>AMZN US Equity</stp>
        <stp>OTHER_NONCURRENT_ASSETS_DETAILED</stp>
        <stp>FQ4 2010</stp>
        <stp>FQ4 2010</stp>
        <stp>[AMZ_2009-2018.xlsx]Bal Sheet - Standardized!R33C10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3" s="3"/>
      </tp>
      <tp>
        <v>1285</v>
        <stp/>
        <stp>##V3_BDHV12</stp>
        <stp>AMZN US Equity</stp>
        <stp>OTHER_NONCURRENT_ASSETS_DETAILED</stp>
        <stp>FQ4 2013</stp>
        <stp>FQ4 2013</stp>
        <stp>[AMZ_2009-2018.xlsx]Bal Sheet - Standardized!R33C22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3" s="3"/>
      </tp>
      <tp>
        <v>2813</v>
        <stp/>
        <stp>##V3_BDHV12</stp>
        <stp>AMZN US Equity</stp>
        <stp>OTHER_NONCURRENT_ASSETS_DETAILED</stp>
        <stp>FQ3 2014</stp>
        <stp>FQ3 2014</stp>
        <stp>[AMZ_2009-2018.xlsx]Bal Sheet - Standardized!R33C25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3" s="3"/>
      </tp>
      <tp>
        <v>75</v>
        <stp/>
        <stp>##V3_BDHV12</stp>
        <stp>AMZN US Equity</stp>
        <stp>PROC_FR_REPURCH_EQTY_DETAILED</stp>
        <stp>FQ2 2010</stp>
        <stp>FQ2 2010</stp>
        <stp>[AMZ_2009-2018.xlsx]Cash Flow - Standardized!R46C8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6" s="4"/>
      </tp>
      <tp>
        <v>0</v>
        <stp/>
        <stp>##V3_BDHV12</stp>
        <stp>AMZN US Equity</stp>
        <stp>PROC_FR_REPURCH_EQTY_DETAILED</stp>
        <stp>FQ3 2009</stp>
        <stp>FQ3 2009</stp>
        <stp>[AMZ_2009-2018.xlsx]Cash Flow - Standardized!R46C5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6" s="4"/>
      </tp>
      <tp>
        <v>56</v>
        <stp/>
        <stp>##V3_BDHV12</stp>
        <stp>AMZN US Equity</stp>
        <stp>CF_CHANGE_IN_ACCOUNTS_PAYABLE</stp>
        <stp>FQ2 2009</stp>
        <stp>FQ2 2009</stp>
        <stp>[AMZ_2009-2018.xlsx]Cash Flow - Standardized!R16C4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6" s="4"/>
      </tp>
      <tp>
        <v>894</v>
        <stp/>
        <stp>##V3_BDHV12</stp>
        <stp>AMZN US Equity</stp>
        <stp>CF_CHANGE_IN_ACCOUNTS_PAYABLE</stp>
        <stp>FQ3 2010</stp>
        <stp>FQ3 2010</stp>
        <stp>[AMZ_2009-2018.xlsx]Cash Flow - Standardized!R16C9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6" s="4"/>
      </tp>
      <tp>
        <v>9913</v>
        <stp/>
        <stp>##V3_BDHV12</stp>
        <stp>AMZN US Equity</stp>
        <stp>SALES_REV_TURN</stp>
        <stp>FQ2 2011</stp>
        <stp>FQ2 2011</stp>
        <stp>[AMZ_2009-2018.xlsx]Income - Adjusted!R6C12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6" s="2"/>
      </tp>
      <tp>
        <v>15704</v>
        <stp/>
        <stp>##V3_BDHV12</stp>
        <stp>AMZN US Equity</stp>
        <stp>SALES_REV_TURN</stp>
        <stp>FQ2 2013</stp>
        <stp>FQ2 2013</stp>
        <stp>[AMZ_2009-2018.xlsx]Income - Adjusted!R6C20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6" s="2"/>
      </tp>
      <tp>
        <v>107</v>
        <stp/>
        <stp>##V3_BDHV12</stp>
        <stp>AMZN US Equity</stp>
        <stp>CF_STOCK_BASED_COMPENSATION</stp>
        <stp>FQ3 2009</stp>
        <stp>FQ3 2009</stp>
        <stp>[AMZ_2009-2018.xlsx]Cash Flow - Standardized!R10C5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0" s="4"/>
      </tp>
      <tp>
        <v>-0.09</v>
        <stp/>
        <stp>##V3_BDHV12</stp>
        <stp>AMZN US Equity</stp>
        <stp>IS_DIL_EPS_BEF_XO</stp>
        <stp>FQ3 2013</stp>
        <stp>FQ3 2013</stp>
        <stp>[AMZ_2009-2018.xlsx]Income - Adjusted!R56C21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56" s="2"/>
      </tp>
      <tp>
        <v>0.44</v>
        <stp/>
        <stp>##V3_BDHV12</stp>
        <stp>AMZN US Equity</stp>
        <stp>IS_DIL_EPS_BEF_XO</stp>
        <stp>FQ1 2011</stp>
        <stp>FQ1 2011</stp>
        <stp>[AMZ_2009-2018.xlsx]Income - Adjusted!R56C11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56" s="2"/>
      </tp>
      <tp>
        <v>1.07</v>
        <stp/>
        <stp>##V3_BDHV12</stp>
        <stp>AMZN US Equity</stp>
        <stp>IS_DIL_EPS_BEF_XO</stp>
        <stp>FQ1 2016</stp>
        <stp>FQ1 2016</stp>
        <stp>[AMZ_2009-2018.xlsx]Income - Adjusted!R56C31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56" s="2"/>
      </tp>
      <tp>
        <v>333</v>
        <stp/>
        <stp>##V3_BDHV12</stp>
        <stp>AMZN US Equity</stp>
        <stp>EBITDA</stp>
        <stp>FQ1 2009</stp>
        <stp>FQ1 2009</stp>
        <stp>[AMZ_2009-2018.xlsx]Income - Adjusted!R61C3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61" s="2"/>
      </tp>
      <tp>
        <v>36</v>
        <stp/>
        <stp>##V3_BDHV12</stp>
        <stp>AMZN US Equity</stp>
        <stp>CF_STOCK_BASED_COMPENSATION</stp>
        <stp>FQ2 2010</stp>
        <stp>FQ2 2010</stp>
        <stp>[AMZ_2009-2018.xlsx]Cash Flow - Standardized!R10C8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0" s="4"/>
      </tp>
      <tp>
        <v>199</v>
        <stp/>
        <stp>##V3_BDHV12</stp>
        <stp>AMZN US Equity</stp>
        <stp>NET_INCOME</stp>
        <stp>FQ3 2009</stp>
        <stp>FQ3 2009</stp>
        <stp>[AMZ_2009-2018.xlsx]Income - Adjusted!R40C5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40" s="2"/>
      </tp>
      <tp>
        <v>0</v>
        <stp/>
        <stp>##V3_BDHV12</stp>
        <stp>AMZN US Equity</stp>
        <stp>IS_EXTRAORD_ITEMS_&amp;_ACCTG_CHNG</stp>
        <stp>FQ2 2009</stp>
        <stp>FQ2 2009</stp>
        <stp>[AMZ_2009-2018.xlsx]Income - Adjusted!R37C4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7" s="2"/>
      </tp>
      <tp>
        <v>0</v>
        <stp/>
        <stp>##V3_BDHV12</stp>
        <stp>AMZN US Equity</stp>
        <stp>BS_PFD_EQTY_&amp;_HYBRID_CPTL</stp>
        <stp>FQ3 2012</stp>
        <stp>FQ3 2012</stp>
        <stp>[AMZ_2009-2018.xlsx]Bal Sheet - Standardized!R64C17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4" s="3"/>
      </tp>
      <tp>
        <v>13806</v>
        <stp/>
        <stp>##V3_BDHV12</stp>
        <stp>AMZN US Equity</stp>
        <stp>IS_SALES_AND_SERVICES_REVENUES</stp>
        <stp>FQ3 2012</stp>
        <stp>FQ3 2012</stp>
        <stp>[AMZ_2009-2018.xlsx]Income - Adjusted!R7C17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7" s="2"/>
      </tp>
      <tp>
        <v>32714</v>
        <stp/>
        <stp>##V3_BDHV12</stp>
        <stp>AMZN US Equity</stp>
        <stp>IS_SALES_AND_SERVICES_REVENUES</stp>
        <stp>FQ3 2016</stp>
        <stp>FQ3 2016</stp>
        <stp>[AMZ_2009-2018.xlsx]Income - Adjusted!R7C33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7" s="2"/>
      </tp>
      <tp>
        <v>35747</v>
        <stp/>
        <stp>##V3_BDHV12</stp>
        <stp>AMZN US Equity</stp>
        <stp>IS_SALES_AND_SERVICES_REVENUES</stp>
        <stp>FQ4 2015</stp>
        <stp>FQ4 2015</stp>
        <stp>[AMZ_2009-2018.xlsx]Income - Adjusted!R7C30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7" s="2"/>
      </tp>
      <tp>
        <v>17431</v>
        <stp/>
        <stp>##V3_BDHV12</stp>
        <stp>AMZN US Equity</stp>
        <stp>IS_SALES_AND_SERVICES_REVENUES</stp>
        <stp>FQ4 2011</stp>
        <stp>FQ4 2011</stp>
        <stp>[AMZ_2009-2018.xlsx]Income - Adjusted!R7C14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7" s="2"/>
      </tp>
      <tp>
        <v>9.2401999999999997</v>
        <stp/>
        <stp>##V3_BDHV12</stp>
        <stp>AMZN US Equity</stp>
        <stp>CASH_ST_INVESTMENTS_PER_SH</stp>
        <stp>FQ3 2009</stp>
        <stp>FQ3 2009</stp>
        <stp>[AMZ_2009-2018.xlsx]Per Share!R25C5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25" s="5"/>
      </tp>
      <tp>
        <v>0</v>
        <stp/>
        <stp>##V3_BDHV12</stp>
        <stp>AMZN US Equity</stp>
        <stp>BS_PFD_EQTY_&amp;_HYBRID_CPTL</stp>
        <stp>FQ4 2017</stp>
        <stp>FQ4 2017</stp>
        <stp>[AMZ_2009-2018.xlsx]Bal Sheet - Standardized!R64C38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4" s="3"/>
      </tp>
      <tp>
        <v>471</v>
        <stp/>
        <stp>##V3_BDHV12</stp>
        <stp>AMZN US Equity</stp>
        <stp>BS_SH_OUT</stp>
        <stp>FQ4 2015</stp>
        <stp>FQ4 2015</stp>
        <stp>[AMZ_2009-2018.xlsx]Bal Sheet - Standardized!R78C30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78" s="3"/>
      </tp>
      <tp>
        <v>455</v>
        <stp/>
        <stp>##V3_BDHV12</stp>
        <stp>AMZN US Equity</stp>
        <stp>BS_SH_OUT</stp>
        <stp>FQ4 2011</stp>
        <stp>FQ4 2011</stp>
        <stp>[AMZ_2009-2018.xlsx]Bal Sheet - Standardized!R78C14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78" s="3"/>
      </tp>
      <tp>
        <v>453</v>
        <stp/>
        <stp>##V3_BDHV12</stp>
        <stp>AMZN US Equity</stp>
        <stp>BS_SH_OUT</stp>
        <stp>FQ3 2012</stp>
        <stp>FQ3 2012</stp>
        <stp>[AMZ_2009-2018.xlsx]Bal Sheet - Standardized!R78C17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78" s="3"/>
      </tp>
      <tp>
        <v>475</v>
        <stp/>
        <stp>##V3_BDHV12</stp>
        <stp>AMZN US Equity</stp>
        <stp>BS_SH_OUT</stp>
        <stp>FQ3 2016</stp>
        <stp>FQ3 2016</stp>
        <stp>[AMZ_2009-2018.xlsx]Bal Sheet - Standardized!R78C33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78" s="3"/>
      </tp>
      <tp>
        <v>1021</v>
        <stp/>
        <stp>##V3_BDHV12</stp>
        <stp>AMZN US Equity</stp>
        <stp>BS_DEFERRED_TAX_LIABILITIES_LT</stp>
        <stp>FQ4 2014</stp>
        <stp>FQ4 2014</stp>
        <stp>[AMZ_2009-2018.xlsx]Bal Sheet - Standardized!R59C26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9" s="3"/>
      </tp>
      <tp t="s">
        <v>—</v>
        <stp/>
        <stp>##V3_BDHV12</stp>
        <stp>AMZN US Equity</stp>
        <stp>BS_DEFERRED_TAX_LIABILITIES_LT</stp>
        <stp>FQ3 2013</stp>
        <stp>FQ3 2013</stp>
        <stp>[AMZ_2009-2018.xlsx]Bal Sheet - Standardized!R59C21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9" s="3"/>
      </tp>
      <tp>
        <v>0</v>
        <stp/>
        <stp>##V3_BDHV12</stp>
        <stp>AMZN US Equity</stp>
        <stp>CF_OTHER_FINANCING_ACT_EXCL_FX</stp>
        <stp>FQ3 2010</stp>
        <stp>FQ3 2010</stp>
        <stp>[AMZ_2009-2018.xlsx]Cash Flow - Standardized!R49C9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9" s="4"/>
      </tp>
      <tp t="s">
        <v>—</v>
        <stp/>
        <stp>##V3_BDHV12</stp>
        <stp>AMZN US Equity</stp>
        <stp>BS_DEFERRED_TAX_LIABILITIES_LT</stp>
        <stp>FQ2 2011</stp>
        <stp>FQ2 2011</stp>
        <stp>[AMZ_2009-2018.xlsx]Bal Sheet - Standardized!R59C12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9" s="3"/>
      </tp>
      <tp>
        <v>0</v>
        <stp/>
        <stp>##V3_BDHV12</stp>
        <stp>AMZN US Equity</stp>
        <stp>BS_OTHER_CUR_ASSET_LESS_PREPAY</stp>
        <stp>FQ1 2018</stp>
        <stp>FQ1 2018</stp>
        <stp>[AMZ_2009-2018.xlsx]Bal Sheet - Standardized!R21C39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1" s="3"/>
      </tp>
      <tp>
        <v>0</v>
        <stp/>
        <stp>##V3_BDHV12</stp>
        <stp>AMZN US Equity</stp>
        <stp>CF_OTHER_FINANCING_ACT_EXCL_FX</stp>
        <stp>FQ2 2009</stp>
        <stp>FQ2 2009</stp>
        <stp>[AMZ_2009-2018.xlsx]Cash Flow - Standardized!R49C4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9" s="4"/>
      </tp>
      <tp t="s">
        <v>—</v>
        <stp/>
        <stp>##V3_BDHV12</stp>
        <stp>AMZN US Equity</stp>
        <stp>BS_DEFERRED_TAX_LIABILITIES_LT</stp>
        <stp>FQ1 2012</stp>
        <stp>FQ1 2012</stp>
        <stp>[AMZ_2009-2018.xlsx]Bal Sheet - Standardized!R59C15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9" s="3"/>
      </tp>
      <tp>
        <v>407</v>
        <stp/>
        <stp>##V3_BDHV12</stp>
        <stp>AMZN US Equity</stp>
        <stp>BS_DEFERRED_TAX_LIABILITIES_LT</stp>
        <stp>FQ4 2015</stp>
        <stp>FQ4 2015</stp>
        <stp>[AMZ_2009-2018.xlsx]Bal Sheet - Standardized!R59C30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9" s="3"/>
      </tp>
      <tp>
        <v>8877</v>
        <stp/>
        <stp>##V3_BDHV12</stp>
        <stp>AMZN US Equity</stp>
        <stp>BS_OTHER_ASSETS_DEF_CHRG_OTHER</stp>
        <stp>FQ1 2017</stp>
        <stp>FQ1 2017</stp>
        <stp>[AMZ_2009-2018.xlsx]Bal Sheet - Standardized!R27C35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7" s="3"/>
      </tp>
      <tp>
        <v>4585</v>
        <stp/>
        <stp>##V3_BDHV12</stp>
        <stp>AMZN US Equity</stp>
        <stp>BS_OTHER_ASSETS_DEF_CHRG_OTHER</stp>
        <stp>FQ4 2013</stp>
        <stp>FQ4 2013</stp>
        <stp>[AMZ_2009-2018.xlsx]Bal Sheet - Standardized!R27C22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7" s="3"/>
      </tp>
      <tp>
        <v>6145</v>
        <stp/>
        <stp>##V3_BDHV12</stp>
        <stp>AMZN US Equity</stp>
        <stp>BS_OTHER_ASSETS_DEF_CHRG_OTHER</stp>
        <stp>FQ3 2014</stp>
        <stp>FQ3 2014</stp>
        <stp>[AMZ_2009-2018.xlsx]Bal Sheet - Standardized!R27C25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7" s="3"/>
      </tp>
      <tp>
        <v>2636</v>
        <stp/>
        <stp>##V3_BDHV12</stp>
        <stp>AMZN US Equity</stp>
        <stp>BS_OTHER_ASSETS_DEF_CHRG_OTHER</stp>
        <stp>FQ4 2010</stp>
        <stp>FQ4 2010</stp>
        <stp>[AMZ_2009-2018.xlsx]Bal Sheet - Standardized!R27C10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7" s="3"/>
      </tp>
      <tp>
        <v>31463</v>
        <stp/>
        <stp>##V3_BDHV12</stp>
        <stp>AMZN US Equity</stp>
        <stp>EQTY_BEF_MINORITY_INT_DETAILED</stp>
        <stp>FQ1 2018</stp>
        <stp>FQ1 2018</stp>
        <stp>[AMZ_2009-2018.xlsx]Bal Sheet - Standardized!R71C39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1" s="3"/>
      </tp>
      <tp>
        <v>315</v>
        <stp/>
        <stp>##V3_BDHV12</stp>
        <stp>AMZN US Equity</stp>
        <stp>IS_OPEX_R&amp;D</stp>
        <stp>FQ3 2009</stp>
        <stp>FQ3 2009</stp>
        <stp>[AMZ_2009-2018.xlsx]Income - Adjusted!R16C5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6" s="2"/>
      </tp>
      <tp>
        <v>6570</v>
        <stp/>
        <stp>##V3_BDHV12</stp>
        <stp>AMZN US Equity</stp>
        <stp>BS_OTHER_ASSETS_DEF_CHRG_OTHER</stp>
        <stp>FQ2 2015</stp>
        <stp>FQ2 2015</stp>
        <stp>[AMZ_2009-2018.xlsx]Bal Sheet - Standardized!R27C28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7" s="3"/>
      </tp>
      <tp>
        <v>5612</v>
        <stp/>
        <stp>##V3_BDHV12</stp>
        <stp>AMZN US Equity</stp>
        <stp>BS_ACCT_NOTE_RCV</stp>
        <stp>FQ4 2014</stp>
        <stp>FQ4 2014</stp>
        <stp>[AMZ_2009-2018.xlsx]Bal Sheet - Standardized!R10C26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0" s="3"/>
      </tp>
      <tp>
        <v>3057</v>
        <stp/>
        <stp>##V3_BDHV12</stp>
        <stp>AMZN US Equity</stp>
        <stp>BS_ACCT_NOTE_RCV</stp>
        <stp>FQ3 2013</stp>
        <stp>FQ3 2013</stp>
        <stp>[AMZ_2009-2018.xlsx]Bal Sheet - Standardized!R10C21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0" s="3"/>
      </tp>
      <tp>
        <v>584</v>
        <stp/>
        <stp>##V3_BDHV12</stp>
        <stp>AMZN US Equity</stp>
        <stp>BS_ACCT_NOTE_RCV</stp>
        <stp>FQ2 2009</stp>
        <stp>FQ2 2009</stp>
        <stp>[AMZ_2009-2018.xlsx]Bal Sheet - Standardized!R10C4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0" s="3"/>
      </tp>
      <tp>
        <v>1438</v>
        <stp/>
        <stp>##V3_BDHV12</stp>
        <stp>AMZN US Equity</stp>
        <stp>BS_ACCT_NOTE_RCV</stp>
        <stp>FQ2 2011</stp>
        <stp>FQ2 2011</stp>
        <stp>[AMZ_2009-2018.xlsx]Bal Sheet - Standardized!R10C12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0" s="3"/>
      </tp>
      <tp>
        <v>5654</v>
        <stp/>
        <stp>##V3_BDHV12</stp>
        <stp>AMZN US Equity</stp>
        <stp>BS_ACCT_NOTE_RCV</stp>
        <stp>FQ4 2015</stp>
        <stp>FQ4 2015</stp>
        <stp>[AMZ_2009-2018.xlsx]Bal Sheet - Standardized!R10C30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0" s="3"/>
      </tp>
      <tp>
        <v>959</v>
        <stp/>
        <stp>##V3_BDHV12</stp>
        <stp>AMZN US Equity</stp>
        <stp>BS_ACCT_NOTE_RCV</stp>
        <stp>FQ3 2010</stp>
        <stp>FQ3 2010</stp>
        <stp>[AMZ_2009-2018.xlsx]Bal Sheet - Standardized!R10C9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0" s="3"/>
      </tp>
      <tp>
        <v>1813</v>
        <stp/>
        <stp>##V3_BDHV12</stp>
        <stp>AMZN US Equity</stp>
        <stp>BS_ACCT_NOTE_RCV</stp>
        <stp>FQ1 2012</stp>
        <stp>FQ1 2012</stp>
        <stp>[AMZ_2009-2018.xlsx]Bal Sheet - Standardized!R10C15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0" s="3"/>
      </tp>
      <tp>
        <v>126362</v>
        <stp/>
        <stp>##V3_BDHV12</stp>
        <stp>AMZN US Equity</stp>
        <stp>TOT_LIAB_AND_EQY</stp>
        <stp>FQ1 2018</stp>
        <stp>FQ1 2018</stp>
        <stp>[AMZ_2009-2018.xlsx]Bal Sheet - Standardized!R74C39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4" s="3"/>
      </tp>
      <tp>
        <v>266.49</v>
        <stp/>
        <stp>##V3_BDHV12</stp>
        <stp>AMZN US Equity</stp>
        <stp>PX_LAST</stp>
        <stp>FQ1 2013</stp>
        <stp>FQ1 2013</stp>
        <stp>[AMZ_2009-2018.xlsx]Stock Value!R6C19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6" s="6"/>
      </tp>
      <tp>
        <v>3216</v>
        <stp/>
        <stp>##V3_BDHV12</stp>
        <stp>AMZN US Equity</stp>
        <stp>OTHER_NONCURRENT_ASSETS_DETAILED</stp>
        <stp>FQ3 2015</stp>
        <stp>FQ3 2015</stp>
        <stp>[AMZ_2009-2018.xlsx]Bal Sheet - Standardized!R33C29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3" s="3"/>
      </tp>
      <tp>
        <v>0</v>
        <stp/>
        <stp>##V3_BDHV12</stp>
        <stp>AMZN US Equity</stp>
        <stp>CF_ACQUISITION_OF_INTANG_ASSETS</stp>
        <stp>FQ1 2018</stp>
        <stp>FQ1 2018</stp>
        <stp>[AMZ_2009-2018.xlsx]Cash Flow - Standardized!R28C39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8" s="4"/>
      </tp>
      <tp>
        <v>-730</v>
        <stp/>
        <stp>##V3_BDHV12</stp>
        <stp>AMZN US Equity</stp>
        <stp>CFF_ACTIVITIES_DETAILED</stp>
        <stp>FQ3 2015</stp>
        <stp>FQ3 2015</stp>
        <stp>[AMZ_2009-2018.xlsx]Cash Flow - Standardized!R51C29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1" s="4"/>
      </tp>
      <tp>
        <v>0</v>
        <stp/>
        <stp>##V3_BDHV12</stp>
        <stp>AMZN US Equity</stp>
        <stp>OTHER_INTANGIBLE_ASSETS_DETAILED</stp>
        <stp>FQ2 2015</stp>
        <stp>FQ2 2015</stp>
        <stp>[AMZ_2009-2018.xlsx]Bal Sheet - Standardized!R30C28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0" s="3"/>
      </tp>
      <tp>
        <v>13388</v>
        <stp/>
        <stp>##V3_BDHV12</stp>
        <stp>AMZN US Equity</stp>
        <stp>BS_DISCLOSED_INTANGIBLES</stp>
        <stp>FQ1 2018</stp>
        <stp>FQ1 2018</stp>
        <stp>[AMZ_2009-2018.xlsx]Bal Sheet - Standardized!R28C39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8" s="3"/>
      </tp>
      <tp>
        <v>-37</v>
        <stp/>
        <stp>##V3_BDHV12</stp>
        <stp>AMZN US Equity</stp>
        <stp>CF_CASH_FOR_ACQUIS_SUBSIDIARIES</stp>
        <stp>FQ3 2012</stp>
        <stp>FQ3 2012</stp>
        <stp>[AMZ_2009-2018.xlsx]Cash Flow - Standardized!R34C17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4" s="4"/>
      </tp>
      <tp>
        <v>-189</v>
        <stp/>
        <stp>##V3_BDHV12</stp>
        <stp>AMZN US Equity</stp>
        <stp>CFF_ACTIVITIES_DETAILED</stp>
        <stp>FQ2 2014</stp>
        <stp>FQ2 2014</stp>
        <stp>[AMZ_2009-2018.xlsx]Cash Flow - Standardized!R51C24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1" s="4"/>
      </tp>
      <tp>
        <v>0</v>
        <stp/>
        <stp>##V3_BDHV12</stp>
        <stp>AMZN US Equity</stp>
        <stp>OTHER_INTANGIBLE_ASSETS_DETAILED</stp>
        <stp>FQ1 2017</stp>
        <stp>FQ1 2017</stp>
        <stp>[AMZ_2009-2018.xlsx]Bal Sheet - Standardized!R30C35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0" s="3"/>
      </tp>
      <tp>
        <v>3522</v>
        <stp/>
        <stp>##V3_BDHV12</stp>
        <stp>AMZN US Equity</stp>
        <stp>OTHER_NONCURRENT_ASSETS_DETAILED</stp>
        <stp>FQ1 2016</stp>
        <stp>FQ1 2016</stp>
        <stp>[AMZ_2009-2018.xlsx]Bal Sheet - Standardized!R33C31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3" s="3"/>
      </tp>
      <tp>
        <v>0</v>
        <stp/>
        <stp>##V3_BDHV12</stp>
        <stp>AMZN US Equity</stp>
        <stp>OTHER_INTANGIBLE_ASSETS_DETAILED</stp>
        <stp>FQ3 2014</stp>
        <stp>FQ3 2014</stp>
        <stp>[AMZ_2009-2018.xlsx]Bal Sheet - Standardized!R30C25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0" s="3"/>
      </tp>
      <tp>
        <v>645</v>
        <stp/>
        <stp>##V3_BDHV12</stp>
        <stp>AMZN US Equity</stp>
        <stp>OTHER_INTANGIBLE_ASSETS_DETAILED</stp>
        <stp>FQ4 2013</stp>
        <stp>FQ4 2013</stp>
        <stp>[AMZ_2009-2018.xlsx]Bal Sheet - Standardized!R30C22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0" s="3"/>
      </tp>
      <tp>
        <v>1447.34</v>
        <stp/>
        <stp>##V3_BDHV12</stp>
        <stp>AMZN US Equity</stp>
        <stp>PX_LAST</stp>
        <stp>FQ1 2018</stp>
        <stp>FQ1 2018</stp>
        <stp>[AMZ_2009-2018.xlsx]Stock Value!R6C39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6" s="6"/>
      </tp>
      <tp>
        <v>0</v>
        <stp/>
        <stp>##V3_BDHV12</stp>
        <stp>AMZN US Equity</stp>
        <stp>OTHER_INTANGIBLE_ASSETS_DETAILED</stp>
        <stp>FQ4 2010</stp>
        <stp>FQ4 2010</stp>
        <stp>[AMZ_2009-2018.xlsx]Bal Sheet - Standardized!R30C10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0" s="3"/>
      </tp>
      <tp>
        <v>46.049900000000001</v>
        <stp/>
        <stp>##V3_BDHV12</stp>
        <stp>AMZN US Equity</stp>
        <stp>PX_TO_FREE_CASH_FLOW</stp>
        <stp>FQ2 2015</stp>
        <stp>FQ2 2015</stp>
        <stp>[AMZ_2009-2018.xlsx]Cash Flow - Standardized!R69C28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69" s="4"/>
      </tp>
      <tp>
        <v>741</v>
        <stp/>
        <stp>##V3_BDHV12</stp>
        <stp>AMZN US Equity</stp>
        <stp>OTHER_NONCURRENT_ASSETS_DETAILED</stp>
        <stp>FQ4 2011</stp>
        <stp>FQ4 2011</stp>
        <stp>[AMZ_2009-2018.xlsx]Bal Sheet - Standardized!R33C14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3" s="3"/>
      </tp>
      <tp>
        <v>-333</v>
        <stp/>
        <stp>##V3_BDHV12</stp>
        <stp>AMZN US Equity</stp>
        <stp>CFF_ACTIVITIES_DETAILED</stp>
        <stp>FQ4 2011</stp>
        <stp>FQ4 2011</stp>
        <stp>[AMZ_2009-2018.xlsx]Cash Flow - Standardized!R51C14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1" s="4"/>
      </tp>
      <tp>
        <v>-81</v>
        <stp/>
        <stp>##V3_BDHV12</stp>
        <stp>AMZN US Equity</stp>
        <stp>CF_CASH_FOR_ACQUIS_SUBSIDIARIES</stp>
        <stp>FQ4 2017</stp>
        <stp>FQ4 2017</stp>
        <stp>[AMZ_2009-2018.xlsx]Cash Flow - Standardized!R34C38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4" s="4"/>
      </tp>
      <tp>
        <v>2377</v>
        <stp/>
        <stp>##V3_BDHV12</stp>
        <stp>AMZN US Equity</stp>
        <stp>OTHER_NONCURRENT_ASSETS_DETAILED</stp>
        <stp>FQ2 2014</stp>
        <stp>FQ2 2014</stp>
        <stp>[AMZ_2009-2018.xlsx]Bal Sheet - Standardized!R33C24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3" s="3"/>
      </tp>
      <tp>
        <v>-996</v>
        <stp/>
        <stp>##V3_BDHV12</stp>
        <stp>AMZN US Equity</stp>
        <stp>CFF_ACTIVITIES_DETAILED</stp>
        <stp>FQ1 2016</stp>
        <stp>FQ1 2016</stp>
        <stp>[AMZ_2009-2018.xlsx]Cash Flow - Standardized!R51C31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1" s="4"/>
      </tp>
      <tp>
        <v>-145</v>
        <stp/>
        <stp>##V3_BDHV12</stp>
        <stp>AMZN US Equity</stp>
        <stp>OTHER_INS_RES_TO_SHRHLDR_EQY</stp>
        <stp>FQ1 2010</stp>
        <stp>FQ1 2010</stp>
        <stp>[AMZ_2009-2018.xlsx]Bal Sheet - Standardized!R70C7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70" s="3"/>
      </tp>
      <tp>
        <v>86</v>
        <stp/>
        <stp>##V3_BDHV12</stp>
        <stp>AMZN US Equity</stp>
        <stp>PROC_FR_REPURCH_EQTY_DETAILED</stp>
        <stp>FQ1 2010</stp>
        <stp>FQ1 2010</stp>
        <stp>[AMZ_2009-2018.xlsx]Cash Flow - Standardized!R46C7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6" s="4"/>
      </tp>
      <tp>
        <v>-1129</v>
        <stp/>
        <stp>##V3_BDHV12</stp>
        <stp>AMZN US Equity</stp>
        <stp>CF_CHANGE_IN_ACCOUNTS_PAYABLE</stp>
        <stp>FQ1 2009</stp>
        <stp>FQ1 2009</stp>
        <stp>[AMZ_2009-2018.xlsx]Cash Flow - Standardized!R16C3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4"/>
      </tp>
      <tp>
        <v>43744</v>
        <stp/>
        <stp>##V3_BDHV12</stp>
        <stp>AMZN US Equity</stp>
        <stp>SALES_REV_TURN</stp>
        <stp>FQ3 2017</stp>
        <stp>FQ3 2017</stp>
        <stp>[AMZ_2009-2018.xlsx]Income - Adjusted!R6C37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6" s="2"/>
      </tp>
      <tp>
        <v>19340</v>
        <stp/>
        <stp>##V3_BDHV12</stp>
        <stp>AMZN US Equity</stp>
        <stp>SALES_REV_TURN</stp>
        <stp>FQ2 2014</stp>
        <stp>FQ2 2014</stp>
        <stp>[AMZ_2009-2018.xlsx]Income - Adjusted!R6C24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6" s="2"/>
      </tp>
      <tp>
        <v>9857</v>
        <stp/>
        <stp>##V3_BDHV12</stp>
        <stp>AMZN US Equity</stp>
        <stp>SALES_REV_TURN</stp>
        <stp>FQ1 2011</stp>
        <stp>FQ1 2011</stp>
        <stp>[AMZ_2009-2018.xlsx]Income - Adjusted!R6C11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2"/>
      </tp>
      <tp>
        <v>12948</v>
        <stp/>
        <stp>##V3_BDHV12</stp>
        <stp>AMZN US Equity</stp>
        <stp>SALES_REV_TURN</stp>
        <stp>FQ4 2010</stp>
        <stp>FQ4 2010</stp>
        <stp>[AMZ_2009-2018.xlsx]Income - Adjusted!R6C10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2"/>
      </tp>
      <tp>
        <v>0.51</v>
        <stp/>
        <stp>##V3_BDHV12</stp>
        <stp>AMZN US Equity</stp>
        <stp>IS_DIL_EPS_BEF_XO</stp>
        <stp>FQ4 2013</stp>
        <stp>FQ4 2013</stp>
        <stp>[AMZ_2009-2018.xlsx]Income - Adjusted!R56C22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56" s="2"/>
      </tp>
      <tp>
        <v>0.41</v>
        <stp/>
        <stp>##V3_BDHV12</stp>
        <stp>AMZN US Equity</stp>
        <stp>IS_DIL_EPS_BEF_XO</stp>
        <stp>FQ2 2011</stp>
        <stp>FQ2 2011</stp>
        <stp>[AMZ_2009-2018.xlsx]Income - Adjusted!R56C12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56" s="2"/>
      </tp>
      <tp>
        <v>1.78</v>
        <stp/>
        <stp>##V3_BDHV12</stp>
        <stp>AMZN US Equity</stp>
        <stp>IS_DIL_EPS_BEF_XO</stp>
        <stp>FQ2 2016</stp>
        <stp>FQ2 2016</stp>
        <stp>[AMZ_2009-2018.xlsx]Income - Adjusted!R56C32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56" s="2"/>
      </tp>
      <tp>
        <v>418</v>
        <stp/>
        <stp>##V3_BDHV12</stp>
        <stp>AMZN US Equity</stp>
        <stp>EBITDA</stp>
        <stp>FQ3 2010</stp>
        <stp>FQ3 2010</stp>
        <stp>[AMZ_2009-2018.xlsx]Income - Adjusted!R61C9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61" s="2"/>
      </tp>
      <tp>
        <v>384</v>
        <stp/>
        <stp>##V3_BDHV12</stp>
        <stp>AMZN US Equity</stp>
        <stp>NET_INCOME</stp>
        <stp>FQ4 2009</stp>
        <stp>FQ4 2009</stp>
        <stp>[AMZ_2009-2018.xlsx]Income - Adjusted!R40C6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40" s="2"/>
      </tp>
      <tp>
        <v>1</v>
        <stp/>
        <stp>##V3_BDHV12</stp>
        <stp>AMZN US Equity</stp>
        <stp>CF_STOCK_BASED_COMPENSATION</stp>
        <stp>FQ1 2010</stp>
        <stp>FQ1 2010</stp>
        <stp>[AMZ_2009-2018.xlsx]Cash Flow - Standardized!R10C7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0" s="4"/>
      </tp>
      <tp>
        <v>0</v>
        <stp/>
        <stp>##V3_BDHV12</stp>
        <stp>AMZN US Equity</stp>
        <stp>IS_EXTRAORD_ITEMS_&amp;_ACCTG_CHNG</stp>
        <stp>FQ1 2009</stp>
        <stp>FQ1 2009</stp>
        <stp>[AMZ_2009-2018.xlsx]Income - Adjusted!R37C3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2"/>
      </tp>
      <tp>
        <v>0</v>
        <stp/>
        <stp>##V3_BDHV12</stp>
        <stp>AMZN US Equity</stp>
        <stp>BS_PFD_EQTY_&amp;_HYBRID_CPTL</stp>
        <stp>FQ3 2011</stp>
        <stp>FQ3 2011</stp>
        <stp>[AMZ_2009-2018.xlsx]Bal Sheet - Standardized!R64C13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4" s="3"/>
      </tp>
      <tp>
        <v>0</v>
        <stp/>
        <stp>##V3_BDHV12</stp>
        <stp>AMZN US Equity</stp>
        <stp>BS_PFD_EQTY_&amp;_HYBRID_CPTL</stp>
        <stp>FQ2 2013</stp>
        <stp>FQ2 2013</stp>
        <stp>[AMZ_2009-2018.xlsx]Bal Sheet - Standardized!R64C20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4" s="3"/>
      </tp>
      <tp>
        <v>0</v>
        <stp/>
        <stp>##V3_BDHV12</stp>
        <stp>AMZN US Equity</stp>
        <stp>BS_PFD_EQTY_&amp;_HYBRID_CPTL</stp>
        <stp>FQ1 2013</stp>
        <stp>FQ1 2013</stp>
        <stp>[AMZ_2009-2018.xlsx]Bal Sheet - Standardized!R64C19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4" s="3"/>
      </tp>
      <tp>
        <v>14.3378</v>
        <stp/>
        <stp>##V3_BDHV12</stp>
        <stp>AMZN US Equity</stp>
        <stp>CASH_ST_INVESTMENTS_PER_SH</stp>
        <stp>FQ4 2009</stp>
        <stp>FQ4 2009</stp>
        <stp>[AMZ_2009-2018.xlsx]Per Share!R25C6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25" s="5"/>
      </tp>
      <tp>
        <v>392</v>
        <stp/>
        <stp>##V3_BDHV12</stp>
        <stp>AMZN US Equity</stp>
        <stp>BS_DEFERRED_TAX_LIABILITIES_LT</stp>
        <stp>FQ4 2016</stp>
        <stp>FQ4 2016</stp>
        <stp>[AMZ_2009-2018.xlsx]Bal Sheet - Standardized!R59C34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9" s="3"/>
      </tp>
      <tp>
        <v>0</v>
        <stp/>
        <stp>##V3_BDHV12</stp>
        <stp>AMZN US Equity</stp>
        <stp>CF_OTHER_FINANCING_ACT_EXCL_FX</stp>
        <stp>FQ1 2009</stp>
        <stp>FQ1 2009</stp>
        <stp>[AMZ_2009-2018.xlsx]Cash Flow - Standardized!R49C3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9" s="4"/>
      </tp>
      <tp t="s">
        <v>—</v>
        <stp/>
        <stp>##V3_BDHV12</stp>
        <stp>AMZN US Equity</stp>
        <stp>BS_DEFERRED_TAX_LIABILITIES_LT</stp>
        <stp>FQ1 2011</stp>
        <stp>FQ1 2011</stp>
        <stp>[AMZ_2009-2018.xlsx]Bal Sheet - Standardized!R59C11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9" s="3"/>
      </tp>
      <tp t="s">
        <v>—</v>
        <stp/>
        <stp>##V3_BDHV12</stp>
        <stp>AMZN US Equity</stp>
        <stp>BS_DEFERRED_TAX_LIABILITIES_LT</stp>
        <stp>FQ2 2012</stp>
        <stp>FQ2 2012</stp>
        <stp>[AMZ_2009-2018.xlsx]Bal Sheet - Standardized!R59C16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9" s="3"/>
      </tp>
      <tp t="s">
        <v>—</v>
        <stp/>
        <stp>##V3_BDHV12</stp>
        <stp>AMZN US Equity</stp>
        <stp>IS_DEPR_EXP</stp>
        <stp>FQ3 2010</stp>
        <stp>FQ3 2010</stp>
        <stp>[AMZ_2009-2018.xlsx]Income - Adjusted!R72C9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2" s="2"/>
      </tp>
      <tp>
        <v>6417</v>
        <stp/>
        <stp>##V3_BDHV12</stp>
        <stp>AMZN US Equity</stp>
        <stp>BS_OTHER_ASSETS_DEF_CHRG_OTHER</stp>
        <stp>FQ1 2015</stp>
        <stp>FQ1 2015</stp>
        <stp>[AMZ_2009-2018.xlsx]Bal Sheet - Standardized!R27C27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7" s="3"/>
      </tp>
      <tp>
        <v>9691</v>
        <stp/>
        <stp>##V3_BDHV12</stp>
        <stp>AMZN US Equity</stp>
        <stp>BS_OTHER_ASSETS_DEF_CHRG_OTHER</stp>
        <stp>FQ2 2017</stp>
        <stp>FQ2 2017</stp>
        <stp>[AMZ_2009-2018.xlsx]Bal Sheet - Standardized!R27C36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7" s="3"/>
      </tp>
      <tp>
        <v>8111</v>
        <stp/>
        <stp>##V3_BDHV12</stp>
        <stp>AMZN US Equity</stp>
        <stp>BS_OTHER_ASSETS_DEF_CHRG_OTHER</stp>
        <stp>FQ3 2016</stp>
        <stp>FQ3 2016</stp>
        <stp>[AMZ_2009-2018.xlsx]Bal Sheet - Standardized!R27C33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7" s="3"/>
      </tp>
      <tp>
        <v>17.5197</v>
        <stp/>
        <stp>##V3_BDHV12</stp>
        <stp>AMZN US Equity</stp>
        <stp>TCE_RATIO</stp>
        <stp>FQ2 2018</stp>
        <stp>FQ2 2018</stp>
        <stp>[AMZ_2009-2018.xlsx]Bal Sheet - Standardized!R85C40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85" s="3"/>
      </tp>
      <tp>
        <v>1304</v>
        <stp/>
        <stp>##V3_BDHV12</stp>
        <stp>AMZN US Equity</stp>
        <stp>BS_ACCT_NOTE_RCV</stp>
        <stp>FQ1 2011</stp>
        <stp>FQ1 2011</stp>
        <stp>[AMZ_2009-2018.xlsx]Bal Sheet - Standardized!R10C11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0" s="3"/>
      </tp>
      <tp>
        <v>8339</v>
        <stp/>
        <stp>##V3_BDHV12</stp>
        <stp>AMZN US Equity</stp>
        <stp>BS_ACCT_NOTE_RCV</stp>
        <stp>FQ4 2016</stp>
        <stp>FQ4 2016</stp>
        <stp>[AMZ_2009-2018.xlsx]Bal Sheet - Standardized!R10C34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0" s="3"/>
      </tp>
      <tp>
        <v>2035</v>
        <stp/>
        <stp>##V3_BDHV12</stp>
        <stp>AMZN US Equity</stp>
        <stp>BS_ACCT_NOTE_RCV</stp>
        <stp>FQ2 2012</stp>
        <stp>FQ2 2012</stp>
        <stp>[AMZ_2009-2018.xlsx]Bal Sheet - Standardized!R10C16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0" s="3"/>
      </tp>
      <tp>
        <v>587</v>
        <stp/>
        <stp>##V3_BDHV12</stp>
        <stp>AMZN US Equity</stp>
        <stp>BS_ACCT_NOTE_RCV</stp>
        <stp>FQ1 2009</stp>
        <stp>FQ1 2009</stp>
        <stp>[AMZ_2009-2018.xlsx]Bal Sheet - Standardized!R10C3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3"/>
      </tp>
      <tp>
        <v>-48</v>
        <stp/>
        <stp>##V3_BDHV12</stp>
        <stp>AMZN US Equity</stp>
        <stp>CF_CASH_FOR_ACQUIS_SUBSIDIARIES</stp>
        <stp>FQ3 2011</stp>
        <stp>FQ3 2011</stp>
        <stp>[AMZ_2009-2018.xlsx]Cash Flow - Standardized!R34C13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4" s="4"/>
      </tp>
      <tp>
        <v>-148</v>
        <stp/>
        <stp>##V3_BDHV12</stp>
        <stp>AMZN US Equity</stp>
        <stp>CF_CASH_FOR_ACQUIS_SUBSIDIARIES</stp>
        <stp>FQ2 2013</stp>
        <stp>FQ2 2013</stp>
        <stp>[AMZ_2009-2018.xlsx]Cash Flow - Standardized!R34C20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4" s="4"/>
      </tp>
      <tp>
        <v>3166</v>
        <stp/>
        <stp>##V3_BDHV12</stp>
        <stp>AMZN US Equity</stp>
        <stp>CFF_ACTIVITIES_DETAILED</stp>
        <stp>FQ4 2012</stp>
        <stp>FQ4 2012</stp>
        <stp>[AMZ_2009-2018.xlsx]Cash Flow - Standardized!R51C18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1" s="4"/>
      </tp>
      <tp>
        <v>0</v>
        <stp/>
        <stp>##V3_BDHV12</stp>
        <stp>AMZN US Equity</stp>
        <stp>NOTES_RECEIVABLE</stp>
        <stp>FQ2 2018</stp>
        <stp>FQ2 2018</stp>
        <stp>[AMZ_2009-2018.xlsx]Bal Sheet - Standardized!R12C40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2" s="3"/>
      </tp>
      <tp>
        <v>799</v>
        <stp/>
        <stp>##V3_BDHV12</stp>
        <stp>AMZN US Equity</stp>
        <stp>OTHER_NONCURRENT_ASSETS_DETAILED</stp>
        <stp>FQ4 2012</stp>
        <stp>FQ4 2012</stp>
        <stp>[AMZ_2009-2018.xlsx]Bal Sheet - Standardized!R33C18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3" s="3"/>
      </tp>
      <tp>
        <v>14685</v>
        <stp/>
        <stp>##V3_BDHV12</stp>
        <stp>AMZN US Equity</stp>
        <stp>CFF_ACTIVITIES_DETAILED</stp>
        <stp>FQ3 2017</stp>
        <stp>FQ3 2017</stp>
        <stp>[AMZ_2009-2018.xlsx]Cash Flow - Standardized!R51C37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1" s="4"/>
      </tp>
      <tp>
        <v>-103</v>
        <stp/>
        <stp>##V3_BDHV12</stp>
        <stp>AMZN US Equity</stp>
        <stp>CF_CASH_FOR_ACQUIS_SUBSIDIARIES</stp>
        <stp>FQ1 2013</stp>
        <stp>FQ1 2013</stp>
        <stp>[AMZ_2009-2018.xlsx]Cash Flow - Standardized!R34C19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4" s="4"/>
      </tp>
      <tp>
        <v>0</v>
        <stp/>
        <stp>##V3_BDHV12</stp>
        <stp>AMZN US Equity</stp>
        <stp>OTHER_INTANGIBLE_ASSETS_DETAILED</stp>
        <stp>FQ1 2015</stp>
        <stp>FQ1 2015</stp>
        <stp>[AMZ_2009-2018.xlsx]Bal Sheet - Standardized!R30C27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0" s="3"/>
      </tp>
      <tp>
        <v>2117</v>
        <stp/>
        <stp>##V3_BDHV12</stp>
        <stp>AMZN US Equity</stp>
        <stp>OTHER_NONCURRENT_ASSETS_DETAILED</stp>
        <stp>FQ1 2014</stp>
        <stp>FQ1 2014</stp>
        <stp>[AMZ_2009-2018.xlsx]Bal Sheet - Standardized!R33C23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3" s="3"/>
      </tp>
      <tp>
        <v>0</v>
        <stp/>
        <stp>##V3_BDHV12</stp>
        <stp>AMZN US Equity</stp>
        <stp>OTHER_INTANGIBLE_ASSETS_DETAILED</stp>
        <stp>FQ2 2017</stp>
        <stp>FQ2 2017</stp>
        <stp>[AMZ_2009-2018.xlsx]Bal Sheet - Standardized!R30C36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0" s="3"/>
      </tp>
      <tp>
        <v>3892</v>
        <stp/>
        <stp>##V3_BDHV12</stp>
        <stp>AMZN US Equity</stp>
        <stp>OTHER_NONCURRENT_ASSETS_DETAILED</stp>
        <stp>FQ2 2016</stp>
        <stp>FQ2 2016</stp>
        <stp>[AMZ_2009-2018.xlsx]Bal Sheet - Standardized!R33C32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3" s="3"/>
      </tp>
      <tp>
        <v>3766</v>
        <stp/>
        <stp>##V3_BDHV12</stp>
        <stp>AMZN US Equity</stp>
        <stp>IS_SG&amp;A_EXPENSE</stp>
        <stp>FQ1 2018</stp>
        <stp>FQ1 2018</stp>
        <stp>[AMZ_2009-2018.xlsx]Income - Adjusted!R13C39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3" s="2"/>
      </tp>
      <tp>
        <v>-1152</v>
        <stp/>
        <stp>##V3_BDHV12</stp>
        <stp>AMZN US Equity</stp>
        <stp>CFF_ACTIVITIES_DETAILED</stp>
        <stp>FQ2 2016</stp>
        <stp>FQ2 2016</stp>
        <stp>[AMZ_2009-2018.xlsx]Cash Flow - Standardized!R51C32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1" s="4"/>
      </tp>
      <tp>
        <v>878</v>
        <stp/>
        <stp>##V3_BDHV12</stp>
        <stp>AMZN US Equity</stp>
        <stp>IS_SG&amp;A_EXPENSE</stp>
        <stp>FQ1 2013</stp>
        <stp>FQ1 2013</stp>
        <stp>[AMZ_2009-2018.xlsx]Income - Adjusted!R13C19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3" s="2"/>
      </tp>
      <tp>
        <v>0</v>
        <stp/>
        <stp>##V3_BDHV12</stp>
        <stp>AMZN US Equity</stp>
        <stp>OTHER_INTANGIBLE_ASSETS_DETAILED</stp>
        <stp>FQ3 2016</stp>
        <stp>FQ3 2016</stp>
        <stp>[AMZ_2009-2018.xlsx]Bal Sheet - Standardized!R30C33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0" s="3"/>
      </tp>
      <tp>
        <v>1727</v>
        <stp/>
        <stp>##V3_BDHV12</stp>
        <stp>AMZN US Equity</stp>
        <stp>IS_SG&amp;A_EXPENSE</stp>
        <stp>FQ3 2015</stp>
        <stp>FQ3 2015</stp>
        <stp>[AMZ_2009-2018.xlsx]Income - Adjusted!R13C29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3" s="2"/>
      </tp>
      <tp>
        <v>8083</v>
        <stp/>
        <stp>##V3_BDHV12</stp>
        <stp>AMZN US Equity</stp>
        <stp>OTHER_NONCURRENT_ASSETS_DETAILED</stp>
        <stp>FQ3 2017</stp>
        <stp>FQ3 2017</stp>
        <stp>[AMZ_2009-2018.xlsx]Bal Sheet - Standardized!R33C37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3" s="3"/>
      </tp>
      <tp>
        <v>-175</v>
        <stp/>
        <stp>##V3_BDHV12</stp>
        <stp>AMZN US Equity</stp>
        <stp>CFF_ACTIVITIES_DETAILED</stp>
        <stp>FQ1 2014</stp>
        <stp>FQ1 2014</stp>
        <stp>[AMZ_2009-2018.xlsx]Cash Flow - Standardized!R51C23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1" s="4"/>
      </tp>
      <tp>
        <v>49</v>
        <stp/>
        <stp>##V3_BDHV12</stp>
        <stp>AMZN US Equity</stp>
        <stp>PROC_FR_REPURCH_EQTY_DETAILED</stp>
        <stp>FQ1 2009</stp>
        <stp>FQ1 2009</stp>
        <stp>[AMZ_2009-2018.xlsx]Cash Flow - Standardized!R46C3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6" s="4"/>
      </tp>
      <tp>
        <v>5501</v>
        <stp/>
        <stp>##V3_BDHV12</stp>
        <stp>AMZN US Equity</stp>
        <stp>IS_COGS_TO_FE_AND_PP_AND_G</stp>
        <stp>FQ1 2010</stp>
        <stp>FQ1 2010</stp>
        <stp>[AMZ_2009-2018.xlsx]Income - Adjusted!R8C7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8" s="2"/>
      </tp>
      <tp>
        <v>-1892</v>
        <stp/>
        <stp>##V3_BDHV12</stp>
        <stp>AMZN US Equity</stp>
        <stp>CF_CHANGE_IN_ACCOUNTS_PAYABLE</stp>
        <stp>FQ1 2010</stp>
        <stp>FQ1 2010</stp>
        <stp>[AMZ_2009-2018.xlsx]Cash Flow - Standardized!R16C7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6" s="4"/>
      </tp>
      <tp>
        <v>20579</v>
        <stp/>
        <stp>##V3_BDHV12</stp>
        <stp>AMZN US Equity</stp>
        <stp>SALES_REV_TURN</stp>
        <stp>FQ3 2014</stp>
        <stp>FQ3 2014</stp>
        <stp>[AMZ_2009-2018.xlsx]Income - Adjusted!R6C25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6" s="2"/>
      </tp>
      <tp>
        <v>37955</v>
        <stp/>
        <stp>##V3_BDHV12</stp>
        <stp>AMZN US Equity</stp>
        <stp>SALES_REV_TURN</stp>
        <stp>FQ2 2017</stp>
        <stp>FQ2 2017</stp>
        <stp>[AMZ_2009-2018.xlsx]Income - Adjusted!R6C36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6" s="2"/>
      </tp>
      <tp>
        <v>51042</v>
        <stp/>
        <stp>##V3_BDHV12</stp>
        <stp>AMZN US Equity</stp>
        <stp>SALES_REV_TURN</stp>
        <stp>FQ1 2018</stp>
        <stp>FQ1 2018</stp>
        <stp>[AMZ_2009-2018.xlsx]Income - Adjusted!R6C39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6" s="2"/>
      </tp>
      <tp>
        <v>25587</v>
        <stp/>
        <stp>##V3_BDHV12</stp>
        <stp>AMZN US Equity</stp>
        <stp>SALES_REV_TURN</stp>
        <stp>FQ4 2013</stp>
        <stp>FQ4 2013</stp>
        <stp>[AMZ_2009-2018.xlsx]Income - Adjusted!R6C22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6" s="2"/>
      </tp>
      <tp>
        <v>0.14000000000000001</v>
        <stp/>
        <stp>##V3_BDHV12</stp>
        <stp>AMZN US Equity</stp>
        <stp>IS_DIL_EPS_BEF_XO</stp>
        <stp>FQ3 2011</stp>
        <stp>FQ3 2011</stp>
        <stp>[AMZ_2009-2018.xlsx]Income - Adjusted!R56C13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56" s="2"/>
      </tp>
      <tp>
        <v>0.52</v>
        <stp/>
        <stp>##V3_BDHV12</stp>
        <stp>AMZN US Equity</stp>
        <stp>IS_DIL_EPS_BEF_XO</stp>
        <stp>FQ3 2016</stp>
        <stp>FQ3 2016</stp>
        <stp>[AMZ_2009-2018.xlsx]Income - Adjusted!R56C33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56" s="2"/>
      </tp>
      <tp>
        <v>0.23</v>
        <stp/>
        <stp>##V3_BDHV12</stp>
        <stp>AMZN US Equity</stp>
        <stp>IS_DIL_EPS_BEF_XO</stp>
        <stp>FQ1 2014</stp>
        <stp>FQ1 2014</stp>
        <stp>[AMZ_2009-2018.xlsx]Income - Adjusted!R56C23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56" s="2"/>
      </tp>
      <tp>
        <v>399</v>
        <stp/>
        <stp>##V3_BDHV12</stp>
        <stp>AMZN US Equity</stp>
        <stp>EBITDA</stp>
        <stp>FQ2 2010</stp>
        <stp>FQ2 2010</stp>
        <stp>[AMZ_2009-2018.xlsx]Income - Adjusted!R61C8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61" s="2"/>
      </tp>
      <tp>
        <v>18</v>
        <stp/>
        <stp>##V3_BDHV12</stp>
        <stp>AMZN US Equity</stp>
        <stp>CF_STOCK_BASED_COMPENSATION</stp>
        <stp>FQ1 2009</stp>
        <stp>FQ1 2009</stp>
        <stp>[AMZ_2009-2018.xlsx]Cash Flow - Standardized!R10C3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4"/>
      </tp>
      <tp>
        <v>0</v>
        <stp/>
        <stp>##V3_BDHV12</stp>
        <stp>AMZN US Equity</stp>
        <stp>BS_PFD_EQTY_&amp;_HYBRID_CPTL</stp>
        <stp>FQ4 2014</stp>
        <stp>FQ4 2014</stp>
        <stp>[AMZ_2009-2018.xlsx]Bal Sheet - Standardized!R64C26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4" s="3"/>
      </tp>
      <tp>
        <v>0</v>
        <stp/>
        <stp>##V3_BDHV12</stp>
        <stp>AMZN US Equity</stp>
        <stp>BS_PFD_EQTY_&amp;_HYBRID_CPTL</stp>
        <stp>FQ3 2013</stp>
        <stp>FQ3 2013</stp>
        <stp>[AMZ_2009-2018.xlsx]Bal Sheet - Standardized!R64C21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4" s="3"/>
      </tp>
      <tp>
        <v>0</v>
        <stp/>
        <stp>##V3_BDHV12</stp>
        <stp>AMZN US Equity</stp>
        <stp>BS_PFD_EQTY_&amp;_HYBRID_CPTL</stp>
        <stp>FQ2 2011</stp>
        <stp>FQ2 2011</stp>
        <stp>[AMZ_2009-2018.xlsx]Bal Sheet - Standardized!R64C12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4" s="3"/>
      </tp>
      <tp>
        <v>0</v>
        <stp/>
        <stp>##V3_BDHV12</stp>
        <stp>AMZN US Equity</stp>
        <stp>BS_PFD_EQTY_&amp;_HYBRID_CPTL</stp>
        <stp>FQ4 2015</stp>
        <stp>FQ4 2015</stp>
        <stp>[AMZ_2009-2018.xlsx]Bal Sheet - Standardized!R64C30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4" s="3"/>
      </tp>
      <tp>
        <v>0</v>
        <stp/>
        <stp>##V3_BDHV12</stp>
        <stp>AMZN US Equity</stp>
        <stp>BS_PFD_EQTY_&amp;_HYBRID_CPTL</stp>
        <stp>FQ1 2012</stp>
        <stp>FQ1 2012</stp>
        <stp>[AMZ_2009-2018.xlsx]Bal Sheet - Standardized!R64C15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4" s="3"/>
      </tp>
      <tp>
        <v>13185</v>
        <stp/>
        <stp>##V3_BDHV12</stp>
        <stp>AMZN US Equity</stp>
        <stp>IS_SALES_AND_SERVICES_REVENUES</stp>
        <stp>FQ1 2012</stp>
        <stp>FQ1 2012</stp>
        <stp>[AMZ_2009-2018.xlsx]Income - Adjusted!R7C15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7" s="2"/>
      </tp>
      <tp>
        <v>19741</v>
        <stp/>
        <stp>##V3_BDHV12</stp>
        <stp>AMZN US Equity</stp>
        <stp>IS_SALES_AND_SERVICES_REVENUES</stp>
        <stp>FQ1 2014</stp>
        <stp>FQ1 2014</stp>
        <stp>[AMZ_2009-2018.xlsx]Income - Adjusted!R7C23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7" s="2"/>
      </tp>
      <tp>
        <v>29128</v>
        <stp/>
        <stp>##V3_BDHV12</stp>
        <stp>AMZN US Equity</stp>
        <stp>IS_SALES_AND_SERVICES_REVENUES</stp>
        <stp>FQ1 2016</stp>
        <stp>FQ1 2016</stp>
        <stp>[AMZ_2009-2018.xlsx]Income - Adjusted!R7C31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7" s="2"/>
      </tp>
      <tp>
        <v>0</v>
        <stp/>
        <stp>##V3_BDHV12</stp>
        <stp>AMZN US Equity</stp>
        <stp>CF_OTHER_FINANCING_ACT_EXCL_FX</stp>
        <stp>FQ1 2010</stp>
        <stp>FQ1 2010</stp>
        <stp>[AMZ_2009-2018.xlsx]Cash Flow - Standardized!R49C7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9" s="4"/>
      </tp>
      <tp>
        <v>990</v>
        <stp/>
        <stp>##V3_BDHV12</stp>
        <stp>AMZN US Equity</stp>
        <stp>BS_DEFERRED_TAX_LIABILITIES_LT</stp>
        <stp>FQ4 2017</stp>
        <stp>FQ4 2017</stp>
        <stp>[AMZ_2009-2018.xlsx]Bal Sheet - Standardized!R59C38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9" s="3"/>
      </tp>
      <tp>
        <v>450</v>
        <stp/>
        <stp>##V3_BDHV12</stp>
        <stp>AMZN US Equity</stp>
        <stp>BS_SH_OUT</stp>
        <stp>FQ1 2012</stp>
        <stp>FQ1 2012</stp>
        <stp>[AMZ_2009-2018.xlsx]Bal Sheet - Standardized!R78C15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78" s="3"/>
      </tp>
      <tp>
        <v>472</v>
        <stp/>
        <stp>##V3_BDHV12</stp>
        <stp>AMZN US Equity</stp>
        <stp>BS_SH_OUT</stp>
        <stp>FQ1 2016</stp>
        <stp>FQ1 2016</stp>
        <stp>[AMZ_2009-2018.xlsx]Bal Sheet - Standardized!R78C31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78" s="3"/>
      </tp>
      <tp>
        <v>460</v>
        <stp/>
        <stp>##V3_BDHV12</stp>
        <stp>AMZN US Equity</stp>
        <stp>BS_SH_OUT</stp>
        <stp>FQ1 2014</stp>
        <stp>FQ1 2014</stp>
        <stp>[AMZ_2009-2018.xlsx]Bal Sheet - Standardized!R78C23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78" s="3"/>
      </tp>
      <tp t="s">
        <v>—</v>
        <stp/>
        <stp>##V3_BDHV12</stp>
        <stp>AMZN US Equity</stp>
        <stp>BS_DEFERRED_TAX_LIABILITIES_LT</stp>
        <stp>FQ3 2012</stp>
        <stp>FQ3 2012</stp>
        <stp>[AMZ_2009-2018.xlsx]Bal Sheet - Standardized!R59C17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9" s="3"/>
      </tp>
      <tp>
        <v>275</v>
        <stp/>
        <stp>##V3_BDHV12</stp>
        <stp>AMZN US Equity</stp>
        <stp>IS_OPEX_R&amp;D</stp>
        <stp>FQ1 2009</stp>
        <stp>FQ1 2009</stp>
        <stp>[AMZ_2009-2018.xlsx]Income - Adjusted!R16C3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2"/>
      </tp>
      <tp t="s">
        <v>—</v>
        <stp/>
        <stp>##V3_BDHV12</stp>
        <stp>AMZN US Equity</stp>
        <stp>IS_DEPR_EXP</stp>
        <stp>FQ2 2010</stp>
        <stp>FQ2 2010</stp>
        <stp>[AMZ_2009-2018.xlsx]Income - Adjusted!R72C8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2" s="2"/>
      </tp>
      <tp>
        <v>21354</v>
        <stp/>
        <stp>##V3_BDHV12</stp>
        <stp>AMZN US Equity</stp>
        <stp>BS_OTHER_ASSETS_DEF_CHRG_OTHER</stp>
        <stp>FQ3 2017</stp>
        <stp>FQ3 2017</stp>
        <stp>[AMZ_2009-2018.xlsx]Bal Sheet - Standardized!R27C37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7" s="3"/>
      </tp>
      <tp>
        <v>4770</v>
        <stp/>
        <stp>##V3_BDHV12</stp>
        <stp>AMZN US Equity</stp>
        <stp>BS_OTHER_ASSETS_DEF_CHRG_OTHER</stp>
        <stp>FQ1 2014</stp>
        <stp>FQ1 2014</stp>
        <stp>[AMZ_2009-2018.xlsx]Bal Sheet - Standardized!R27C23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7" s="3"/>
      </tp>
      <tp>
        <v>7666</v>
        <stp/>
        <stp>##V3_BDHV12</stp>
        <stp>AMZN US Equity</stp>
        <stp>BS_OTHER_ASSETS_DEF_CHRG_OTHER</stp>
        <stp>FQ2 2016</stp>
        <stp>FQ2 2016</stp>
        <stp>[AMZ_2009-2018.xlsx]Bal Sheet - Standardized!R27C32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7" s="3"/>
      </tp>
      <tp>
        <v>4199</v>
        <stp/>
        <stp>##V3_BDHV12</stp>
        <stp>AMZN US Equity</stp>
        <stp>BS_OTHER_ASSETS_DEF_CHRG_OTHER</stp>
        <stp>FQ4 2012</stp>
        <stp>FQ4 2012</stp>
        <stp>[AMZ_2009-2018.xlsx]Bal Sheet - Standardized!R27C18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7" s="3"/>
      </tp>
      <tp>
        <v>2392</v>
        <stp/>
        <stp>##V3_BDHV12</stp>
        <stp>AMZN US Equity</stp>
        <stp>BS_ACCT_NOTE_RCV</stp>
        <stp>FQ3 2012</stp>
        <stp>FQ3 2012</stp>
        <stp>[AMZ_2009-2018.xlsx]Bal Sheet - Standardized!R10C17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0" s="3"/>
      </tp>
      <tp>
        <v>815</v>
        <stp/>
        <stp>##V3_BDHV12</stp>
        <stp>AMZN US Equity</stp>
        <stp>BS_ACCT_NOTE_RCV</stp>
        <stp>FQ1 2010</stp>
        <stp>FQ1 2010</stp>
        <stp>[AMZ_2009-2018.xlsx]Bal Sheet - Standardized!R10C7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0" s="3"/>
      </tp>
      <tp>
        <v>294</v>
        <stp/>
        <stp>##V3_BDHV12</stp>
        <stp>AMZN US Equity</stp>
        <stp>DISP_FXD_&amp;_INTANGIBLES_DETAILED</stp>
        <stp>FQ2 2018</stp>
        <stp>FQ2 2018</stp>
        <stp>[AMZ_2009-2018.xlsx]Cash Flow - Standardized!R23C40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3" s="4"/>
      </tp>
      <tp>
        <v>13164</v>
        <stp/>
        <stp>##V3_BDHV12</stp>
        <stp>AMZN US Equity</stp>
        <stp>BS_ACCT_NOTE_RCV</stp>
        <stp>FQ4 2017</stp>
        <stp>FQ4 2017</stp>
        <stp>[AMZ_2009-2018.xlsx]Bal Sheet - Standardized!R10C38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0" s="3"/>
      </tp>
      <tp>
        <v>-1</v>
        <stp/>
        <stp>##V3_BDHV12</stp>
        <stp>AMZN US Equity</stp>
        <stp>CF_CASH_FOR_ACQUIS_SUBSIDIARIES</stp>
        <stp>FQ3 2013</stp>
        <stp>FQ3 2013</stp>
        <stp>[AMZ_2009-2018.xlsx]Cash Flow - Standardized!R34C21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4" s="4"/>
      </tp>
      <tp>
        <v>-53</v>
        <stp/>
        <stp>##V3_BDHV12</stp>
        <stp>AMZN US Equity</stp>
        <stp>CF_CASH_FOR_ACQUIS_SUBSIDIARIES</stp>
        <stp>FQ4 2014</stp>
        <stp>FQ4 2014</stp>
        <stp>[AMZ_2009-2018.xlsx]Cash Flow - Standardized!R34C26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4" s="4"/>
      </tp>
      <tp>
        <v>-469</v>
        <stp/>
        <stp>##V3_BDHV12</stp>
        <stp>AMZN US Equity</stp>
        <stp>CF_CASH_FOR_ACQUIS_SUBSIDIARIES</stp>
        <stp>FQ2 2011</stp>
        <stp>FQ2 2011</stp>
        <stp>[AMZ_2009-2018.xlsx]Cash Flow - Standardized!R34C12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4" s="4"/>
      </tp>
      <tp>
        <v>725</v>
        <stp/>
        <stp>##V3_BDHV12</stp>
        <stp>AMZN US Equity</stp>
        <stp>OTHER_INTANGIBLE_ASSETS_DETAILED</stp>
        <stp>FQ4 2012</stp>
        <stp>FQ4 2012</stp>
        <stp>[AMZ_2009-2018.xlsx]Bal Sheet - Standardized!R30C18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0" s="3"/>
      </tp>
      <tp>
        <v>434.09</v>
        <stp/>
        <stp>##V3_BDHV12</stp>
        <stp>AMZN US Equity</stp>
        <stp>PX_LAST</stp>
        <stp>FQ2 2015</stp>
        <stp>FQ2 2015</stp>
        <stp>[AMZ_2009-2018.xlsx]Stock Value!R6C28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6" s="6"/>
      </tp>
      <tp>
        <v>-50</v>
        <stp/>
        <stp>##V3_BDHV12</stp>
        <stp>AMZN US Equity</stp>
        <stp>CF_CASH_FOR_ACQUIS_SUBSIDIARIES</stp>
        <stp>FQ1 2012</stp>
        <stp>FQ1 2012</stp>
        <stp>[AMZ_2009-2018.xlsx]Cash Flow - Standardized!R34C15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4" s="4"/>
      </tp>
      <tp>
        <v>511.89</v>
        <stp/>
        <stp>##V3_BDHV12</stp>
        <stp>AMZN US Equity</stp>
        <stp>PX_LAST</stp>
        <stp>FQ3 2015</stp>
        <stp>FQ3 2015</stp>
        <stp>[AMZ_2009-2018.xlsx]Stock Value!R6C29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6" s="6"/>
      </tp>
      <tp>
        <v>-317</v>
        <stp/>
        <stp>##V3_BDHV12</stp>
        <stp>AMZN US Equity</stp>
        <stp>CF_CASH_FOR_ACQUIS_SUBSIDIARIES</stp>
        <stp>FQ4 2015</stp>
        <stp>FQ4 2015</stp>
        <stp>[AMZ_2009-2018.xlsx]Cash Flow - Standardized!R34C30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4" s="4"/>
      </tp>
      <tp>
        <v>-1274</v>
        <stp/>
        <stp>##V3_BDHV12</stp>
        <stp>AMZN US Equity</stp>
        <stp>CFF_ACTIVITIES_DETAILED</stp>
        <stp>FQ2 2017</stp>
        <stp>FQ2 2017</stp>
        <stp>[AMZ_2009-2018.xlsx]Cash Flow - Standardized!R51C36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1" s="4"/>
      </tp>
      <tp>
        <v>4484</v>
        <stp/>
        <stp>##V3_BDHV12</stp>
        <stp>AMZN US Equity</stp>
        <stp>IS_SG&amp;A_EXPENSE</stp>
        <stp>FQ4 2017</stp>
        <stp>FQ4 2017</stp>
        <stp>[AMZ_2009-2018.xlsx]Income - Adjusted!R13C38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3" s="2"/>
      </tp>
      <tp>
        <v>1086</v>
        <stp/>
        <stp>##V3_BDHV12</stp>
        <stp>AMZN US Equity</stp>
        <stp>IS_SG&amp;A_EXPENSE</stp>
        <stp>FQ4 2012</stp>
        <stp>FQ4 2012</stp>
        <stp>[AMZ_2009-2018.xlsx]Income - Adjusted!R13C18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3" s="2"/>
      </tp>
      <tp>
        <v>-652</v>
        <stp/>
        <stp>##V3_BDHV12</stp>
        <stp>AMZN US Equity</stp>
        <stp>CFF_ACTIVITIES_DETAILED</stp>
        <stp>FQ1 2015</stp>
        <stp>FQ1 2015</stp>
        <stp>[AMZ_2009-2018.xlsx]Cash Flow - Standardized!R51C27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1" s="4"/>
      </tp>
      <tp>
        <v>82.451700000000002</v>
        <stp/>
        <stp>##V3_BDHV12</stp>
        <stp>AMZN US Equity</stp>
        <stp>PX_TO_FREE_CASH_FLOW</stp>
        <stp>FQ4 2017</stp>
        <stp>FQ4 2017</stp>
        <stp>[AMZ_2009-2018.xlsx]Cash Flow - Standardized!R69C38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69" s="4"/>
      </tp>
      <tp>
        <v>0</v>
        <stp/>
        <stp>##V3_BDHV12</stp>
        <stp>AMZN US Equity</stp>
        <stp>OTHER_INTANGIBLE_ASSETS_DETAILED</stp>
        <stp>FQ3 2017</stp>
        <stp>FQ3 2017</stp>
        <stp>[AMZ_2009-2018.xlsx]Bal Sheet - Standardized!R30C37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0" s="3"/>
      </tp>
      <tp>
        <v>4296</v>
        <stp/>
        <stp>##V3_BDHV12</stp>
        <stp>AMZN US Equity</stp>
        <stp>OTHER_NONCURRENT_ASSETS_DETAILED</stp>
        <stp>FQ3 2016</stp>
        <stp>FQ3 2016</stp>
        <stp>[AMZ_2009-2018.xlsx]Bal Sheet - Standardized!R33C33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3" s="3"/>
      </tp>
      <tp>
        <v>0</v>
        <stp/>
        <stp>##V3_BDHV12</stp>
        <stp>AMZN US Equity</stp>
        <stp>OTHER_INTANGIBLE_ASSETS_DETAILED</stp>
        <stp>FQ1 2014</stp>
        <stp>FQ1 2014</stp>
        <stp>[AMZ_2009-2018.xlsx]Bal Sheet - Standardized!R30C23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0" s="3"/>
      </tp>
      <tp>
        <v>2926</v>
        <stp/>
        <stp>##V3_BDHV12</stp>
        <stp>AMZN US Equity</stp>
        <stp>OTHER_NONCURRENT_ASSETS_DETAILED</stp>
        <stp>FQ1 2015</stp>
        <stp>FQ1 2015</stp>
        <stp>[AMZ_2009-2018.xlsx]Bal Sheet - Standardized!R33C27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3" s="3"/>
      </tp>
      <tp>
        <v>-1000</v>
        <stp/>
        <stp>##V3_BDHV12</stp>
        <stp>AMZN US Equity</stp>
        <stp>CFF_ACTIVITIES_DETAILED</stp>
        <stp>FQ3 2016</stp>
        <stp>FQ3 2016</stp>
        <stp>[AMZ_2009-2018.xlsx]Cash Flow - Standardized!R51C33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1" s="4"/>
      </tp>
      <tp>
        <v>0</v>
        <stp/>
        <stp>##V3_BDHV12</stp>
        <stp>AMZN US Equity</stp>
        <stp>OTHER_INTANGIBLE_ASSETS_DETAILED</stp>
        <stp>FQ2 2016</stp>
        <stp>FQ2 2016</stp>
        <stp>[AMZ_2009-2018.xlsx]Bal Sheet - Standardized!R30C32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0" s="3"/>
      </tp>
      <tp>
        <v>1617</v>
        <stp/>
        <stp>##V3_BDHV12</stp>
        <stp>AMZN US Equity</stp>
        <stp>IS_SG&amp;A_EXPENSE</stp>
        <stp>FQ2 2015</stp>
        <stp>FQ2 2015</stp>
        <stp>[AMZ_2009-2018.xlsx]Income - Adjusted!R13C28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3" s="2"/>
      </tp>
      <tp>
        <v>5437</v>
        <stp/>
        <stp>##V3_BDHV12</stp>
        <stp>AMZN US Equity</stp>
        <stp>OTHER_NONCURRENT_ASSETS_DETAILED</stp>
        <stp>FQ2 2017</stp>
        <stp>FQ2 2017</stp>
        <stp>[AMZ_2009-2018.xlsx]Bal Sheet - Standardized!R33C36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3" s="3"/>
      </tp>
      <tp>
        <v>125</v>
        <stp/>
        <stp>##V3_BDHV12</stp>
        <stp>AMZN US Equity</stp>
        <stp>CF_PROC_LT_DEBT_&amp;_CAPITAL_LEASE</stp>
        <stp>FQ1 2018</stp>
        <stp>FQ1 2018</stp>
        <stp>[AMZ_2009-2018.xlsx]Cash Flow - Standardized!R44C39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4" s="4"/>
      </tp>
      <tp>
        <v>-1237</v>
        <stp/>
        <stp>##V3_BDHV12</stp>
        <stp>AMZN US Equity</stp>
        <stp>FREE_CASH_FLOW_EQUITY</stp>
        <stp>FQ1 2010</stp>
        <stp>FQ1 2010</stp>
        <stp>[AMZ_2009-2018.xlsx]Cash Flow - Standardized!R67C7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7" s="4"/>
      </tp>
      <tp>
        <v>-2289</v>
        <stp/>
        <stp>##V3_BDHV12</stp>
        <stp>AMZN US Equity</stp>
        <stp>CF_PYMT_LT_DEBT_&amp;_CAPITAL_LEASE</stp>
        <stp>FQ1 2018</stp>
        <stp>FQ1 2018</stp>
        <stp>[AMZ_2009-2018.xlsx]Cash Flow - Standardized!R45C39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5" s="4"/>
      </tp>
      <tp>
        <v>1.54</v>
        <stp/>
        <stp>##V3_BDHV12</stp>
        <stp>AMZN US Equity</stp>
        <stp>IS_DIL_EPS_BEF_XO</stp>
        <stp>FQ4 2016</stp>
        <stp>FQ4 2016</stp>
        <stp>[AMZ_2009-2018.xlsx]Income - Adjusted!R56C34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56" s="2"/>
      </tp>
      <tp>
        <v>0.38</v>
        <stp/>
        <stp>##V3_BDHV12</stp>
        <stp>AMZN US Equity</stp>
        <stp>IS_DIL_EPS_BEF_XO</stp>
        <stp>FQ4 2011</stp>
        <stp>FQ4 2011</stp>
        <stp>[AMZ_2009-2018.xlsx]Income - Adjusted!R56C14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56" s="2"/>
      </tp>
      <tp>
        <v>-0.27</v>
        <stp/>
        <stp>##V3_BDHV12</stp>
        <stp>AMZN US Equity</stp>
        <stp>IS_DIL_EPS_BEF_XO</stp>
        <stp>FQ2 2014</stp>
        <stp>FQ2 2014</stp>
        <stp>[AMZ_2009-2018.xlsx]Income - Adjusted!R56C24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56" s="2"/>
      </tp>
      <tp>
        <v>588</v>
        <stp/>
        <stp>##V3_BDHV12</stp>
        <stp>AMZN US Equity</stp>
        <stp>EBITDA</stp>
        <stp>FQ4 2009</stp>
        <stp>FQ4 2009</stp>
        <stp>[AMZ_2009-2018.xlsx]Income - Adjusted!R61C6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61" s="2"/>
      </tp>
      <tp>
        <v>231</v>
        <stp/>
        <stp>##V3_BDHV12</stp>
        <stp>AMZN US Equity</stp>
        <stp>NET_INCOME</stp>
        <stp>FQ3 2010</stp>
        <stp>FQ3 2010</stp>
        <stp>[AMZ_2009-2018.xlsx]Income - Adjusted!R40C9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40" s="2"/>
      </tp>
      <tp>
        <v>0</v>
        <stp/>
        <stp>##V3_BDHV12</stp>
        <stp>AMZN US Equity</stp>
        <stp>BS_PFD_EQTY_&amp;_HYBRID_CPTL</stp>
        <stp>FQ4 2010</stp>
        <stp>FQ4 2010</stp>
        <stp>[AMZ_2009-2018.xlsx]Bal Sheet - Standardized!R64C10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4" s="3"/>
      </tp>
      <tp>
        <v>0</v>
        <stp/>
        <stp>##V3_BDHV12</stp>
        <stp>AMZN US Equity</stp>
        <stp>BS_PFD_EQTY_&amp;_HYBRID_CPTL</stp>
        <stp>FQ4 2013</stp>
        <stp>FQ4 2013</stp>
        <stp>[AMZ_2009-2018.xlsx]Bal Sheet - Standardized!R64C22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4" s="3"/>
      </tp>
      <tp>
        <v>0</v>
        <stp/>
        <stp>##V3_BDHV12</stp>
        <stp>AMZN US Equity</stp>
        <stp>BS_PFD_EQTY_&amp;_HYBRID_CPTL</stp>
        <stp>FQ3 2014</stp>
        <stp>FQ3 2014</stp>
        <stp>[AMZ_2009-2018.xlsx]Bal Sheet - Standardized!R64C25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4" s="3"/>
      </tp>
      <tp>
        <v>0</v>
        <stp/>
        <stp>##V3_BDHV12</stp>
        <stp>AMZN US Equity</stp>
        <stp>BS_PFD_EQTY_&amp;_HYBRID_CPTL</stp>
        <stp>FQ1 2017</stp>
        <stp>FQ1 2017</stp>
        <stp>[AMZ_2009-2018.xlsx]Bal Sheet - Standardized!R64C35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4" s="3"/>
      </tp>
      <tp>
        <v>13733</v>
        <stp/>
        <stp>##V3_BDHV12</stp>
        <stp>AMZN US Equity</stp>
        <stp>BS_PURE_RETAINED_EARNINGS</stp>
        <stp>FQ2 2018</stp>
        <stp>FQ2 2018</stp>
        <stp>[AMZ_2009-2018.xlsx]Bal Sheet - Standardized!R69C40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9" s="3"/>
      </tp>
      <tp>
        <v>9857</v>
        <stp/>
        <stp>##V3_BDHV12</stp>
        <stp>AMZN US Equity</stp>
        <stp>IS_SALES_AND_SERVICES_REVENUES</stp>
        <stp>FQ1 2011</stp>
        <stp>FQ1 2011</stp>
        <stp>[AMZ_2009-2018.xlsx]Income - Adjusted!R7C11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7" s="2"/>
      </tp>
      <tp>
        <v>43744</v>
        <stp/>
        <stp>##V3_BDHV12</stp>
        <stp>AMZN US Equity</stp>
        <stp>IS_SALES_AND_SERVICES_REVENUES</stp>
        <stp>FQ3 2017</stp>
        <stp>FQ3 2017</stp>
        <stp>[AMZ_2009-2018.xlsx]Income - Adjusted!R7C37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7" s="2"/>
      </tp>
      <tp>
        <v>19340</v>
        <stp/>
        <stp>##V3_BDHV12</stp>
        <stp>AMZN US Equity</stp>
        <stp>IS_SALES_AND_SERVICES_REVENUES</stp>
        <stp>FQ2 2014</stp>
        <stp>FQ2 2014</stp>
        <stp>[AMZ_2009-2018.xlsx]Income - Adjusted!R7C24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7" s="2"/>
      </tp>
      <tp>
        <v>12948</v>
        <stp/>
        <stp>##V3_BDHV12</stp>
        <stp>AMZN US Equity</stp>
        <stp>IS_SALES_AND_SERVICES_REVENUES</stp>
        <stp>FQ4 2010</stp>
        <stp>FQ4 2010</stp>
        <stp>[AMZ_2009-2018.xlsx]Income - Adjusted!R7C10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7" s="2"/>
      </tp>
      <tp>
        <v>13.1069</v>
        <stp/>
        <stp>##V3_BDHV12</stp>
        <stp>AMZN US Equity</stp>
        <stp>CASH_ST_INVESTMENTS_PER_SH</stp>
        <stp>FQ3 2010</stp>
        <stp>FQ3 2010</stp>
        <stp>[AMZ_2009-2018.xlsx]Per Share!R25C9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25" s="5"/>
      </tp>
      <tp>
        <v>0</v>
        <stp/>
        <stp>##V3_BDHV12</stp>
        <stp>AMZN US Equity</stp>
        <stp>BS_PFD_EQTY_&amp;_HYBRID_CPTL</stp>
        <stp>FQ2 2015</stp>
        <stp>FQ2 2015</stp>
        <stp>[AMZ_2009-2018.xlsx]Bal Sheet - Standardized!R64C28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4" s="3"/>
      </tp>
      <tp t="s">
        <v>—</v>
        <stp/>
        <stp>##V3_BDHV12</stp>
        <stp>AMZN US Equity</stp>
        <stp>BS_DEFERRED_TAX_LIABILITIES_LT</stp>
        <stp>FQ4 2012</stp>
        <stp>FQ4 2012</stp>
        <stp>[AMZ_2009-2018.xlsx]Bal Sheet - Standardized!R59C18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9" s="3"/>
      </tp>
      <tp>
        <v>451</v>
        <stp/>
        <stp>##V3_BDHV12</stp>
        <stp>AMZN US Equity</stp>
        <stp>BS_SH_OUT</stp>
        <stp>FQ4 2010</stp>
        <stp>FQ4 2010</stp>
        <stp>[AMZ_2009-2018.xlsx]Bal Sheet - Standardized!R78C10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78" s="3"/>
      </tp>
      <tp>
        <v>482</v>
        <stp/>
        <stp>##V3_BDHV12</stp>
        <stp>AMZN US Equity</stp>
        <stp>BS_SH_OUT</stp>
        <stp>FQ3 2017</stp>
        <stp>FQ3 2017</stp>
        <stp>[AMZ_2009-2018.xlsx]Bal Sheet - Standardized!R78C37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78" s="3"/>
      </tp>
      <tp>
        <v>462</v>
        <stp/>
        <stp>##V3_BDHV12</stp>
        <stp>AMZN US Equity</stp>
        <stp>BS_SH_OUT</stp>
        <stp>FQ2 2014</stp>
        <stp>FQ2 2014</stp>
        <stp>[AMZ_2009-2018.xlsx]Bal Sheet - Standardized!R78C24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78" s="3"/>
      </tp>
      <tp>
        <v>452</v>
        <stp/>
        <stp>##V3_BDHV12</stp>
        <stp>AMZN US Equity</stp>
        <stp>BS_SH_OUT</stp>
        <stp>FQ1 2011</stp>
        <stp>FQ1 2011</stp>
        <stp>[AMZ_2009-2018.xlsx]Bal Sheet - Standardized!R78C11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78" s="3"/>
      </tp>
      <tp t="s">
        <v>—</v>
        <stp/>
        <stp>##V3_BDHV12</stp>
        <stp>AMZN US Equity</stp>
        <stp>BS_DEFERRED_TAX_LIABILITIES_LT</stp>
        <stp>FQ3 2017</stp>
        <stp>FQ3 2017</stp>
        <stp>[AMZ_2009-2018.xlsx]Bal Sheet - Standardized!R59C37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9" s="3"/>
      </tp>
      <tp t="s">
        <v>—</v>
        <stp/>
        <stp>##V3_BDHV12</stp>
        <stp>AMZN US Equity</stp>
        <stp>BS_DEFERRED_TAX_LIABILITIES_LT</stp>
        <stp>FQ1 2014</stp>
        <stp>FQ1 2014</stp>
        <stp>[AMZ_2009-2018.xlsx]Bal Sheet - Standardized!R59C23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9" s="3"/>
      </tp>
      <tp t="s">
        <v>—</v>
        <stp/>
        <stp>##V3_BDHV12</stp>
        <stp>AMZN US Equity</stp>
        <stp>BS_DEFERRED_TAX_LIABILITIES_LT</stp>
        <stp>FQ2 2016</stp>
        <stp>FQ2 2016</stp>
        <stp>[AMZ_2009-2018.xlsx]Bal Sheet - Standardized!R59C32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9" s="3"/>
      </tp>
      <tp>
        <v>0.87</v>
        <stp/>
        <stp>##V3_BDHV12</stp>
        <stp>AMZN US Equity</stp>
        <stp>IS_EPS</stp>
        <stp>FQ4 2009</stp>
        <stp>FQ4 2009</stp>
        <stp>[AMZ_2009-2018.xlsx]Income - Adjusted!R50C6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50" s="2"/>
      </tp>
      <tp>
        <v>0.67</v>
        <stp/>
        <stp>##V3_BDHV12</stp>
        <stp>AMZN US Equity</stp>
        <stp>IS_EPS</stp>
        <stp>FQ1 2010</stp>
        <stp>FQ1 2010</stp>
        <stp>[AMZ_2009-2018.xlsx]Income - Adjusted!R50C7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50" s="2"/>
      </tp>
      <tp>
        <v>0.41</v>
        <stp/>
        <stp>##V3_BDHV12</stp>
        <stp>AMZN US Equity</stp>
        <stp>IS_EPS</stp>
        <stp>FQ1 2009</stp>
        <stp>FQ1 2009</stp>
        <stp>[AMZ_2009-2018.xlsx]Income - Adjusted!R50C3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50" s="2"/>
      </tp>
      <tp>
        <v>0.33</v>
        <stp/>
        <stp>##V3_BDHV12</stp>
        <stp>AMZN US Equity</stp>
        <stp>IS_EPS</stp>
        <stp>FQ2 2009</stp>
        <stp>FQ2 2009</stp>
        <stp>[AMZ_2009-2018.xlsx]Income - Adjusted!R50C4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50" s="2"/>
      </tp>
      <tp>
        <v>4054</v>
        <stp/>
        <stp>##V3_BDHV12</stp>
        <stp>AMZN US Equity</stp>
        <stp>BS_OTHER_ASSETS_DEF_CHRG_OTHER</stp>
        <stp>FQ3 2012</stp>
        <stp>FQ3 2012</stp>
        <stp>[AMZ_2009-2018.xlsx]Bal Sheet - Standardized!R27C17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7" s="3"/>
      </tp>
      <tp>
        <v>0.51</v>
        <stp/>
        <stp>##V3_BDHV12</stp>
        <stp>AMZN US Equity</stp>
        <stp>IS_EPS</stp>
        <stp>FQ3 2010</stp>
        <stp>FQ3 2010</stp>
        <stp>[AMZ_2009-2018.xlsx]Income - Adjusted!R50C9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50" s="2"/>
      </tp>
      <tp>
        <v>0.46</v>
        <stp/>
        <stp>##V3_BDHV12</stp>
        <stp>AMZN US Equity</stp>
        <stp>IS_EPS</stp>
        <stp>FQ3 2009</stp>
        <stp>FQ3 2009</stp>
        <stp>[AMZ_2009-2018.xlsx]Income - Adjusted!R50C5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50" s="2"/>
      </tp>
      <tp>
        <v>0.46</v>
        <stp/>
        <stp>##V3_BDHV12</stp>
        <stp>AMZN US Equity</stp>
        <stp>IS_EPS</stp>
        <stp>FQ2 2010</stp>
        <stp>FQ2 2010</stp>
        <stp>[AMZ_2009-2018.xlsx]Income - Adjusted!R50C8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50" s="2"/>
      </tp>
      <tp>
        <v>22247</v>
        <stp/>
        <stp>##V3_BDHV12</stp>
        <stp>AMZN US Equity</stp>
        <stp>BS_OTHER_ASSETS_DEF_CHRG_OTHER</stp>
        <stp>FQ4 2017</stp>
        <stp>FQ4 2017</stp>
        <stp>[AMZ_2009-2018.xlsx]Bal Sheet - Standardized!R27C38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7" s="3"/>
      </tp>
      <tp>
        <v>10557</v>
        <stp/>
        <stp>##V3_BDHV12</stp>
        <stp>AMZN US Equity</stp>
        <stp>BS_ACCT_NOTE_RCV</stp>
        <stp>FQ3 2017</stp>
        <stp>FQ3 2017</stp>
        <stp>[AMZ_2009-2018.xlsx]Bal Sheet - Standardized!R10C37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0" s="3"/>
      </tp>
      <tp>
        <v>1234</v>
        <stp/>
        <stp>##V3_BDHV12</stp>
        <stp>AMZN US Equity</stp>
        <stp>BS_DISCLOSED_INTANGIBLES</stp>
        <stp>FQ1 2010</stp>
        <stp>FQ1 2010</stp>
        <stp>[AMZ_2009-2018.xlsx]Bal Sheet - Standardized!R28C7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8" s="3"/>
      </tp>
      <tp>
        <v>52331</v>
        <stp/>
        <stp>##V3_BDHV12</stp>
        <stp>AMZN US Equity</stp>
        <stp>BS_NET_FIX_ASSET</stp>
        <stp>FQ1 2018</stp>
        <stp>FQ1 2018</stp>
        <stp>[AMZ_2009-2018.xlsx]Bal Sheet - Standardized!R23C39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3" s="3"/>
      </tp>
      <tp>
        <v>6092</v>
        <stp/>
        <stp>##V3_BDHV12</stp>
        <stp>AMZN US Equity</stp>
        <stp>BS_ACCT_NOTE_RCV</stp>
        <stp>FQ2 2016</stp>
        <stp>FQ2 2016</stp>
        <stp>[AMZ_2009-2018.xlsx]Bal Sheet - Standardized!R10C32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0" s="3"/>
      </tp>
      <tp>
        <v>3945</v>
        <stp/>
        <stp>##V3_BDHV12</stp>
        <stp>AMZN US Equity</stp>
        <stp>BS_ACCT_NOTE_RCV</stp>
        <stp>FQ1 2014</stp>
        <stp>FQ1 2014</stp>
        <stp>[AMZ_2009-2018.xlsx]Bal Sheet - Standardized!R10C23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0" s="3"/>
      </tp>
      <tp>
        <v>3364</v>
        <stp/>
        <stp>##V3_BDHV12</stp>
        <stp>AMZN US Equity</stp>
        <stp>BS_ACCT_NOTE_RCV</stp>
        <stp>FQ4 2012</stp>
        <stp>FQ4 2012</stp>
        <stp>[AMZ_2009-2018.xlsx]Bal Sheet - Standardized!R10C18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0" s="3"/>
      </tp>
      <tp>
        <v>-45</v>
        <stp/>
        <stp>##V3_BDHV12</stp>
        <stp>AMZN US Equity</stp>
        <stp>CF_CASH_FOR_ACQUIS_SUBSIDIARIES</stp>
        <stp>FQ1 2017</stp>
        <stp>FQ1 2017</stp>
        <stp>[AMZ_2009-2018.xlsx]Cash Flow - Standardized!R34C35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4" s="4"/>
      </tp>
      <tp t="s">
        <v>—</v>
        <stp/>
        <stp>##V3_BDHV12</stp>
        <stp>AMZN US Equity</stp>
        <stp>BS_TAXES_PAYABLE</stp>
        <stp>FQ1 2018</stp>
        <stp>FQ1 2018</stp>
        <stp>[AMZ_2009-2018.xlsx]Bal Sheet - Standardized!R40C39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0" s="3"/>
      </tp>
      <tp>
        <v>-271</v>
        <stp/>
        <stp>##V3_BDHV12</stp>
        <stp>AMZN US Equity</stp>
        <stp>CF_CASH_FOR_ACQUIS_SUBSIDIARIES</stp>
        <stp>FQ4 2010</stp>
        <stp>FQ4 2010</stp>
        <stp>[AMZ_2009-2018.xlsx]Cash Flow - Standardized!R34C10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4" s="4"/>
      </tp>
      <tp>
        <v>-860</v>
        <stp/>
        <stp>##V3_BDHV12</stp>
        <stp>AMZN US Equity</stp>
        <stp>CF_CASH_FOR_ACQUIS_SUBSIDIARIES</stp>
        <stp>FQ3 2014</stp>
        <stp>FQ3 2014</stp>
        <stp>[AMZ_2009-2018.xlsx]Cash Flow - Standardized!R34C25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4" s="4"/>
      </tp>
      <tp>
        <v>-59</v>
        <stp/>
        <stp>##V3_BDHV12</stp>
        <stp>AMZN US Equity</stp>
        <stp>CF_CASH_FOR_ACQUIS_SUBSIDIARIES</stp>
        <stp>FQ4 2013</stp>
        <stp>FQ4 2013</stp>
        <stp>[AMZ_2009-2018.xlsx]Cash Flow - Standardized!R34C22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4" s="4"/>
      </tp>
      <tp>
        <v>3371</v>
        <stp/>
        <stp>##V3_BDHV12</stp>
        <stp>AMZN US Equity</stp>
        <stp>OTHER_INTANGIBLE_ASSETS_DETAILED</stp>
        <stp>FQ4 2017</stp>
        <stp>FQ4 2017</stp>
        <stp>[AMZ_2009-2018.xlsx]Bal Sheet - Standardized!R30C38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0" s="3"/>
      </tp>
      <tp>
        <v>24</v>
        <stp/>
        <stp>##V3_BDHV12</stp>
        <stp>AMZN US Equity</stp>
        <stp>CFF_ACTIVITIES_DETAILED</stp>
        <stp>FQ1 2011</stp>
        <stp>FQ1 2011</stp>
        <stp>[AMZ_2009-2018.xlsx]Cash Flow - Standardized!R51C11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1" s="4"/>
      </tp>
      <tp>
        <v>0</v>
        <stp/>
        <stp>##V3_BDHV12</stp>
        <stp>AMZN US Equity</stp>
        <stp>SHORT_TERM_DEBT_DETAILED</stp>
        <stp>FQ1 2018</stp>
        <stp>FQ1 2018</stp>
        <stp>[AMZ_2009-2018.xlsx]Bal Sheet - Standardized!R44C39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4" s="3"/>
      </tp>
      <tp>
        <v>-592</v>
        <stp/>
        <stp>##V3_BDHV12</stp>
        <stp>AMZN US Equity</stp>
        <stp>CFF_ACTIVITIES_DETAILED</stp>
        <stp>FQ4 2016</stp>
        <stp>FQ4 2016</stp>
        <stp>[AMZ_2009-2018.xlsx]Cash Flow - Standardized!R51C34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1" s="4"/>
      </tp>
      <tp>
        <v>1585</v>
        <stp/>
        <stp>##V3_BDHV12</stp>
        <stp>AMZN US Equity</stp>
        <stp>OTHER_NONCURRENT_ASSETS_DETAILED</stp>
        <stp>FQ2 2012</stp>
        <stp>FQ2 2012</stp>
        <stp>[AMZ_2009-2018.xlsx]Bal Sheet - Standardized!R33C16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3" s="3"/>
      </tp>
      <tp>
        <v>89.016000000000005</v>
        <stp/>
        <stp>##V3_BDHV12</stp>
        <stp>AMZN US Equity</stp>
        <stp>PX_TO_FREE_CASH_FLOW</stp>
        <stp>FQ2 2018</stp>
        <stp>FQ2 2018</stp>
        <stp>[AMZ_2009-2018.xlsx]Cash Flow - Standardized!R69C40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69" s="4"/>
      </tp>
      <tp>
        <v>67</v>
        <stp/>
        <stp>##V3_BDHV12</stp>
        <stp>AMZN US Equity</stp>
        <stp>CFF_ACTIVITIES_DETAILED</stp>
        <stp>FQ2 2012</stp>
        <stp>FQ2 2012</stp>
        <stp>[AMZ_2009-2018.xlsx]Cash Flow - Standardized!R51C16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1" s="4"/>
      </tp>
      <tp>
        <v>3869</v>
        <stp/>
        <stp>##V3_BDHV12</stp>
        <stp>AMZN US Equity</stp>
        <stp>OTHER_NONCURRENT_ASSETS_DETAILED</stp>
        <stp>FQ4 2016</stp>
        <stp>FQ4 2016</stp>
        <stp>[AMZ_2009-2018.xlsx]Bal Sheet - Standardized!R33C34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3" s="3"/>
      </tp>
      <tp t="s">
        <v>—</v>
        <stp/>
        <stp>##V3_BDHV12</stp>
        <stp>AMZN US Equity</stp>
        <stp>BS_DERIVATIVE_&amp;_HEDGING_LIABS_LT</stp>
        <stp>FQ1 2018</stp>
        <stp>FQ1 2018</stp>
        <stp>[AMZ_2009-2018.xlsx]Bal Sheet - Standardized!R60C39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0" s="3"/>
      </tp>
      <tp>
        <v>0</v>
        <stp/>
        <stp>##V3_BDHV12</stp>
        <stp>AMZN US Equity</stp>
        <stp>OTHER_INTANGIBLE_ASSETS_DETAILED</stp>
        <stp>FQ3 2012</stp>
        <stp>FQ3 2012</stp>
        <stp>[AMZ_2009-2018.xlsx]Bal Sheet - Standardized!R30C17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0" s="3"/>
      </tp>
      <tp>
        <v>1151</v>
        <stp/>
        <stp>##V3_BDHV12</stp>
        <stp>AMZN US Equity</stp>
        <stp>OTHER_NONCURRENT_ASSETS_DETAILED</stp>
        <stp>FQ1 2011</stp>
        <stp>FQ1 2011</stp>
        <stp>[AMZ_2009-2018.xlsx]Bal Sheet - Standardized!R33C11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3" s="3"/>
      </tp>
      <tp t="s">
        <v>—</v>
        <stp/>
        <stp>##V3_BDHV12</stp>
        <stp>AMZN US Equity</stp>
        <stp>BS_DERIVATIVE_&amp;_HEDGING_LIABS_ST</stp>
        <stp>FQ1 2018</stp>
        <stp>FQ1 2018</stp>
        <stp>[AMZ_2009-2018.xlsx]Bal Sheet - Standardized!R49C39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9" s="3"/>
      </tp>
      <tp>
        <v>-8</v>
        <stp/>
        <stp>##V3_BDHV12</stp>
        <stp>AMZN US Equity</stp>
        <stp>CF_CASH_FOR_ACQUIS_SUBSIDIARIES</stp>
        <stp>FQ2 2015</stp>
        <stp>FQ2 2015</stp>
        <stp>[AMZ_2009-2018.xlsx]Cash Flow - Standardized!R34C28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4" s="4"/>
      </tp>
      <tp t="s">
        <v>—</v>
        <stp/>
        <stp>##V3_BDHV12</stp>
        <stp>AMZN US Equity</stp>
        <stp>FREE_CASH_FLOW_EQUITY</stp>
        <stp>FQ1 2009</stp>
        <stp>FQ1 2009</stp>
        <stp>[AMZ_2009-2018.xlsx]Cash Flow - Standardized!R67C3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7" s="4"/>
      </tp>
      <tp>
        <v>19741</v>
        <stp/>
        <stp>##V3_BDHV12</stp>
        <stp>AMZN US Equity</stp>
        <stp>SALES_REV_TURN</stp>
        <stp>FQ1 2014</stp>
        <stp>FQ1 2014</stp>
        <stp>[AMZ_2009-2018.xlsx]Income - Adjusted!R6C23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6" s="2"/>
      </tp>
      <tp>
        <v>29128</v>
        <stp/>
        <stp>##V3_BDHV12</stp>
        <stp>AMZN US Equity</stp>
        <stp>SALES_REV_TURN</stp>
        <stp>FQ1 2016</stp>
        <stp>FQ1 2016</stp>
        <stp>[AMZ_2009-2018.xlsx]Income - Adjusted!R6C31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6" s="2"/>
      </tp>
      <tp>
        <v>13185</v>
        <stp/>
        <stp>##V3_BDHV12</stp>
        <stp>AMZN US Equity</stp>
        <stp>SALES_REV_TURN</stp>
        <stp>FQ1 2012</stp>
        <stp>FQ1 2012</stp>
        <stp>[AMZ_2009-2018.xlsx]Income - Adjusted!R6C15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6" s="2"/>
      </tp>
      <tp>
        <v>-0.95</v>
        <stp/>
        <stp>##V3_BDHV12</stp>
        <stp>AMZN US Equity</stp>
        <stp>IS_DIL_EPS_BEF_XO</stp>
        <stp>FQ3 2014</stp>
        <stp>FQ3 2014</stp>
        <stp>[AMZ_2009-2018.xlsx]Income - Adjusted!R56C25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56" s="2"/>
      </tp>
      <tp>
        <v>0.28000000000000003</v>
        <stp/>
        <stp>##V3_BDHV12</stp>
        <stp>AMZN US Equity</stp>
        <stp>IS_DIL_EPS_BEF_XO</stp>
        <stp>FQ1 2012</stp>
        <stp>FQ1 2012</stp>
        <stp>[AMZ_2009-2018.xlsx]Income - Adjusted!R56C15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56" s="2"/>
      </tp>
      <tp>
        <v>1.48</v>
        <stp/>
        <stp>##V3_BDHV12</stp>
        <stp>AMZN US Equity</stp>
        <stp>IS_DIL_EPS_BEF_XO</stp>
        <stp>FQ1 2017</stp>
        <stp>FQ1 2017</stp>
        <stp>[AMZ_2009-2018.xlsx]Income - Adjusted!R56C35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56" s="2"/>
      </tp>
      <tp>
        <v>207</v>
        <stp/>
        <stp>##V3_BDHV12</stp>
        <stp>AMZN US Equity</stp>
        <stp>NET_INCOME</stp>
        <stp>FQ2 2010</stp>
        <stp>FQ2 2010</stp>
        <stp>[AMZ_2009-2018.xlsx]Income - Adjusted!R40C8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40" s="2"/>
      </tp>
      <tp>
        <v>0</v>
        <stp/>
        <stp>##V3_BDHV12</stp>
        <stp>AMZN US Equity</stp>
        <stp>BS_PFD_EQTY_&amp;_HYBRID_CPTL</stp>
        <stp>FQ2 2014</stp>
        <stp>FQ2 2014</stp>
        <stp>[AMZ_2009-2018.xlsx]Bal Sheet - Standardized!R64C24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4" s="3"/>
      </tp>
      <tp>
        <v>0</v>
        <stp/>
        <stp>##V3_BDHV12</stp>
        <stp>AMZN US Equity</stp>
        <stp>BS_PFD_EQTY_&amp;_HYBRID_CPTL</stp>
        <stp>FQ4 2011</stp>
        <stp>FQ4 2011</stp>
        <stp>[AMZ_2009-2018.xlsx]Bal Sheet - Standardized!R64C14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4" s="3"/>
      </tp>
      <tp>
        <v>0</v>
        <stp/>
        <stp>##V3_BDHV12</stp>
        <stp>AMZN US Equity</stp>
        <stp>BS_PFD_EQTY_&amp;_HYBRID_CPTL</stp>
        <stp>FQ1 2016</stp>
        <stp>FQ1 2016</stp>
        <stp>[AMZ_2009-2018.xlsx]Bal Sheet - Standardized!R64C31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4" s="3"/>
      </tp>
      <tp>
        <v>51042</v>
        <stp/>
        <stp>##V3_BDHV12</stp>
        <stp>AMZN US Equity</stp>
        <stp>IS_SALES_AND_SERVICES_REVENUES</stp>
        <stp>FQ1 2018</stp>
        <stp>FQ1 2018</stp>
        <stp>[AMZ_2009-2018.xlsx]Income - Adjusted!R7C39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7" s="2"/>
      </tp>
      <tp>
        <v>20579</v>
        <stp/>
        <stp>##V3_BDHV12</stp>
        <stp>AMZN US Equity</stp>
        <stp>IS_SALES_AND_SERVICES_REVENUES</stp>
        <stp>FQ3 2014</stp>
        <stp>FQ3 2014</stp>
        <stp>[AMZ_2009-2018.xlsx]Income - Adjusted!R7C25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7" s="2"/>
      </tp>
      <tp>
        <v>37955</v>
        <stp/>
        <stp>##V3_BDHV12</stp>
        <stp>AMZN US Equity</stp>
        <stp>IS_SALES_AND_SERVICES_REVENUES</stp>
        <stp>FQ2 2017</stp>
        <stp>FQ2 2017</stp>
        <stp>[AMZ_2009-2018.xlsx]Income - Adjusted!R7C36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7" s="2"/>
      </tp>
      <tp>
        <v>25587</v>
        <stp/>
        <stp>##V3_BDHV12</stp>
        <stp>AMZN US Equity</stp>
        <stp>IS_SALES_AND_SERVICES_REVENUES</stp>
        <stp>FQ4 2013</stp>
        <stp>FQ4 2013</stp>
        <stp>[AMZ_2009-2018.xlsx]Income - Adjusted!R7C22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7" s="2"/>
      </tp>
      <tp>
        <v>11.4018</v>
        <stp/>
        <stp>##V3_BDHV12</stp>
        <stp>AMZN US Equity</stp>
        <stp>CASH_ST_INVESTMENTS_PER_SH</stp>
        <stp>FQ2 2010</stp>
        <stp>FQ2 2010</stp>
        <stp>[AMZ_2009-2018.xlsx]Per Share!R25C8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25" s="5"/>
      </tp>
      <tp>
        <v>0</v>
        <stp/>
        <stp>##V3_BDHV12</stp>
        <stp>AMZN US Equity</stp>
        <stp>BS_PFD_EQTY_&amp;_HYBRID_CPTL</stp>
        <stp>FQ3 2015</stp>
        <stp>FQ3 2015</stp>
        <stp>[AMZ_2009-2018.xlsx]Bal Sheet - Standardized!R64C29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4" s="3"/>
      </tp>
      <tp>
        <v>0</v>
        <stp/>
        <stp>##V3_BDHV12</stp>
        <stp>AMZN US Equity</stp>
        <stp>BS_OTHER_CUR_ASSET_LESS_PREPAY</stp>
        <stp>FQ2 2018</stp>
        <stp>FQ2 2018</stp>
        <stp>[AMZ_2009-2018.xlsx]Bal Sheet - Standardized!R21C40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1" s="3"/>
      </tp>
      <tp>
        <v>459</v>
        <stp/>
        <stp>##V3_BDHV12</stp>
        <stp>AMZN US Equity</stp>
        <stp>BS_SH_OUT</stp>
        <stp>FQ4 2013</stp>
        <stp>FQ4 2013</stp>
        <stp>[AMZ_2009-2018.xlsx]Bal Sheet - Standardized!R78C22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78" s="3"/>
      </tp>
      <tp>
        <v>463</v>
        <stp/>
        <stp>##V3_BDHV12</stp>
        <stp>AMZN US Equity</stp>
        <stp>BS_SH_OUT</stp>
        <stp>FQ3 2014</stp>
        <stp>FQ3 2014</stp>
        <stp>[AMZ_2009-2018.xlsx]Bal Sheet - Standardized!R78C25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78" s="3"/>
      </tp>
      <tp>
        <v>480</v>
        <stp/>
        <stp>##V3_BDHV12</stp>
        <stp>AMZN US Equity</stp>
        <stp>BS_SH_OUT</stp>
        <stp>FQ2 2017</stp>
        <stp>FQ2 2017</stp>
        <stp>[AMZ_2009-2018.xlsx]Bal Sheet - Standardized!R78C36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78" s="3"/>
      </tp>
      <tp>
        <v>484</v>
        <stp/>
        <stp>##V3_BDHV12</stp>
        <stp>AMZN US Equity</stp>
        <stp>BS_SH_OUT</stp>
        <stp>FQ1 2018</stp>
        <stp>FQ1 2018</stp>
        <stp>[AMZ_2009-2018.xlsx]Bal Sheet - Standardized!R78C39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78" s="3"/>
      </tp>
      <tp t="s">
        <v>—</v>
        <stp/>
        <stp>##V3_BDHV12</stp>
        <stp>AMZN US Equity</stp>
        <stp>BS_DEFERRED_TAX_LIABILITIES_LT</stp>
        <stp>FQ1 2015</stp>
        <stp>FQ1 2015</stp>
        <stp>[AMZ_2009-2018.xlsx]Bal Sheet - Standardized!R59C27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9" s="3"/>
      </tp>
      <tp t="s">
        <v>—</v>
        <stp/>
        <stp>##V3_BDHV12</stp>
        <stp>AMZN US Equity</stp>
        <stp>BS_DEFERRED_TAX_LIABILITIES_LT</stp>
        <stp>FQ2 2017</stp>
        <stp>FQ2 2017</stp>
        <stp>[AMZ_2009-2018.xlsx]Bal Sheet - Standardized!R59C36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9" s="3"/>
      </tp>
      <tp t="s">
        <v>—</v>
        <stp/>
        <stp>##V3_BDHV12</stp>
        <stp>AMZN US Equity</stp>
        <stp>BS_DEFERRED_TAX_LIABILITIES_LT</stp>
        <stp>FQ3 2016</stp>
        <stp>FQ3 2016</stp>
        <stp>[AMZ_2009-2018.xlsx]Bal Sheet - Standardized!R59C33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9" s="3"/>
      </tp>
      <tp>
        <v>8507</v>
        <stp/>
        <stp>##V3_BDHV12</stp>
        <stp>AMZN US Equity</stp>
        <stp>BS_OTHER_ASSETS_DEF_CHRG_OTHER</stp>
        <stp>FQ4 2016</stp>
        <stp>FQ4 2016</stp>
        <stp>[AMZ_2009-2018.xlsx]Bal Sheet - Standardized!R27C34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7" s="3"/>
      </tp>
      <tp>
        <v>2692</v>
        <stp/>
        <stp>##V3_BDHV12</stp>
        <stp>AMZN US Equity</stp>
        <stp>BS_OTHER_ASSETS_DEF_CHRG_OTHER</stp>
        <stp>FQ1 2011</stp>
        <stp>FQ1 2011</stp>
        <stp>[AMZ_2009-2018.xlsx]Bal Sheet - Standardized!R27C11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7" s="3"/>
      </tp>
      <tp>
        <v>4132</v>
        <stp/>
        <stp>##V3_BDHV12</stp>
        <stp>AMZN US Equity</stp>
        <stp>BS_OTHER_ASSETS_DEF_CHRG_OTHER</stp>
        <stp>FQ2 2012</stp>
        <stp>FQ2 2012</stp>
        <stp>[AMZ_2009-2018.xlsx]Bal Sheet - Standardized!R27C16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7" s="3"/>
      </tp>
      <tp>
        <v>9.5891000000000002</v>
        <stp/>
        <stp>##V3_BDHV12</stp>
        <stp>AMZN US Equity</stp>
        <stp>TCE_RATIO</stp>
        <stp>FQ4 2017</stp>
        <stp>FQ4 2017</stp>
        <stp>[AMZ_2009-2018.xlsx]Bal Sheet - Standardized!R85C38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85" s="3"/>
      </tp>
      <tp>
        <v>34995</v>
        <stp/>
        <stp>##V3_BDHV12</stp>
        <stp>AMZN US Equity</stp>
        <stp>EQTY_BEF_MINORITY_INT_DETAILED</stp>
        <stp>FQ2 2018</stp>
        <stp>FQ2 2018</stp>
        <stp>[AMZ_2009-2018.xlsx]Bal Sheet - Standardized!R71C40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1" s="3"/>
      </tp>
      <tp>
        <v>8046</v>
        <stp/>
        <stp>##V3_BDHV12</stp>
        <stp>AMZN US Equity</stp>
        <stp>BS_ACCT_NOTE_RCV</stp>
        <stp>FQ2 2017</stp>
        <stp>FQ2 2017</stp>
        <stp>[AMZ_2009-2018.xlsx]Bal Sheet - Standardized!R10C36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0" s="3"/>
      </tp>
      <tp>
        <v>134100</v>
        <stp/>
        <stp>##V3_BDHV12</stp>
        <stp>AMZN US Equity</stp>
        <stp>TOT_LIAB_AND_EQY</stp>
        <stp>FQ2 2018</stp>
        <stp>FQ2 2018</stp>
        <stp>[AMZ_2009-2018.xlsx]Bal Sheet - Standardized!R74C40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4" s="3"/>
      </tp>
      <tp>
        <v>4772</v>
        <stp/>
        <stp>##V3_BDHV12</stp>
        <stp>AMZN US Equity</stp>
        <stp>BS_ACCT_NOTE_RCV</stp>
        <stp>FQ1 2015</stp>
        <stp>FQ1 2015</stp>
        <stp>[AMZ_2009-2018.xlsx]Bal Sheet - Standardized!R10C27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0" s="3"/>
      </tp>
      <tp>
        <v>6566</v>
        <stp/>
        <stp>##V3_BDHV12</stp>
        <stp>AMZN US Equity</stp>
        <stp>BS_ACCT_NOTE_RCV</stp>
        <stp>FQ3 2016</stp>
        <stp>FQ3 2016</stp>
        <stp>[AMZ_2009-2018.xlsx]Bal Sheet - Standardized!R10C33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0" s="3"/>
      </tp>
      <tp>
        <v>433</v>
        <stp/>
        <stp>##V3_BDHV12</stp>
        <stp>AMZN US Equity</stp>
        <stp>BS_DISCLOSED_INTANGIBLES</stp>
        <stp>FQ1 2009</stp>
        <stp>FQ1 2009</stp>
        <stp>[AMZ_2009-2018.xlsx]Bal Sheet - Standardized!R28C3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3"/>
      </tp>
      <tp>
        <v>1169.47</v>
        <stp/>
        <stp>##V3_BDHV12</stp>
        <stp>AMZN US Equity</stp>
        <stp>PX_LAST</stp>
        <stp>FQ4 2017</stp>
        <stp>FQ4 2017</stp>
        <stp>[AMZ_2009-2018.xlsx]Stock Value!R6C38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6" s="6"/>
      </tp>
      <tp>
        <v>5526</v>
        <stp/>
        <stp>##V3_BDHV12</stp>
        <stp>AMZN US Equity</stp>
        <stp>OTHER_NONCURRENT_ASSETS_DETAILED</stp>
        <stp>FQ4 2017</stp>
        <stp>FQ4 2017</stp>
        <stp>[AMZ_2009-2018.xlsx]Bal Sheet - Standardized!R33C38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3" s="3"/>
      </tp>
      <tp>
        <v>-67</v>
        <stp/>
        <stp>##V3_BDHV12</stp>
        <stp>AMZN US Equity</stp>
        <stp>CF_CASH_FOR_ACQUIS_SUBSIDIARIES</stp>
        <stp>FQ2 2014</stp>
        <stp>FQ2 2014</stp>
        <stp>[AMZ_2009-2018.xlsx]Cash Flow - Standardized!R34C24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4" s="4"/>
      </tp>
      <tp>
        <v>-16</v>
        <stp/>
        <stp>##V3_BDHV12</stp>
        <stp>AMZN US Equity</stp>
        <stp>CF_CASH_FOR_ACQUIS_SUBSIDIARIES</stp>
        <stp>FQ1 2016</stp>
        <stp>FQ1 2016</stp>
        <stp>[AMZ_2009-2018.xlsx]Cash Flow - Standardized!R34C31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4" s="4"/>
      </tp>
      <tp>
        <v>250.87</v>
        <stp/>
        <stp>##V3_BDHV12</stp>
        <stp>AMZN US Equity</stp>
        <stp>PX_LAST</stp>
        <stp>FQ4 2012</stp>
        <stp>FQ4 2012</stp>
        <stp>[AMZ_2009-2018.xlsx]Stock Value!R6C18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6" s="6"/>
      </tp>
      <tp>
        <v>-2647</v>
        <stp/>
        <stp>##V3_BDHV12</stp>
        <stp>AMZN US Equity</stp>
        <stp>CFF_ACTIVITIES_DETAILED</stp>
        <stp>FQ4 2017</stp>
        <stp>FQ4 2017</stp>
        <stp>[AMZ_2009-2018.xlsx]Cash Flow - Standardized!R51C38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1" s="4"/>
      </tp>
      <tp>
        <v>-49</v>
        <stp/>
        <stp>##V3_BDHV12</stp>
        <stp>AMZN US Equity</stp>
        <stp>CF_CASH_FOR_ACQUIS_SUBSIDIARIES</stp>
        <stp>FQ4 2011</stp>
        <stp>FQ4 2011</stp>
        <stp>[AMZ_2009-2018.xlsx]Cash Flow - Standardized!R34C14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4" s="4"/>
      </tp>
      <tp>
        <v>854</v>
        <stp/>
        <stp>##V3_BDHV12</stp>
        <stp>AMZN US Equity</stp>
        <stp>OTHER_INTANGIBLE_ASSETS_DETAILED</stp>
        <stp>FQ4 2016</stp>
        <stp>FQ4 2016</stp>
        <stp>[AMZ_2009-2018.xlsx]Bal Sheet - Standardized!R30C34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0" s="3"/>
      </tp>
      <tp>
        <v>0</v>
        <stp/>
        <stp>##V3_BDHV12</stp>
        <stp>AMZN US Equity</stp>
        <stp>OTHER_INTANGIBLE_ASSETS_DETAILED</stp>
        <stp>FQ1 2011</stp>
        <stp>FQ1 2011</stp>
        <stp>[AMZ_2009-2018.xlsx]Bal Sheet - Standardized!R30C11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0" s="3"/>
      </tp>
      <tp>
        <v>1476</v>
        <stp/>
        <stp>##V3_BDHV12</stp>
        <stp>AMZN US Equity</stp>
        <stp>OTHER_NONCURRENT_ASSETS_DETAILED</stp>
        <stp>FQ3 2012</stp>
        <stp>FQ3 2012</stp>
        <stp>[AMZ_2009-2018.xlsx]Bal Sheet - Standardized!R33C17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3" s="3"/>
      </tp>
      <tp>
        <v>0</v>
        <stp/>
        <stp>##V3_BDHV12</stp>
        <stp>AMZN US Equity</stp>
        <stp>CF_ACQUISITION_OF_INTANG_ASSETS</stp>
        <stp>FQ2 2018</stp>
        <stp>FQ2 2018</stp>
        <stp>[AMZ_2009-2018.xlsx]Cash Flow - Standardized!R28C40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8" s="4"/>
      </tp>
      <tp>
        <v>31</v>
        <stp/>
        <stp>##V3_BDHV12</stp>
        <stp>AMZN US Equity</stp>
        <stp>CFF_ACTIVITIES_DETAILED</stp>
        <stp>FQ3 2012</stp>
        <stp>FQ3 2012</stp>
        <stp>[AMZ_2009-2018.xlsx]Cash Flow - Standardized!R51C17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1" s="4"/>
      </tp>
      <tp>
        <v>13944</v>
        <stp/>
        <stp>##V3_BDHV12</stp>
        <stp>AMZN US Equity</stp>
        <stp>BS_DISCLOSED_INTANGIBLES</stp>
        <stp>FQ2 2018</stp>
        <stp>FQ2 2018</stp>
        <stp>[AMZ_2009-2018.xlsx]Bal Sheet - Standardized!R28C40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8" s="3"/>
      </tp>
      <tp>
        <v>-105</v>
        <stp/>
        <stp>##V3_BDHV12</stp>
        <stp>AMZN US Equity</stp>
        <stp>CF_CASH_FOR_ACQUIS_SUBSIDIARIES</stp>
        <stp>FQ3 2015</stp>
        <stp>FQ3 2015</stp>
        <stp>[AMZ_2009-2018.xlsx]Cash Flow - Standardized!R34C29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4" s="4"/>
      </tp>
      <tp>
        <v>0</v>
        <stp/>
        <stp>##V3_BDHV12</stp>
        <stp>AMZN US Equity</stp>
        <stp>OTHER_INTANGIBLE_ASSETS_DETAILED</stp>
        <stp>FQ2 2012</stp>
        <stp>FQ2 2012</stp>
        <stp>[AMZ_2009-2018.xlsx]Bal Sheet - Standardized!R30C16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0" s="3"/>
      </tp>
      <tp>
        <v>52</v>
        <stp/>
        <stp>##V3_BDHV12</stp>
        <stp>AMZN US Equity</stp>
        <stp>PROC_FR_REPURCH_EQTY_DETAILED</stp>
        <stp>FQ4 2009</stp>
        <stp>FQ4 2009</stp>
        <stp>[AMZ_2009-2018.xlsx]Cash Flow - Standardized!R46C6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6" s="4"/>
      </tp>
      <tp>
        <v>558</v>
        <stp/>
        <stp>##V3_BDHV12</stp>
        <stp>AMZN US Equity</stp>
        <stp>FREE_CASH_FLOW_EQUITY</stp>
        <stp>FQ3 2010</stp>
        <stp>FQ3 2010</stp>
        <stp>[AMZ_2009-2018.xlsx]Cash Flow - Standardized!R67C9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7" s="4"/>
      </tp>
      <tp>
        <v>367</v>
        <stp/>
        <stp>##V3_BDHV12</stp>
        <stp>AMZN US Equity</stp>
        <stp>FREE_CASH_FLOW_EQUITY</stp>
        <stp>FQ2 2009</stp>
        <stp>FQ2 2009</stp>
        <stp>[AMZ_2009-2018.xlsx]Cash Flow - Standardized!R67C4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7" s="4"/>
      </tp>
      <tp>
        <v>30404</v>
        <stp/>
        <stp>##V3_BDHV12</stp>
        <stp>AMZN US Equity</stp>
        <stp>SALES_REV_TURN</stp>
        <stp>FQ2 2016</stp>
        <stp>FQ2 2016</stp>
        <stp>[AMZ_2009-2018.xlsx]Income - Adjusted!R6C32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6" s="2"/>
      </tp>
      <tp>
        <v>12834</v>
        <stp/>
        <stp>##V3_BDHV12</stp>
        <stp>AMZN US Equity</stp>
        <stp>SALES_REV_TURN</stp>
        <stp>FQ2 2012</stp>
        <stp>FQ2 2012</stp>
        <stp>[AMZ_2009-2018.xlsx]Income - Adjusted!R6C16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6" s="2"/>
      </tp>
      <tp>
        <v>0.45</v>
        <stp/>
        <stp>##V3_BDHV12</stp>
        <stp>AMZN US Equity</stp>
        <stp>IS_DIL_EPS_BEF_XO</stp>
        <stp>FQ4 2014</stp>
        <stp>FQ4 2014</stp>
        <stp>[AMZ_2009-2018.xlsx]Income - Adjusted!R56C26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56" s="2"/>
      </tp>
      <tp>
        <v>0.01</v>
        <stp/>
        <stp>##V3_BDHV12</stp>
        <stp>AMZN US Equity</stp>
        <stp>IS_DIL_EPS_BEF_XO</stp>
        <stp>FQ2 2012</stp>
        <stp>FQ2 2012</stp>
        <stp>[AMZ_2009-2018.xlsx]Income - Adjusted!R56C16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56" s="2"/>
      </tp>
      <tp>
        <v>0.4</v>
        <stp/>
        <stp>##V3_BDHV12</stp>
        <stp>AMZN US Equity</stp>
        <stp>IS_DIL_EPS_BEF_XO</stp>
        <stp>FQ2 2017</stp>
        <stp>FQ2 2017</stp>
        <stp>[AMZ_2009-2018.xlsx]Income - Adjusted!R56C36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56" s="2"/>
      </tp>
      <tp>
        <v>301</v>
        <stp/>
        <stp>##V3_BDHV12</stp>
        <stp>AMZN US Equity</stp>
        <stp>EBITDA</stp>
        <stp>FQ2 2009</stp>
        <stp>FQ2 2009</stp>
        <stp>[AMZ_2009-2018.xlsx]Income - Adjusted!R61C4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61" s="2"/>
      </tp>
      <tp>
        <v>48</v>
        <stp/>
        <stp>##V3_BDHV12</stp>
        <stp>AMZN US Equity</stp>
        <stp>CF_STOCK_BASED_COMPENSATION</stp>
        <stp>FQ4 2009</stp>
        <stp>FQ4 2009</stp>
        <stp>[AMZ_2009-2018.xlsx]Cash Flow - Standardized!R10C6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0" s="4"/>
      </tp>
      <tp>
        <v>0</v>
        <stp/>
        <stp>##V3_BDHV12</stp>
        <stp>AMZN US Equity</stp>
        <stp>BS_PFD_EQTY_&amp;_HYBRID_CPTL</stp>
        <stp>FQ3 2017</stp>
        <stp>FQ3 2017</stp>
        <stp>[AMZ_2009-2018.xlsx]Bal Sheet - Standardized!R64C37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4" s="3"/>
      </tp>
      <tp>
        <v>0</v>
        <stp/>
        <stp>##V3_BDHV12</stp>
        <stp>AMZN US Equity</stp>
        <stp>BS_PFD_EQTY_&amp;_HYBRID_CPTL</stp>
        <stp>FQ2 2016</stp>
        <stp>FQ2 2016</stp>
        <stp>[AMZ_2009-2018.xlsx]Bal Sheet - Standardized!R64C32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4" s="3"/>
      </tp>
      <tp>
        <v>0</v>
        <stp/>
        <stp>##V3_BDHV12</stp>
        <stp>AMZN US Equity</stp>
        <stp>BS_PFD_EQTY_&amp;_HYBRID_CPTL</stp>
        <stp>FQ1 2014</stp>
        <stp>FQ1 2014</stp>
        <stp>[AMZ_2009-2018.xlsx]Bal Sheet - Standardized!R64C23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4" s="3"/>
      </tp>
      <tp>
        <v>22717</v>
        <stp/>
        <stp>##V3_BDHV12</stp>
        <stp>AMZN US Equity</stp>
        <stp>IS_SALES_AND_SERVICES_REVENUES</stp>
        <stp>FQ1 2015</stp>
        <stp>FQ1 2015</stp>
        <stp>[AMZ_2009-2018.xlsx]Income - Adjusted!R7C27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7" s="2"/>
      </tp>
      <tp>
        <v>35714</v>
        <stp/>
        <stp>##V3_BDHV12</stp>
        <stp>AMZN US Equity</stp>
        <stp>IS_SALES_AND_SERVICES_REVENUES</stp>
        <stp>FQ1 2017</stp>
        <stp>FQ1 2017</stp>
        <stp>[AMZ_2009-2018.xlsx]Income - Adjusted!R7C35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7" s="2"/>
      </tp>
      <tp>
        <v>17092</v>
        <stp/>
        <stp>##V3_BDHV12</stp>
        <stp>AMZN US Equity</stp>
        <stp>IS_SALES_AND_SERVICES_REVENUES</stp>
        <stp>FQ3 2013</stp>
        <stp>FQ3 2013</stp>
        <stp>[AMZ_2009-2018.xlsx]Income - Adjusted!R7C21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7" s="2"/>
      </tp>
      <tp>
        <v>10876</v>
        <stp/>
        <stp>##V3_BDHV12</stp>
        <stp>AMZN US Equity</stp>
        <stp>IS_SALES_AND_SERVICES_REVENUES</stp>
        <stp>FQ3 2011</stp>
        <stp>FQ3 2011</stp>
        <stp>[AMZ_2009-2018.xlsx]Income - Adjusted!R7C13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7" s="2"/>
      </tp>
      <tp>
        <v>29328</v>
        <stp/>
        <stp>##V3_BDHV12</stp>
        <stp>AMZN US Equity</stp>
        <stp>IS_SALES_AND_SERVICES_REVENUES</stp>
        <stp>FQ4 2014</stp>
        <stp>FQ4 2014</stp>
        <stp>[AMZ_2009-2018.xlsx]Income - Adjusted!R7C26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7" s="2"/>
      </tp>
      <tp>
        <v>43741</v>
        <stp/>
        <stp>##V3_BDHV12</stp>
        <stp>AMZN US Equity</stp>
        <stp>IS_SALES_AND_SERVICES_REVENUES</stp>
        <stp>FQ4 2016</stp>
        <stp>FQ4 2016</stp>
        <stp>[AMZ_2009-2018.xlsx]Income - Adjusted!R7C34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7" s="2"/>
      </tp>
      <tp>
        <v>0</v>
        <stp/>
        <stp>##V3_BDHV12</stp>
        <stp>AMZN US Equity</stp>
        <stp>BS_PFD_EQTY_&amp;_HYBRID_CPTL</stp>
        <stp>FQ4 2012</stp>
        <stp>FQ4 2012</stp>
        <stp>[AMZ_2009-2018.xlsx]Bal Sheet - Standardized!R64C18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4" s="3"/>
      </tp>
      <tp>
        <v>477</v>
        <stp/>
        <stp>##V3_BDHV12</stp>
        <stp>AMZN US Equity</stp>
        <stp>BS_SH_OUT</stp>
        <stp>FQ4 2016</stp>
        <stp>FQ4 2016</stp>
        <stp>[AMZ_2009-2018.xlsx]Bal Sheet - Standardized!R78C34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78" s="3"/>
      </tp>
      <tp>
        <v>465</v>
        <stp/>
        <stp>##V3_BDHV12</stp>
        <stp>AMZN US Equity</stp>
        <stp>BS_SH_OUT</stp>
        <stp>FQ4 2014</stp>
        <stp>FQ4 2014</stp>
        <stp>[AMZ_2009-2018.xlsx]Bal Sheet - Standardized!R78C26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78" s="3"/>
      </tp>
      <tp>
        <v>455</v>
        <stp/>
        <stp>##V3_BDHV12</stp>
        <stp>AMZN US Equity</stp>
        <stp>BS_SH_OUT</stp>
        <stp>FQ3 2011</stp>
        <stp>FQ3 2011</stp>
        <stp>[AMZ_2009-2018.xlsx]Bal Sheet - Standardized!R78C13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78" s="3"/>
      </tp>
      <tp>
        <v>458</v>
        <stp/>
        <stp>##V3_BDHV12</stp>
        <stp>AMZN US Equity</stp>
        <stp>BS_SH_OUT</stp>
        <stp>FQ3 2013</stp>
        <stp>FQ3 2013</stp>
        <stp>[AMZ_2009-2018.xlsx]Bal Sheet - Standardized!R78C21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78" s="3"/>
      </tp>
      <tp>
        <v>478</v>
        <stp/>
        <stp>##V3_BDHV12</stp>
        <stp>AMZN US Equity</stp>
        <stp>BS_SH_OUT</stp>
        <stp>FQ1 2017</stp>
        <stp>FQ1 2017</stp>
        <stp>[AMZ_2009-2018.xlsx]Bal Sheet - Standardized!R78C35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78" s="3"/>
      </tp>
      <tp>
        <v>466</v>
        <stp/>
        <stp>##V3_BDHV12</stp>
        <stp>AMZN US Equity</stp>
        <stp>BS_SH_OUT</stp>
        <stp>FQ1 2015</stp>
        <stp>FQ1 2015</stp>
        <stp>[AMZ_2009-2018.xlsx]Bal Sheet - Standardized!R78C27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78" s="3"/>
      </tp>
      <tp t="s">
        <v>—</v>
        <stp/>
        <stp>##V3_BDHV12</stp>
        <stp>AMZN US Equity</stp>
        <stp>BS_DEFERRED_TAX_LIABILITIES_LT</stp>
        <stp>FQ2 2015</stp>
        <stp>FQ2 2015</stp>
        <stp>[AMZ_2009-2018.xlsx]Bal Sheet - Standardized!R59C28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9" s="3"/>
      </tp>
      <tp t="s">
        <v>—</v>
        <stp/>
        <stp>##V3_BDHV12</stp>
        <stp>AMZN US Equity</stp>
        <stp>BS_DEFERRED_TAX_LIABILITIES_LT</stp>
        <stp>FQ1 2017</stp>
        <stp>FQ1 2017</stp>
        <stp>[AMZ_2009-2018.xlsx]Bal Sheet - Standardized!R59C35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9" s="3"/>
      </tp>
      <tp t="s">
        <v>—</v>
        <stp/>
        <stp>##V3_BDHV12</stp>
        <stp>AMZN US Equity</stp>
        <stp>BS_DEFERRED_TAX_LIABILITIES_LT</stp>
        <stp>FQ4 2010</stp>
        <stp>FQ4 2010</stp>
        <stp>[AMZ_2009-2018.xlsx]Bal Sheet - Standardized!R59C10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9" s="3"/>
      </tp>
      <tp t="s">
        <v>—</v>
        <stp/>
        <stp>##V3_BDHV12</stp>
        <stp>AMZN US Equity</stp>
        <stp>BS_DEFERRED_TAX_LIABILITIES_LT</stp>
        <stp>FQ4 2013</stp>
        <stp>FQ4 2013</stp>
        <stp>[AMZ_2009-2018.xlsx]Bal Sheet - Standardized!R59C22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9" s="3"/>
      </tp>
      <tp t="s">
        <v>—</v>
        <stp/>
        <stp>##V3_BDHV12</stp>
        <stp>AMZN US Equity</stp>
        <stp>BS_DEFERRED_TAX_LIABILITIES_LT</stp>
        <stp>FQ3 2014</stp>
        <stp>FQ3 2014</stp>
        <stp>[AMZ_2009-2018.xlsx]Bal Sheet - Standardized!R59C25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9" s="3"/>
      </tp>
      <tp>
        <v>3192</v>
        <stp/>
        <stp>##V3_BDHV12</stp>
        <stp>AMZN US Equity</stp>
        <stp>BS_OTHER_ASSETS_DEF_CHRG_OTHER</stp>
        <stp>FQ2 2011</stp>
        <stp>FQ2 2011</stp>
        <stp>[AMZ_2009-2018.xlsx]Bal Sheet - Standardized!R27C12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7" s="3"/>
      </tp>
      <tp>
        <v>6211</v>
        <stp/>
        <stp>##V3_BDHV12</stp>
        <stp>AMZN US Equity</stp>
        <stp>BS_OTHER_ASSETS_DEF_CHRG_OTHER</stp>
        <stp>FQ4 2014</stp>
        <stp>FQ4 2014</stp>
        <stp>[AMZ_2009-2018.xlsx]Bal Sheet - Standardized!R27C26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7" s="3"/>
      </tp>
      <tp>
        <v>4536</v>
        <stp/>
        <stp>##V3_BDHV12</stp>
        <stp>AMZN US Equity</stp>
        <stp>BS_OTHER_ASSETS_DEF_CHRG_OTHER</stp>
        <stp>FQ3 2013</stp>
        <stp>FQ3 2013</stp>
        <stp>[AMZ_2009-2018.xlsx]Bal Sheet - Standardized!R27C21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7" s="3"/>
      </tp>
      <tp>
        <v>350</v>
        <stp/>
        <stp>##V3_BDHV12</stp>
        <stp>AMZN US Equity</stp>
        <stp>IS_OPEX_R&amp;D</stp>
        <stp>FQ4 2009</stp>
        <stp>FQ4 2009</stp>
        <stp>[AMZ_2009-2018.xlsx]Income - Adjusted!R16C6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6" s="2"/>
      </tp>
      <tp>
        <v>3532</v>
        <stp/>
        <stp>##V3_BDHV12</stp>
        <stp>AMZN US Equity</stp>
        <stp>BS_OTHER_ASSETS_DEF_CHRG_OTHER</stp>
        <stp>FQ1 2012</stp>
        <stp>FQ1 2012</stp>
        <stp>[AMZ_2009-2018.xlsx]Bal Sheet - Standardized!R27C15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7" s="3"/>
      </tp>
      <tp>
        <v>7204</v>
        <stp/>
        <stp>##V3_BDHV12</stp>
        <stp>AMZN US Equity</stp>
        <stp>BS_OTHER_ASSETS_DEF_CHRG_OTHER</stp>
        <stp>FQ4 2015</stp>
        <stp>FQ4 2015</stp>
        <stp>[AMZ_2009-2018.xlsx]Bal Sheet - Standardized!R27C30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7" s="3"/>
      </tp>
      <tp>
        <v>16.889600000000002</v>
        <stp/>
        <stp>##V3_BDHV12</stp>
        <stp>AMZN US Equity</stp>
        <stp>TCE_RATIO</stp>
        <stp>FQ3 2015</stp>
        <stp>FQ3 2015</stp>
        <stp>[AMZ_2009-2018.xlsx]Bal Sheet - Standardized!R85C29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85" s="3"/>
      </tp>
      <tp>
        <v>1587</v>
        <stp/>
        <stp>##V3_BDHV12</stp>
        <stp>AMZN US Equity</stp>
        <stp>BS_ACCT_NOTE_RCV</stp>
        <stp>FQ4 2010</stp>
        <stp>FQ4 2010</stp>
        <stp>[AMZ_2009-2018.xlsx]Bal Sheet - Standardized!R10C10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0" s="3"/>
      </tp>
      <tp>
        <v>4767</v>
        <stp/>
        <stp>##V3_BDHV12</stp>
        <stp>AMZN US Equity</stp>
        <stp>BS_ACCT_NOTE_RCV</stp>
        <stp>FQ4 2013</stp>
        <stp>FQ4 2013</stp>
        <stp>[AMZ_2009-2018.xlsx]Bal Sheet - Standardized!R10C22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0" s="3"/>
      </tp>
      <tp>
        <v>4373</v>
        <stp/>
        <stp>##V3_BDHV12</stp>
        <stp>AMZN US Equity</stp>
        <stp>BS_ACCT_NOTE_RCV</stp>
        <stp>FQ3 2014</stp>
        <stp>FQ3 2014</stp>
        <stp>[AMZ_2009-2018.xlsx]Bal Sheet - Standardized!R10C25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0" s="3"/>
      </tp>
      <tp>
        <v>7329</v>
        <stp/>
        <stp>##V3_BDHV12</stp>
        <stp>AMZN US Equity</stp>
        <stp>BS_ACCT_NOTE_RCV</stp>
        <stp>FQ1 2017</stp>
        <stp>FQ1 2017</stp>
        <stp>[AMZ_2009-2018.xlsx]Bal Sheet - Standardized!R10C35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0" s="3"/>
      </tp>
      <tp>
        <v>451</v>
        <stp/>
        <stp>##V3_BDHV12</stp>
        <stp>AMZN US Equity</stp>
        <stp>BS_DISCLOSED_INTANGIBLES</stp>
        <stp>FQ2 2009</stp>
        <stp>FQ2 2009</stp>
        <stp>[AMZ_2009-2018.xlsx]Bal Sheet - Standardized!R28C4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8" s="3"/>
      </tp>
      <tp>
        <v>4920</v>
        <stp/>
        <stp>##V3_BDHV12</stp>
        <stp>AMZN US Equity</stp>
        <stp>BS_ACCT_NOTE_RCV</stp>
        <stp>FQ2 2015</stp>
        <stp>FQ2 2015</stp>
        <stp>[AMZ_2009-2018.xlsx]Bal Sheet - Standardized!R10C28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0" s="3"/>
      </tp>
      <tp>
        <v>1277</v>
        <stp/>
        <stp>##V3_BDHV12</stp>
        <stp>AMZN US Equity</stp>
        <stp>BS_DISCLOSED_INTANGIBLES</stp>
        <stp>FQ3 2010</stp>
        <stp>FQ3 2010</stp>
        <stp>[AMZ_2009-2018.xlsx]Bal Sheet - Standardized!R28C9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8" s="3"/>
      </tp>
      <tp>
        <v>-157</v>
        <stp/>
        <stp>##V3_BDHV12</stp>
        <stp>AMZN US Equity</stp>
        <stp>CFF_ACTIVITIES_DETAILED</stp>
        <stp>FQ1 2013</stp>
        <stp>FQ1 2013</stp>
        <stp>[AMZ_2009-2018.xlsx]Cash Flow - Standardized!R51C19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1" s="4"/>
      </tp>
      <tp>
        <v>-13213</v>
        <stp/>
        <stp>##V3_BDHV12</stp>
        <stp>AMZN US Equity</stp>
        <stp>CF_CASH_FOR_ACQUIS_SUBSIDIARIES</stp>
        <stp>FQ3 2017</stp>
        <stp>FQ3 2017</stp>
        <stp>[AMZ_2009-2018.xlsx]Cash Flow - Standardized!R34C37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4" s="4"/>
      </tp>
      <tp>
        <v>1732</v>
        <stp/>
        <stp>##V3_BDHV12</stp>
        <stp>AMZN US Equity</stp>
        <stp>OTHER_NONCURRENT_ASSETS_DETAILED</stp>
        <stp>FQ1 2013</stp>
        <stp>FQ1 2013</stp>
        <stp>[AMZ_2009-2018.xlsx]Bal Sheet - Standardized!R33C19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3" s="3"/>
      </tp>
      <tp>
        <v>0</v>
        <stp/>
        <stp>##V3_BDHV12</stp>
        <stp>AMZN US Equity</stp>
        <stp>CF_CASH_FOR_ACQUIS_SUBSIDIARIES</stp>
        <stp>FQ1 2014</stp>
        <stp>FQ1 2014</stp>
        <stp>[AMZ_2009-2018.xlsx]Cash Flow - Standardized!R34C23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4" s="4"/>
      </tp>
      <tp>
        <v>-14</v>
        <stp/>
        <stp>##V3_BDHV12</stp>
        <stp>AMZN US Equity</stp>
        <stp>CF_CASH_FOR_ACQUIS_SUBSIDIARIES</stp>
        <stp>FQ2 2016</stp>
        <stp>FQ2 2016</stp>
        <stp>[AMZ_2009-2018.xlsx]Cash Flow - Standardized!R34C32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4" s="4"/>
      </tp>
      <tp>
        <v>-35</v>
        <stp/>
        <stp>##V3_BDHV12</stp>
        <stp>AMZN US Equity</stp>
        <stp>CF_CASH_FOR_ACQUIS_SUBSIDIARIES</stp>
        <stp>FQ4 2012</stp>
        <stp>FQ4 2012</stp>
        <stp>[AMZ_2009-2018.xlsx]Cash Flow - Standardized!R34C18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4" s="4"/>
      </tp>
      <tp>
        <v>0</v>
        <stp/>
        <stp>##V3_BDHV12</stp>
        <stp>AMZN US Equity</stp>
        <stp>OTHER_INTANGIBLE_ASSETS_DETAILED</stp>
        <stp>FQ2 2011</stp>
        <stp>FQ2 2011</stp>
        <stp>[AMZ_2009-2018.xlsx]Bal Sheet - Standardized!R30C12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0" s="3"/>
      </tp>
      <tp>
        <v>0</v>
        <stp/>
        <stp>##V3_BDHV12</stp>
        <stp>AMZN US Equity</stp>
        <stp>OTHER_INTANGIBLE_ASSETS_DETAILED</stp>
        <stp>FQ3 2013</stp>
        <stp>FQ3 2013</stp>
        <stp>[AMZ_2009-2018.xlsx]Bal Sheet - Standardized!R30C21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0" s="3"/>
      </tp>
      <tp>
        <v>764</v>
        <stp/>
        <stp>##V3_BDHV12</stp>
        <stp>AMZN US Equity</stp>
        <stp>OTHER_INTANGIBLE_ASSETS_DETAILED</stp>
        <stp>FQ4 2014</stp>
        <stp>FQ4 2014</stp>
        <stp>[AMZ_2009-2018.xlsx]Bal Sheet - Standardized!R30C26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0" s="3"/>
      </tp>
      <tp>
        <v>-82</v>
        <stp/>
        <stp>##V3_BDHV12</stp>
        <stp>AMZN US Equity</stp>
        <stp>CFF_ACTIVITIES_DETAILED</stp>
        <stp>FQ3 2011</stp>
        <stp>FQ3 2011</stp>
        <stp>[AMZ_2009-2018.xlsx]Cash Flow - Standardized!R51C13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1" s="4"/>
      </tp>
      <tp>
        <v>-209</v>
        <stp/>
        <stp>##V3_BDHV12</stp>
        <stp>AMZN US Equity</stp>
        <stp>CFF_ACTIVITIES_DETAILED</stp>
        <stp>FQ2 2013</stp>
        <stp>FQ2 2013</stp>
        <stp>[AMZ_2009-2018.xlsx]Cash Flow - Standardized!R51C20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1" s="4"/>
      </tp>
      <tp>
        <v>291.77550000000002</v>
        <stp/>
        <stp>##V3_BDHV12</stp>
        <stp>AMZN US Equity</stp>
        <stp>PX_TO_FREE_CASH_FLOW</stp>
        <stp>FQ4 2012</stp>
        <stp>FQ4 2012</stp>
        <stp>[AMZ_2009-2018.xlsx]Cash Flow - Standardized!R69C18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69" s="4"/>
      </tp>
      <tp>
        <v>653.024</v>
        <stp/>
        <stp>##V3_BDHV12</stp>
        <stp>AMZN US Equity</stp>
        <stp>PX_TO_FREE_CASH_FLOW</stp>
        <stp>FQ1 2013</stp>
        <stp>FQ1 2013</stp>
        <stp>[AMZ_2009-2018.xlsx]Cash Flow - Standardized!R69C19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69" s="4"/>
      </tp>
      <tp>
        <v>0</v>
        <stp/>
        <stp>##V3_BDHV12</stp>
        <stp>AMZN US Equity</stp>
        <stp>NOTES_RECEIVABLE</stp>
        <stp>FQ1 2018</stp>
        <stp>FQ1 2018</stp>
        <stp>[AMZ_2009-2018.xlsx]Bal Sheet - Standardized!R12C39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2" s="3"/>
      </tp>
      <tp>
        <v>0</v>
        <stp/>
        <stp>##V3_BDHV12</stp>
        <stp>AMZN US Equity</stp>
        <stp>OTHER_INTANGIBLE_ASSETS_DETAILED</stp>
        <stp>FQ1 2012</stp>
        <stp>FQ1 2012</stp>
        <stp>[AMZ_2009-2018.xlsx]Bal Sheet - Standardized!R30C15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0" s="3"/>
      </tp>
      <tp>
        <v>1190</v>
        <stp/>
        <stp>##V3_BDHV12</stp>
        <stp>AMZN US Equity</stp>
        <stp>OTHER_NONCURRENT_ASSETS_DETAILED</stp>
        <stp>FQ3 2011</stp>
        <stp>FQ3 2011</stp>
        <stp>[AMZ_2009-2018.xlsx]Bal Sheet - Standardized!R33C13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3" s="3"/>
      </tp>
      <tp>
        <v>1807</v>
        <stp/>
        <stp>##V3_BDHV12</stp>
        <stp>AMZN US Equity</stp>
        <stp>OTHER_NONCURRENT_ASSETS_DETAILED</stp>
        <stp>FQ2 2013</stp>
        <stp>FQ2 2013</stp>
        <stp>[AMZ_2009-2018.xlsx]Bal Sheet - Standardized!R33C20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3" s="3"/>
      </tp>
      <tp>
        <v>992</v>
        <stp/>
        <stp>##V3_BDHV12</stp>
        <stp>AMZN US Equity</stp>
        <stp>OTHER_INTANGIBLE_ASSETS_DETAILED</stp>
        <stp>FQ4 2015</stp>
        <stp>FQ4 2015</stp>
        <stp>[AMZ_2009-2018.xlsx]Bal Sheet - Standardized!R30C30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0" s="3"/>
      </tp>
      <tp>
        <v>22</v>
        <stp/>
        <stp>##V3_BDHV12</stp>
        <stp>AMZN US Equity</stp>
        <stp>FREE_CASH_FLOW_EQUITY</stp>
        <stp>FQ2 2010</stp>
        <stp>FQ2 2010</stp>
        <stp>[AMZ_2009-2018.xlsx]Cash Flow - Standardized!R67C8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7" s="4"/>
      </tp>
      <tp>
        <v>777</v>
        <stp/>
        <stp>##V3_BDHV12</stp>
        <stp>AMZN US Equity</stp>
        <stp>FREE_CASH_FLOW_EQUITY</stp>
        <stp>FQ3 2009</stp>
        <stp>FQ3 2009</stp>
        <stp>[AMZ_2009-2018.xlsx]Cash Flow - Standardized!R67C5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7" s="4"/>
      </tp>
      <tp>
        <v>2231</v>
        <stp/>
        <stp>##V3_BDHV12</stp>
        <stp>AMZN US Equity</stp>
        <stp>CF_CHANGE_IN_ACCOUNTS_PAYABLE</stp>
        <stp>FQ4 2009</stp>
        <stp>FQ4 2009</stp>
        <stp>[AMZ_2009-2018.xlsx]Cash Flow - Standardized!R16C6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6" s="4"/>
      </tp>
      <tp>
        <v>32714</v>
        <stp/>
        <stp>##V3_BDHV12</stp>
        <stp>AMZN US Equity</stp>
        <stp>SALES_REV_TURN</stp>
        <stp>FQ3 2016</stp>
        <stp>FQ3 2016</stp>
        <stp>[AMZ_2009-2018.xlsx]Income - Adjusted!R6C33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6" s="2"/>
      </tp>
      <tp>
        <v>13806</v>
        <stp/>
        <stp>##V3_BDHV12</stp>
        <stp>AMZN US Equity</stp>
        <stp>SALES_REV_TURN</stp>
        <stp>FQ3 2012</stp>
        <stp>FQ3 2012</stp>
        <stp>[AMZ_2009-2018.xlsx]Income - Adjusted!R6C17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6" s="2"/>
      </tp>
      <tp>
        <v>17431</v>
        <stp/>
        <stp>##V3_BDHV12</stp>
        <stp>AMZN US Equity</stp>
        <stp>SALES_REV_TURN</stp>
        <stp>FQ4 2011</stp>
        <stp>FQ4 2011</stp>
        <stp>[AMZ_2009-2018.xlsx]Income - Adjusted!R6C14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6" s="2"/>
      </tp>
      <tp>
        <v>35747</v>
        <stp/>
        <stp>##V3_BDHV12</stp>
        <stp>AMZN US Equity</stp>
        <stp>SALES_REV_TURN</stp>
        <stp>FQ4 2015</stp>
        <stp>FQ4 2015</stp>
        <stp>[AMZ_2009-2018.xlsx]Income - Adjusted!R6C30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6" s="2"/>
      </tp>
      <tp>
        <v>-0.6</v>
        <stp/>
        <stp>##V3_BDHV12</stp>
        <stp>AMZN US Equity</stp>
        <stp>IS_DIL_EPS_BEF_XO</stp>
        <stp>FQ3 2012</stp>
        <stp>FQ3 2012</stp>
        <stp>[AMZ_2009-2018.xlsx]Income - Adjusted!R56C17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56" s="2"/>
      </tp>
      <tp>
        <v>0.52</v>
        <stp/>
        <stp>##V3_BDHV12</stp>
        <stp>AMZN US Equity</stp>
        <stp>IS_DIL_EPS_BEF_XO</stp>
        <stp>FQ3 2017</stp>
        <stp>FQ3 2017</stp>
        <stp>[AMZ_2009-2018.xlsx]Income - Adjusted!R56C37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56" s="2"/>
      </tp>
      <tp>
        <v>-0.12</v>
        <stp/>
        <stp>##V3_BDHV12</stp>
        <stp>AMZN US Equity</stp>
        <stp>IS_DIL_EPS_BEF_XO</stp>
        <stp>FQ1 2015</stp>
        <stp>FQ1 2015</stp>
        <stp>[AMZ_2009-2018.xlsx]Income - Adjusted!R56C27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56" s="2"/>
      </tp>
      <tp>
        <v>347</v>
        <stp/>
        <stp>##V3_BDHV12</stp>
        <stp>AMZN US Equity</stp>
        <stp>EBITDA</stp>
        <stp>FQ3 2009</stp>
        <stp>FQ3 2009</stp>
        <stp>[AMZ_2009-2018.xlsx]Income - Adjusted!R61C5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61" s="2"/>
      </tp>
      <tp>
        <v>0</v>
        <stp/>
        <stp>##V3_BDHV12</stp>
        <stp>AMZN US Equity</stp>
        <stp>IS_EXTRAORD_ITEMS_&amp;_ACCTG_CHNG</stp>
        <stp>FQ4 2009</stp>
        <stp>FQ4 2009</stp>
        <stp>[AMZ_2009-2018.xlsx]Income - Adjusted!R37C6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7" s="2"/>
      </tp>
      <tp>
        <v>177</v>
        <stp/>
        <stp>##V3_BDHV12</stp>
        <stp>AMZN US Equity</stp>
        <stp>NET_INCOME</stp>
        <stp>FQ1 2009</stp>
        <stp>FQ1 2009</stp>
        <stp>[AMZ_2009-2018.xlsx]Income - Adjusted!R40C3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2"/>
      </tp>
      <tp>
        <v>0</v>
        <stp/>
        <stp>##V3_BDHV12</stp>
        <stp>AMZN US Equity</stp>
        <stp>BS_PFD_EQTY_&amp;_HYBRID_CPTL</stp>
        <stp>FQ2 2017</stp>
        <stp>FQ2 2017</stp>
        <stp>[AMZ_2009-2018.xlsx]Bal Sheet - Standardized!R64C36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4" s="3"/>
      </tp>
      <tp>
        <v>0</v>
        <stp/>
        <stp>##V3_BDHV12</stp>
        <stp>AMZN US Equity</stp>
        <stp>BS_PFD_EQTY_&amp;_HYBRID_CPTL</stp>
        <stp>FQ1 2015</stp>
        <stp>FQ1 2015</stp>
        <stp>[AMZ_2009-2018.xlsx]Bal Sheet - Standardized!R64C27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4" s="3"/>
      </tp>
      <tp>
        <v>0</v>
        <stp/>
        <stp>##V3_BDHV12</stp>
        <stp>AMZN US Equity</stp>
        <stp>BS_PFD_EQTY_&amp;_HYBRID_CPTL</stp>
        <stp>FQ3 2016</stp>
        <stp>FQ3 2016</stp>
        <stp>[AMZ_2009-2018.xlsx]Bal Sheet - Standardized!R64C33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4" s="3"/>
      </tp>
      <tp>
        <v>9913</v>
        <stp/>
        <stp>##V3_BDHV12</stp>
        <stp>AMZN US Equity</stp>
        <stp>IS_SALES_AND_SERVICES_REVENUES</stp>
        <stp>FQ2 2011</stp>
        <stp>FQ2 2011</stp>
        <stp>[AMZ_2009-2018.xlsx]Income - Adjusted!R7C12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7" s="2"/>
      </tp>
      <tp>
        <v>15704</v>
        <stp/>
        <stp>##V3_BDHV12</stp>
        <stp>AMZN US Equity</stp>
        <stp>IS_SALES_AND_SERVICES_REVENUES</stp>
        <stp>FQ2 2013</stp>
        <stp>FQ2 2013</stp>
        <stp>[AMZ_2009-2018.xlsx]Income - Adjusted!R7C20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7" s="2"/>
      </tp>
      <tp>
        <v>401</v>
        <stp/>
        <stp>##V3_BDHV12</stp>
        <stp>AMZN US Equity</stp>
        <stp>PRETAX_INC</stp>
        <stp>FQ1 2010</stp>
        <stp>FQ1 2010</stp>
        <stp>[AMZ_2009-2018.xlsx]Income - Adjusted!R31C7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31" s="2"/>
      </tp>
      <tp>
        <v>6.3635999999999999</v>
        <stp/>
        <stp>##V3_BDHV12</stp>
        <stp>AMZN US Equity</stp>
        <stp>CASH_ST_INVESTMENTS_PER_SH</stp>
        <stp>FQ1 2009</stp>
        <stp>FQ1 2009</stp>
        <stp>[AMZ_2009-2018.xlsx]Per Share!R25C3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25" s="5"/>
      </tp>
      <tp>
        <v>457</v>
        <stp/>
        <stp>##V3_BDHV12</stp>
        <stp>AMZN US Equity</stp>
        <stp>BS_SH_OUT</stp>
        <stp>FQ2 2013</stp>
        <stp>FQ2 2013</stp>
        <stp>[AMZ_2009-2018.xlsx]Bal Sheet - Standardized!R78C20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78" s="3"/>
      </tp>
      <tp>
        <v>454</v>
        <stp/>
        <stp>##V3_BDHV12</stp>
        <stp>AMZN US Equity</stp>
        <stp>BS_SH_OUT</stp>
        <stp>FQ2 2011</stp>
        <stp>FQ2 2011</stp>
        <stp>[AMZ_2009-2018.xlsx]Bal Sheet - Standardized!R78C12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78" s="3"/>
      </tp>
      <tp t="s">
        <v>—</v>
        <stp/>
        <stp>##V3_BDHV12</stp>
        <stp>AMZN US Equity</stp>
        <stp>BS_DEFERRED_TAX_LIABILITIES_LT</stp>
        <stp>FQ3 2015</stp>
        <stp>FQ3 2015</stp>
        <stp>[AMZ_2009-2018.xlsx]Bal Sheet - Standardized!R59C29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9" s="3"/>
      </tp>
      <tp>
        <v>0</v>
        <stp/>
        <stp>##V3_BDHV12</stp>
        <stp>AMZN US Equity</stp>
        <stp>CF_OTHER_FINANCING_ACT_EXCL_FX</stp>
        <stp>FQ4 2009</stp>
        <stp>FQ4 2009</stp>
        <stp>[AMZ_2009-2018.xlsx]Cash Flow - Standardized!R49C6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9" s="4"/>
      </tp>
      <tp t="s">
        <v>—</v>
        <stp/>
        <stp>##V3_BDHV12</stp>
        <stp>AMZN US Equity</stp>
        <stp>BS_DEFERRED_TAX_LIABILITIES_LT</stp>
        <stp>FQ2 2014</stp>
        <stp>FQ2 2014</stp>
        <stp>[AMZ_2009-2018.xlsx]Bal Sheet - Standardized!R59C24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9" s="3"/>
      </tp>
      <tp t="s">
        <v>—</v>
        <stp/>
        <stp>##V3_BDHV12</stp>
        <stp>AMZN US Equity</stp>
        <stp>BS_DEFERRED_TAX_LIABILITIES_LT</stp>
        <stp>FQ1 2016</stp>
        <stp>FQ1 2016</stp>
        <stp>[AMZ_2009-2018.xlsx]Bal Sheet - Standardized!R59C31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9" s="3"/>
      </tp>
      <tp t="s">
        <v>—</v>
        <stp/>
        <stp>##V3_BDHV12</stp>
        <stp>AMZN US Equity</stp>
        <stp>BS_DEFERRED_TAX_LIABILITIES_LT</stp>
        <stp>FQ4 2011</stp>
        <stp>FQ4 2011</stp>
        <stp>[AMZ_2009-2018.xlsx]Bal Sheet - Standardized!R59C14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9" s="3"/>
      </tp>
      <tp>
        <v>4549</v>
        <stp/>
        <stp>##V3_BDHV12</stp>
        <stp>AMZN US Equity</stp>
        <stp>BS_OTHER_ASSETS_DEF_CHRG_OTHER</stp>
        <stp>FQ2 2013</stp>
        <stp>FQ2 2013</stp>
        <stp>[AMZ_2009-2018.xlsx]Bal Sheet - Standardized!R27C20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7" s="3"/>
      </tp>
      <tp>
        <v>3151</v>
        <stp/>
        <stp>##V3_BDHV12</stp>
        <stp>AMZN US Equity</stp>
        <stp>BS_OTHER_ASSETS_DEF_CHRG_OTHER</stp>
        <stp>FQ3 2011</stp>
        <stp>FQ3 2011</stp>
        <stp>[AMZ_2009-2018.xlsx]Bal Sheet - Standardized!R27C13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7" s="3"/>
      </tp>
      <tp>
        <v>4390</v>
        <stp/>
        <stp>##V3_BDHV12</stp>
        <stp>AMZN US Equity</stp>
        <stp>BS_OTHER_ASSETS_DEF_CHRG_OTHER</stp>
        <stp>FQ1 2013</stp>
        <stp>FQ1 2013</stp>
        <stp>[AMZ_2009-2018.xlsx]Bal Sheet - Standardized!R27C19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7" s="3"/>
      </tp>
      <tp>
        <v>16.8551</v>
        <stp/>
        <stp>##V3_BDHV12</stp>
        <stp>AMZN US Equity</stp>
        <stp>TCE_RATIO</stp>
        <stp>FQ2 2015</stp>
        <stp>FQ2 2015</stp>
        <stp>[AMZ_2009-2018.xlsx]Bal Sheet - Standardized!R85C28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85" s="3"/>
      </tp>
      <tp>
        <v>4125</v>
        <stp/>
        <stp>##V3_BDHV12</stp>
        <stp>AMZN US Equity</stp>
        <stp>BS_ACCT_NOTE_RCV</stp>
        <stp>FQ2 2014</stp>
        <stp>FQ2 2014</stp>
        <stp>[AMZ_2009-2018.xlsx]Bal Sheet - Standardized!R10C24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0" s="3"/>
      </tp>
      <tp>
        <v>2571</v>
        <stp/>
        <stp>##V3_BDHV12</stp>
        <stp>AMZN US Equity</stp>
        <stp>BS_ACCT_NOTE_RCV</stp>
        <stp>FQ4 2011</stp>
        <stp>FQ4 2011</stp>
        <stp>[AMZ_2009-2018.xlsx]Bal Sheet - Standardized!R10C14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0" s="3"/>
      </tp>
      <tp>
        <v>988</v>
        <stp/>
        <stp>##V3_BDHV12</stp>
        <stp>AMZN US Equity</stp>
        <stp>BS_ACCT_NOTE_RCV</stp>
        <stp>FQ4 2009</stp>
        <stp>FQ4 2009</stp>
        <stp>[AMZ_2009-2018.xlsx]Bal Sheet - Standardized!R10C6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0" s="3"/>
      </tp>
      <tp>
        <v>5072</v>
        <stp/>
        <stp>##V3_BDHV12</stp>
        <stp>AMZN US Equity</stp>
        <stp>BS_ACCT_NOTE_RCV</stp>
        <stp>FQ1 2016</stp>
        <stp>FQ1 2016</stp>
        <stp>[AMZ_2009-2018.xlsx]Bal Sheet - Standardized!R10C31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0" s="3"/>
      </tp>
      <tp>
        <v>371</v>
        <stp/>
        <stp>##V3_BDHV12</stp>
        <stp>AMZN US Equity</stp>
        <stp>DISP_FXD_&amp;_INTANGIBLES_DETAILED</stp>
        <stp>FQ1 2018</stp>
        <stp>FQ1 2018</stp>
        <stp>[AMZ_2009-2018.xlsx]Cash Flow - Standardized!R23C39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3" s="4"/>
      </tp>
      <tp>
        <v>457</v>
        <stp/>
        <stp>##V3_BDHV12</stp>
        <stp>AMZN US Equity</stp>
        <stp>BS_DISCLOSED_INTANGIBLES</stp>
        <stp>FQ3 2009</stp>
        <stp>FQ3 2009</stp>
        <stp>[AMZ_2009-2018.xlsx]Bal Sheet - Standardized!R28C5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8" s="3"/>
      </tp>
      <tp>
        <v>5440</v>
        <stp/>
        <stp>##V3_BDHV12</stp>
        <stp>AMZN US Equity</stp>
        <stp>BS_ACCT_NOTE_RCV</stp>
        <stp>FQ3 2015</stp>
        <stp>FQ3 2015</stp>
        <stp>[AMZ_2009-2018.xlsx]Bal Sheet - Standardized!R10C29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0" s="3"/>
      </tp>
      <tp>
        <v>1229</v>
        <stp/>
        <stp>##V3_BDHV12</stp>
        <stp>AMZN US Equity</stp>
        <stp>BS_DISCLOSED_INTANGIBLES</stp>
        <stp>FQ2 2010</stp>
        <stp>FQ2 2010</stp>
        <stp>[AMZ_2009-2018.xlsx]Bal Sheet - Standardized!R28C8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8" s="3"/>
      </tp>
      <tp>
        <v>-365</v>
        <stp/>
        <stp>##V3_BDHV12</stp>
        <stp>AMZN US Equity</stp>
        <stp>CF_CASH_FOR_ACQUIS_SUBSIDIARIES</stp>
        <stp>FQ1 2015</stp>
        <stp>FQ1 2015</stp>
        <stp>[AMZ_2009-2018.xlsx]Cash Flow - Standardized!R34C27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4" s="4"/>
      </tp>
      <tp>
        <v>0</v>
        <stp/>
        <stp>##V3_BDHV12</stp>
        <stp>AMZN US Equity</stp>
        <stp>OTHER_INTANGIBLE_ASSETS_DETAILED</stp>
        <stp>FQ1 2013</stp>
        <stp>FQ1 2013</stp>
        <stp>[AMZ_2009-2018.xlsx]Bal Sheet - Standardized!R30C19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0" s="3"/>
      </tp>
      <tp>
        <v>-633</v>
        <stp/>
        <stp>##V3_BDHV12</stp>
        <stp>AMZN US Equity</stp>
        <stp>CF_CASH_FOR_ACQUIS_SUBSIDIARIES</stp>
        <stp>FQ2 2017</stp>
        <stp>FQ2 2017</stp>
        <stp>[AMZ_2009-2018.xlsx]Cash Flow - Standardized!R34C36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4" s="4"/>
      </tp>
      <tp>
        <v>-84</v>
        <stp/>
        <stp>##V3_BDHV12</stp>
        <stp>AMZN US Equity</stp>
        <stp>CF_CASH_FOR_ACQUIS_SUBSIDIARIES</stp>
        <stp>FQ3 2016</stp>
        <stp>FQ3 2016</stp>
        <stp>[AMZ_2009-2018.xlsx]Cash Flow - Standardized!R34C33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4" s="4"/>
      </tp>
      <tp>
        <v>0</v>
        <stp/>
        <stp>##V3_BDHV12</stp>
        <stp>AMZN US Equity</stp>
        <stp>OTHER_INTANGIBLE_ASSETS_DETAILED</stp>
        <stp>FQ2 2013</stp>
        <stp>FQ2 2013</stp>
        <stp>[AMZ_2009-2018.xlsx]Bal Sheet - Standardized!R30C20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0" s="3"/>
      </tp>
      <tp>
        <v>0</v>
        <stp/>
        <stp>##V3_BDHV12</stp>
        <stp>AMZN US Equity</stp>
        <stp>OTHER_INTANGIBLE_ASSETS_DETAILED</stp>
        <stp>FQ3 2011</stp>
        <stp>FQ3 2011</stp>
        <stp>[AMZ_2009-2018.xlsx]Bal Sheet - Standardized!R30C13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0" s="3"/>
      </tp>
      <tp>
        <v>1535</v>
        <stp/>
        <stp>##V3_BDHV12</stp>
        <stp>AMZN US Equity</stp>
        <stp>OTHER_NONCURRENT_ASSETS_DETAILED</stp>
        <stp>FQ1 2012</stp>
        <stp>FQ1 2012</stp>
        <stp>[AMZ_2009-2018.xlsx]Bal Sheet - Standardized!R33C15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3" s="3"/>
      </tp>
      <tp>
        <v>5209</v>
        <stp/>
        <stp>##V3_BDHV12</stp>
        <stp>AMZN US Equity</stp>
        <stp>CFF_ACTIVITIES_DETAILED</stp>
        <stp>FQ4 2014</stp>
        <stp>FQ4 2014</stp>
        <stp>[AMZ_2009-2018.xlsx]Cash Flow - Standardized!R51C26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1" s="4"/>
      </tp>
      <tp>
        <v>-230</v>
        <stp/>
        <stp>##V3_BDHV12</stp>
        <stp>AMZN US Equity</stp>
        <stp>CFF_ACTIVITIES_DETAILED</stp>
        <stp>FQ3 2013</stp>
        <stp>FQ3 2013</stp>
        <stp>[AMZ_2009-2018.xlsx]Cash Flow - Standardized!R51C21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1" s="4"/>
      </tp>
      <tp>
        <v>-91</v>
        <stp/>
        <stp>##V3_BDHV12</stp>
        <stp>AMZN US Equity</stp>
        <stp>CFF_ACTIVITIES_DETAILED</stp>
        <stp>FQ2 2011</stp>
        <stp>FQ2 2011</stp>
        <stp>[AMZ_2009-2018.xlsx]Cash Flow - Standardized!R51C12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1" s="4"/>
      </tp>
      <tp>
        <v>2453</v>
        <stp/>
        <stp>##V3_BDHV12</stp>
        <stp>AMZN US Equity</stp>
        <stp>OTHER_NONCURRENT_ASSETS_DETAILED</stp>
        <stp>FQ4 2015</stp>
        <stp>FQ4 2015</stp>
        <stp>[AMZ_2009-2018.xlsx]Bal Sheet - Standardized!R33C30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3" s="3"/>
      </tp>
      <tp>
        <v>2128</v>
        <stp/>
        <stp>##V3_BDHV12</stp>
        <stp>AMZN US Equity</stp>
        <stp>OTHER_NONCURRENT_ASSETS_DETAILED</stp>
        <stp>FQ4 2014</stp>
        <stp>FQ4 2014</stp>
        <stp>[AMZ_2009-2018.xlsx]Bal Sheet - Standardized!R33C26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3" s="3"/>
      </tp>
      <tp>
        <v>1773</v>
        <stp/>
        <stp>##V3_BDHV12</stp>
        <stp>AMZN US Equity</stp>
        <stp>OTHER_NONCURRENT_ASSETS_DETAILED</stp>
        <stp>FQ3 2013</stp>
        <stp>FQ3 2013</stp>
        <stp>[AMZ_2009-2018.xlsx]Bal Sheet - Standardized!R33C21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3" s="3"/>
      </tp>
      <tp>
        <v>-1690</v>
        <stp/>
        <stp>##V3_BDHV12</stp>
        <stp>AMZN US Equity</stp>
        <stp>CFF_ACTIVITIES_DETAILED</stp>
        <stp>FQ4 2015</stp>
        <stp>FQ4 2015</stp>
        <stp>[AMZ_2009-2018.xlsx]Cash Flow - Standardized!R51C30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1" s="4"/>
      </tp>
      <tp>
        <v>1253</v>
        <stp/>
        <stp>##V3_BDHV12</stp>
        <stp>AMZN US Equity</stp>
        <stp>OTHER_NONCURRENT_ASSETS_DETAILED</stp>
        <stp>FQ2 2011</stp>
        <stp>FQ2 2011</stp>
        <stp>[AMZ_2009-2018.xlsx]Bal Sheet - Standardized!R33C12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3" s="3"/>
      </tp>
      <tp>
        <v>-1005</v>
        <stp/>
        <stp>##V3_BDHV12</stp>
        <stp>AMZN US Equity</stp>
        <stp>CFF_ACTIVITIES_DETAILED</stp>
        <stp>FQ1 2012</stp>
        <stp>FQ1 2012</stp>
        <stp>[AMZ_2009-2018.xlsx]Cash Flow - Standardized!R51C15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1" s="4"/>
      </tp>
      <tp>
        <v>0</v>
        <stp/>
        <stp>##V3_BDHV12</stp>
        <stp>AMZN US Equity</stp>
        <stp>IS_DISCONTINUED_OPERATIONS</stp>
        <stp>FQ1 2015</stp>
        <stp>FQ1 2015</stp>
        <stp>[AMZ_2009-2018.xlsx]Income - Adjusted!R36C27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6" s="2"/>
      </tp>
      <tp>
        <v>0</v>
        <stp/>
        <stp>##V3_BDHV12</stp>
        <stp>AMZN US Equity</stp>
        <stp>IS_DISCONTINUED_OPERATIONS</stp>
        <stp>FQ3 2015</stp>
        <stp>FQ3 2015</stp>
        <stp>[AMZ_2009-2018.xlsx]Income - Adjusted!R36C29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6" s="2"/>
      </tp>
      <tp>
        <v>0</v>
        <stp/>
        <stp>##V3_BDHV12</stp>
        <stp>AMZN US Equity</stp>
        <stp>IS_DISCONTINUED_OPERATIONS</stp>
        <stp>FQ2 2015</stp>
        <stp>FQ2 2015</stp>
        <stp>[AMZ_2009-2018.xlsx]Income - Adjusted!R36C28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6" s="2"/>
      </tp>
      <tp>
        <v>22477</v>
        <stp/>
        <stp>##V3_BDHV12</stp>
        <stp>AMZN US Equity</stp>
        <stp>ACCT_PAYABLE_&amp;_ACCRUALS_DETAILED</stp>
        <stp>FQ3 2015</stp>
        <stp>FQ3 2015</stp>
        <stp>[AMZ_2009-2018.xlsx]Bal Sheet - Standardized!R38C29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8" s="3"/>
      </tp>
      <tp>
        <v>21028</v>
        <stp/>
        <stp>##V3_BDHV12</stp>
        <stp>AMZN US Equity</stp>
        <stp>ACCT_PAYABLE_&amp;_ACCRUALS_DETAILED</stp>
        <stp>FQ1 2016</stp>
        <stp>FQ1 2016</stp>
        <stp>[AMZ_2009-2018.xlsx]Bal Sheet - Standardized!R38C31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8" s="3"/>
      </tp>
      <tp>
        <v>14372</v>
        <stp/>
        <stp>##V3_BDHV12</stp>
        <stp>AMZN US Equity</stp>
        <stp>ACCT_PAYABLE_&amp;_ACCRUALS_DETAILED</stp>
        <stp>FQ4 2011</stp>
        <stp>FQ4 2011</stp>
        <stp>[AMZ_2009-2018.xlsx]Bal Sheet - Standardized!R38C14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8" s="3"/>
      </tp>
      <tp>
        <v>16285</v>
        <stp/>
        <stp>##V3_BDHV12</stp>
        <stp>AMZN US Equity</stp>
        <stp>ACCT_PAYABLE_&amp;_ACCRUALS_DETAILED</stp>
        <stp>FQ2 2014</stp>
        <stp>FQ2 2014</stp>
        <stp>[AMZ_2009-2018.xlsx]Bal Sheet - Standardized!R38C24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8" s="3"/>
      </tp>
      <tp>
        <v>452.065</v>
        <stp/>
        <stp>##V3_BDHV12</stp>
        <stp>AMZN US Equity</stp>
        <stp>EQY_SH_OUT</stp>
        <stp>FQ3 2012</stp>
        <stp>FQ3 2012</stp>
        <stp>[AMZ_2009-2018.xlsx]Stock Value!R13C17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13" s="6"/>
      </tp>
      <tp>
        <v>450.52600000000001</v>
        <stp/>
        <stp>##V3_BDHV12</stp>
        <stp>AMZN US Equity</stp>
        <stp>EQY_SH_OUT</stp>
        <stp>FQ2 2012</stp>
        <stp>FQ2 2012</stp>
        <stp>[AMZ_2009-2018.xlsx]Stock Value!R13C16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13" s="6"/>
      </tp>
      <tp>
        <v>455.06900000000002</v>
        <stp/>
        <stp>##V3_BDHV12</stp>
        <stp>AMZN US Equity</stp>
        <stp>EQY_SH_OUT</stp>
        <stp>FQ1 2012</stp>
        <stp>FQ1 2012</stp>
        <stp>[AMZ_2009-2018.xlsx]Stock Value!R13C15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13" s="6"/>
      </tp>
      <tp>
        <v>475.16699999999997</v>
        <stp/>
        <stp>##V3_BDHV12</stp>
        <stp>AMZN US Equity</stp>
        <stp>EQY_SH_OUT</stp>
        <stp>FQ4 2016</stp>
        <stp>FQ4 2016</stp>
        <stp>[AMZ_2009-2018.xlsx]Stock Value!R13C34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13" s="6"/>
      </tp>
      <tp>
        <v>470.84199999999998</v>
        <stp/>
        <stp>##V3_BDHV12</stp>
        <stp>AMZN US Equity</stp>
        <stp>EQY_SH_OUT</stp>
        <stp>FQ1 2016</stp>
        <stp>FQ1 2016</stp>
        <stp>[AMZ_2009-2018.xlsx]Stock Value!R13C31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13" s="6"/>
      </tp>
      <tp>
        <v>474.07400000000001</v>
        <stp/>
        <stp>##V3_BDHV12</stp>
        <stp>AMZN US Equity</stp>
        <stp>EQY_SH_OUT</stp>
        <stp>FQ3 2016</stp>
        <stp>FQ3 2016</stp>
        <stp>[AMZ_2009-2018.xlsx]Stock Value!R13C33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13" s="6"/>
      </tp>
      <tp>
        <v>471.82799999999997</v>
        <stp/>
        <stp>##V3_BDHV12</stp>
        <stp>AMZN US Equity</stp>
        <stp>EQY_SH_OUT</stp>
        <stp>FQ2 2016</stp>
        <stp>FQ2 2016</stp>
        <stp>[AMZ_2009-2018.xlsx]Stock Value!R13C32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13" s="6"/>
      </tp>
      <tp>
        <v>463.00599999999997</v>
        <stp/>
        <stp>##V3_BDHV12</stp>
        <stp>AMZN US Equity</stp>
        <stp>EQY_SH_OUT</stp>
        <stp>FQ4 2014</stp>
        <stp>FQ4 2014</stp>
        <stp>[AMZ_2009-2018.xlsx]Stock Value!R13C26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13" s="6"/>
      </tp>
      <tp>
        <v>459.26499999999999</v>
        <stp/>
        <stp>##V3_BDHV12</stp>
        <stp>AMZN US Equity</stp>
        <stp>EQY_SH_OUT</stp>
        <stp>FQ1 2014</stp>
        <stp>FQ1 2014</stp>
        <stp>[AMZ_2009-2018.xlsx]Stock Value!R13C23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13" s="6"/>
      </tp>
      <tp>
        <v>-484</v>
        <stp/>
        <stp>##V3_BDHV12</stp>
        <stp>AMZN US Equity</stp>
        <stp>OTHER_INS_RES_TO_SHRHLDR_EQY</stp>
        <stp>FQ4 2017</stp>
        <stp>FQ4 2017</stp>
        <stp>[AMZ_2009-2018.xlsx]Bal Sheet - Standardized!R70C38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70" s="3"/>
      </tp>
      <tp>
        <v>7</v>
        <stp/>
        <stp>##V3_BDHV12</stp>
        <stp>AMZN US Equity</stp>
        <stp>IS_INT_EXPENSE</stp>
        <stp>FQ2 2009</stp>
        <stp>FQ2 2009</stp>
        <stp>[AMZ_2009-2018.xlsx]Income - Adjusted!R21C4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1" s="2"/>
      </tp>
      <tp t="s">
        <v>—</v>
        <stp/>
        <stp>##V3_BDHV12</stp>
        <stp>AMZN US Equity</stp>
        <stp>BS_DEFERRED_TAX_ASSETS_ST</stp>
        <stp>FQ1 2017</stp>
        <stp>FQ1 2017</stp>
        <stp>[AMZ_2009-2018.xlsx]Bal Sheet - Standardized!R20C35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0" s="3"/>
      </tp>
      <tp t="s">
        <v>—</v>
        <stp/>
        <stp>##V3_BDHV12</stp>
        <stp>AMZN US Equity</stp>
        <stp>BS_DEFERRED_TAX_ASSETS_LT</stp>
        <stp>FQ1 2017</stp>
        <stp>FQ1 2017</stp>
        <stp>[AMZ_2009-2018.xlsx]Bal Sheet - Standardized!R31C35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1" s="3"/>
      </tp>
      <tp t="s">
        <v>—</v>
        <stp/>
        <stp>##V3_BDHV12</stp>
        <stp>AMZN US Equity</stp>
        <stp>BS_DEFERRED_TAX_ASSETS_LT</stp>
        <stp>FQ4 2013</stp>
        <stp>FQ4 2013</stp>
        <stp>[AMZ_2009-2018.xlsx]Bal Sheet - Standardized!R31C22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1" s="3"/>
      </tp>
      <tp t="s">
        <v>—</v>
        <stp/>
        <stp>##V3_BDHV12</stp>
        <stp>AMZN US Equity</stp>
        <stp>BS_DEFERRED_TAX_ASSETS_LT</stp>
        <stp>FQ3 2014</stp>
        <stp>FQ3 2014</stp>
        <stp>[AMZ_2009-2018.xlsx]Bal Sheet - Standardized!R31C25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1" s="3"/>
      </tp>
      <tp>
        <v>196</v>
        <stp/>
        <stp>##V3_BDHV12</stp>
        <stp>AMZN US Equity</stp>
        <stp>BS_DEFERRED_TAX_ASSETS_ST</stp>
        <stp>FQ4 2010</stp>
        <stp>FQ4 2010</stp>
        <stp>[AMZ_2009-2018.xlsx]Bal Sheet - Standardized!R20C10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0" s="3"/>
      </tp>
      <tp>
        <v>22</v>
        <stp/>
        <stp>##V3_BDHV12</stp>
        <stp>AMZN US Equity</stp>
        <stp>BS_DEFERRED_TAX_ASSETS_LT</stp>
        <stp>FQ4 2010</stp>
        <stp>FQ4 2010</stp>
        <stp>[AMZ_2009-2018.xlsx]Bal Sheet - Standardized!R31C10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1" s="3"/>
      </tp>
      <tp t="s">
        <v>—</v>
        <stp/>
        <stp>##V3_BDHV12</stp>
        <stp>AMZN US Equity</stp>
        <stp>BS_DEFERRED_TAX_ASSETS_ST</stp>
        <stp>FQ4 2013</stp>
        <stp>FQ4 2013</stp>
        <stp>[AMZ_2009-2018.xlsx]Bal Sheet - Standardized!R20C22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0" s="3"/>
      </tp>
      <tp t="s">
        <v>—</v>
        <stp/>
        <stp>##V3_BDHV12</stp>
        <stp>AMZN US Equity</stp>
        <stp>BS_DEFERRED_TAX_ASSETS_ST</stp>
        <stp>FQ3 2014</stp>
        <stp>FQ3 2014</stp>
        <stp>[AMZ_2009-2018.xlsx]Bal Sheet - Standardized!R20C25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0" s="3"/>
      </tp>
      <tp t="s">
        <v>—</v>
        <stp/>
        <stp>##V3_BDHV12</stp>
        <stp>AMZN US Equity</stp>
        <stp>BS_DEFERRED_TAX_ASSETS_LT</stp>
        <stp>FQ2 2015</stp>
        <stp>FQ2 2015</stp>
        <stp>[AMZ_2009-2018.xlsx]Bal Sheet - Standardized!R31C28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1" s="3"/>
      </tp>
      <tp>
        <v>0</v>
        <stp/>
        <stp>##V3_BDHV12</stp>
        <stp>AMZN US Equity</stp>
        <stp>CF_DVD_PAID</stp>
        <stp>FQ2 2010</stp>
        <stp>FQ2 2010</stp>
        <stp>[AMZ_2009-2018.xlsx]Cash Flow - Standardized!R41C8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1" s="4"/>
      </tp>
      <tp t="s">
        <v>—</v>
        <stp/>
        <stp>##V3_BDHV12</stp>
        <stp>AMZN US Equity</stp>
        <stp>BS_DEFERRED_TAX_ASSETS_ST</stp>
        <stp>FQ2 2015</stp>
        <stp>FQ2 2015</stp>
        <stp>[AMZ_2009-2018.xlsx]Bal Sheet - Standardized!R20C28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0" s="3"/>
      </tp>
      <tp>
        <v>0</v>
        <stp/>
        <stp>##V3_BDHV12</stp>
        <stp>AMZN US Equity</stp>
        <stp>CF_DVD_PAID</stp>
        <stp>FQ3 2009</stp>
        <stp>FQ3 2009</stp>
        <stp>[AMZ_2009-2018.xlsx]Cash Flow - Standardized!R41C5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1" s="4"/>
      </tp>
      <tp>
        <v>0</v>
        <stp/>
        <stp>##V3_BDHV12</stp>
        <stp>AMZN US Equity</stp>
        <stp>BS_ACCRUED_LIABILITIES</stp>
        <stp>FQ4 2015</stp>
        <stp>FQ4 2015</stp>
        <stp>[AMZ_2009-2018.xlsx]Bal Sheet - Standardized!R56C30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6" s="3"/>
      </tp>
      <tp t="s">
        <v>—</v>
        <stp/>
        <stp>##V3_BDHV12</stp>
        <stp>AMZN US Equity</stp>
        <stp>BS_ACCRUED_LIABILITIES</stp>
        <stp>FQ1 2012</stp>
        <stp>FQ1 2012</stp>
        <stp>[AMZ_2009-2018.xlsx]Bal Sheet - Standardized!R56C15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6" s="3"/>
      </tp>
      <tp t="s">
        <v>—</v>
        <stp/>
        <stp>##V3_BDHV12</stp>
        <stp>AMZN US Equity</stp>
        <stp>BS_ACCRUED_LIABILITIES</stp>
        <stp>FQ2 2011</stp>
        <stp>FQ2 2011</stp>
        <stp>[AMZ_2009-2018.xlsx]Bal Sheet - Standardized!R56C12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6" s="3"/>
      </tp>
      <tp>
        <v>14824</v>
        <stp/>
        <stp>##V3_BDHV12</stp>
        <stp>AMZN US Equity</stp>
        <stp>BS_INVENTORIES</stp>
        <stp>FQ2 2018</stp>
        <stp>FQ2 2018</stp>
        <stp>[AMZ_2009-2018.xlsx]Bal Sheet - Standardized!R13C40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3" s="3"/>
      </tp>
      <tp>
        <v>0</v>
        <stp/>
        <stp>##V3_BDHV12</stp>
        <stp>AMZN US Equity</stp>
        <stp>BS_ACCRUED_LIABILITIES</stp>
        <stp>FQ4 2014</stp>
        <stp>FQ4 2014</stp>
        <stp>[AMZ_2009-2018.xlsx]Bal Sheet - Standardized!R56C26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6" s="3"/>
      </tp>
      <tp t="s">
        <v>—</v>
        <stp/>
        <stp>##V3_BDHV12</stp>
        <stp>AMZN US Equity</stp>
        <stp>BS_ACCRUED_LIABILITIES</stp>
        <stp>FQ3 2013</stp>
        <stp>FQ3 2013</stp>
        <stp>[AMZ_2009-2018.xlsx]Bal Sheet - Standardized!R56C21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6" s="3"/>
      </tp>
      <tp>
        <v>4742</v>
        <stp/>
        <stp>##V3_BDHV12</stp>
        <stp>AMZN US Equity</stp>
        <stp>BS_FUTURE_MIN_OPER_LEASE_OBLIG</stp>
        <stp>FQ3 2012</stp>
        <stp>FQ3 2012</stp>
        <stp>[AMZ_2009-2018.xlsx]Bal Sheet - Standardized!R81C17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81" s="3"/>
      </tp>
      <tp>
        <v>1.0536000000000001</v>
        <stp/>
        <stp>##V3_BDHV12</stp>
        <stp>AMZN US Equity</stp>
        <stp>CUR_RATIO</stp>
        <stp>FQ4 2015</stp>
        <stp>FQ4 2015</stp>
        <stp>[AMZ_2009-2018.xlsx]Bal Sheet - Standardized!R86C30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86" s="3"/>
      </tp>
      <tp>
        <v>1.1740999999999999</v>
        <stp/>
        <stp>##V3_BDHV12</stp>
        <stp>AMZN US Equity</stp>
        <stp>CUR_RATIO</stp>
        <stp>FQ4 2011</stp>
        <stp>FQ4 2011</stp>
        <stp>[AMZ_2009-2018.xlsx]Bal Sheet - Standardized!R86C14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86" s="3"/>
      </tp>
      <tp>
        <v>1.0407</v>
        <stp/>
        <stp>##V3_BDHV12</stp>
        <stp>AMZN US Equity</stp>
        <stp>CUR_RATIO</stp>
        <stp>FQ3 2012</stp>
        <stp>FQ3 2012</stp>
        <stp>[AMZ_2009-2018.xlsx]Bal Sheet - Standardized!R86C17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86" s="3"/>
      </tp>
      <tp>
        <v>1.0629999999999999</v>
        <stp/>
        <stp>##V3_BDHV12</stp>
        <stp>AMZN US Equity</stp>
        <stp>CUR_RATIO</stp>
        <stp>FQ3 2016</stp>
        <stp>FQ3 2016</stp>
        <stp>[AMZ_2009-2018.xlsx]Bal Sheet - Standardized!R86C33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86" s="3"/>
      </tp>
      <tp>
        <v>22848</v>
        <stp/>
        <stp>##V3_BDHV12</stp>
        <stp>AMZN US Equity</stp>
        <stp>BS_FUTURE_MIN_OPER_LEASE_OBLIG</stp>
        <stp>FQ4 2017</stp>
        <stp>FQ4 2017</stp>
        <stp>[AMZ_2009-2018.xlsx]Bal Sheet - Standardized!R81C38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81" s="3"/>
      </tp>
      <tp>
        <v>-4970</v>
        <stp/>
        <stp>##V3_BDHV12</stp>
        <stp>AMZN US Equity</stp>
        <stp>NET_DEBT</stp>
        <stp>FQ2 2012</stp>
        <stp>FQ2 2012</stp>
        <stp>[AMZ_2009-2018.xlsx]Bal Sheet - Standardized!R83C16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83" s="3"/>
      </tp>
      <tp>
        <v>-6881</v>
        <stp/>
        <stp>##V3_BDHV12</stp>
        <stp>AMZN US Equity</stp>
        <stp>NET_DEBT</stp>
        <stp>FQ1 2011</stp>
        <stp>FQ1 2011</stp>
        <stp>[AMZ_2009-2018.xlsx]Bal Sheet - Standardized!R83C11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83" s="3"/>
      </tp>
      <tp>
        <v>15848</v>
        <stp/>
        <stp>##V3_BDHV12</stp>
        <stp>AMZN US Equity</stp>
        <stp>IS_OPERATING_EXPN</stp>
        <stp>FQ3 2017</stp>
        <stp>FQ3 2017</stp>
        <stp>[AMZ_2009-2018.xlsx]Income - Adjusted!R12C37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2" s="2"/>
      </tp>
      <tp>
        <v>3515</v>
        <stp/>
        <stp>##V3_BDHV12</stp>
        <stp>AMZN US Equity</stp>
        <stp>IS_OPERATING_EXPN</stp>
        <stp>FQ3 2012</stp>
        <stp>FQ3 2012</stp>
        <stp>[AMZ_2009-2018.xlsx]Income - Adjusted!R12C17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2" s="2"/>
      </tp>
      <tp>
        <v>-5571</v>
        <stp/>
        <stp>##V3_BDHV12</stp>
        <stp>AMZN US Equity</stp>
        <stp>NET_DEBT</stp>
        <stp>FQ4 2016</stp>
        <stp>FQ4 2016</stp>
        <stp>[AMZ_2009-2018.xlsx]Bal Sheet - Standardized!R83C34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83" s="3"/>
      </tp>
      <tp>
        <v>7067</v>
        <stp/>
        <stp>##V3_BDHV12</stp>
        <stp>AMZN US Equity</stp>
        <stp>IS_OPERATING_EXPN</stp>
        <stp>FQ1 2015</stp>
        <stp>FQ1 2015</stp>
        <stp>[AMZ_2009-2018.xlsx]Income - Adjusted!R12C27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2" s="2"/>
      </tp>
      <tp>
        <v>0</v>
        <stp/>
        <stp>##V3_BDHV12</stp>
        <stp>AMZN US Equity</stp>
        <stp>IS_OTHER_OPER_INC</stp>
        <stp>FQ2 2015</stp>
        <stp>FQ2 2015</stp>
        <stp>[AMZ_2009-2018.xlsx]Income - Adjusted!R11C28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1" s="2"/>
      </tp>
      <tp>
        <v>2980</v>
        <stp/>
        <stp>##V3_BDHV12</stp>
        <stp>AMZN US Equity</stp>
        <stp>BS_CASH_NEAR_CASH_ITEM</stp>
        <stp>FQ3 2012</stp>
        <stp>FQ3 2012</stp>
        <stp>[AMZ_2009-2018.xlsx]Bal Sheet - Standardized!R8C17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8" s="3"/>
      </tp>
      <tp>
        <v>12470</v>
        <stp/>
        <stp>##V3_BDHV12</stp>
        <stp>AMZN US Equity</stp>
        <stp>BS_CASH_NEAR_CASH_ITEM</stp>
        <stp>FQ1 2016</stp>
        <stp>FQ1 2016</stp>
        <stp>[AMZ_2009-2018.xlsx]Bal Sheet - Standardized!R8C31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8" s="3"/>
      </tp>
      <tp>
        <v>15440</v>
        <stp/>
        <stp>##V3_BDHV12</stp>
        <stp>AMZN US Equity</stp>
        <stp>BS_CASH_NEAR_CASH_ITEM</stp>
        <stp>FQ1 2017</stp>
        <stp>FQ1 2017</stp>
        <stp>[AMZ_2009-2018.xlsx]Bal Sheet - Standardized!R8C35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8" s="3"/>
      </tp>
      <tp>
        <v>2823</v>
        <stp/>
        <stp>##V3_BDHV12</stp>
        <stp>AMZN US Equity</stp>
        <stp>BS_CASH_NEAR_CASH_ITEM</stp>
        <stp>FQ3 2011</stp>
        <stp>FQ3 2011</stp>
        <stp>[AMZ_2009-2018.xlsx]Bal Sheet - Standardized!R8C13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8" s="3"/>
      </tp>
      <tp>
        <v>0</v>
        <stp/>
        <stp>##V3_BDHV12</stp>
        <stp>AMZN US Equity</stp>
        <stp>IS_OTHER_OPER_INC</stp>
        <stp>FQ4 2012</stp>
        <stp>FQ4 2012</stp>
        <stp>[AMZ_2009-2018.xlsx]Income - Adjusted!R11C18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1" s="2"/>
      </tp>
      <tp>
        <v>0</v>
        <stp/>
        <stp>##V3_BDHV12</stp>
        <stp>AMZN US Equity</stp>
        <stp>IS_OTHER_OPER_INC</stp>
        <stp>FQ4 2017</stp>
        <stp>FQ4 2017</stp>
        <stp>[AMZ_2009-2018.xlsx]Income - Adjusted!R11C38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1" s="2"/>
      </tp>
      <tp>
        <v>16676</v>
        <stp/>
        <stp>##V3_BDHV12</stp>
        <stp>AMZN US Equity</stp>
        <stp>BS_CASH_NEAR_CASH_ITEM</stp>
        <stp>FQ1 2018</stp>
        <stp>FQ1 2018</stp>
        <stp>[AMZ_2009-2018.xlsx]Bal Sheet - Standardized!R8C39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8" s="3"/>
      </tp>
      <tp>
        <v>4.0408999999999997</v>
        <stp/>
        <stp>##V3_BDHV12</stp>
        <stp>AMZN US Equity</stp>
        <stp>PROF_MARGIN</stp>
        <stp>FQ4 2009</stp>
        <stp>FQ4 2009</stp>
        <stp>[AMZ_2009-2018.xlsx]Income - Adjusted!R67C6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F67" s="2"/>
      </tp>
      <tp>
        <v>0</v>
        <stp/>
        <stp>##V3_BDHV12</stp>
        <stp>AMZN US Equity</stp>
        <stp>IS_DISCONTINUED_OPERATIONS</stp>
        <stp>FQ4 2014</stp>
        <stp>FQ4 2014</stp>
        <stp>[AMZ_2009-2018.xlsx]Income - Adjusted!R36C26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6" s="2"/>
      </tp>
      <tp>
        <v>0</v>
        <stp/>
        <stp>##V3_BDHV12</stp>
        <stp>AMZN US Equity</stp>
        <stp>IS_DISCONTINUED_OPERATIONS</stp>
        <stp>FQ3 2014</stp>
        <stp>FQ3 2014</stp>
        <stp>[AMZ_2009-2018.xlsx]Income - Adjusted!R36C25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6" s="2"/>
      </tp>
      <tp>
        <v>0</v>
        <stp/>
        <stp>##V3_BDHV12</stp>
        <stp>AMZN US Equity</stp>
        <stp>IS_DISCONTINUED_OPERATIONS</stp>
        <stp>FQ2 2014</stp>
        <stp>FQ2 2014</stp>
        <stp>[AMZ_2009-2018.xlsx]Income - Adjusted!R36C24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6" s="2"/>
      </tp>
      <tp>
        <v>0</v>
        <stp/>
        <stp>##V3_BDHV12</stp>
        <stp>AMZN US Equity</stp>
        <stp>IS_DISCONTINUED_OPERATIONS</stp>
        <stp>FQ1 2014</stp>
        <stp>FQ1 2014</stp>
        <stp>[AMZ_2009-2018.xlsx]Income - Adjusted!R36C23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6" s="2"/>
      </tp>
      <tp>
        <v>4.1929999999999996</v>
        <stp/>
        <stp>##V3_BDHV12</stp>
        <stp>AMZN US Equity</stp>
        <stp>PROF_MARGIN</stp>
        <stp>FQ1 2010</stp>
        <stp>FQ1 2010</stp>
        <stp>[AMZ_2009-2018.xlsx]Income - Adjusted!R67C7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G67" s="2"/>
      </tp>
      <tp>
        <v>3.5937999999999999</v>
        <stp/>
        <stp>##V3_BDHV12</stp>
        <stp>AMZN US Equity</stp>
        <stp>PROF_MARGIN</stp>
        <stp>FQ1 2009</stp>
        <stp>FQ1 2009</stp>
        <stp>[AMZ_2009-2018.xlsx]Income - Adjusted!R67C3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C67" s="2"/>
      </tp>
      <tp>
        <v>3.7378999999999998</v>
        <stp/>
        <stp>##V3_BDHV12</stp>
        <stp>AMZN US Equity</stp>
        <stp>PROF_MARGIN</stp>
        <stp>FQ2 2009</stp>
        <stp>FQ2 2009</stp>
        <stp>[AMZ_2009-2018.xlsx]Income - Adjusted!R67C4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D67" s="2"/>
      </tp>
      <tp>
        <v>3.0556000000000001</v>
        <stp/>
        <stp>##V3_BDHV12</stp>
        <stp>AMZN US Equity</stp>
        <stp>PROF_MARGIN</stp>
        <stp>FQ3 2010</stp>
        <stp>FQ3 2010</stp>
        <stp>[AMZ_2009-2018.xlsx]Income - Adjusted!R67C9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I67" s="2"/>
      </tp>
      <tp>
        <v>3.6400999999999999</v>
        <stp/>
        <stp>##V3_BDHV12</stp>
        <stp>AMZN US Equity</stp>
        <stp>PROF_MARGIN</stp>
        <stp>FQ3 2009</stp>
        <stp>FQ3 2009</stp>
        <stp>[AMZ_2009-2018.xlsx]Income - Adjusted!R67C5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E67" s="2"/>
      </tp>
      <tp>
        <v>0</v>
        <stp/>
        <stp>##V3_BDHV12</stp>
        <stp>AMZN US Equity</stp>
        <stp>IS_DISCONTINUED_OPERATIONS</stp>
        <stp>FQ4 2015</stp>
        <stp>FQ4 2015</stp>
        <stp>[AMZ_2009-2018.xlsx]Income - Adjusted!R36C30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6" s="2"/>
      </tp>
      <tp>
        <v>3.1526000000000001</v>
        <stp/>
        <stp>##V3_BDHV12</stp>
        <stp>AMZN US Equity</stp>
        <stp>PROF_MARGIN</stp>
        <stp>FQ2 2010</stp>
        <stp>FQ2 2010</stp>
        <stp>[AMZ_2009-2018.xlsx]Income - Adjusted!R67C8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H67" s="2"/>
      </tp>
      <tp>
        <v>20091</v>
        <stp/>
        <stp>##V3_BDHV12</stp>
        <stp>AMZN US Equity</stp>
        <stp>ACCT_PAYABLE_&amp;_ACCRUALS_DETAILED</stp>
        <stp>FQ2 2015</stp>
        <stp>FQ2 2015</stp>
        <stp>[AMZ_2009-2018.xlsx]Bal Sheet - Standardized!R38C28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8" s="3"/>
      </tp>
      <tp>
        <v>26337</v>
        <stp/>
        <stp>##V3_BDHV12</stp>
        <stp>AMZN US Equity</stp>
        <stp>ACCT_PAYABLE_&amp;_ACCRUALS_DETAILED</stp>
        <stp>FQ1 2017</stp>
        <stp>FQ1 2017</stp>
        <stp>[AMZ_2009-2018.xlsx]Bal Sheet - Standardized!R38C35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8" s="3"/>
      </tp>
      <tp>
        <v>10154</v>
        <stp/>
        <stp>##V3_BDHV12</stp>
        <stp>AMZN US Equity</stp>
        <stp>ACCT_PAYABLE_&amp;_ACCRUALS_DETAILED</stp>
        <stp>FQ4 2010</stp>
        <stp>FQ4 2010</stp>
        <stp>[AMZ_2009-2018.xlsx]Bal Sheet - Standardized!R38C10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8" s="3"/>
      </tp>
      <tp>
        <v>20113</v>
        <stp/>
        <stp>##V3_BDHV12</stp>
        <stp>AMZN US Equity</stp>
        <stp>ACCT_PAYABLE_&amp;_ACCRUALS_DETAILED</stp>
        <stp>FQ4 2013</stp>
        <stp>FQ4 2013</stp>
        <stp>[AMZ_2009-2018.xlsx]Bal Sheet - Standardized!R38C22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8" s="3"/>
      </tp>
      <tp>
        <v>18164</v>
        <stp/>
        <stp>##V3_BDHV12</stp>
        <stp>AMZN US Equity</stp>
        <stp>ACCT_PAYABLE_&amp;_ACCRUALS_DETAILED</stp>
        <stp>FQ3 2014</stp>
        <stp>FQ3 2014</stp>
        <stp>[AMZ_2009-2018.xlsx]Bal Sheet - Standardized!R38C25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8" s="3"/>
      </tp>
      <tp>
        <v>-21</v>
        <stp/>
        <stp>##V3_BDHV12</stp>
        <stp>AMZN US Equity</stp>
        <stp>CF_EFFECT_FOREIGN_EXCHANGES</stp>
        <stp>FQ4 2009</stp>
        <stp>FQ4 2009</stp>
        <stp>[AMZ_2009-2018.xlsx]Cash Flow - Standardized!R53C6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3" s="4"/>
      </tp>
      <tp>
        <v>7</v>
        <stp/>
        <stp>##V3_BDHV12</stp>
        <stp>AMZN US Equity</stp>
        <stp>IS_INT_EXPENSE</stp>
        <stp>FQ3 2009</stp>
        <stp>FQ3 2009</stp>
        <stp>[AMZ_2009-2018.xlsx]Income - Adjusted!R21C5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1" s="2"/>
      </tp>
      <tp t="s">
        <v>—</v>
        <stp/>
        <stp>##V3_BDHV12</stp>
        <stp>AMZN US Equity</stp>
        <stp>BS_DEFERRED_TAX_ASSETS_LT</stp>
        <stp>FQ1 2016</stp>
        <stp>FQ1 2016</stp>
        <stp>[AMZ_2009-2018.xlsx]Bal Sheet - Standardized!R31C31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1" s="3"/>
      </tp>
      <tp t="s">
        <v>—</v>
        <stp/>
        <stp>##V3_BDHV12</stp>
        <stp>AMZN US Equity</stp>
        <stp>BS_DEFERRED_TAX_ASSETS_ST</stp>
        <stp>FQ1 2016</stp>
        <stp>FQ1 2016</stp>
        <stp>[AMZ_2009-2018.xlsx]Bal Sheet - Standardized!R20C31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0" s="3"/>
      </tp>
      <tp>
        <v>28</v>
        <stp/>
        <stp>##V3_BDHV12</stp>
        <stp>AMZN US Equity</stp>
        <stp>BS_DEFERRED_TAX_ASSETS_LT</stp>
        <stp>FQ4 2011</stp>
        <stp>FQ4 2011</stp>
        <stp>[AMZ_2009-2018.xlsx]Bal Sheet - Standardized!R31C14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1" s="3"/>
      </tp>
      <tp>
        <v>351</v>
        <stp/>
        <stp>##V3_BDHV12</stp>
        <stp>AMZN US Equity</stp>
        <stp>BS_DEFERRED_TAX_ASSETS_ST</stp>
        <stp>FQ4 2011</stp>
        <stp>FQ4 2011</stp>
        <stp>[AMZ_2009-2018.xlsx]Bal Sheet - Standardized!R20C14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0" s="3"/>
      </tp>
      <tp t="s">
        <v>—</v>
        <stp/>
        <stp>##V3_BDHV12</stp>
        <stp>AMZN US Equity</stp>
        <stp>BS_DEFERRED_TAX_ASSETS_ST</stp>
        <stp>FQ2 2014</stp>
        <stp>FQ2 2014</stp>
        <stp>[AMZ_2009-2018.xlsx]Bal Sheet - Standardized!R20C24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0" s="3"/>
      </tp>
      <tp t="s">
        <v>—</v>
        <stp/>
        <stp>##V3_BDHV12</stp>
        <stp>AMZN US Equity</stp>
        <stp>BS_DEFERRED_TAX_ASSETS_LT</stp>
        <stp>FQ2 2014</stp>
        <stp>FQ2 2014</stp>
        <stp>[AMZ_2009-2018.xlsx]Bal Sheet - Standardized!R31C24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1" s="3"/>
      </tp>
      <tp t="s">
        <v>—</v>
        <stp/>
        <stp>##V3_BDHV12</stp>
        <stp>AMZN US Equity</stp>
        <stp>BS_DEFERRED_TAX_ASSETS_ST</stp>
        <stp>FQ3 2015</stp>
        <stp>FQ3 2015</stp>
        <stp>[AMZ_2009-2018.xlsx]Bal Sheet - Standardized!R20C29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0" s="3"/>
      </tp>
      <tp>
        <v>0</v>
        <stp/>
        <stp>##V3_BDHV12</stp>
        <stp>AMZN US Equity</stp>
        <stp>CF_DVD_PAID</stp>
        <stp>FQ3 2010</stp>
        <stp>FQ3 2010</stp>
        <stp>[AMZ_2009-2018.xlsx]Cash Flow - Standardized!R41C9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1" s="4"/>
      </tp>
      <tp t="s">
        <v>—</v>
        <stp/>
        <stp>##V3_BDHV12</stp>
        <stp>AMZN US Equity</stp>
        <stp>BS_DEFERRED_TAX_ASSETS_LT</stp>
        <stp>FQ3 2015</stp>
        <stp>FQ3 2015</stp>
        <stp>[AMZ_2009-2018.xlsx]Bal Sheet - Standardized!R31C29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1" s="3"/>
      </tp>
      <tp>
        <v>0</v>
        <stp/>
        <stp>##V3_BDHV12</stp>
        <stp>AMZN US Equity</stp>
        <stp>CF_DVD_PAID</stp>
        <stp>FQ2 2009</stp>
        <stp>FQ2 2009</stp>
        <stp>[AMZ_2009-2018.xlsx]Cash Flow - Standardized!R41C4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1" s="4"/>
      </tp>
      <tp t="s">
        <v>—</v>
        <stp/>
        <stp>##V3_BDHV12</stp>
        <stp>AMZN US Equity</stp>
        <stp>BS_ACCRUED_LIABILITIES</stp>
        <stp>FQ2 2013</stp>
        <stp>FQ2 2013</stp>
        <stp>[AMZ_2009-2018.xlsx]Bal Sheet - Standardized!R56C20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6" s="3"/>
      </tp>
      <tp t="s">
        <v>—</v>
        <stp/>
        <stp>##V3_BDHV12</stp>
        <stp>AMZN US Equity</stp>
        <stp>BS_ACCRUED_LIABILITIES</stp>
        <stp>FQ3 2011</stp>
        <stp>FQ3 2011</stp>
        <stp>[AMZ_2009-2018.xlsx]Bal Sheet - Standardized!R56C13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6" s="3"/>
      </tp>
      <tp>
        <v>0</v>
        <stp/>
        <stp>##V3_BDHV12</stp>
        <stp>AMZN US Equity</stp>
        <stp>IS_TOT_CASH_PFD_DVD</stp>
        <stp>FQ4 2009</stp>
        <stp>FQ4 2009</stp>
        <stp>[AMZ_2009-2018.xlsx]Income - Adjusted!R41C6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1" s="2"/>
      </tp>
      <tp t="s">
        <v>—</v>
        <stp/>
        <stp>##V3_BDHV12</stp>
        <stp>AMZN US Equity</stp>
        <stp>BS_ACCRUED_LIABILITIES</stp>
        <stp>FQ1 2013</stp>
        <stp>FQ1 2013</stp>
        <stp>[AMZ_2009-2018.xlsx]Bal Sheet - Standardized!R56C19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6" s="3"/>
      </tp>
      <tp>
        <v>1728</v>
        <stp/>
        <stp>##V3_BDHV12</stp>
        <stp>AMZN US Equity</stp>
        <stp>BS_FUTURE_MIN_OPER_LEASE_OBLIG</stp>
        <stp>FQ1 2011</stp>
        <stp>FQ1 2011</stp>
        <stp>[AMZ_2009-2018.xlsx]Bal Sheet - Standardized!R81C11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81" s="3"/>
      </tp>
      <tp>
        <v>9510</v>
        <stp/>
        <stp>##V3_BDHV12</stp>
        <stp>AMZN US Equity</stp>
        <stp>BS_FUTURE_MIN_OPER_LEASE_OBLIG</stp>
        <stp>FQ4 2016</stp>
        <stp>FQ4 2016</stp>
        <stp>[AMZ_2009-2018.xlsx]Bal Sheet - Standardized!R81C34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81" s="3"/>
      </tp>
      <tp>
        <v>4310</v>
        <stp/>
        <stp>##V3_BDHV12</stp>
        <stp>AMZN US Equity</stp>
        <stp>BS_FUTURE_MIN_OPER_LEASE_OBLIG</stp>
        <stp>FQ2 2012</stp>
        <stp>FQ2 2012</stp>
        <stp>[AMZ_2009-2018.xlsx]Bal Sheet - Standardized!R81C16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81" s="3"/>
      </tp>
      <tp>
        <v>1.0756000000000001</v>
        <stp/>
        <stp>##V3_BDHV12</stp>
        <stp>AMZN US Equity</stp>
        <stp>CUR_RATIO</stp>
        <stp>FQ2 2012</stp>
        <stp>FQ2 2012</stp>
        <stp>[AMZ_2009-2018.xlsx]Bal Sheet - Standardized!R86C16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86" s="3"/>
      </tp>
      <tp>
        <v>1.089</v>
        <stp/>
        <stp>##V3_BDHV12</stp>
        <stp>AMZN US Equity</stp>
        <stp>CUR_RATIO</stp>
        <stp>FQ2 2016</stp>
        <stp>FQ2 2016</stp>
        <stp>[AMZ_2009-2018.xlsx]Bal Sheet - Standardized!R86C32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86" s="3"/>
      </tp>
      <tp>
        <v>0</v>
        <stp/>
        <stp>##V3_BDHV12</stp>
        <stp>AMZN US Equity</stp>
        <stp>IS_TOT_CASH_COM_DVD</stp>
        <stp>FQ4 2009</stp>
        <stp>FQ4 2009</stp>
        <stp>[AMZ_2009-2018.xlsx]Income - Adjusted!R70C6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0" s="2"/>
      </tp>
      <tp>
        <v>4001</v>
        <stp/>
        <stp>##V3_BDHV12</stp>
        <stp>AMZN US Equity</stp>
        <stp>C&amp;CE_AND_STI_DETAILED</stp>
        <stp>FQ3 2009</stp>
        <stp>FQ3 2009</stp>
        <stp>[AMZ_2009-2018.xlsx]Bal Sheet - Standardized!R7C5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" s="3"/>
      </tp>
      <tp>
        <v>3212</v>
        <stp/>
        <stp>##V3_BDHV12</stp>
        <stp>AMZN US Equity</stp>
        <stp>C&amp;CE_AND_STI_DETAILED</stp>
        <stp>FQ2 2009</stp>
        <stp>FQ2 2009</stp>
        <stp>[AMZ_2009-2018.xlsx]Bal Sheet - Standardized!R7C4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" s="3"/>
      </tp>
      <tp>
        <v>5063</v>
        <stp/>
        <stp>##V3_BDHV12</stp>
        <stp>AMZN US Equity</stp>
        <stp>C&amp;CE_AND_STI_DETAILED</stp>
        <stp>FQ1 2010</stp>
        <stp>FQ1 2010</stp>
        <stp>[AMZ_2009-2018.xlsx]Bal Sheet - Standardized!R7C7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" s="3"/>
      </tp>
      <tp>
        <v>-5248</v>
        <stp/>
        <stp>##V3_BDHV12</stp>
        <stp>AMZN US Equity</stp>
        <stp>NET_DEBT</stp>
        <stp>FQ3 2012</stp>
        <stp>FQ3 2012</stp>
        <stp>[AMZ_2009-2018.xlsx]Bal Sheet - Standardized!R83C17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83" s="3"/>
      </tp>
      <tp>
        <v>8066</v>
        <stp/>
        <stp>##V3_BDHV12</stp>
        <stp>AMZN US Equity</stp>
        <stp>IS_OPERATING_EXPN</stp>
        <stp>FQ4 2014</stp>
        <stp>FQ4 2014</stp>
        <stp>[AMZ_2009-2018.xlsx]Income - Adjusted!R12C26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2" s="2"/>
      </tp>
      <tp>
        <v>2730</v>
        <stp/>
        <stp>##V3_BDHV12</stp>
        <stp>AMZN US Equity</stp>
        <stp>C&amp;CE_AND_STI_DETAILED</stp>
        <stp>FQ1 2009</stp>
        <stp>FQ1 2009</stp>
        <stp>[AMZ_2009-2018.xlsx]Bal Sheet - Standardized!R7C3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3"/>
      </tp>
      <tp>
        <v>6366</v>
        <stp/>
        <stp>##V3_BDHV12</stp>
        <stp>AMZN US Equity</stp>
        <stp>C&amp;CE_AND_STI_DETAILED</stp>
        <stp>FQ4 2009</stp>
        <stp>FQ4 2009</stp>
        <stp>[AMZ_2009-2018.xlsx]Bal Sheet - Standardized!R7C6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" s="3"/>
      </tp>
      <tp>
        <v>13876</v>
        <stp/>
        <stp>##V3_BDHV12</stp>
        <stp>AMZN US Equity</stp>
        <stp>IS_OPERATING_EXPN</stp>
        <stp>FQ2 2017</stp>
        <stp>FQ2 2017</stp>
        <stp>[AMZ_2009-2018.xlsx]Income - Adjusted!R12C36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2" s="2"/>
      </tp>
      <tp>
        <v>3139</v>
        <stp/>
        <stp>##V3_BDHV12</stp>
        <stp>AMZN US Equity</stp>
        <stp>IS_OPERATING_EXPN</stp>
        <stp>FQ2 2012</stp>
        <stp>FQ2 2012</stp>
        <stp>[AMZ_2009-2018.xlsx]Income - Adjusted!R12C16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2" s="2"/>
      </tp>
      <tp>
        <v>2335</v>
        <stp/>
        <stp>##V3_BDHV12</stp>
        <stp>AMZN US Equity</stp>
        <stp>BS_CASH_NEAR_CASH_ITEM</stp>
        <stp>FQ2 2012</stp>
        <stp>FQ2 2012</stp>
        <stp>[AMZ_2009-2018.xlsx]Bal Sheet - Standardized!R8C16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8" s="3"/>
      </tp>
      <tp>
        <v>5074</v>
        <stp/>
        <stp>##V3_BDHV12</stp>
        <stp>AMZN US Equity</stp>
        <stp>BS_CASH_NEAR_CASH_ITEM</stp>
        <stp>FQ1 2014</stp>
        <stp>FQ1 2014</stp>
        <stp>[AMZ_2009-2018.xlsx]Bal Sheet - Standardized!R8C23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8" s="3"/>
      </tp>
      <tp>
        <v>0</v>
        <stp/>
        <stp>##V3_BDHV12</stp>
        <stp>AMZN US Equity</stp>
        <stp>IS_OTHER_OPER_INC</stp>
        <stp>FQ3 2015</stp>
        <stp>FQ3 2015</stp>
        <stp>[AMZ_2009-2018.xlsx]Income - Adjusted!R11C29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1" s="2"/>
      </tp>
      <tp>
        <v>0</v>
        <stp/>
        <stp>##V3_BDHV12</stp>
        <stp>AMZN US Equity</stp>
        <stp>NOTES_RECEIVABLE</stp>
        <stp>FQ4 2009</stp>
        <stp>FQ4 2009</stp>
        <stp>[AMZ_2009-2018.xlsx]Bal Sheet - Standardized!R12C6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2" s="3"/>
      </tp>
      <tp>
        <v>13161</v>
        <stp/>
        <stp>##V3_BDHV12</stp>
        <stp>AMZN US Equity</stp>
        <stp>NET_DEBT</stp>
        <stp>FQ4 2017</stp>
        <stp>FQ4 2017</stp>
        <stp>[AMZ_2009-2018.xlsx]Bal Sheet - Standardized!R83C38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83" s="3"/>
      </tp>
      <tp>
        <v>0</v>
        <stp/>
        <stp>##V3_BDHV12</stp>
        <stp>AMZN US Equity</stp>
        <stp>IS_OTHER_OPER_INC</stp>
        <stp>FQ1 2013</stp>
        <stp>FQ1 2013</stp>
        <stp>[AMZ_2009-2018.xlsx]Income - Adjusted!R11C19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1" s="2"/>
      </tp>
      <tp>
        <v>0</v>
        <stp/>
        <stp>##V3_BDHV12</stp>
        <stp>AMZN US Equity</stp>
        <stp>IS_OTHER_OPER_INC</stp>
        <stp>FQ1 2018</stp>
        <stp>FQ1 2018</stp>
        <stp>[AMZ_2009-2018.xlsx]Income - Adjusted!R11C39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1" s="2"/>
      </tp>
      <tp>
        <v>10237</v>
        <stp/>
        <stp>##V3_BDHV12</stp>
        <stp>AMZN US Equity</stp>
        <stp>BS_CASH_NEAR_CASH_ITEM</stp>
        <stp>FQ1 2015</stp>
        <stp>FQ1 2015</stp>
        <stp>[AMZ_2009-2018.xlsx]Bal Sheet - Standardized!R8C27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8" s="3"/>
      </tp>
      <tp>
        <v>5885</v>
        <stp/>
        <stp>##V3_BDHV12</stp>
        <stp>AMZN US Equity</stp>
        <stp>C&amp;CE_AND_STI_DETAILED</stp>
        <stp>FQ3 2010</stp>
        <stp>FQ3 2010</stp>
        <stp>[AMZ_2009-2018.xlsx]Bal Sheet - Standardized!R7C9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" s="3"/>
      </tp>
      <tp>
        <v>5108</v>
        <stp/>
        <stp>##V3_BDHV12</stp>
        <stp>AMZN US Equity</stp>
        <stp>C&amp;CE_AND_STI_DETAILED</stp>
        <stp>FQ2 2010</stp>
        <stp>FQ2 2010</stp>
        <stp>[AMZ_2009-2018.xlsx]Bal Sheet - Standardized!R7C8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" s="3"/>
      </tp>
      <tp>
        <v>2047</v>
        <stp/>
        <stp>##V3_BDHV12</stp>
        <stp>AMZN US Equity</stp>
        <stp>BS_CASH_NEAR_CASH_ITEM</stp>
        <stp>FQ2 2011</stp>
        <stp>FQ2 2011</stp>
        <stp>[AMZ_2009-2018.xlsx]Bal Sheet - Standardized!R8C12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8" s="3"/>
      </tp>
      <tp>
        <v>6004</v>
        <stp/>
        <stp>##V3_BDHV12</stp>
        <stp>AMZN US Equity</stp>
        <stp>OTHER_CURRENT_LIABS_SUB_DETAILED</stp>
        <stp>FQ2 2018</stp>
        <stp>FQ2 2018</stp>
        <stp>[AMZ_2009-2018.xlsx]Bal Sheet - Standardized!R47C40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7" s="3"/>
      </tp>
      <tp>
        <v>439.35</v>
        <stp/>
        <stp>##V3_BDHV12</stp>
        <stp>AMZN US Equity</stp>
        <stp>PX_OPEN</stp>
        <stp>FQ3 2015</stp>
        <stp>FQ3 2015</stp>
        <stp>[AMZ_2009-2018.xlsx]Stock Value!R8C29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8" s="6"/>
      </tp>
      <tp>
        <v>372.1</v>
        <stp/>
        <stp>##V3_BDHV12</stp>
        <stp>AMZN US Equity</stp>
        <stp>PX_OPEN</stp>
        <stp>FQ2 2015</stp>
        <stp>FQ2 2015</stp>
        <stp>[AMZ_2009-2018.xlsx]Stock Value!R8C28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8" s="6"/>
      </tp>
      <tp>
        <v>1213.4100000000001</v>
        <stp/>
        <stp>##V3_BDHV12</stp>
        <stp>AMZN US Equity</stp>
        <stp>PX_HIGH</stp>
        <stp>FQ4 2017</stp>
        <stp>FQ4 2017</stp>
        <stp>[AMZ_2009-2018.xlsx]Stock Value!R9C38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9" s="6"/>
      </tp>
      <tp>
        <v>-5985</v>
        <stp/>
        <stp>##V3_BDHV12</stp>
        <stp>AMZN US Equity</stp>
        <stp>NET_DEBT</stp>
        <stp>FQ4 2009</stp>
        <stp>FQ4 2009</stp>
        <stp>[AMZ_2009-2018.xlsx]Bal Sheet - Standardized!R83C6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83" s="3"/>
      </tp>
      <tp>
        <v>263.11</v>
        <stp/>
        <stp>##V3_BDHV12</stp>
        <stp>AMZN US Equity</stp>
        <stp>PX_HIGH</stp>
        <stp>FQ4 2012</stp>
        <stp>FQ4 2012</stp>
        <stp>[AMZ_2009-2018.xlsx]Stock Value!R9C18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9" s="6"/>
      </tp>
      <tp>
        <v>431.80700000000002</v>
        <stp/>
        <stp>##V3_BDHV12</stp>
        <stp>AMZN US Equity</stp>
        <stp>EQY_SH_OUT</stp>
        <stp>FQ3 2009</stp>
        <stp>FQ3 2009</stp>
        <stp>[AMZ_2009-2018.xlsx]Stock Value!R13C5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13" s="6"/>
      </tp>
      <tp>
        <v>0</v>
        <stp/>
        <stp>##V3_BDHV12</stp>
        <stp>AMZN US Equity</stp>
        <stp>IS_DISCONTINUED_OPERATIONS</stp>
        <stp>FQ4 2016</stp>
        <stp>FQ4 2016</stp>
        <stp>[AMZ_2009-2018.xlsx]Income - Adjusted!R36C34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6" s="2"/>
      </tp>
      <tp>
        <v>429.64800000000002</v>
        <stp/>
        <stp>##V3_BDHV12</stp>
        <stp>AMZN US Equity</stp>
        <stp>EQY_SH_OUT</stp>
        <stp>FQ2 2009</stp>
        <stp>FQ2 2009</stp>
        <stp>[AMZ_2009-2018.xlsx]Stock Value!R13C4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13" s="6"/>
      </tp>
      <tp>
        <v>0</v>
        <stp/>
        <stp>##V3_BDHV12</stp>
        <stp>AMZN US Equity</stp>
        <stp>IS_DISCONTINUED_OPERATIONS</stp>
        <stp>FQ3 2016</stp>
        <stp>FQ3 2016</stp>
        <stp>[AMZ_2009-2018.xlsx]Income - Adjusted!R36C33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6" s="2"/>
      </tp>
      <tp>
        <v>0</v>
        <stp/>
        <stp>##V3_BDHV12</stp>
        <stp>AMZN US Equity</stp>
        <stp>IS_DISCONTINUED_OPERATIONS</stp>
        <stp>FQ2 2016</stp>
        <stp>FQ2 2016</stp>
        <stp>[AMZ_2009-2018.xlsx]Income - Adjusted!R36C32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6" s="2"/>
      </tp>
      <tp>
        <v>0</v>
        <stp/>
        <stp>##V3_BDHV12</stp>
        <stp>AMZN US Equity</stp>
        <stp>IS_DISCONTINUED_OPERATIONS</stp>
        <stp>FQ1 2016</stp>
        <stp>FQ1 2016</stp>
        <stp>[AMZ_2009-2018.xlsx]Income - Adjusted!R36C31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6" s="2"/>
      </tp>
      <tp>
        <v>25415</v>
        <stp/>
        <stp>##V3_BDHV12</stp>
        <stp>AMZN US Equity</stp>
        <stp>ACCT_PAYABLE_&amp;_ACCRUALS_DETAILED</stp>
        <stp>FQ3 2016</stp>
        <stp>FQ3 2016</stp>
        <stp>[AMZ_2009-2018.xlsx]Bal Sheet - Standardized!R38C33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8" s="3"/>
      </tp>
      <tp>
        <v>19380</v>
        <stp/>
        <stp>##V3_BDHV12</stp>
        <stp>AMZN US Equity</stp>
        <stp>ACCT_PAYABLE_&amp;_ACCRUALS_DETAILED</stp>
        <stp>FQ1 2015</stp>
        <stp>FQ1 2015</stp>
        <stp>[AMZ_2009-2018.xlsx]Bal Sheet - Standardized!R38C27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8" s="3"/>
      </tp>
      <tp>
        <v>29319</v>
        <stp/>
        <stp>##V3_BDHV12</stp>
        <stp>AMZN US Equity</stp>
        <stp>ACCT_PAYABLE_&amp;_ACCRUALS_DETAILED</stp>
        <stp>FQ2 2017</stp>
        <stp>FQ2 2017</stp>
        <stp>[AMZ_2009-2018.xlsx]Bal Sheet - Standardized!R38C36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8" s="3"/>
      </tp>
      <tp>
        <v>448.83699999999999</v>
        <stp/>
        <stp>##V3_BDHV12</stp>
        <stp>AMZN US Equity</stp>
        <stp>EQY_SH_OUT</stp>
        <stp>FQ4 2010</stp>
        <stp>FQ4 2010</stp>
        <stp>[AMZ_2009-2018.xlsx]Stock Value!R13C10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13" s="6"/>
      </tp>
      <tp>
        <v>1.5699999999999998</v>
        <stp/>
        <stp>##V3_BDHV12</stp>
        <stp>AMZN US Equity</stp>
        <stp>IS_EPS</stp>
        <stp>FQ4 2016</stp>
        <stp>FQ4 2016</stp>
        <stp>[AMZ_2009-2018.xlsx]Income - Adjusted!R50C34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50" s="2"/>
      </tp>
      <tp>
        <v>3.85</v>
        <stp/>
        <stp>##V3_BDHV12</stp>
        <stp>AMZN US Equity</stp>
        <stp>IS_EPS</stp>
        <stp>FQ4 2017</stp>
        <stp>FQ4 2017</stp>
        <stp>[AMZ_2009-2018.xlsx]Income - Adjusted!R50C38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50" s="2"/>
      </tp>
      <tp>
        <v>0.46</v>
        <stp/>
        <stp>##V3_BDHV12</stp>
        <stp>AMZN US Equity</stp>
        <stp>IS_EPS</stp>
        <stp>FQ4 2014</stp>
        <stp>FQ4 2014</stp>
        <stp>[AMZ_2009-2018.xlsx]Income - Adjusted!R50C26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50" s="2"/>
      </tp>
      <tp>
        <v>-617</v>
        <stp/>
        <stp>##V3_BDHV12</stp>
        <stp>AMZN US Equity</stp>
        <stp>OTHER_INS_RES_TO_SHRHLDR_EQY</stp>
        <stp>FQ2 2015</stp>
        <stp>FQ2 2015</stp>
        <stp>[AMZ_2009-2018.xlsx]Bal Sheet - Standardized!R70C28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70" s="3"/>
      </tp>
      <tp>
        <v>1.03</v>
        <stp/>
        <stp>##V3_BDHV12</stp>
        <stp>AMZN US Equity</stp>
        <stp>IS_EPS</stp>
        <stp>FQ4 2015</stp>
        <stp>FQ4 2015</stp>
        <stp>[AMZ_2009-2018.xlsx]Income - Adjusted!R50C30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50" s="2"/>
      </tp>
      <tp>
        <v>0.21</v>
        <stp/>
        <stp>##V3_BDHV12</stp>
        <stp>AMZN US Equity</stp>
        <stp>IS_EPS</stp>
        <stp>FQ4 2012</stp>
        <stp>FQ4 2012</stp>
        <stp>[AMZ_2009-2018.xlsx]Income - Adjusted!R50C18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50" s="2"/>
      </tp>
      <tp>
        <v>0.52</v>
        <stp/>
        <stp>##V3_BDHV12</stp>
        <stp>AMZN US Equity</stp>
        <stp>IS_EPS</stp>
        <stp>FQ4 2013</stp>
        <stp>FQ4 2013</stp>
        <stp>[AMZ_2009-2018.xlsx]Income - Adjusted!R50C22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50" s="2"/>
      </tp>
      <tp>
        <v>0.93</v>
        <stp/>
        <stp>##V3_BDHV12</stp>
        <stp>AMZN US Equity</stp>
        <stp>IS_EPS</stp>
        <stp>FQ4 2010</stp>
        <stp>FQ4 2010</stp>
        <stp>[AMZ_2009-2018.xlsx]Income - Adjusted!R50C10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50" s="2"/>
      </tp>
      <tp>
        <v>8</v>
        <stp/>
        <stp>##V3_BDHV12</stp>
        <stp>AMZN US Equity</stp>
        <stp>IS_INT_EXPENSE</stp>
        <stp>FQ4 2009</stp>
        <stp>FQ4 2009</stp>
        <stp>[AMZ_2009-2018.xlsx]Income - Adjusted!R21C6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1" s="2"/>
      </tp>
      <tp>
        <v>0.39</v>
        <stp/>
        <stp>##V3_BDHV12</stp>
        <stp>AMZN US Equity</stp>
        <stp>IS_EPS</stp>
        <stp>FQ4 2011</stp>
        <stp>FQ4 2011</stp>
        <stp>[AMZ_2009-2018.xlsx]Income - Adjusted!R50C14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50" s="2"/>
      </tp>
      <tp t="s">
        <v>—</v>
        <stp/>
        <stp>##V3_BDHV12</stp>
        <stp>AMZN US Equity</stp>
        <stp>BS_DEFERRED_TAX_ASSETS_LT</stp>
        <stp>FQ1 2014</stp>
        <stp>FQ1 2014</stp>
        <stp>[AMZ_2009-2018.xlsx]Bal Sheet - Standardized!R31C23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1" s="3"/>
      </tp>
      <tp t="s">
        <v>—</v>
        <stp/>
        <stp>##V3_BDHV12</stp>
        <stp>AMZN US Equity</stp>
        <stp>BS_DEFERRED_TAX_ASSETS_ST</stp>
        <stp>FQ1 2014</stp>
        <stp>FQ1 2014</stp>
        <stp>[AMZ_2009-2018.xlsx]Bal Sheet - Standardized!R20C23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0" s="3"/>
      </tp>
      <tp t="s">
        <v>—</v>
        <stp/>
        <stp>##V3_BDHV12</stp>
        <stp>AMZN US Equity</stp>
        <stp>BS_DEFERRED_TAX_ASSETS_ST</stp>
        <stp>FQ2 2016</stp>
        <stp>FQ2 2016</stp>
        <stp>[AMZ_2009-2018.xlsx]Bal Sheet - Standardized!R20C32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0" s="3"/>
      </tp>
      <tp t="s">
        <v>—</v>
        <stp/>
        <stp>##V3_BDHV12</stp>
        <stp>AMZN US Equity</stp>
        <stp>BS_DEFERRED_TAX_ASSETS_LT</stp>
        <stp>FQ2 2016</stp>
        <stp>FQ2 2016</stp>
        <stp>[AMZ_2009-2018.xlsx]Bal Sheet - Standardized!R31C32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1" s="3"/>
      </tp>
      <tp t="s">
        <v>—</v>
        <stp/>
        <stp>##V3_BDHV12</stp>
        <stp>AMZN US Equity</stp>
        <stp>BS_DEFERRED_TAX_ASSETS_ST</stp>
        <stp>FQ3 2017</stp>
        <stp>FQ3 2017</stp>
        <stp>[AMZ_2009-2018.xlsx]Bal Sheet - Standardized!R20C37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0" s="3"/>
      </tp>
      <tp t="s">
        <v>—</v>
        <stp/>
        <stp>##V3_BDHV12</stp>
        <stp>AMZN US Equity</stp>
        <stp>BS_DEFERRED_TAX_ASSETS_LT</stp>
        <stp>FQ3 2017</stp>
        <stp>FQ3 2017</stp>
        <stp>[AMZ_2009-2018.xlsx]Bal Sheet - Standardized!R31C37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1" s="3"/>
      </tp>
      <tp>
        <v>0</v>
        <stp/>
        <stp>##V3_BDHV12</stp>
        <stp>AMZN US Equity</stp>
        <stp>CF_DVD_PAID</stp>
        <stp>FQ1 2009</stp>
        <stp>FQ1 2009</stp>
        <stp>[AMZ_2009-2018.xlsx]Cash Flow - Standardized!R41C3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4"/>
      </tp>
      <tp>
        <v>453</v>
        <stp/>
        <stp>##V3_BDHV12</stp>
        <stp>AMZN US Equity</stp>
        <stp>BS_DEFERRED_TAX_ASSETS_ST</stp>
        <stp>FQ4 2012</stp>
        <stp>FQ4 2012</stp>
        <stp>[AMZ_2009-2018.xlsx]Bal Sheet - Standardized!R20C18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0" s="3"/>
      </tp>
      <tp>
        <v>123</v>
        <stp/>
        <stp>##V3_BDHV12</stp>
        <stp>AMZN US Equity</stp>
        <stp>BS_DEFERRED_TAX_ASSETS_LT</stp>
        <stp>FQ4 2012</stp>
        <stp>FQ4 2012</stp>
        <stp>[AMZ_2009-2018.xlsx]Bal Sheet - Standardized!R31C18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1" s="3"/>
      </tp>
      <tp t="s">
        <v>—</v>
        <stp/>
        <stp>##V3_BDHV12</stp>
        <stp>AMZN US Equity</stp>
        <stp>BS_ACCRUED_LIABILITIES</stp>
        <stp>FQ3 2012</stp>
        <stp>FQ3 2012</stp>
        <stp>[AMZ_2009-2018.xlsx]Bal Sheet - Standardized!R56C17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6" s="3"/>
      </tp>
      <tp>
        <v>0</v>
        <stp/>
        <stp>##V3_BDHV12</stp>
        <stp>AMZN US Equity</stp>
        <stp>BS_ACCRUED_LIABILITIES</stp>
        <stp>FQ4 2017</stp>
        <stp>FQ4 2017</stp>
        <stp>[AMZ_2009-2018.xlsx]Bal Sheet - Standardized!R56C38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6" s="3"/>
      </tp>
      <tp>
        <v>5913</v>
        <stp/>
        <stp>##V3_BDHV12</stp>
        <stp>AMZN US Equity</stp>
        <stp>BS_FUTURE_MIN_OPER_LEASE_OBLIG</stp>
        <stp>FQ4 2014</stp>
        <stp>FQ4 2014</stp>
        <stp>[AMZ_2009-2018.xlsx]Bal Sheet - Standardized!R81C26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81" s="3"/>
      </tp>
      <tp>
        <v>4899</v>
        <stp/>
        <stp>##V3_BDHV12</stp>
        <stp>AMZN US Equity</stp>
        <stp>BS_FUTURE_MIN_OPER_LEASE_OBLIG</stp>
        <stp>FQ3 2013</stp>
        <stp>FQ3 2013</stp>
        <stp>[AMZ_2009-2018.xlsx]Bal Sheet - Standardized!R81C21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81" s="3"/>
      </tp>
      <tp>
        <v>2169</v>
        <stp/>
        <stp>##V3_BDHV12</stp>
        <stp>AMZN US Equity</stp>
        <stp>BS_FUTURE_MIN_OPER_LEASE_OBLIG</stp>
        <stp>FQ2 2011</stp>
        <stp>FQ2 2011</stp>
        <stp>[AMZ_2009-2018.xlsx]Bal Sheet - Standardized!R81C12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81" s="3"/>
      </tp>
      <tp>
        <v>6517</v>
        <stp/>
        <stp>##V3_BDHV12</stp>
        <stp>AMZN US Equity</stp>
        <stp>BS_FUTURE_MIN_OPER_LEASE_OBLIG</stp>
        <stp>FQ4 2015</stp>
        <stp>FQ4 2015</stp>
        <stp>[AMZ_2009-2018.xlsx]Bal Sheet - Standardized!R81C30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81" s="3"/>
      </tp>
      <tp>
        <v>3644</v>
        <stp/>
        <stp>##V3_BDHV12</stp>
        <stp>AMZN US Equity</stp>
        <stp>BS_FUTURE_MIN_OPER_LEASE_OBLIG</stp>
        <stp>FQ1 2012</stp>
        <stp>FQ1 2012</stp>
        <stp>[AMZ_2009-2018.xlsx]Bal Sheet - Standardized!R81C15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81" s="3"/>
      </tp>
      <tp>
        <v>1.1588000000000001</v>
        <stp/>
        <stp>##V3_BDHV12</stp>
        <stp>AMZN US Equity</stp>
        <stp>CUR_RATIO</stp>
        <stp>FQ1 2012</stp>
        <stp>FQ1 2012</stp>
        <stp>[AMZ_2009-2018.xlsx]Bal Sheet - Standardized!R86C15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86" s="3"/>
      </tp>
      <tp>
        <v>1.0825</v>
        <stp/>
        <stp>##V3_BDHV12</stp>
        <stp>AMZN US Equity</stp>
        <stp>CUR_RATIO</stp>
        <stp>FQ1 2016</stp>
        <stp>FQ1 2016</stp>
        <stp>[AMZ_2009-2018.xlsx]Bal Sheet - Standardized!R86C31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86" s="3"/>
      </tp>
      <tp>
        <v>1.0528</v>
        <stp/>
        <stp>##V3_BDHV12</stp>
        <stp>AMZN US Equity</stp>
        <stp>CUR_RATIO</stp>
        <stp>FQ1 2014</stp>
        <stp>FQ1 2014</stp>
        <stp>[AMZ_2009-2018.xlsx]Bal Sheet - Standardized!R86C23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86" s="3"/>
      </tp>
      <tp>
        <v>0.17</v>
        <stp/>
        <stp>##V3_BDHV12</stp>
        <stp>AMZN US Equity</stp>
        <stp>IS_DIL_EPS_BEF_XO</stp>
        <stp>FQ3 2015</stp>
        <stp>FQ3 2015</stp>
        <stp>[AMZ_2009-2018.xlsx]Per Share!R18C29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18" s="5"/>
      </tp>
      <tp>
        <v>0.18</v>
        <stp/>
        <stp>##V3_BDHV12</stp>
        <stp>AMZN US Equity</stp>
        <stp>IS_DIL_EPS_BEF_XO</stp>
        <stp>FQ1 2013</stp>
        <stp>FQ1 2013</stp>
        <stp>[AMZ_2009-2018.xlsx]Per Share!R18C19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18" s="5"/>
      </tp>
      <tp>
        <v>3.27</v>
        <stp/>
        <stp>##V3_BDHV12</stp>
        <stp>AMZN US Equity</stp>
        <stp>IS_DIL_EPS_BEF_XO</stp>
        <stp>FQ1 2018</stp>
        <stp>FQ1 2018</stp>
        <stp>[AMZ_2009-2018.xlsx]Per Share!R18C39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18" s="5"/>
      </tp>
      <tp>
        <v>10269</v>
        <stp/>
        <stp>##V3_BDHV12</stp>
        <stp>AMZN US Equity</stp>
        <stp>BS_CASH_NEAR_CASH_ITEM</stp>
        <stp>FQ2 2015</stp>
        <stp>FQ2 2015</stp>
        <stp>[AMZ_2009-2018.xlsx]Bal Sheet - Standardized!R8C28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8" s="3"/>
      </tp>
      <tp>
        <v>0</v>
        <stp/>
        <stp>##V3_BDHV12</stp>
        <stp>AMZN US Equity</stp>
        <stp>MINORITY_NONCONTROLLING_INTEREST</stp>
        <stp>FQ1 2018</stp>
        <stp>FQ1 2018</stp>
        <stp>[AMZ_2009-2018.xlsx]Bal Sheet - Standardized!R72C39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2" s="3"/>
      </tp>
      <tp>
        <v>4481</v>
        <stp/>
        <stp>##V3_BDHV12</stp>
        <stp>AMZN US Equity</stp>
        <stp>BS_CASH_NEAR_CASH_ITEM</stp>
        <stp>FQ1 2013</stp>
        <stp>FQ1 2013</stp>
        <stp>[AMZ_2009-2018.xlsx]Bal Sheet - Standardized!R8C19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8" s="3"/>
      </tp>
      <tp>
        <v>6496</v>
        <stp/>
        <stp>##V3_BDHV12</stp>
        <stp>AMZN US Equity</stp>
        <stp>IS_OPERATING_EXPN</stp>
        <stp>FQ3 2014</stp>
        <stp>FQ3 2014</stp>
        <stp>[AMZ_2009-2018.xlsx]Income - Adjusted!R12C25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2" s="2"/>
      </tp>
      <tp>
        <v>-6326</v>
        <stp/>
        <stp>##V3_BDHV12</stp>
        <stp>AMZN US Equity</stp>
        <stp>NET_DEBT</stp>
        <stp>FQ3 2011</stp>
        <stp>FQ3 2011</stp>
        <stp>[AMZ_2009-2018.xlsx]Bal Sheet - Standardized!R83C13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83" s="3"/>
      </tp>
      <tp>
        <v>-3730</v>
        <stp/>
        <stp>##V3_BDHV12</stp>
        <stp>AMZN US Equity</stp>
        <stp>NET_DEBT</stp>
        <stp>FQ2 2013</stp>
        <stp>FQ2 2013</stp>
        <stp>[AMZ_2009-2018.xlsx]Bal Sheet - Standardized!R83C20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83" s="3"/>
      </tp>
      <tp>
        <v>12269</v>
        <stp/>
        <stp>##V3_BDHV12</stp>
        <stp>AMZN US Equity</stp>
        <stp>IS_OPERATING_EXPN</stp>
        <stp>FQ1 2017</stp>
        <stp>FQ1 2017</stp>
        <stp>[AMZ_2009-2018.xlsx]Income - Adjusted!R12C35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2" s="2"/>
      </tp>
      <tp>
        <v>2966</v>
        <stp/>
        <stp>##V3_BDHV12</stp>
        <stp>AMZN US Equity</stp>
        <stp>IS_OPERATING_EXPN</stp>
        <stp>FQ1 2012</stp>
        <stp>FQ1 2012</stp>
        <stp>[AMZ_2009-2018.xlsx]Income - Adjusted!R12C15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2" s="2"/>
      </tp>
      <tp>
        <v>2288</v>
        <stp/>
        <stp>##V3_BDHV12</stp>
        <stp>AMZN US Equity</stp>
        <stp>BS_CASH_NEAR_CASH_ITEM</stp>
        <stp>FQ1 2012</stp>
        <stp>FQ1 2012</stp>
        <stp>[AMZ_2009-2018.xlsx]Bal Sheet - Standardized!R8C15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8" s="3"/>
      </tp>
      <tp>
        <v>13656</v>
        <stp/>
        <stp>##V3_BDHV12</stp>
        <stp>AMZN US Equity</stp>
        <stp>BS_CASH_NEAR_CASH_ITEM</stp>
        <stp>FQ3 2016</stp>
        <stp>FQ3 2016</stp>
        <stp>[AMZ_2009-2018.xlsx]Bal Sheet - Standardized!R8C33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8" s="3"/>
      </tp>
      <tp>
        <v>12767</v>
        <stp/>
        <stp>##V3_BDHV12</stp>
        <stp>AMZN US Equity</stp>
        <stp>BS_CASH_NEAR_CASH_ITEM</stp>
        <stp>FQ3 2017</stp>
        <stp>FQ3 2017</stp>
        <stp>[AMZ_2009-2018.xlsx]Bal Sheet - Standardized!R8C37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8" s="3"/>
      </tp>
      <tp>
        <v>5057</v>
        <stp/>
        <stp>##V3_BDHV12</stp>
        <stp>AMZN US Equity</stp>
        <stp>BS_CASH_NEAR_CASH_ITEM</stp>
        <stp>FQ2 2014</stp>
        <stp>FQ2 2014</stp>
        <stp>[AMZ_2009-2018.xlsx]Bal Sheet - Standardized!R8C24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8" s="3"/>
      </tp>
      <tp>
        <v>3704</v>
        <stp/>
        <stp>##V3_BDHV12</stp>
        <stp>AMZN US Equity</stp>
        <stp>BS_CASH_NEAR_CASH_ITEM</stp>
        <stp>FQ2 2013</stp>
        <stp>FQ2 2013</stp>
        <stp>[AMZ_2009-2018.xlsx]Bal Sheet - Standardized!R8C20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8" s="3"/>
      </tp>
      <tp>
        <v>2641</v>
        <stp/>
        <stp>##V3_BDHV12</stp>
        <stp>AMZN US Equity</stp>
        <stp>BS_CASH_NEAR_CASH_ITEM</stp>
        <stp>FQ1 2011</stp>
        <stp>FQ1 2011</stp>
        <stp>[AMZ_2009-2018.xlsx]Bal Sheet - Standardized!R8C11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8" s="3"/>
      </tp>
      <tp>
        <v>-4203</v>
        <stp/>
        <stp>##V3_BDHV12</stp>
        <stp>AMZN US Equity</stp>
        <stp>NET_DEBT</stp>
        <stp>FQ1 2013</stp>
        <stp>FQ1 2013</stp>
        <stp>[AMZ_2009-2018.xlsx]Bal Sheet - Standardized!R83C19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83" s="3"/>
      </tp>
      <tp>
        <v>0</v>
        <stp/>
        <stp>##V3_BDHV12</stp>
        <stp>AMZN US Equity</stp>
        <stp>IS_DISCONTINUED_OPERATIONS</stp>
        <stp>FQ3 2017</stp>
        <stp>FQ3 2017</stp>
        <stp>[AMZ_2009-2018.xlsx]Income - Adjusted!R36C37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6" s="2"/>
      </tp>
      <tp>
        <v>0</v>
        <stp/>
        <stp>##V3_BDHV12</stp>
        <stp>AMZN US Equity</stp>
        <stp>IS_DISCONTINUED_OPERATIONS</stp>
        <stp>FQ2 2017</stp>
        <stp>FQ2 2017</stp>
        <stp>[AMZ_2009-2018.xlsx]Income - Adjusted!R36C36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6" s="2"/>
      </tp>
      <tp>
        <v>0</v>
        <stp/>
        <stp>##V3_BDHV12</stp>
        <stp>AMZN US Equity</stp>
        <stp>IS_DISCONTINUED_OPERATIONS</stp>
        <stp>FQ1 2017</stp>
        <stp>FQ1 2017</stp>
        <stp>[AMZ_2009-2018.xlsx]Income - Adjusted!R36C35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6" s="2"/>
      </tp>
      <tp>
        <v>444.54599999999999</v>
        <stp/>
        <stp>##V3_BDHV12</stp>
        <stp>AMZN US Equity</stp>
        <stp>EQY_SH_OUT</stp>
        <stp>FQ1 2010</stp>
        <stp>FQ1 2010</stp>
        <stp>[AMZ_2009-2018.xlsx]Stock Value!R13C7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13" s="6"/>
      </tp>
      <tp>
        <v>5.0004999999999997</v>
        <stp/>
        <stp>##V3_BDHV12</stp>
        <stp>AMZN US Equity</stp>
        <stp>OPER_MARGIN</stp>
        <stp>FQ4 2009</stp>
        <stp>FQ4 2009</stp>
        <stp>[AMZ_2009-2018.xlsx]Income - Adjusted!R66C6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F66" s="2"/>
      </tp>
      <tp>
        <v>4.6063000000000001</v>
        <stp/>
        <stp>##V3_BDHV12</stp>
        <stp>AMZN US Equity</stp>
        <stp>OPER_MARGIN</stp>
        <stp>FQ3 2009</stp>
        <stp>FQ3 2009</stp>
        <stp>[AMZ_2009-2018.xlsx]Income - Adjusted!R66C5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E66" s="2"/>
      </tp>
      <tp>
        <v>4.1120999999999999</v>
        <stp/>
        <stp>##V3_BDHV12</stp>
        <stp>AMZN US Equity</stp>
        <stp>OPER_MARGIN</stp>
        <stp>FQ2 2010</stp>
        <stp>FQ2 2010</stp>
        <stp>[AMZ_2009-2018.xlsx]Income - Adjusted!R66C8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H66" s="2"/>
      </tp>
      <tp>
        <v>4.5152000000000001</v>
        <stp/>
        <stp>##V3_BDHV12</stp>
        <stp>AMZN US Equity</stp>
        <stp>OPER_MARGIN</stp>
        <stp>FQ2 2009</stp>
        <stp>FQ2 2009</stp>
        <stp>[AMZ_2009-2018.xlsx]Income - Adjusted!R66C4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D66" s="2"/>
      </tp>
      <tp>
        <v>3.5449999999999999</v>
        <stp/>
        <stp>##V3_BDHV12</stp>
        <stp>AMZN US Equity</stp>
        <stp>OPER_MARGIN</stp>
        <stp>FQ3 2010</stp>
        <stp>FQ3 2010</stp>
        <stp>[AMZ_2009-2018.xlsx]Income - Adjusted!R66C9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I66" s="2"/>
      </tp>
      <tp>
        <v>4.9908000000000001</v>
        <stp/>
        <stp>##V3_BDHV12</stp>
        <stp>AMZN US Equity</stp>
        <stp>OPER_MARGIN</stp>
        <stp>FQ1 2009</stp>
        <stp>FQ1 2009</stp>
        <stp>[AMZ_2009-2018.xlsx]Income - Adjusted!R66C3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C66" s="2"/>
      </tp>
      <tp>
        <v>0</v>
        <stp/>
        <stp>##V3_BDHV12</stp>
        <stp>AMZN US Equity</stp>
        <stp>IS_DISCONTINUED_OPERATIONS</stp>
        <stp>FQ4 2017</stp>
        <stp>FQ4 2017</stp>
        <stp>[AMZ_2009-2018.xlsx]Income - Adjusted!R36C38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6" s="2"/>
      </tp>
      <tp>
        <v>5.5251999999999999</v>
        <stp/>
        <stp>##V3_BDHV12</stp>
        <stp>AMZN US Equity</stp>
        <stp>OPER_MARGIN</stp>
        <stp>FQ1 2010</stp>
        <stp>FQ1 2010</stp>
        <stp>[AMZ_2009-2018.xlsx]Income - Adjusted!R66C7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G66" s="2"/>
      </tp>
      <tp>
        <v>17868</v>
        <stp/>
        <stp>##V3_BDHV12</stp>
        <stp>AMZN US Equity</stp>
        <stp>ACCT_PAYABLE_&amp;_ACCRUALS_DETAILED</stp>
        <stp>FQ4 2012</stp>
        <stp>FQ4 2012</stp>
        <stp>[AMZ_2009-2018.xlsx]Bal Sheet - Standardized!R38C18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8" s="3"/>
      </tp>
      <tp>
        <v>2534</v>
        <stp/>
        <stp>##V3_BDHV12</stp>
        <stp>AMZN US Equity</stp>
        <stp>IS_INC_BEF_XO_ITEM</stp>
        <stp>FQ2 2018</stp>
        <stp>FQ2 2018</stp>
        <stp>[AMZ_2009-2018.xlsx]Income - Adjusted!R34C40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4" s="2"/>
      </tp>
      <tp>
        <v>16057</v>
        <stp/>
        <stp>##V3_BDHV12</stp>
        <stp>AMZN US Equity</stp>
        <stp>ACCT_PAYABLE_&amp;_ACCRUALS_DETAILED</stp>
        <stp>FQ1 2014</stp>
        <stp>FQ1 2014</stp>
        <stp>[AMZ_2009-2018.xlsx]Bal Sheet - Standardized!R38C23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8" s="3"/>
      </tp>
      <tp>
        <v>22188</v>
        <stp/>
        <stp>##V3_BDHV12</stp>
        <stp>AMZN US Equity</stp>
        <stp>ACCT_PAYABLE_&amp;_ACCRUALS_DETAILED</stp>
        <stp>FQ2 2016</stp>
        <stp>FQ2 2016</stp>
        <stp>[AMZ_2009-2018.xlsx]Bal Sheet - Standardized!R38C32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8" s="3"/>
      </tp>
      <tp>
        <v>35343</v>
        <stp/>
        <stp>##V3_BDHV12</stp>
        <stp>AMZN US Equity</stp>
        <stp>ACCT_PAYABLE_&amp;_ACCRUALS_DETAILED</stp>
        <stp>FQ3 2017</stp>
        <stp>FQ3 2017</stp>
        <stp>[AMZ_2009-2018.xlsx]Bal Sheet - Standardized!R38C37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8" s="3"/>
      </tp>
      <tp>
        <v>457.73399999999998</v>
        <stp/>
        <stp>##V3_BDHV12</stp>
        <stp>AMZN US Equity</stp>
        <stp>EQY_SH_OUT</stp>
        <stp>FQ4 2013</stp>
        <stp>FQ4 2013</stp>
        <stp>[AMZ_2009-2018.xlsx]Stock Value!R13C22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13" s="6"/>
      </tp>
      <tp>
        <v>0.66</v>
        <stp/>
        <stp>##V3_BDHV12</stp>
        <stp>AMZN US Equity</stp>
        <stp>IS_DILUTED_EPS</stp>
        <stp>FQ1 2010</stp>
        <stp>FQ1 2010</stp>
        <stp>[AMZ_2009-2018.xlsx]Per Share!R17C7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17" s="5"/>
      </tp>
      <tp>
        <v>0.41</v>
        <stp/>
        <stp>##V3_BDHV12</stp>
        <stp>AMZN US Equity</stp>
        <stp>IS_DILUTED_EPS</stp>
        <stp>FQ1 2009</stp>
        <stp>FQ1 2009</stp>
        <stp>[AMZ_2009-2018.xlsx]Per Share!R17C3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17" s="5"/>
      </tp>
      <tp>
        <v>0.51</v>
        <stp/>
        <stp>##V3_BDHV12</stp>
        <stp>AMZN US Equity</stp>
        <stp>IS_DILUTED_EPS</stp>
        <stp>FQ3 2010</stp>
        <stp>FQ3 2010</stp>
        <stp>[AMZ_2009-2018.xlsx]Per Share!R17C9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17" s="5"/>
      </tp>
      <tp>
        <v>0.32</v>
        <stp/>
        <stp>##V3_BDHV12</stp>
        <stp>AMZN US Equity</stp>
        <stp>IS_DILUTED_EPS</stp>
        <stp>FQ2 2009</stp>
        <stp>FQ2 2009</stp>
        <stp>[AMZ_2009-2018.xlsx]Per Share!R17C4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17" s="5"/>
      </tp>
      <tp>
        <v>-675</v>
        <stp/>
        <stp>##V3_BDHV12</stp>
        <stp>AMZN US Equity</stp>
        <stp>OTHER_INS_RES_TO_SHRHLDR_EQY</stp>
        <stp>FQ3 2015</stp>
        <stp>FQ3 2015</stp>
        <stp>[AMZ_2009-2018.xlsx]Bal Sheet - Standardized!R70C29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70" s="3"/>
      </tp>
      <tp>
        <v>0.45</v>
        <stp/>
        <stp>##V3_BDHV12</stp>
        <stp>AMZN US Equity</stp>
        <stp>IS_DILUTED_EPS</stp>
        <stp>FQ2 2010</stp>
        <stp>FQ2 2010</stp>
        <stp>[AMZ_2009-2018.xlsx]Per Share!R17C8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17" s="5"/>
      </tp>
      <tp>
        <v>0.45</v>
        <stp/>
        <stp>##V3_BDHV12</stp>
        <stp>AMZN US Equity</stp>
        <stp>IS_DILUTED_EPS</stp>
        <stp>FQ3 2009</stp>
        <stp>FQ3 2009</stp>
        <stp>[AMZ_2009-2018.xlsx]Per Share!R17C5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17" s="5"/>
      </tp>
      <tp>
        <v>0.85</v>
        <stp/>
        <stp>##V3_BDHV12</stp>
        <stp>AMZN US Equity</stp>
        <stp>IS_DILUTED_EPS</stp>
        <stp>FQ4 2009</stp>
        <stp>FQ4 2009</stp>
        <stp>[AMZ_2009-2018.xlsx]Per Share!R17C6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17" s="5"/>
      </tp>
      <tp t="s">
        <v>—</v>
        <stp/>
        <stp>##V3_BDHV12</stp>
        <stp>AMZN US Equity</stp>
        <stp>BS_DEFERRED_TAX_ASSETS_LT</stp>
        <stp>FQ3 2016</stp>
        <stp>FQ3 2016</stp>
        <stp>[AMZ_2009-2018.xlsx]Bal Sheet - Standardized!R31C33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1" s="3"/>
      </tp>
      <tp t="s">
        <v>—</v>
        <stp/>
        <stp>##V3_BDHV12</stp>
        <stp>AMZN US Equity</stp>
        <stp>BS_DEFERRED_TAX_ASSETS_ST</stp>
        <stp>FQ3 2016</stp>
        <stp>FQ3 2016</stp>
        <stp>[AMZ_2009-2018.xlsx]Bal Sheet - Standardized!R20C33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0" s="3"/>
      </tp>
      <tp t="s">
        <v>—</v>
        <stp/>
        <stp>##V3_BDHV12</stp>
        <stp>AMZN US Equity</stp>
        <stp>BS_DEFERRED_TAX_ASSETS_ST</stp>
        <stp>FQ1 2015</stp>
        <stp>FQ1 2015</stp>
        <stp>[AMZ_2009-2018.xlsx]Bal Sheet - Standardized!R20C27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0" s="3"/>
      </tp>
      <tp t="s">
        <v>—</v>
        <stp/>
        <stp>##V3_BDHV12</stp>
        <stp>AMZN US Equity</stp>
        <stp>BS_DEFERRED_TAX_ASSETS_LT</stp>
        <stp>FQ1 2015</stp>
        <stp>FQ1 2015</stp>
        <stp>[AMZ_2009-2018.xlsx]Bal Sheet - Standardized!R31C27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1" s="3"/>
      </tp>
      <tp t="s">
        <v>—</v>
        <stp/>
        <stp>##V3_BDHV12</stp>
        <stp>AMZN US Equity</stp>
        <stp>BS_DEFERRED_TAX_ASSETS_LT</stp>
        <stp>FQ2 2017</stp>
        <stp>FQ2 2017</stp>
        <stp>[AMZ_2009-2018.xlsx]Bal Sheet - Standardized!R31C36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1" s="3"/>
      </tp>
      <tp>
        <v>0</v>
        <stp/>
        <stp>##V3_BDHV12</stp>
        <stp>AMZN US Equity</stp>
        <stp>CF_DVD_PAID</stp>
        <stp>FQ1 2010</stp>
        <stp>FQ1 2010</stp>
        <stp>[AMZ_2009-2018.xlsx]Cash Flow - Standardized!R41C7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1" s="4"/>
      </tp>
      <tp t="s">
        <v>—</v>
        <stp/>
        <stp>##V3_BDHV12</stp>
        <stp>AMZN US Equity</stp>
        <stp>BS_DEFERRED_TAX_ASSETS_ST</stp>
        <stp>FQ2 2017</stp>
        <stp>FQ2 2017</stp>
        <stp>[AMZ_2009-2018.xlsx]Bal Sheet - Standardized!R20C36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0" s="3"/>
      </tp>
      <tp t="s">
        <v>—</v>
        <stp/>
        <stp>##V3_BDHV12</stp>
        <stp>AMZN US Equity</stp>
        <stp>BS_ACCRUED_LIABILITIES</stp>
        <stp>FQ2 2012</stp>
        <stp>FQ2 2012</stp>
        <stp>[AMZ_2009-2018.xlsx]Bal Sheet - Standardized!R56C16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6" s="3"/>
      </tp>
      <tp t="s">
        <v>—</v>
        <stp/>
        <stp>##V3_BDHV12</stp>
        <stp>AMZN US Equity</stp>
        <stp>BS_ACCRUED_LIABILITIES</stp>
        <stp>FQ1 2011</stp>
        <stp>FQ1 2011</stp>
        <stp>[AMZ_2009-2018.xlsx]Bal Sheet - Standardized!R56C11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6" s="3"/>
      </tp>
      <tp>
        <v>0</v>
        <stp/>
        <stp>##V3_BDHV12</stp>
        <stp>AMZN US Equity</stp>
        <stp>BS_ACCRUED_LIABILITIES</stp>
        <stp>FQ4 2016</stp>
        <stp>FQ4 2016</stp>
        <stp>[AMZ_2009-2018.xlsx]Bal Sheet - Standardized!R56C34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6" s="3"/>
      </tp>
      <tp>
        <v>327.815</v>
        <stp/>
        <stp>##V3_BDHV12</stp>
        <stp>AMZN US Equity</stp>
        <stp>EQY_FLOAT</stp>
        <stp>FQ1 2009</stp>
        <stp>FQ1 2009</stp>
        <stp>[AMZ_2009-2018.xlsx]Stock Value!R14C3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14" s="6"/>
      </tp>
      <tp>
        <v>335.37</v>
        <stp/>
        <stp>##V3_BDHV12</stp>
        <stp>AMZN US Equity</stp>
        <stp>EQY_FLOAT</stp>
        <stp>FQ4 2009</stp>
        <stp>FQ4 2009</stp>
        <stp>[AMZ_2009-2018.xlsx]Stock Value!R14C6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14" s="6"/>
      </tp>
      <tp>
        <v>2773</v>
        <stp/>
        <stp>##V3_BDHV12</stp>
        <stp>AMZN US Equity</stp>
        <stp>BS_FUTURE_MIN_OPER_LEASE_OBLIG</stp>
        <stp>FQ3 2011</stp>
        <stp>FQ3 2011</stp>
        <stp>[AMZ_2009-2018.xlsx]Bal Sheet - Standardized!R81C13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81" s="3"/>
      </tp>
      <tp>
        <v>4647</v>
        <stp/>
        <stp>##V3_BDHV12</stp>
        <stp>AMZN US Equity</stp>
        <stp>BS_FUTURE_MIN_OPER_LEASE_OBLIG</stp>
        <stp>FQ2 2013</stp>
        <stp>FQ2 2013</stp>
        <stp>[AMZ_2009-2018.xlsx]Bal Sheet - Standardized!R81C20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81" s="3"/>
      </tp>
      <tp>
        <v>0.19</v>
        <stp/>
        <stp>##V3_BDHV12</stp>
        <stp>AMZN US Equity</stp>
        <stp>IS_DIL_EPS_BEF_XO</stp>
        <stp>FQ2 2015</stp>
        <stp>FQ2 2015</stp>
        <stp>[AMZ_2009-2018.xlsx]Per Share!R18C28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18" s="5"/>
      </tp>
      <tp>
        <v>4523</v>
        <stp/>
        <stp>##V3_BDHV12</stp>
        <stp>AMZN US Equity</stp>
        <stp>BS_FUTURE_MIN_OPER_LEASE_OBLIG</stp>
        <stp>FQ1 2013</stp>
        <stp>FQ1 2013</stp>
        <stp>[AMZ_2009-2018.xlsx]Bal Sheet - Standardized!R81C19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81" s="3"/>
      </tp>
      <tp>
        <v>0.21</v>
        <stp/>
        <stp>##V3_BDHV12</stp>
        <stp>AMZN US Equity</stp>
        <stp>IS_DIL_EPS_BEF_XO</stp>
        <stp>FQ4 2012</stp>
        <stp>FQ4 2012</stp>
        <stp>[AMZ_2009-2018.xlsx]Per Share!R18C18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18" s="5"/>
      </tp>
      <tp>
        <v>3.75</v>
        <stp/>
        <stp>##V3_BDHV12</stp>
        <stp>AMZN US Equity</stp>
        <stp>IS_DIL_EPS_BEF_XO</stp>
        <stp>FQ4 2017</stp>
        <stp>FQ4 2017</stp>
        <stp>[AMZ_2009-2018.xlsx]Per Share!R18C38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18" s="5"/>
      </tp>
      <tp>
        <v>10709</v>
        <stp/>
        <stp>##V3_BDHV12</stp>
        <stp>AMZN US Equity</stp>
        <stp>BS_CASH_NEAR_CASH_ITEM</stp>
        <stp>FQ3 2015</stp>
        <stp>FQ3 2015</stp>
        <stp>[AMZ_2009-2018.xlsx]Bal Sheet - Standardized!R8C29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8" s="3"/>
      </tp>
      <tp>
        <v>-2269</v>
        <stp/>
        <stp>##V3_BDHV12</stp>
        <stp>AMZN US Equity</stp>
        <stp>NET_DEBT</stp>
        <stp>FQ4 2015</stp>
        <stp>FQ4 2015</stp>
        <stp>[AMZ_2009-2018.xlsx]Bal Sheet - Standardized!R83C30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83" s="3"/>
      </tp>
      <tp>
        <v>3341</v>
        <stp/>
        <stp>##V3_BDHV12</stp>
        <stp>AMZN US Equity</stp>
        <stp>IS_OPERATING_EXPN</stp>
        <stp>FQ4 2011</stp>
        <stp>FQ4 2011</stp>
        <stp>[AMZ_2009-2018.xlsx]Income - Adjusted!R12C14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2" s="2"/>
      </tp>
      <tp>
        <v>13528</v>
        <stp/>
        <stp>##V3_BDHV12</stp>
        <stp>AMZN US Equity</stp>
        <stp>IS_OPERATING_EXPN</stp>
        <stp>FQ4 2016</stp>
        <stp>FQ4 2016</stp>
        <stp>[AMZ_2009-2018.xlsx]Income - Adjusted!R12C34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2" s="2"/>
      </tp>
      <tp>
        <v>-5715</v>
        <stp/>
        <stp>##V3_BDHV12</stp>
        <stp>AMZN US Equity</stp>
        <stp>NET_DEBT</stp>
        <stp>FQ1 2012</stp>
        <stp>FQ1 2012</stp>
        <stp>[AMZ_2009-2018.xlsx]Bal Sheet - Standardized!R83C15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83" s="3"/>
      </tp>
      <tp>
        <v>5956</v>
        <stp/>
        <stp>##V3_BDHV12</stp>
        <stp>AMZN US Equity</stp>
        <stp>IS_OPERATING_EXPN</stp>
        <stp>FQ2 2014</stp>
        <stp>FQ2 2014</stp>
        <stp>[AMZ_2009-2018.xlsx]Income - Adjusted!R12C24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2" s="2"/>
      </tp>
      <tp>
        <v>-3966</v>
        <stp/>
        <stp>##V3_BDHV12</stp>
        <stp>AMZN US Equity</stp>
        <stp>NET_DEBT</stp>
        <stp>FQ3 2013</stp>
        <stp>FQ3 2013</stp>
        <stp>[AMZ_2009-2018.xlsx]Bal Sheet - Standardized!R83C21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83" s="3"/>
      </tp>
      <tp>
        <v>-1327</v>
        <stp/>
        <stp>##V3_BDHV12</stp>
        <stp>AMZN US Equity</stp>
        <stp>NET_DEBT</stp>
        <stp>FQ4 2014</stp>
        <stp>FQ4 2014</stp>
        <stp>[AMZ_2009-2018.xlsx]Bal Sheet - Standardized!R83C26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83" s="3"/>
      </tp>
      <tp>
        <v>-6355</v>
        <stp/>
        <stp>##V3_BDHV12</stp>
        <stp>AMZN US Equity</stp>
        <stp>NET_DEBT</stp>
        <stp>FQ2 2011</stp>
        <stp>FQ2 2011</stp>
        <stp>[AMZ_2009-2018.xlsx]Bal Sheet - Standardized!R83C12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83" s="3"/>
      </tp>
      <tp>
        <v>12521</v>
        <stp/>
        <stp>##V3_BDHV12</stp>
        <stp>AMZN US Equity</stp>
        <stp>BS_CASH_NEAR_CASH_ITEM</stp>
        <stp>FQ2 2016</stp>
        <stp>FQ2 2016</stp>
        <stp>[AMZ_2009-2018.xlsx]Bal Sheet - Standardized!R8C32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8" s="3"/>
      </tp>
      <tp>
        <v>13203</v>
        <stp/>
        <stp>##V3_BDHV12</stp>
        <stp>AMZN US Equity</stp>
        <stp>BS_CASH_NEAR_CASH_ITEM</stp>
        <stp>FQ2 2017</stp>
        <stp>FQ2 2017</stp>
        <stp>[AMZ_2009-2018.xlsx]Bal Sheet - Standardized!R8C36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8" s="3"/>
      </tp>
      <tp>
        <v>5258</v>
        <stp/>
        <stp>##V3_BDHV12</stp>
        <stp>AMZN US Equity</stp>
        <stp>BS_CASH_NEAR_CASH_ITEM</stp>
        <stp>FQ3 2014</stp>
        <stp>FQ3 2014</stp>
        <stp>[AMZ_2009-2018.xlsx]Bal Sheet - Standardized!R8C25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8" s="3"/>
      </tp>
      <tp>
        <v>3872</v>
        <stp/>
        <stp>##V3_BDHV12</stp>
        <stp>AMZN US Equity</stp>
        <stp>BS_CASH_NEAR_CASH_ITEM</stp>
        <stp>FQ3 2013</stp>
        <stp>FQ3 2013</stp>
        <stp>[AMZ_2009-2018.xlsx]Bal Sheet - Standardized!R8C21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8" s="3"/>
      </tp>
      <tp>
        <v>1172</v>
        <stp/>
        <stp>##V3_BDHV12</stp>
        <stp>AMZN US Equity</stp>
        <stp>PX_OPEN</stp>
        <stp>FQ1 2018</stp>
        <stp>FQ1 2018</stp>
        <stp>[AMZ_2009-2018.xlsx]Stock Value!R8C39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8" s="6"/>
      </tp>
      <tp>
        <v>256.08</v>
        <stp/>
        <stp>##V3_BDHV12</stp>
        <stp>AMZN US Equity</stp>
        <stp>PX_OPEN</stp>
        <stp>FQ1 2013</stp>
        <stp>FQ1 2013</stp>
        <stp>[AMZ_2009-2018.xlsx]Stock Value!R8C19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8" s="6"/>
      </tp>
      <tp>
        <v>0</v>
        <stp/>
        <stp>##V3_BDHV12</stp>
        <stp>AMZN US Equity</stp>
        <stp>IS_DISCONTINUED_OPERATIONS</stp>
        <stp>FQ3 2012</stp>
        <stp>FQ3 2012</stp>
        <stp>[AMZ_2009-2018.xlsx]Income - Adjusted!R36C17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6" s="2"/>
      </tp>
      <tp>
        <v>0</v>
        <stp/>
        <stp>##V3_BDHV12</stp>
        <stp>AMZN US Equity</stp>
        <stp>IS_DISCONTINUED_OPERATIONS</stp>
        <stp>FQ2 2012</stp>
        <stp>FQ2 2012</stp>
        <stp>[AMZ_2009-2018.xlsx]Income - Adjusted!R36C16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6" s="2"/>
      </tp>
      <tp>
        <v>0</v>
        <stp/>
        <stp>##V3_BDHV12</stp>
        <stp>AMZN US Equity</stp>
        <stp>IS_DISCONTINUED_OPERATIONS</stp>
        <stp>FQ1 2012</stp>
        <stp>FQ1 2012</stp>
        <stp>[AMZ_2009-2018.xlsx]Income - Adjusted!R36C15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6" s="2"/>
      </tp>
      <tp>
        <v>0</v>
        <stp/>
        <stp>##V3_BDHV12</stp>
        <stp>AMZN US Equity</stp>
        <stp>IS_DISCONTINUED_OPERATIONS</stp>
        <stp>FQ4 2012</stp>
        <stp>FQ4 2012</stp>
        <stp>[AMZ_2009-2018.xlsx]Income - Adjusted!R36C18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6" s="2"/>
      </tp>
      <tp>
        <v>46565</v>
        <stp/>
        <stp>##V3_BDHV12</stp>
        <stp>AMZN US Equity</stp>
        <stp>ACCT_PAYABLE_&amp;_ACCRUALS_DETAILED</stp>
        <stp>FQ4 2017</stp>
        <stp>FQ4 2017</stp>
        <stp>[AMZ_2009-2018.xlsx]Bal Sheet - Standardized!R38C38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8" s="3"/>
      </tp>
      <tp>
        <v>12605</v>
        <stp/>
        <stp>##V3_BDHV12</stp>
        <stp>AMZN US Equity</stp>
        <stp>ACCT_PAYABLE_&amp;_ACCRUALS_DETAILED</stp>
        <stp>FQ3 2012</stp>
        <stp>FQ3 2012</stp>
        <stp>[AMZ_2009-2018.xlsx]Bal Sheet - Standardized!R38C17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8" s="3"/>
      </tp>
      <tp>
        <v>1629</v>
        <stp/>
        <stp>##V3_BDHV12</stp>
        <stp>AMZN US Equity</stp>
        <stp>IS_INC_BEF_XO_ITEM</stp>
        <stp>FQ1 2018</stp>
        <stp>FQ1 2018</stp>
        <stp>[AMZ_2009-2018.xlsx]Income - Adjusted!R34C39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4" s="2"/>
      </tp>
      <tp>
        <v>5.21</v>
        <stp/>
        <stp>##V3_BDHV12</stp>
        <stp>AMZN US Equity</stp>
        <stp>IS_EPS</stp>
        <stp>FQ2 2018</stp>
        <stp>FQ2 2018</stp>
        <stp>[AMZ_2009-2018.xlsx]Income - Adjusted!R50C40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50" s="2"/>
      </tp>
      <tp>
        <v>-45</v>
        <stp/>
        <stp>##V3_BDHV12</stp>
        <stp>AMZN US Equity</stp>
        <stp>CF_EFFECT_FOREIGN_EXCHANGES</stp>
        <stp>FQ1 2009</stp>
        <stp>FQ1 2009</stp>
        <stp>[AMZ_2009-2018.xlsx]Cash Flow - Standardized!R53C3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3" s="4"/>
      </tp>
      <tp>
        <v>460.16699999999997</v>
        <stp/>
        <stp>##V3_BDHV12</stp>
        <stp>AMZN US Equity</stp>
        <stp>EQY_SH_OUT</stp>
        <stp>FQ2 2014</stp>
        <stp>FQ2 2014</stp>
        <stp>[AMZ_2009-2018.xlsx]Stock Value!R13C24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13" s="6"/>
      </tp>
      <tp>
        <v>462.036</v>
        <stp/>
        <stp>##V3_BDHV12</stp>
        <stp>AMZN US Equity</stp>
        <stp>EQY_SH_OUT</stp>
        <stp>FQ3 2014</stp>
        <stp>FQ3 2014</stp>
        <stp>[AMZ_2009-2018.xlsx]Stock Value!R13C25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13" s="6"/>
      </tp>
      <tp>
        <v>0.42</v>
        <stp/>
        <stp>##V3_BDHV12</stp>
        <stp>AMZN US Equity</stp>
        <stp>IS_EPS</stp>
        <stp>FQ2 2011</stp>
        <stp>FQ2 2011</stp>
        <stp>[AMZ_2009-2018.xlsx]Income - Adjusted!R50C12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50" s="2"/>
      </tp>
      <tp>
        <v>0.02</v>
        <stp/>
        <stp>##V3_BDHV12</stp>
        <stp>AMZN US Equity</stp>
        <stp>IS_EPS</stp>
        <stp>FQ2 2012</stp>
        <stp>FQ2 2012</stp>
        <stp>[AMZ_2009-2018.xlsx]Income - Adjusted!R50C16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50" s="2"/>
      </tp>
      <tp>
        <v>-0.02</v>
        <stp/>
        <stp>##V3_BDHV12</stp>
        <stp>AMZN US Equity</stp>
        <stp>IS_EPS</stp>
        <stp>FQ2 2013</stp>
        <stp>FQ2 2013</stp>
        <stp>[AMZ_2009-2018.xlsx]Income - Adjusted!R50C20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50" s="2"/>
      </tp>
      <tp>
        <v>-0.27</v>
        <stp/>
        <stp>##V3_BDHV12</stp>
        <stp>AMZN US Equity</stp>
        <stp>IS_EPS</stp>
        <stp>FQ2 2014</stp>
        <stp>FQ2 2014</stp>
        <stp>[AMZ_2009-2018.xlsx]Income - Adjusted!R50C24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50" s="2"/>
      </tp>
      <tp>
        <v>0.2</v>
        <stp/>
        <stp>##V3_BDHV12</stp>
        <stp>AMZN US Equity</stp>
        <stp>IS_EPS</stp>
        <stp>FQ2 2015</stp>
        <stp>FQ2 2015</stp>
        <stp>[AMZ_2009-2018.xlsx]Income - Adjusted!R50C28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50" s="2"/>
      </tp>
      <tp>
        <v>1.81</v>
        <stp/>
        <stp>##V3_BDHV12</stp>
        <stp>AMZN US Equity</stp>
        <stp>IS_EPS</stp>
        <stp>FQ2 2016</stp>
        <stp>FQ2 2016</stp>
        <stp>[AMZ_2009-2018.xlsx]Income - Adjusted!R50C32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50" s="2"/>
      </tp>
      <tp>
        <v>11</v>
        <stp/>
        <stp>##V3_BDHV12</stp>
        <stp>AMZN US Equity</stp>
        <stp>IS_INT_EXPENSE</stp>
        <stp>FQ3 2010</stp>
        <stp>FQ3 2010</stp>
        <stp>[AMZ_2009-2018.xlsx]Income - Adjusted!R21C9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1" s="2"/>
      </tp>
      <tp>
        <v>0.41</v>
        <stp/>
        <stp>##V3_BDHV12</stp>
        <stp>AMZN US Equity</stp>
        <stp>IS_EPS</stp>
        <stp>FQ2 2017</stp>
        <stp>FQ2 2017</stp>
        <stp>[AMZ_2009-2018.xlsx]Income - Adjusted!R50C36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50" s="2"/>
      </tp>
      <tp>
        <v>408</v>
        <stp/>
        <stp>##V3_BDHV12</stp>
        <stp>AMZN US Equity</stp>
        <stp>BS_DEFERRED_TAX_ASSETS_ST</stp>
        <stp>FQ2 2012</stp>
        <stp>FQ2 2012</stp>
        <stp>[AMZ_2009-2018.xlsx]Bal Sheet - Standardized!R20C16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0" s="3"/>
      </tp>
      <tp>
        <v>26</v>
        <stp/>
        <stp>##V3_BDHV12</stp>
        <stp>AMZN US Equity</stp>
        <stp>BS_DEFERRED_TAX_ASSETS_LT</stp>
        <stp>FQ2 2012</stp>
        <stp>FQ2 2012</stp>
        <stp>[AMZ_2009-2018.xlsx]Bal Sheet - Standardized!R31C16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1" s="3"/>
      </tp>
      <tp t="s">
        <v>—</v>
        <stp/>
        <stp>##V3_BDHV12</stp>
        <stp>AMZN US Equity</stp>
        <stp>BS_DEFERRED_TAX_ASSETS_ST</stp>
        <stp>FQ4 2016</stp>
        <stp>FQ4 2016</stp>
        <stp>[AMZ_2009-2018.xlsx]Bal Sheet - Standardized!R20C34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0" s="3"/>
      </tp>
      <tp t="s">
        <v>—</v>
        <stp/>
        <stp>##V3_BDHV12</stp>
        <stp>AMZN US Equity</stp>
        <stp>BS_DEFERRED_TAX_ASSETS_LT</stp>
        <stp>FQ4 2016</stp>
        <stp>FQ4 2016</stp>
        <stp>[AMZ_2009-2018.xlsx]Bal Sheet - Standardized!R31C34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1" s="3"/>
      </tp>
      <tp>
        <v>215</v>
        <stp/>
        <stp>##V3_BDHV12</stp>
        <stp>AMZN US Equity</stp>
        <stp>BS_DEFERRED_TAX_ASSETS_ST</stp>
        <stp>FQ1 2011</stp>
        <stp>FQ1 2011</stp>
        <stp>[AMZ_2009-2018.xlsx]Bal Sheet - Standardized!R20C11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0" s="3"/>
      </tp>
      <tp>
        <v>28</v>
        <stp/>
        <stp>##V3_BDHV12</stp>
        <stp>AMZN US Equity</stp>
        <stp>BS_DEFERRED_TAX_ASSETS_LT</stp>
        <stp>FQ1 2011</stp>
        <stp>FQ1 2011</stp>
        <stp>[AMZ_2009-2018.xlsx]Bal Sheet - Standardized!R31C11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1" s="3"/>
      </tp>
      <tp t="s">
        <v>—</v>
        <stp/>
        <stp>##V3_BDHV12</stp>
        <stp>AMZN US Equity</stp>
        <stp>BS_ACCRUED_LIABILITIES</stp>
        <stp>FQ3 2016</stp>
        <stp>FQ3 2016</stp>
        <stp>[AMZ_2009-2018.xlsx]Bal Sheet - Standardized!R56C33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6" s="3"/>
      </tp>
      <tp t="s">
        <v>—</v>
        <stp/>
        <stp>##V3_BDHV12</stp>
        <stp>AMZN US Equity</stp>
        <stp>BS_ACCRUED_LIABILITIES</stp>
        <stp>FQ2 2017</stp>
        <stp>FQ2 2017</stp>
        <stp>[AMZ_2009-2018.xlsx]Bal Sheet - Standardized!R56C36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6" s="3"/>
      </tp>
      <tp t="s">
        <v>—</v>
        <stp/>
        <stp>##V3_BDHV12</stp>
        <stp>AMZN US Equity</stp>
        <stp>BS_ACCRUED_LIABILITIES</stp>
        <stp>FQ1 2015</stp>
        <stp>FQ1 2015</stp>
        <stp>[AMZ_2009-2018.xlsx]Bal Sheet - Standardized!R56C27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6" s="3"/>
      </tp>
      <tp>
        <v>0</v>
        <stp/>
        <stp>##V3_BDHV12</stp>
        <stp>AMZN US Equity</stp>
        <stp>IS_TOT_CASH_PFD_DVD</stp>
        <stp>FQ1 2009</stp>
        <stp>FQ1 2009</stp>
        <stp>[AMZ_2009-2018.xlsx]Income - Adjusted!R41C3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2"/>
      </tp>
      <tp>
        <v>13840</v>
        <stp/>
        <stp>##V3_BDHV12</stp>
        <stp>AMZN US Equity</stp>
        <stp>BS_INVENTORIES</stp>
        <stp>FQ1 2018</stp>
        <stp>FQ1 2018</stp>
        <stp>[AMZ_2009-2018.xlsx]Bal Sheet - Standardized!R13C39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3" s="3"/>
      </tp>
      <tp>
        <v>5560</v>
        <stp/>
        <stp>##V3_BDHV12</stp>
        <stp>AMZN US Equity</stp>
        <stp>BS_FUTURE_MIN_OPER_LEASE_OBLIG</stp>
        <stp>FQ2 2014</stp>
        <stp>FQ2 2014</stp>
        <stp>[AMZ_2009-2018.xlsx]Bal Sheet - Standardized!R81C24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81" s="3"/>
      </tp>
      <tp>
        <v>3093</v>
        <stp/>
        <stp>##V3_BDHV12</stp>
        <stp>AMZN US Equity</stp>
        <stp>BS_FUTURE_MIN_OPER_LEASE_OBLIG</stp>
        <stp>FQ4 2011</stp>
        <stp>FQ4 2011</stp>
        <stp>[AMZ_2009-2018.xlsx]Bal Sheet - Standardized!R81C14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81" s="3"/>
      </tp>
      <tp t="s">
        <v>—</v>
        <stp/>
        <stp>##V3_BDHV12</stp>
        <stp>AMZN US Equity</stp>
        <stp>IS_GAIN_LOSS_ON_INVESTMENTS</stp>
        <stp>FQ2 2010</stp>
        <stp>FQ2 2010</stp>
        <stp>[AMZ_2009-2018.xlsx]Income - Adjusted!R29C8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9" s="2"/>
      </tp>
      <tp>
        <v>6939</v>
        <stp/>
        <stp>##V3_BDHV12</stp>
        <stp>AMZN US Equity</stp>
        <stp>BS_FUTURE_MIN_OPER_LEASE_OBLIG</stp>
        <stp>FQ1 2016</stp>
        <stp>FQ1 2016</stp>
        <stp>[AMZ_2009-2018.xlsx]Bal Sheet - Standardized!R81C31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81" s="3"/>
      </tp>
      <tp>
        <v>1.0716000000000001</v>
        <stp/>
        <stp>##V3_BDHV12</stp>
        <stp>AMZN US Equity</stp>
        <stp>CUR_RATIO</stp>
        <stp>FQ4 2013</stp>
        <stp>FQ4 2013</stp>
        <stp>[AMZ_2009-2018.xlsx]Bal Sheet - Standardized!R86C22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86" s="3"/>
      </tp>
      <tp>
        <v>0.8911</v>
        <stp/>
        <stp>##V3_BDHV12</stp>
        <stp>AMZN US Equity</stp>
        <stp>CUR_RATIO</stp>
        <stp>FQ3 2014</stp>
        <stp>FQ3 2014</stp>
        <stp>[AMZ_2009-2018.xlsx]Bal Sheet - Standardized!R86C25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86" s="3"/>
      </tp>
      <tp>
        <v>1.012</v>
        <stp/>
        <stp>##V3_BDHV12</stp>
        <stp>AMZN US Equity</stp>
        <stp>CUR_RATIO</stp>
        <stp>FQ2 2017</stp>
        <stp>FQ2 2017</stp>
        <stp>[AMZ_2009-2018.xlsx]Bal Sheet - Standardized!R86C36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86" s="3"/>
      </tp>
      <tp>
        <v>1.0579000000000001</v>
        <stp/>
        <stp>##V3_BDHV12</stp>
        <stp>AMZN US Equity</stp>
        <stp>CUR_RATIO</stp>
        <stp>FQ1 2018</stp>
        <stp>FQ1 2018</stp>
        <stp>[AMZ_2009-2018.xlsx]Bal Sheet - Standardized!R86C39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86" s="3"/>
      </tp>
      <tp>
        <v>0</v>
        <stp/>
        <stp>##V3_BDHV12</stp>
        <stp>AMZN US Equity</stp>
        <stp>IS_TOT_CASH_COM_DVD</stp>
        <stp>FQ1 2009</stp>
        <stp>FQ1 2009</stp>
        <stp>[AMZ_2009-2018.xlsx]Income - Adjusted!R70C3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0" s="2"/>
      </tp>
      <tp>
        <v>6501</v>
        <stp/>
        <stp>##V3_BDHV12</stp>
        <stp>AMZN US Equity</stp>
        <stp>BS_FUTURE_MIN_OPER_LEASE_OBLIG</stp>
        <stp>FQ3 2015</stp>
        <stp>FQ3 2015</stp>
        <stp>[AMZ_2009-2018.xlsx]Bal Sheet - Standardized!R81C29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81" s="3"/>
      </tp>
      <tp>
        <v>-8084</v>
        <stp/>
        <stp>##V3_BDHV12</stp>
        <stp>AMZN US Equity</stp>
        <stp>NET_DEBT</stp>
        <stp>FQ4 2010</stp>
        <stp>FQ4 2010</stp>
        <stp>[AMZ_2009-2018.xlsx]Bal Sheet - Standardized!R83C10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83" s="3"/>
      </tp>
      <tp>
        <v>19823</v>
        <stp/>
        <stp>##V3_BDHV12</stp>
        <stp>AMZN US Equity</stp>
        <stp>BS_CASH_NEAR_CASH_ITEM</stp>
        <stp>FQ2 2018</stp>
        <stp>FQ2 2018</stp>
        <stp>[AMZ_2009-2018.xlsx]Bal Sheet - Standardized!R8C40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8" s="3"/>
      </tp>
      <tp>
        <v>-2920</v>
        <stp/>
        <stp>##V3_BDHV12</stp>
        <stp>AMZN US Equity</stp>
        <stp>NET_DEBT</stp>
        <stp>FQ3 2014</stp>
        <stp>FQ3 2014</stp>
        <stp>[AMZ_2009-2018.xlsx]Bal Sheet - Standardized!R83C25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83" s="3"/>
      </tp>
      <tp>
        <v>-5558</v>
        <stp/>
        <stp>##V3_BDHV12</stp>
        <stp>AMZN US Equity</stp>
        <stp>NET_DEBT</stp>
        <stp>FQ4 2013</stp>
        <stp>FQ4 2013</stp>
        <stp>[AMZ_2009-2018.xlsx]Bal Sheet - Standardized!R83C22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83" s="3"/>
      </tp>
      <tp>
        <v>10879</v>
        <stp/>
        <stp>##V3_BDHV12</stp>
        <stp>AMZN US Equity</stp>
        <stp>IS_OPERATING_EXPN</stp>
        <stp>FQ3 2016</stp>
        <stp>FQ3 2016</stp>
        <stp>[AMZ_2009-2018.xlsx]Income - Adjusted!R12C33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2" s="2"/>
      </tp>
      <tp>
        <v>2472</v>
        <stp/>
        <stp>##V3_BDHV12</stp>
        <stp>AMZN US Equity</stp>
        <stp>IS_OPERATING_EXPN</stp>
        <stp>FQ3 2011</stp>
        <stp>FQ3 2011</stp>
        <stp>[AMZ_2009-2018.xlsx]Income - Adjusted!R12C13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2" s="2"/>
      </tp>
      <tp>
        <v>68</v>
        <stp/>
        <stp>##V3_BDHV12</stp>
        <stp>AMZN US Equity</stp>
        <stp>NET_DEBT</stp>
        <stp>FQ1 2017</stp>
        <stp>FQ1 2017</stp>
        <stp>[AMZ_2009-2018.xlsx]Bal Sheet - Standardized!R83C35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83" s="3"/>
      </tp>
      <tp>
        <v>5540</v>
        <stp/>
        <stp>##V3_BDHV12</stp>
        <stp>AMZN US Equity</stp>
        <stp>IS_OPERATING_EXPN</stp>
        <stp>FQ1 2014</stp>
        <stp>FQ1 2014</stp>
        <stp>[AMZ_2009-2018.xlsx]Income - Adjusted!R12C23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2" s="2"/>
      </tp>
      <tp>
        <v>-4492</v>
        <stp/>
        <stp>##V3_BDHV12</stp>
        <stp>AMZN US Equity</stp>
        <stp>NET_DEBT</stp>
        <stp>FQ2 2015</stp>
        <stp>FQ2 2015</stp>
        <stp>[AMZ_2009-2018.xlsx]Bal Sheet - Standardized!R83C28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83" s="3"/>
      </tp>
      <tp>
        <v>14557</v>
        <stp/>
        <stp>##V3_BDHV12</stp>
        <stp>AMZN US Equity</stp>
        <stp>BS_CASH_NEAR_CASH_ITEM</stp>
        <stp>FQ4 2014</stp>
        <stp>FQ4 2014</stp>
        <stp>[AMZ_2009-2018.xlsx]Bal Sheet - Standardized!R8C26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8" s="3"/>
      </tp>
      <tp>
        <v>0</v>
        <stp/>
        <stp>##V3_BDHV12</stp>
        <stp>AMZN US Equity</stp>
        <stp>NOTES_RECEIVABLE</stp>
        <stp>FQ1 2009</stp>
        <stp>FQ1 2009</stp>
        <stp>[AMZ_2009-2018.xlsx]Bal Sheet - Standardized!R12C3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3"/>
      </tp>
      <tp>
        <v>8658</v>
        <stp/>
        <stp>##V3_BDHV12</stp>
        <stp>AMZN US Equity</stp>
        <stp>BS_CASH_NEAR_CASH_ITEM</stp>
        <stp>FQ4 2013</stp>
        <stp>FQ4 2013</stp>
        <stp>[AMZ_2009-2018.xlsx]Bal Sheet - Standardized!R8C22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8" s="3"/>
      </tp>
      <tp>
        <v>-2597</v>
        <stp/>
        <stp>##V3_BDHV12</stp>
        <stp>AMZN US Equity</stp>
        <stp>NET_DEBT</stp>
        <stp>FQ1 2009</stp>
        <stp>FQ1 2009</stp>
        <stp>[AMZ_2009-2018.xlsx]Bal Sheet - Standardized!R83C3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3" s="3"/>
      </tp>
      <tp>
        <v>0</v>
        <stp/>
        <stp>##V3_BDHV12</stp>
        <stp>AMZN US Equity</stp>
        <stp>IS_DISCONTINUED_OPERATIONS</stp>
        <stp>FQ1 2013</stp>
        <stp>FQ1 2013</stp>
        <stp>[AMZ_2009-2018.xlsx]Income - Adjusted!R36C19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6" s="2"/>
      </tp>
      <tp>
        <v>10964</v>
        <stp/>
        <stp>##V3_BDHV12</stp>
        <stp>AMZN US Equity</stp>
        <stp>ACCT_PAYABLE_&amp;_ACCRUALS_DETAILED</stp>
        <stp>FQ2 2012</stp>
        <stp>FQ2 2012</stp>
        <stp>[AMZ_2009-2018.xlsx]Bal Sheet - Standardized!R38C16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8" s="3"/>
      </tp>
      <tp>
        <v>33851</v>
        <stp/>
        <stp>##V3_BDHV12</stp>
        <stp>AMZN US Equity</stp>
        <stp>ACCT_PAYABLE_&amp;_ACCRUALS_DETAILED</stp>
        <stp>FQ4 2016</stp>
        <stp>FQ4 2016</stp>
        <stp>[AMZ_2009-2018.xlsx]Bal Sheet - Standardized!R38C34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8" s="3"/>
      </tp>
      <tp>
        <v>7730</v>
        <stp/>
        <stp>##V3_BDHV12</stp>
        <stp>AMZN US Equity</stp>
        <stp>ACCT_PAYABLE_&amp;_ACCRUALS_DETAILED</stp>
        <stp>FQ1 2011</stp>
        <stp>FQ1 2011</stp>
        <stp>[AMZ_2009-2018.xlsx]Bal Sheet - Standardized!R38C11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8" s="3"/>
      </tp>
      <tp>
        <v>477.17099999999999</v>
        <stp/>
        <stp>##V3_BDHV12</stp>
        <stp>AMZN US Equity</stp>
        <stp>EQY_SH_OUT</stp>
        <stp>FQ1 2017</stp>
        <stp>FQ1 2017</stp>
        <stp>[AMZ_2009-2018.xlsx]Stock Value!R13C35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13" s="6"/>
      </tp>
      <tp>
        <v>480.38</v>
        <stp/>
        <stp>##V3_BDHV12</stp>
        <stp>AMZN US Equity</stp>
        <stp>EQY_SH_OUT</stp>
        <stp>FQ3 2017</stp>
        <stp>FQ3 2017</stp>
        <stp>[AMZ_2009-2018.xlsx]Stock Value!R13C37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13" s="6"/>
      </tp>
      <tp>
        <v>477.97500000000002</v>
        <stp/>
        <stp>##V3_BDHV12</stp>
        <stp>AMZN US Equity</stp>
        <stp>EQY_SH_OUT</stp>
        <stp>FQ2 2017</stp>
        <stp>FQ2 2017</stp>
        <stp>[AMZ_2009-2018.xlsx]Stock Value!R13C36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13" s="6"/>
      </tp>
      <tp>
        <v>464.38400000000001</v>
        <stp/>
        <stp>##V3_BDHV12</stp>
        <stp>AMZN US Equity</stp>
        <stp>EQY_SH_OUT</stp>
        <stp>FQ1 2015</stp>
        <stp>FQ1 2015</stp>
        <stp>[AMZ_2009-2018.xlsx]Stock Value!R13C27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13" s="6"/>
      </tp>
      <tp>
        <v>0.14000000000000001</v>
        <stp/>
        <stp>##V3_BDHV12</stp>
        <stp>AMZN US Equity</stp>
        <stp>IS_EPS</stp>
        <stp>FQ3 2011</stp>
        <stp>FQ3 2011</stp>
        <stp>[AMZ_2009-2018.xlsx]Income - Adjusted!R50C13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50" s="2"/>
      </tp>
      <tp>
        <v>-0.09</v>
        <stp/>
        <stp>##V3_BDHV12</stp>
        <stp>AMZN US Equity</stp>
        <stp>IS_EPS</stp>
        <stp>FQ3 2013</stp>
        <stp>FQ3 2013</stp>
        <stp>[AMZ_2009-2018.xlsx]Income - Adjusted!R50C21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50" s="2"/>
      </tp>
      <tp>
        <v>-47</v>
        <stp/>
        <stp>##V3_BDHV12</stp>
        <stp>AMZN US Equity</stp>
        <stp>CF_EFFECT_FOREIGN_EXCHANGES</stp>
        <stp>FQ1 2010</stp>
        <stp>FQ1 2010</stp>
        <stp>[AMZ_2009-2018.xlsx]Cash Flow - Standardized!R53C7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3" s="4"/>
      </tp>
      <tp>
        <v>-319</v>
        <stp/>
        <stp>##V3_BDHV12</stp>
        <stp>AMZN US Equity</stp>
        <stp>OTHER_INS_RES_TO_SHRHLDR_EQY</stp>
        <stp>FQ1 2013</stp>
        <stp>FQ1 2013</stp>
        <stp>[AMZ_2009-2018.xlsx]Bal Sheet - Standardized!R70C19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70" s="3"/>
      </tp>
      <tp>
        <v>-239</v>
        <stp/>
        <stp>##V3_BDHV12</stp>
        <stp>AMZN US Equity</stp>
        <stp>OTHER_INS_RES_TO_SHRHLDR_EQY</stp>
        <stp>FQ4 2012</stp>
        <stp>FQ4 2012</stp>
        <stp>[AMZ_2009-2018.xlsx]Bal Sheet - Standardized!R70C18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70" s="3"/>
      </tp>
      <tp>
        <v>-0.6</v>
        <stp/>
        <stp>##V3_BDHV12</stp>
        <stp>AMZN US Equity</stp>
        <stp>IS_EPS</stp>
        <stp>FQ3 2012</stp>
        <stp>FQ3 2012</stp>
        <stp>[AMZ_2009-2018.xlsx]Income - Adjusted!R50C17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50" s="2"/>
      </tp>
      <tp>
        <v>0.17</v>
        <stp/>
        <stp>##V3_BDHV12</stp>
        <stp>AMZN US Equity</stp>
        <stp>IS_EPS</stp>
        <stp>FQ3 2015</stp>
        <stp>FQ3 2015</stp>
        <stp>[AMZ_2009-2018.xlsx]Income - Adjusted!R50C29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50" s="2"/>
      </tp>
      <tp>
        <v>-0.95</v>
        <stp/>
        <stp>##V3_BDHV12</stp>
        <stp>AMZN US Equity</stp>
        <stp>IS_EPS</stp>
        <stp>FQ3 2014</stp>
        <stp>FQ3 2014</stp>
        <stp>[AMZ_2009-2018.xlsx]Income - Adjusted!R50C25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50" s="2"/>
      </tp>
      <tp>
        <v>0.53</v>
        <stp/>
        <stp>##V3_BDHV12</stp>
        <stp>AMZN US Equity</stp>
        <stp>IS_EPS</stp>
        <stp>FQ3 2017</stp>
        <stp>FQ3 2017</stp>
        <stp>[AMZ_2009-2018.xlsx]Income - Adjusted!R50C37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50" s="2"/>
      </tp>
      <tp>
        <v>9</v>
        <stp/>
        <stp>##V3_BDHV12</stp>
        <stp>AMZN US Equity</stp>
        <stp>IS_INT_EXPENSE</stp>
        <stp>FQ2 2010</stp>
        <stp>FQ2 2010</stp>
        <stp>[AMZ_2009-2018.xlsx]Income - Adjusted!R21C8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1" s="2"/>
      </tp>
      <tp>
        <v>0.53</v>
        <stp/>
        <stp>##V3_BDHV12</stp>
        <stp>AMZN US Equity</stp>
        <stp>IS_EPS</stp>
        <stp>FQ3 2016</stp>
        <stp>FQ3 2016</stp>
        <stp>[AMZ_2009-2018.xlsx]Income - Adjusted!R50C33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50" s="2"/>
      </tp>
      <tp>
        <v>38</v>
        <stp/>
        <stp>##V3_BDHV12</stp>
        <stp>AMZN US Equity</stp>
        <stp>BS_DEFERRED_TAX_ASSETS_LT</stp>
        <stp>FQ3 2012</stp>
        <stp>FQ3 2012</stp>
        <stp>[AMZ_2009-2018.xlsx]Bal Sheet - Standardized!R31C17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1" s="3"/>
      </tp>
      <tp>
        <v>413</v>
        <stp/>
        <stp>##V3_BDHV12</stp>
        <stp>AMZN US Equity</stp>
        <stp>BS_DEFERRED_TAX_ASSETS_ST</stp>
        <stp>FQ3 2012</stp>
        <stp>FQ3 2012</stp>
        <stp>[AMZ_2009-2018.xlsx]Bal Sheet - Standardized!R20C17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0" s="3"/>
      </tp>
      <tp t="s">
        <v>—</v>
        <stp/>
        <stp>##V3_BDHV12</stp>
        <stp>AMZN US Equity</stp>
        <stp>BS_DEFERRED_TAX_ASSETS_LT</stp>
        <stp>FQ4 2017</stp>
        <stp>FQ4 2017</stp>
        <stp>[AMZ_2009-2018.xlsx]Bal Sheet - Standardized!R31C38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1" s="3"/>
      </tp>
      <tp t="s">
        <v>—</v>
        <stp/>
        <stp>##V3_BDHV12</stp>
        <stp>AMZN US Equity</stp>
        <stp>BS_DEFERRED_TAX_ASSETS_ST</stp>
        <stp>FQ4 2017</stp>
        <stp>FQ4 2017</stp>
        <stp>[AMZ_2009-2018.xlsx]Bal Sheet - Standardized!R20C38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0" s="3"/>
      </tp>
      <tp t="s">
        <v>—</v>
        <stp/>
        <stp>##V3_BDHV12</stp>
        <stp>AMZN US Equity</stp>
        <stp>BS_ACCRUED_LIABILITIES</stp>
        <stp>FQ2 2016</stp>
        <stp>FQ2 2016</stp>
        <stp>[AMZ_2009-2018.xlsx]Bal Sheet - Standardized!R56C32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6" s="3"/>
      </tp>
      <tp t="s">
        <v>—</v>
        <stp/>
        <stp>##V3_BDHV12</stp>
        <stp>AMZN US Equity</stp>
        <stp>BS_ACCRUED_LIABILITIES</stp>
        <stp>FQ1 2014</stp>
        <stp>FQ1 2014</stp>
        <stp>[AMZ_2009-2018.xlsx]Bal Sheet - Standardized!R56C23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6" s="3"/>
      </tp>
      <tp t="s">
        <v>—</v>
        <stp/>
        <stp>##V3_BDHV12</stp>
        <stp>AMZN US Equity</stp>
        <stp>BS_ACCRUED_LIABILITIES</stp>
        <stp>FQ3 2017</stp>
        <stp>FQ3 2017</stp>
        <stp>[AMZ_2009-2018.xlsx]Bal Sheet - Standardized!R56C37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6" s="3"/>
      </tp>
      <tp>
        <v>0</v>
        <stp/>
        <stp>##V3_BDHV12</stp>
        <stp>AMZN US Equity</stp>
        <stp>BS_ACCRUED_LIABILITIES</stp>
        <stp>FQ4 2012</stp>
        <stp>FQ4 2012</stp>
        <stp>[AMZ_2009-2018.xlsx]Bal Sheet - Standardized!R56C18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6" s="3"/>
      </tp>
      <tp>
        <v>1214</v>
        <stp/>
        <stp>##V3_BDHV12</stp>
        <stp>AMZN US Equity</stp>
        <stp>BS_FUTURE_MIN_OPER_LEASE_OBLIG</stp>
        <stp>FQ4 2010</stp>
        <stp>FQ4 2010</stp>
        <stp>[AMZ_2009-2018.xlsx]Bal Sheet - Standardized!R81C10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81" s="3"/>
      </tp>
      <tp>
        <v>5135</v>
        <stp/>
        <stp>##V3_BDHV12</stp>
        <stp>AMZN US Equity</stp>
        <stp>BS_FUTURE_MIN_OPER_LEASE_OBLIG</stp>
        <stp>FQ4 2013</stp>
        <stp>FQ4 2013</stp>
        <stp>[AMZ_2009-2018.xlsx]Bal Sheet - Standardized!R81C22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81" s="3"/>
      </tp>
      <tp>
        <v>5487</v>
        <stp/>
        <stp>##V3_BDHV12</stp>
        <stp>AMZN US Equity</stp>
        <stp>BS_FUTURE_MIN_OPER_LEASE_OBLIG</stp>
        <stp>FQ3 2014</stp>
        <stp>FQ3 2014</stp>
        <stp>[AMZ_2009-2018.xlsx]Bal Sheet - Standardized!R81C25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81" s="3"/>
      </tp>
      <tp>
        <v>9820</v>
        <stp/>
        <stp>##V3_BDHV12</stp>
        <stp>AMZN US Equity</stp>
        <stp>BS_FUTURE_MIN_OPER_LEASE_OBLIG</stp>
        <stp>FQ1 2017</stp>
        <stp>FQ1 2017</stp>
        <stp>[AMZ_2009-2018.xlsx]Bal Sheet - Standardized!R81C35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81" s="3"/>
      </tp>
      <tp t="s">
        <v>—</v>
        <stp/>
        <stp>##V3_BDHV12</stp>
        <stp>AMZN US Equity</stp>
        <stp>IS_GAIN_LOSS_ON_INVESTMENTS</stp>
        <stp>FQ3 2010</stp>
        <stp>FQ3 2010</stp>
        <stp>[AMZ_2009-2018.xlsx]Income - Adjusted!R29C9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9" s="2"/>
      </tp>
      <tp>
        <v>1.3254000000000001</v>
        <stp/>
        <stp>##V3_BDHV12</stp>
        <stp>AMZN US Equity</stp>
        <stp>CUR_RATIO</stp>
        <stp>FQ4 2010</stp>
        <stp>FQ4 2010</stp>
        <stp>[AMZ_2009-2018.xlsx]Bal Sheet - Standardized!R86C10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86" s="3"/>
      </tp>
      <tp>
        <v>1.032</v>
        <stp/>
        <stp>##V3_BDHV12</stp>
        <stp>AMZN US Equity</stp>
        <stp>CUR_RATIO</stp>
        <stp>FQ3 2017</stp>
        <stp>FQ3 2017</stp>
        <stp>[AMZ_2009-2018.xlsx]Bal Sheet - Standardized!R86C37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86" s="3"/>
      </tp>
      <tp>
        <v>1.0002</v>
        <stp/>
        <stp>##V3_BDHV12</stp>
        <stp>AMZN US Equity</stp>
        <stp>CUR_RATIO</stp>
        <stp>FQ2 2014</stp>
        <stp>FQ2 2014</stp>
        <stp>[AMZ_2009-2018.xlsx]Bal Sheet - Standardized!R86C24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86" s="3"/>
      </tp>
      <tp>
        <v>1.4602999999999999</v>
        <stp/>
        <stp>##V3_BDHV12</stp>
        <stp>AMZN US Equity</stp>
        <stp>CUR_RATIO</stp>
        <stp>FQ1 2011</stp>
        <stp>FQ1 2011</stp>
        <stp>[AMZ_2009-2018.xlsx]Bal Sheet - Standardized!R86C11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86" s="3"/>
      </tp>
      <tp>
        <v>6088</v>
        <stp/>
        <stp>##V3_BDHV12</stp>
        <stp>AMZN US Equity</stp>
        <stp>BS_FUTURE_MIN_OPER_LEASE_OBLIG</stp>
        <stp>FQ2 2015</stp>
        <stp>FQ2 2015</stp>
        <stp>[AMZ_2009-2018.xlsx]Bal Sheet - Standardized!R81C28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81" s="3"/>
      </tp>
      <tp>
        <v>-7637</v>
        <stp/>
        <stp>##V3_BDHV12</stp>
        <stp>AMZN US Equity</stp>
        <stp>NET_DEBT</stp>
        <stp>FQ4 2011</stp>
        <stp>FQ4 2011</stp>
        <stp>[AMZ_2009-2018.xlsx]Bal Sheet - Standardized!R83C14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83" s="3"/>
      </tp>
      <tp>
        <v>6271</v>
        <stp/>
        <stp>##V3_BDHV12</stp>
        <stp>AMZN US Equity</stp>
        <stp>IS_OPERATING_EXPN</stp>
        <stp>FQ4 2013</stp>
        <stp>FQ4 2013</stp>
        <stp>[AMZ_2009-2018.xlsx]Income - Adjusted!R12C22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2" s="2"/>
      </tp>
      <tp>
        <v>1753</v>
        <stp/>
        <stp>##V3_BDHV12</stp>
        <stp>AMZN US Equity</stp>
        <stp>NET_DEBT</stp>
        <stp>FQ1 2016</stp>
        <stp>FQ1 2016</stp>
        <stp>[AMZ_2009-2018.xlsx]Bal Sheet - Standardized!R83C31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83" s="3"/>
      </tp>
      <tp>
        <v>20522</v>
        <stp/>
        <stp>##V3_BDHV12</stp>
        <stp>AMZN US Equity</stp>
        <stp>BS_CASH_NEAR_CASH_ITEM</stp>
        <stp>FQ4 2017</stp>
        <stp>FQ4 2017</stp>
        <stp>[AMZ_2009-2018.xlsx]Bal Sheet - Standardized!R8C38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8" s="3"/>
      </tp>
      <tp>
        <v>-4007</v>
        <stp/>
        <stp>##V3_BDHV12</stp>
        <stp>AMZN US Equity</stp>
        <stp>NET_DEBT</stp>
        <stp>FQ2 2014</stp>
        <stp>FQ2 2014</stp>
        <stp>[AMZ_2009-2018.xlsx]Bal Sheet - Standardized!R83C24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83" s="3"/>
      </tp>
      <tp>
        <v>9939</v>
        <stp/>
        <stp>##V3_BDHV12</stp>
        <stp>AMZN US Equity</stp>
        <stp>IS_OPERATING_EXPN</stp>
        <stp>FQ2 2016</stp>
        <stp>FQ2 2016</stp>
        <stp>[AMZ_2009-2018.xlsx]Income - Adjusted!R12C32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2" s="2"/>
      </tp>
      <tp>
        <v>2187</v>
        <stp/>
        <stp>##V3_BDHV12</stp>
        <stp>AMZN US Equity</stp>
        <stp>IS_OPERATING_EXPN</stp>
        <stp>FQ2 2011</stp>
        <stp>FQ2 2011</stp>
        <stp>[AMZ_2009-2018.xlsx]Income - Adjusted!R12C12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2" s="2"/>
      </tp>
      <tp>
        <v>0</v>
        <stp/>
        <stp>##V3_BDHV12</stp>
        <stp>AMZN US Equity</stp>
        <stp>NOTES_RECEIVABLE</stp>
        <stp>FQ1 2010</stp>
        <stp>FQ1 2010</stp>
        <stp>[AMZ_2009-2018.xlsx]Bal Sheet - Standardized!R12C7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2" s="3"/>
      </tp>
      <tp>
        <v>-5068</v>
        <stp/>
        <stp>##V3_BDHV12</stp>
        <stp>AMZN US Equity</stp>
        <stp>NET_DEBT</stp>
        <stp>FQ3 2015</stp>
        <stp>FQ3 2015</stp>
        <stp>[AMZ_2009-2018.xlsx]Bal Sheet - Standardized!R83C29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83" s="3"/>
      </tp>
      <tp>
        <v>19334</v>
        <stp/>
        <stp>##V3_BDHV12</stp>
        <stp>AMZN US Equity</stp>
        <stp>BS_CASH_NEAR_CASH_ITEM</stp>
        <stp>FQ4 2016</stp>
        <stp>FQ4 2016</stp>
        <stp>[AMZ_2009-2018.xlsx]Bal Sheet - Standardized!R8C34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8" s="3"/>
      </tp>
      <tp>
        <v>15890</v>
        <stp/>
        <stp>##V3_BDHV12</stp>
        <stp>AMZN US Equity</stp>
        <stp>BS_CASH_NEAR_CASH_ITEM</stp>
        <stp>FQ4 2015</stp>
        <stp>FQ4 2015</stp>
        <stp>[AMZ_2009-2018.xlsx]Bal Sheet - Standardized!R8C30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8" s="3"/>
      </tp>
      <tp>
        <v>-4890</v>
        <stp/>
        <stp>##V3_BDHV12</stp>
        <stp>AMZN US Equity</stp>
        <stp>NET_DEBT</stp>
        <stp>FQ1 2010</stp>
        <stp>FQ1 2010</stp>
        <stp>[AMZ_2009-2018.xlsx]Bal Sheet - Standardized!R83C7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83" s="3"/>
      </tp>
      <tp>
        <v>6182</v>
        <stp/>
        <stp>##V3_BDHV12</stp>
        <stp>AMZN US Equity</stp>
        <stp>OTHER_CURRENT_LIABS_SUB_DETAILED</stp>
        <stp>FQ1 2018</stp>
        <stp>FQ1 2018</stp>
        <stp>[AMZ_2009-2018.xlsx]Bal Sheet - Standardized!R47C39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7" s="3"/>
      </tp>
      <tp>
        <v>1617.54</v>
        <stp/>
        <stp>##V3_BDHV12</stp>
        <stp>AMZN US Equity</stp>
        <stp>PX_HIGH</stp>
        <stp>FQ1 2018</stp>
        <stp>FQ1 2018</stp>
        <stp>[AMZ_2009-2018.xlsx]Stock Value!R9C39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9" s="6"/>
      </tp>
      <tp>
        <v>284.72000000000003</v>
        <stp/>
        <stp>##V3_BDHV12</stp>
        <stp>AMZN US Equity</stp>
        <stp>PX_HIGH</stp>
        <stp>FQ1 2013</stp>
        <stp>FQ1 2013</stp>
        <stp>[AMZ_2009-2018.xlsx]Stock Value!R9C19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9" s="6"/>
      </tp>
      <tp>
        <v>428.58300000000003</v>
        <stp/>
        <stp>##V3_BDHV12</stp>
        <stp>AMZN US Equity</stp>
        <stp>EQY_SH_OUT</stp>
        <stp>FQ1 2009</stp>
        <stp>FQ1 2009</stp>
        <stp>[AMZ_2009-2018.xlsx]Stock Value!R13C3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13" s="6"/>
      </tp>
      <tp>
        <v>0</v>
        <stp/>
        <stp>##V3_BDHV12</stp>
        <stp>AMZN US Equity</stp>
        <stp>IS_DISCONTINUED_OPERATIONS</stp>
        <stp>FQ4 2013</stp>
        <stp>FQ4 2013</stp>
        <stp>[AMZ_2009-2018.xlsx]Income - Adjusted!R36C22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6" s="2"/>
      </tp>
      <tp>
        <v>432.983</v>
        <stp/>
        <stp>##V3_BDHV12</stp>
        <stp>AMZN US Equity</stp>
        <stp>EQY_SH_OUT</stp>
        <stp>FQ4 2009</stp>
        <stp>FQ4 2009</stp>
        <stp>[AMZ_2009-2018.xlsx]Stock Value!R13C6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13" s="6"/>
      </tp>
      <tp>
        <v>0</v>
        <stp/>
        <stp>##V3_BDHV12</stp>
        <stp>AMZN US Equity</stp>
        <stp>IS_DISCONTINUED_OPERATIONS</stp>
        <stp>FQ3 2013</stp>
        <stp>FQ3 2013</stp>
        <stp>[AMZ_2009-2018.xlsx]Income - Adjusted!R36C21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6" s="2"/>
      </tp>
      <tp>
        <v>0</v>
        <stp/>
        <stp>##V3_BDHV12</stp>
        <stp>AMZN US Equity</stp>
        <stp>IS_DISCONTINUED_OPERATIONS</stp>
        <stp>FQ4 2010</stp>
        <stp>FQ4 2010</stp>
        <stp>[AMZ_2009-2018.xlsx]Income - Adjusted!R36C10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6" s="2"/>
      </tp>
      <tp>
        <v>0</v>
        <stp/>
        <stp>##V3_BDHV12</stp>
        <stp>AMZN US Equity</stp>
        <stp>IS_DISCONTINUED_OPERATIONS</stp>
        <stp>FQ2 2013</stp>
        <stp>FQ2 2013</stp>
        <stp>[AMZ_2009-2018.xlsx]Income - Adjusted!R36C20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6" s="2"/>
      </tp>
      <tp>
        <v>10488</v>
        <stp/>
        <stp>##V3_BDHV12</stp>
        <stp>AMZN US Equity</stp>
        <stp>ACCT_PAYABLE_&amp;_ACCRUALS_DETAILED</stp>
        <stp>FQ1 2012</stp>
        <stp>FQ1 2012</stp>
        <stp>[AMZ_2009-2018.xlsx]Bal Sheet - Standardized!R38C15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8" s="3"/>
      </tp>
      <tp>
        <v>27405</v>
        <stp/>
        <stp>##V3_BDHV12</stp>
        <stp>AMZN US Equity</stp>
        <stp>ACCT_PAYABLE_&amp;_ACCRUALS_DETAILED</stp>
        <stp>FQ4 2015</stp>
        <stp>FQ4 2015</stp>
        <stp>[AMZ_2009-2018.xlsx]Bal Sheet - Standardized!R38C30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8" s="3"/>
      </tp>
      <tp>
        <v>22666</v>
        <stp/>
        <stp>##V3_BDHV12</stp>
        <stp>AMZN US Equity</stp>
        <stp>ACCT_PAYABLE_&amp;_ACCRUALS_DETAILED</stp>
        <stp>FQ4 2014</stp>
        <stp>FQ4 2014</stp>
        <stp>[AMZ_2009-2018.xlsx]Bal Sheet - Standardized!R38C26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8" s="3"/>
      </tp>
      <tp>
        <v>15455</v>
        <stp/>
        <stp>##V3_BDHV12</stp>
        <stp>AMZN US Equity</stp>
        <stp>ACCT_PAYABLE_&amp;_ACCRUALS_DETAILED</stp>
        <stp>FQ3 2013</stp>
        <stp>FQ3 2013</stp>
        <stp>[AMZ_2009-2018.xlsx]Bal Sheet - Standardized!R38C21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8" s="3"/>
      </tp>
      <tp>
        <v>8045</v>
        <stp/>
        <stp>##V3_BDHV12</stp>
        <stp>AMZN US Equity</stp>
        <stp>ACCT_PAYABLE_&amp;_ACCRUALS_DETAILED</stp>
        <stp>FQ2 2011</stp>
        <stp>FQ2 2011</stp>
        <stp>[AMZ_2009-2018.xlsx]Bal Sheet - Standardized!R38C12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8" s="3"/>
      </tp>
      <tp>
        <v>17</v>
        <stp/>
        <stp>##V3_BDHV12</stp>
        <stp>AMZN US Equity</stp>
        <stp>CF_EFFECT_FOREIGN_EXCHANGES</stp>
        <stp>FQ3 2009</stp>
        <stp>FQ3 2009</stp>
        <stp>[AMZ_2009-2018.xlsx]Cash Flow - Standardized!R53C5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3" s="4"/>
      </tp>
      <tp>
        <v>-33</v>
        <stp/>
        <stp>##V3_BDHV12</stp>
        <stp>AMZN US Equity</stp>
        <stp>CF_EFFECT_FOREIGN_EXCHANGES</stp>
        <stp>FQ2 2010</stp>
        <stp>FQ2 2010</stp>
        <stp>[AMZ_2009-2018.xlsx]Cash Flow - Standardized!R53C8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3" s="4"/>
      </tp>
      <tp>
        <v>484.10700000000003</v>
        <stp/>
        <stp>##V3_BDHV12</stp>
        <stp>AMZN US Equity</stp>
        <stp>EQY_SH_OUT</stp>
        <stp>FQ1 2018</stp>
        <stp>FQ1 2018</stp>
        <stp>[AMZ_2009-2018.xlsx]Stock Value!R13C39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13" s="6"/>
      </tp>
      <tp>
        <v>128</v>
        <stp/>
        <stp>##V3_BDHV12</stp>
        <stp>AMZN US Equity</stp>
        <stp>BS_DEFERRED_TAX_ASSETS_LT</stp>
        <stp>FQ2 2013</stp>
        <stp>FQ2 2013</stp>
        <stp>[AMZ_2009-2018.xlsx]Bal Sheet - Standardized!R31C20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1" s="3"/>
      </tp>
      <tp>
        <v>312</v>
        <stp/>
        <stp>##V3_BDHV12</stp>
        <stp>AMZN US Equity</stp>
        <stp>BS_DEFERRED_TAX_ASSETS_ST</stp>
        <stp>FQ3 2011</stp>
        <stp>FQ3 2011</stp>
        <stp>[AMZ_2009-2018.xlsx]Bal Sheet - Standardized!R20C13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0" s="3"/>
      </tp>
      <tp>
        <v>27</v>
        <stp/>
        <stp>##V3_BDHV12</stp>
        <stp>AMZN US Equity</stp>
        <stp>BS_DEFERRED_TAX_ASSETS_LT</stp>
        <stp>FQ3 2011</stp>
        <stp>FQ3 2011</stp>
        <stp>[AMZ_2009-2018.xlsx]Bal Sheet - Standardized!R31C13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1" s="3"/>
      </tp>
      <tp>
        <v>541</v>
        <stp/>
        <stp>##V3_BDHV12</stp>
        <stp>AMZN US Equity</stp>
        <stp>BS_DEFERRED_TAX_ASSETS_ST</stp>
        <stp>FQ2 2013</stp>
        <stp>FQ2 2013</stp>
        <stp>[AMZ_2009-2018.xlsx]Bal Sheet - Standardized!R20C20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0" s="3"/>
      </tp>
      <tp>
        <v>507</v>
        <stp/>
        <stp>##V3_BDHV12</stp>
        <stp>AMZN US Equity</stp>
        <stp>BS_DEFERRED_TAX_ASSETS_ST</stp>
        <stp>FQ1 2013</stp>
        <stp>FQ1 2013</stp>
        <stp>[AMZ_2009-2018.xlsx]Bal Sheet - Standardized!R20C19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0" s="3"/>
      </tp>
      <tp>
        <v>123</v>
        <stp/>
        <stp>##V3_BDHV12</stp>
        <stp>AMZN US Equity</stp>
        <stp>BS_DEFERRED_TAX_ASSETS_LT</stp>
        <stp>FQ1 2013</stp>
        <stp>FQ1 2013</stp>
        <stp>[AMZ_2009-2018.xlsx]Bal Sheet - Standardized!R31C19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1" s="3"/>
      </tp>
      <tp>
        <v>0</v>
        <stp/>
        <stp>##V3_BDHV12</stp>
        <stp>AMZN US Equity</stp>
        <stp>BS_ACCRUED_LIABILITIES</stp>
        <stp>FQ4 2011</stp>
        <stp>FQ4 2011</stp>
        <stp>[AMZ_2009-2018.xlsx]Bal Sheet - Standardized!R56C14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6" s="3"/>
      </tp>
      <tp>
        <v>348.935</v>
        <stp/>
        <stp>##V3_BDHV12</stp>
        <stp>AMZN US Equity</stp>
        <stp>EQY_FLOAT</stp>
        <stp>FQ1 2010</stp>
        <stp>FQ1 2010</stp>
        <stp>[AMZ_2009-2018.xlsx]Stock Value!R14C7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14" s="6"/>
      </tp>
      <tp t="s">
        <v>—</v>
        <stp/>
        <stp>##V3_BDHV12</stp>
        <stp>AMZN US Equity</stp>
        <stp>BS_ACCRUED_LIABILITIES</stp>
        <stp>FQ1 2016</stp>
        <stp>FQ1 2016</stp>
        <stp>[AMZ_2009-2018.xlsx]Bal Sheet - Standardized!R56C31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6" s="3"/>
      </tp>
      <tp t="s">
        <v>—</v>
        <stp/>
        <stp>##V3_BDHV12</stp>
        <stp>AMZN US Equity</stp>
        <stp>BS_ACCRUED_LIABILITIES</stp>
        <stp>FQ2 2014</stp>
        <stp>FQ2 2014</stp>
        <stp>[AMZ_2009-2018.xlsx]Bal Sheet - Standardized!R56C24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6" s="3"/>
      </tp>
      <tp t="s">
        <v>—</v>
        <stp/>
        <stp>##V3_BDHV12</stp>
        <stp>AMZN US Equity</stp>
        <stp>BS_ACCRUED_LIABILITIES</stp>
        <stp>FQ3 2015</stp>
        <stp>FQ3 2015</stp>
        <stp>[AMZ_2009-2018.xlsx]Bal Sheet - Standardized!R56C29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6" s="3"/>
      </tp>
      <tp>
        <v>0</v>
        <stp/>
        <stp>##V3_BDHV12</stp>
        <stp>AMZN US Equity</stp>
        <stp>IS_TOT_CASH_PFD_DVD</stp>
        <stp>FQ3 2009</stp>
        <stp>FQ3 2009</stp>
        <stp>[AMZ_2009-2018.xlsx]Income - Adjusted!R41C5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1" s="2"/>
      </tp>
      <tp>
        <v>10638</v>
        <stp/>
        <stp>##V3_BDHV12</stp>
        <stp>AMZN US Equity</stp>
        <stp>BS_FUTURE_MIN_OPER_LEASE_OBLIG</stp>
        <stp>FQ2 2017</stp>
        <stp>FQ2 2017</stp>
        <stp>[AMZ_2009-2018.xlsx]Bal Sheet - Standardized!R81C36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81" s="3"/>
      </tp>
      <tp>
        <v>5720</v>
        <stp/>
        <stp>##V3_BDHV12</stp>
        <stp>AMZN US Equity</stp>
        <stp>BS_FUTURE_MIN_OPER_LEASE_OBLIG</stp>
        <stp>FQ1 2015</stp>
        <stp>FQ1 2015</stp>
        <stp>[AMZ_2009-2018.xlsx]Bal Sheet - Standardized!R81C27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81" s="3"/>
      </tp>
      <tp>
        <v>9038</v>
        <stp/>
        <stp>##V3_BDHV12</stp>
        <stp>AMZN US Equity</stp>
        <stp>BS_FUTURE_MIN_OPER_LEASE_OBLIG</stp>
        <stp>FQ3 2016</stp>
        <stp>FQ3 2016</stp>
        <stp>[AMZ_2009-2018.xlsx]Bal Sheet - Standardized!R81C33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81" s="3"/>
      </tp>
      <tp>
        <v>1.1052</v>
        <stp/>
        <stp>##V3_BDHV12</stp>
        <stp>AMZN US Equity</stp>
        <stp>CUR_RATIO</stp>
        <stp>FQ2 2013</stp>
        <stp>FQ2 2013</stp>
        <stp>[AMZ_2009-2018.xlsx]Bal Sheet - Standardized!R86C20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86" s="3"/>
      </tp>
      <tp>
        <v>1.4020000000000001</v>
        <stp/>
        <stp>##V3_BDHV12</stp>
        <stp>AMZN US Equity</stp>
        <stp>CUR_RATIO</stp>
        <stp>FQ2 2011</stp>
        <stp>FQ2 2011</stp>
        <stp>[AMZ_2009-2018.xlsx]Bal Sheet - Standardized!R86C12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86" s="3"/>
      </tp>
      <tp>
        <v>0</v>
        <stp/>
        <stp>##V3_BDHV12</stp>
        <stp>AMZN US Equity</stp>
        <stp>IS_TOT_CASH_COM_DVD</stp>
        <stp>FQ3 2009</stp>
        <stp>FQ3 2009</stp>
        <stp>[AMZ_2009-2018.xlsx]Income - Adjusted!R70C5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0" s="2"/>
      </tp>
      <tp>
        <v>1320</v>
        <stp/>
        <stp>##V3_BDHV12</stp>
        <stp>AMZN US Equity</stp>
        <stp>NET_DEBT</stp>
        <stp>FQ2 2016</stp>
        <stp>FQ2 2016</stp>
        <stp>[AMZ_2009-2018.xlsx]Bal Sheet - Standardized!R83C32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83" s="3"/>
      </tp>
      <tp>
        <v>-4735</v>
        <stp/>
        <stp>##V3_BDHV12</stp>
        <stp>AMZN US Equity</stp>
        <stp>NET_DEBT</stp>
        <stp>FQ1 2014</stp>
        <stp>FQ1 2014</stp>
        <stp>[AMZ_2009-2018.xlsx]Bal Sheet - Standardized!R83C23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83" s="3"/>
      </tp>
      <tp>
        <v>18876</v>
        <stp/>
        <stp>##V3_BDHV12</stp>
        <stp>AMZN US Equity</stp>
        <stp>NET_DEBT</stp>
        <stp>FQ3 2017</stp>
        <stp>FQ3 2017</stp>
        <stp>[AMZ_2009-2018.xlsx]Bal Sheet - Standardized!R83C37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83" s="3"/>
      </tp>
      <tp>
        <v>4751</v>
        <stp/>
        <stp>##V3_BDHV12</stp>
        <stp>AMZN US Equity</stp>
        <stp>IS_OPERATING_EXPN</stp>
        <stp>FQ3 2013</stp>
        <stp>FQ3 2013</stp>
        <stp>[AMZ_2009-2018.xlsx]Income - Adjusted!R12C21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2" s="2"/>
      </tp>
      <tp>
        <v>9191</v>
        <stp/>
        <stp>##V3_BDHV12</stp>
        <stp>AMZN US Equity</stp>
        <stp>IS_OPERATING_EXPN</stp>
        <stp>FQ1 2016</stp>
        <stp>FQ1 2016</stp>
        <stp>[AMZ_2009-2018.xlsx]Income - Adjusted!R12C31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2" s="2"/>
      </tp>
      <tp>
        <v>1927</v>
        <stp/>
        <stp>##V3_BDHV12</stp>
        <stp>AMZN US Equity</stp>
        <stp>IS_OPERATING_EXPN</stp>
        <stp>FQ1 2011</stp>
        <stp>FQ1 2011</stp>
        <stp>[AMZ_2009-2018.xlsx]Income - Adjusted!R12C11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2" s="2"/>
      </tp>
      <tp>
        <v>0</v>
        <stp/>
        <stp>##V3_BDHV12</stp>
        <stp>AMZN US Equity</stp>
        <stp>MINORITY_NONCONTROLLING_INTEREST</stp>
        <stp>FQ2 2018</stp>
        <stp>FQ2 2018</stp>
        <stp>[AMZ_2009-2018.xlsx]Bal Sheet - Standardized!R72C40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2" s="3"/>
      </tp>
      <tp>
        <v>0</v>
        <stp/>
        <stp>##V3_BDHV12</stp>
        <stp>AMZN US Equity</stp>
        <stp>NOTES_RECEIVABLE</stp>
        <stp>FQ2 2010</stp>
        <stp>FQ2 2010</stp>
        <stp>[AMZ_2009-2018.xlsx]Bal Sheet - Standardized!R12C8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2" s="3"/>
      </tp>
      <tp>
        <v>0</v>
        <stp/>
        <stp>##V3_BDHV12</stp>
        <stp>AMZN US Equity</stp>
        <stp>NOTES_RECEIVABLE</stp>
        <stp>FQ3 2009</stp>
        <stp>FQ3 2009</stp>
        <stp>[AMZ_2009-2018.xlsx]Bal Sheet - Standardized!R12C5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2" s="3"/>
      </tp>
      <tp>
        <v>-6484</v>
        <stp/>
        <stp>##V3_BDHV12</stp>
        <stp>AMZN US Equity</stp>
        <stp>NET_DEBT</stp>
        <stp>FQ4 2012</stp>
        <stp>FQ4 2012</stp>
        <stp>[AMZ_2009-2018.xlsx]Bal Sheet - Standardized!R83C18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83" s="3"/>
      </tp>
      <tp>
        <v>-3885</v>
        <stp/>
        <stp>##V3_BDHV12</stp>
        <stp>AMZN US Equity</stp>
        <stp>NET_DEBT</stp>
        <stp>FQ3 2009</stp>
        <stp>FQ3 2009</stp>
        <stp>[AMZ_2009-2018.xlsx]Bal Sheet - Standardized!R83C5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83" s="3"/>
      </tp>
      <tp>
        <v>-4976</v>
        <stp/>
        <stp>##V3_BDHV12</stp>
        <stp>AMZN US Equity</stp>
        <stp>NET_DEBT</stp>
        <stp>FQ2 2010</stp>
        <stp>FQ2 2010</stp>
        <stp>[AMZ_2009-2018.xlsx]Bal Sheet - Standardized!R83C8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83" s="3"/>
      </tp>
      <tp>
        <v>0</v>
        <stp/>
        <stp>##V3_BDHV12</stp>
        <stp>AMZN US Equity</stp>
        <stp>IS_DISCONTINUED_OPERATIONS</stp>
        <stp>FQ4 2011</stp>
        <stp>FQ4 2011</stp>
        <stp>[AMZ_2009-2018.xlsx]Income - Adjusted!R36C14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6" s="2"/>
      </tp>
      <tp>
        <v>0</v>
        <stp/>
        <stp>##V3_BDHV12</stp>
        <stp>AMZN US Equity</stp>
        <stp>IS_DISCONTINUED_OPERATIONS</stp>
        <stp>FQ3 2011</stp>
        <stp>FQ3 2011</stp>
        <stp>[AMZ_2009-2018.xlsx]Income - Adjusted!R36C13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6" s="2"/>
      </tp>
      <tp>
        <v>0</v>
        <stp/>
        <stp>##V3_BDHV12</stp>
        <stp>AMZN US Equity</stp>
        <stp>IS_DISCONTINUED_OPERATIONS</stp>
        <stp>FQ2 2011</stp>
        <stp>FQ2 2011</stp>
        <stp>[AMZ_2009-2018.xlsx]Income - Adjusted!R36C12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6" s="2"/>
      </tp>
      <tp>
        <v>0</v>
        <stp/>
        <stp>##V3_BDHV12</stp>
        <stp>AMZN US Equity</stp>
        <stp>IS_DISCONTINUED_OPERATIONS</stp>
        <stp>FQ1 2011</stp>
        <stp>FQ1 2011</stp>
        <stp>[AMZ_2009-2018.xlsx]Income - Adjusted!R36C11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6" s="2"/>
      </tp>
      <tp>
        <v>13680</v>
        <stp/>
        <stp>##V3_BDHV12</stp>
        <stp>AMZN US Equity</stp>
        <stp>ACCT_PAYABLE_&amp;_ACCRUALS_DETAILED</stp>
        <stp>FQ1 2013</stp>
        <stp>FQ1 2013</stp>
        <stp>[AMZ_2009-2018.xlsx]Bal Sheet - Standardized!R38C19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8" s="3"/>
      </tp>
      <tp>
        <v>8978</v>
        <stp/>
        <stp>##V3_BDHV12</stp>
        <stp>AMZN US Equity</stp>
        <stp>ACCT_PAYABLE_&amp;_ACCRUALS_DETAILED</stp>
        <stp>FQ3 2011</stp>
        <stp>FQ3 2011</stp>
        <stp>[AMZ_2009-2018.xlsx]Bal Sheet - Standardized!R38C13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8" s="3"/>
      </tp>
      <tp>
        <v>14044</v>
        <stp/>
        <stp>##V3_BDHV12</stp>
        <stp>AMZN US Equity</stp>
        <stp>ACCT_PAYABLE_&amp;_ACCRUALS_DETAILED</stp>
        <stp>FQ2 2013</stp>
        <stp>FQ2 2013</stp>
        <stp>[AMZ_2009-2018.xlsx]Bal Sheet - Standardized!R38C20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8" s="3"/>
      </tp>
      <tp>
        <v>455.24299999999999</v>
        <stp/>
        <stp>##V3_BDHV12</stp>
        <stp>AMZN US Equity</stp>
        <stp>EQY_SH_OUT</stp>
        <stp>FQ2 2013</stp>
        <stp>FQ2 2013</stp>
        <stp>[AMZ_2009-2018.xlsx]Stock Value!R13C20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13" s="6"/>
      </tp>
      <tp>
        <v>456.88400000000001</v>
        <stp/>
        <stp>##V3_BDHV12</stp>
        <stp>AMZN US Equity</stp>
        <stp>EQY_SH_OUT</stp>
        <stp>FQ3 2013</stp>
        <stp>FQ3 2013</stp>
        <stp>[AMZ_2009-2018.xlsx]Stock Value!R13C21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13" s="6"/>
      </tp>
      <tp>
        <v>454.75400000000002</v>
        <stp/>
        <stp>##V3_BDHV12</stp>
        <stp>AMZN US Equity</stp>
        <stp>EQY_SH_OUT</stp>
        <stp>FQ4 2011</stp>
        <stp>FQ4 2011</stp>
        <stp>[AMZ_2009-2018.xlsx]Stock Value!R13C14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13" s="6"/>
      </tp>
      <tp>
        <v>453.935</v>
        <stp/>
        <stp>##V3_BDHV12</stp>
        <stp>AMZN US Equity</stp>
        <stp>EQY_SH_OUT</stp>
        <stp>FQ3 2011</stp>
        <stp>FQ3 2011</stp>
        <stp>[AMZ_2009-2018.xlsx]Stock Value!R13C13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13" s="6"/>
      </tp>
      <tp>
        <v>452.04300000000001</v>
        <stp/>
        <stp>##V3_BDHV12</stp>
        <stp>AMZN US Equity</stp>
        <stp>EQY_SH_OUT</stp>
        <stp>FQ2 2011</stp>
        <stp>FQ2 2011</stp>
        <stp>[AMZ_2009-2018.xlsx]Stock Value!R13C12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13" s="6"/>
      </tp>
      <tp>
        <v>451.00400000000002</v>
        <stp/>
        <stp>##V3_BDHV12</stp>
        <stp>AMZN US Equity</stp>
        <stp>EQY_SH_OUT</stp>
        <stp>FQ1 2011</stp>
        <stp>FQ1 2011</stp>
        <stp>[AMZ_2009-2018.xlsx]Stock Value!R13C11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13" s="6"/>
      </tp>
      <tp>
        <v>49</v>
        <stp/>
        <stp>##V3_BDHV12</stp>
        <stp>AMZN US Equity</stp>
        <stp>CF_EFFECT_FOREIGN_EXCHANGES</stp>
        <stp>FQ2 2009</stp>
        <stp>FQ2 2009</stp>
        <stp>[AMZ_2009-2018.xlsx]Cash Flow - Standardized!R53C4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3" s="4"/>
      </tp>
      <tp>
        <v>3.36</v>
        <stp/>
        <stp>##V3_BDHV12</stp>
        <stp>AMZN US Equity</stp>
        <stp>IS_EPS</stp>
        <stp>FQ1 2018</stp>
        <stp>FQ1 2018</stp>
        <stp>[AMZ_2009-2018.xlsx]Income - Adjusted!R50C39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50" s="2"/>
      </tp>
      <tp>
        <v>468.762</v>
        <stp/>
        <stp>##V3_BDHV12</stp>
        <stp>AMZN US Equity</stp>
        <stp>EQY_SH_OUT</stp>
        <stp>FQ4 2015</stp>
        <stp>FQ4 2015</stp>
        <stp>[AMZ_2009-2018.xlsx]Stock Value!R13C30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13" s="6"/>
      </tp>
      <tp>
        <v>90</v>
        <stp/>
        <stp>##V3_BDHV12</stp>
        <stp>AMZN US Equity</stp>
        <stp>CF_EFFECT_FOREIGN_EXCHANGES</stp>
        <stp>FQ3 2010</stp>
        <stp>FQ3 2010</stp>
        <stp>[AMZ_2009-2018.xlsx]Cash Flow - Standardized!R53C9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3" s="4"/>
      </tp>
      <tp>
        <v>0.18</v>
        <stp/>
        <stp>##V3_BDHV12</stp>
        <stp>AMZN US Equity</stp>
        <stp>IS_EPS</stp>
        <stp>FQ1 2013</stp>
        <stp>FQ1 2013</stp>
        <stp>[AMZ_2009-2018.xlsx]Income - Adjusted!R50C19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50" s="2"/>
      </tp>
      <tp>
        <v>0.28999999999999998</v>
        <stp/>
        <stp>##V3_BDHV12</stp>
        <stp>AMZN US Equity</stp>
        <stp>IS_EPS</stp>
        <stp>FQ1 2012</stp>
        <stp>FQ1 2012</stp>
        <stp>[AMZ_2009-2018.xlsx]Income - Adjusted!R50C15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50" s="2"/>
      </tp>
      <tp>
        <v>0.44</v>
        <stp/>
        <stp>##V3_BDHV12</stp>
        <stp>AMZN US Equity</stp>
        <stp>IS_EPS</stp>
        <stp>FQ1 2011</stp>
        <stp>FQ1 2011</stp>
        <stp>[AMZ_2009-2018.xlsx]Income - Adjusted!R50C11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50" s="2"/>
      </tp>
      <tp>
        <v>-934</v>
        <stp/>
        <stp>##V3_BDHV12</stp>
        <stp>AMZN US Equity</stp>
        <stp>OTHER_INS_RES_TO_SHRHLDR_EQY</stp>
        <stp>FQ2 2018</stp>
        <stp>FQ2 2018</stp>
        <stp>[AMZ_2009-2018.xlsx]Bal Sheet - Standardized!R70C40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70" s="3"/>
      </tp>
      <tp>
        <v>1.52</v>
        <stp/>
        <stp>##V3_BDHV12</stp>
        <stp>AMZN US Equity</stp>
        <stp>IS_EPS</stp>
        <stp>FQ1 2017</stp>
        <stp>FQ1 2017</stp>
        <stp>[AMZ_2009-2018.xlsx]Income - Adjusted!R50C35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50" s="2"/>
      </tp>
      <tp>
        <v>1.0900000000000001</v>
        <stp/>
        <stp>##V3_BDHV12</stp>
        <stp>AMZN US Equity</stp>
        <stp>IS_EPS</stp>
        <stp>FQ1 2016</stp>
        <stp>FQ1 2016</stp>
        <stp>[AMZ_2009-2018.xlsx]Income - Adjusted!R50C31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50" s="2"/>
      </tp>
      <tp>
        <v>-0.12</v>
        <stp/>
        <stp>##V3_BDHV12</stp>
        <stp>AMZN US Equity</stp>
        <stp>IS_EPS</stp>
        <stp>FQ1 2015</stp>
        <stp>FQ1 2015</stp>
        <stp>[AMZ_2009-2018.xlsx]Income - Adjusted!R50C27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50" s="2"/>
      </tp>
      <tp>
        <v>12</v>
        <stp/>
        <stp>##V3_BDHV12</stp>
        <stp>AMZN US Equity</stp>
        <stp>IS_INT_EXPENSE</stp>
        <stp>FQ1 2009</stp>
        <stp>FQ1 2009</stp>
        <stp>[AMZ_2009-2018.xlsx]Income - Adjusted!R21C3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1" s="2"/>
      </tp>
      <tp>
        <v>0.23</v>
        <stp/>
        <stp>##V3_BDHV12</stp>
        <stp>AMZN US Equity</stp>
        <stp>IS_EPS</stp>
        <stp>FQ1 2014</stp>
        <stp>FQ1 2014</stp>
        <stp>[AMZ_2009-2018.xlsx]Income - Adjusted!R50C23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50" s="2"/>
      </tp>
      <tp>
        <v>27</v>
        <stp/>
        <stp>##V3_BDHV12</stp>
        <stp>AMZN US Equity</stp>
        <stp>BS_DEFERRED_TAX_ASSETS_LT</stp>
        <stp>FQ1 2012</stp>
        <stp>FQ1 2012</stp>
        <stp>[AMZ_2009-2018.xlsx]Bal Sheet - Standardized!R31C15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1" s="3"/>
      </tp>
      <tp>
        <v>371</v>
        <stp/>
        <stp>##V3_BDHV12</stp>
        <stp>AMZN US Equity</stp>
        <stp>BS_DEFERRED_TAX_ASSETS_ST</stp>
        <stp>FQ1 2012</stp>
        <stp>FQ1 2012</stp>
        <stp>[AMZ_2009-2018.xlsx]Bal Sheet - Standardized!R20C15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0" s="3"/>
      </tp>
      <tp t="s">
        <v>—</v>
        <stp/>
        <stp>##V3_BDHV12</stp>
        <stp>AMZN US Equity</stp>
        <stp>BS_DEFERRED_TAX_ASSETS_LT</stp>
        <stp>FQ4 2015</stp>
        <stp>FQ4 2015</stp>
        <stp>[AMZ_2009-2018.xlsx]Bal Sheet - Standardized!R31C30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1" s="3"/>
      </tp>
      <tp t="s">
        <v>—</v>
        <stp/>
        <stp>##V3_BDHV12</stp>
        <stp>AMZN US Equity</stp>
        <stp>BS_DEFERRED_TAX_ASSETS_ST</stp>
        <stp>FQ4 2015</stp>
        <stp>FQ4 2015</stp>
        <stp>[AMZ_2009-2018.xlsx]Bal Sheet - Standardized!R20C30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0" s="3"/>
      </tp>
      <tp>
        <v>30</v>
        <stp/>
        <stp>##V3_BDHV12</stp>
        <stp>AMZN US Equity</stp>
        <stp>BS_DEFERRED_TAX_ASSETS_LT</stp>
        <stp>FQ2 2011</stp>
        <stp>FQ2 2011</stp>
        <stp>[AMZ_2009-2018.xlsx]Bal Sheet - Standardized!R31C12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1" s="3"/>
      </tp>
      <tp t="s">
        <v>—</v>
        <stp/>
        <stp>##V3_BDHV12</stp>
        <stp>AMZN US Equity</stp>
        <stp>BS_DEFERRED_TAX_ASSETS_ST</stp>
        <stp>FQ4 2014</stp>
        <stp>FQ4 2014</stp>
        <stp>[AMZ_2009-2018.xlsx]Bal Sheet - Standardized!R20C26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0" s="3"/>
      </tp>
      <tp>
        <v>520</v>
        <stp/>
        <stp>##V3_BDHV12</stp>
        <stp>AMZN US Equity</stp>
        <stp>BS_DEFERRED_TAX_ASSETS_ST</stp>
        <stp>FQ3 2013</stp>
        <stp>FQ3 2013</stp>
        <stp>[AMZ_2009-2018.xlsx]Bal Sheet - Standardized!R20C21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0" s="3"/>
      </tp>
      <tp t="s">
        <v>—</v>
        <stp/>
        <stp>##V3_BDHV12</stp>
        <stp>AMZN US Equity</stp>
        <stp>BS_DEFERRED_TAX_ASSETS_LT</stp>
        <stp>FQ4 2014</stp>
        <stp>FQ4 2014</stp>
        <stp>[AMZ_2009-2018.xlsx]Bal Sheet - Standardized!R31C26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1" s="3"/>
      </tp>
      <tp>
        <v>128</v>
        <stp/>
        <stp>##V3_BDHV12</stp>
        <stp>AMZN US Equity</stp>
        <stp>BS_DEFERRED_TAX_ASSETS_LT</stp>
        <stp>FQ3 2013</stp>
        <stp>FQ3 2013</stp>
        <stp>[AMZ_2009-2018.xlsx]Bal Sheet - Standardized!R31C21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1" s="3"/>
      </tp>
      <tp>
        <v>257</v>
        <stp/>
        <stp>##V3_BDHV12</stp>
        <stp>AMZN US Equity</stp>
        <stp>BS_DEFERRED_TAX_ASSETS_ST</stp>
        <stp>FQ2 2011</stp>
        <stp>FQ2 2011</stp>
        <stp>[AMZ_2009-2018.xlsx]Bal Sheet - Standardized!R20C12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0" s="3"/>
      </tp>
      <tp>
        <v>0</v>
        <stp/>
        <stp>##V3_BDHV12</stp>
        <stp>AMZN US Equity</stp>
        <stp>CF_DVD_PAID</stp>
        <stp>FQ4 2009</stp>
        <stp>FQ4 2009</stp>
        <stp>[AMZ_2009-2018.xlsx]Cash Flow - Standardized!R41C6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1" s="4"/>
      </tp>
      <tp>
        <v>0</v>
        <stp/>
        <stp>##V3_BDHV12</stp>
        <stp>AMZN US Equity</stp>
        <stp>BS_ACCRUED_LIABILITIES</stp>
        <stp>FQ4 2013</stp>
        <stp>FQ4 2013</stp>
        <stp>[AMZ_2009-2018.xlsx]Bal Sheet - Standardized!R56C22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6" s="3"/>
      </tp>
      <tp t="s">
        <v>—</v>
        <stp/>
        <stp>##V3_BDHV12</stp>
        <stp>AMZN US Equity</stp>
        <stp>BS_ACCRUED_LIABILITIES</stp>
        <stp>FQ3 2014</stp>
        <stp>FQ3 2014</stp>
        <stp>[AMZ_2009-2018.xlsx]Bal Sheet - Standardized!R56C25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6" s="3"/>
      </tp>
      <tp>
        <v>0</v>
        <stp/>
        <stp>##V3_BDHV12</stp>
        <stp>AMZN US Equity</stp>
        <stp>BS_ACCRUED_LIABILITIES</stp>
        <stp>FQ4 2010</stp>
        <stp>FQ4 2010</stp>
        <stp>[AMZ_2009-2018.xlsx]Bal Sheet - Standardized!R56C10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6" s="3"/>
      </tp>
      <tp t="s">
        <v>—</v>
        <stp/>
        <stp>##V3_BDHV12</stp>
        <stp>AMZN US Equity</stp>
        <stp>BS_ACCRUED_LIABILITIES</stp>
        <stp>FQ1 2017</stp>
        <stp>FQ1 2017</stp>
        <stp>[AMZ_2009-2018.xlsx]Bal Sheet - Standardized!R56C35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6" s="3"/>
      </tp>
      <tp t="s">
        <v>—</v>
        <stp/>
        <stp>##V3_BDHV12</stp>
        <stp>AMZN US Equity</stp>
        <stp>BS_ACCRUED_LIABILITIES</stp>
        <stp>FQ2 2015</stp>
        <stp>FQ2 2015</stp>
        <stp>[AMZ_2009-2018.xlsx]Bal Sheet - Standardized!R56C28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6" s="3"/>
      </tp>
      <tp>
        <v>329.94</v>
        <stp/>
        <stp>##V3_BDHV12</stp>
        <stp>AMZN US Equity</stp>
        <stp>EQY_FLOAT</stp>
        <stp>FQ2 2009</stp>
        <stp>FQ2 2009</stp>
        <stp>[AMZ_2009-2018.xlsx]Stock Value!R14C4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14" s="6"/>
      </tp>
      <tp>
        <v>334.101</v>
        <stp/>
        <stp>##V3_BDHV12</stp>
        <stp>AMZN US Equity</stp>
        <stp>EQY_FLOAT</stp>
        <stp>FQ3 2009</stp>
        <stp>FQ3 2009</stp>
        <stp>[AMZ_2009-2018.xlsx]Stock Value!R14C5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14" s="6"/>
      </tp>
      <tp>
        <v>0</v>
        <stp/>
        <stp>##V3_BDHV12</stp>
        <stp>AMZN US Equity</stp>
        <stp>IS_TOT_CASH_PFD_DVD</stp>
        <stp>FQ2 2009</stp>
        <stp>FQ2 2009</stp>
        <stp>[AMZ_2009-2018.xlsx]Income - Adjusted!R41C4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1" s="2"/>
      </tp>
      <tp>
        <v>22069</v>
        <stp/>
        <stp>##V3_BDHV12</stp>
        <stp>AMZN US Equity</stp>
        <stp>BS_FUTURE_MIN_OPER_LEASE_OBLIG</stp>
        <stp>FQ3 2017</stp>
        <stp>FQ3 2017</stp>
        <stp>[AMZ_2009-2018.xlsx]Bal Sheet - Standardized!R81C37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81" s="3"/>
      </tp>
      <tp>
        <v>8154</v>
        <stp/>
        <stp>##V3_BDHV12</stp>
        <stp>AMZN US Equity</stp>
        <stp>BS_FUTURE_MIN_OPER_LEASE_OBLIG</stp>
        <stp>FQ2 2016</stp>
        <stp>FQ2 2016</stp>
        <stp>[AMZ_2009-2018.xlsx]Bal Sheet - Standardized!R81C32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81" s="3"/>
      </tp>
      <tp>
        <v>5368</v>
        <stp/>
        <stp>##V3_BDHV12</stp>
        <stp>AMZN US Equity</stp>
        <stp>BS_FUTURE_MIN_OPER_LEASE_OBLIG</stp>
        <stp>FQ1 2014</stp>
        <stp>FQ1 2014</stp>
        <stp>[AMZ_2009-2018.xlsx]Bal Sheet - Standardized!R81C23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81" s="3"/>
      </tp>
      <tp>
        <v>1.0448</v>
        <stp/>
        <stp>##V3_BDHV12</stp>
        <stp>AMZN US Equity</stp>
        <stp>CUR_RATIO</stp>
        <stp>FQ4 2016</stp>
        <stp>FQ4 2016</stp>
        <stp>[AMZ_2009-2018.xlsx]Bal Sheet - Standardized!R86C34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86" s="3"/>
      </tp>
      <tp>
        <v>1.1153</v>
        <stp/>
        <stp>##V3_BDHV12</stp>
        <stp>AMZN US Equity</stp>
        <stp>CUR_RATIO</stp>
        <stp>FQ4 2014</stp>
        <stp>FQ4 2014</stp>
        <stp>[AMZ_2009-2018.xlsx]Bal Sheet - Standardized!R86C26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86" s="3"/>
      </tp>
      <tp>
        <v>1.3259000000000001</v>
        <stp/>
        <stp>##V3_BDHV12</stp>
        <stp>AMZN US Equity</stp>
        <stp>CUR_RATIO</stp>
        <stp>FQ3 2011</stp>
        <stp>FQ3 2011</stp>
        <stp>[AMZ_2009-2018.xlsx]Bal Sheet - Standardized!R86C13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86" s="3"/>
      </tp>
      <tp>
        <v>1.0743</v>
        <stp/>
        <stp>##V3_BDHV12</stp>
        <stp>AMZN US Equity</stp>
        <stp>CUR_RATIO</stp>
        <stp>FQ3 2013</stp>
        <stp>FQ3 2013</stp>
        <stp>[AMZ_2009-2018.xlsx]Bal Sheet - Standardized!R86C21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86" s="3"/>
      </tp>
      <tp>
        <v>1.0550999999999999</v>
        <stp/>
        <stp>##V3_BDHV12</stp>
        <stp>AMZN US Equity</stp>
        <stp>CUR_RATIO</stp>
        <stp>FQ1 2017</stp>
        <stp>FQ1 2017</stp>
        <stp>[AMZ_2009-2018.xlsx]Bal Sheet - Standardized!R86C35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86" s="3"/>
      </tp>
      <tp>
        <v>1.1184000000000001</v>
        <stp/>
        <stp>##V3_BDHV12</stp>
        <stp>AMZN US Equity</stp>
        <stp>CUR_RATIO</stp>
        <stp>FQ1 2015</stp>
        <stp>FQ1 2015</stp>
        <stp>[AMZ_2009-2018.xlsx]Bal Sheet - Standardized!R86C27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86" s="3"/>
      </tp>
      <tp t="s">
        <v>—</v>
        <stp/>
        <stp>##V3_BDHV12</stp>
        <stp>AMZN US Equity</stp>
        <stp>IS_GAIN_LOSS_ON_INVESTMENTS</stp>
        <stp>FQ1 2010</stp>
        <stp>FQ1 2010</stp>
        <stp>[AMZ_2009-2018.xlsx]Income - Adjusted!R29C7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9" s="2"/>
      </tp>
      <tp>
        <v>5454</v>
        <stp/>
        <stp>##V3_BDHV12</stp>
        <stp>AMZN US Equity</stp>
        <stp>BS_FUTURE_MIN_OPER_LEASE_OBLIG</stp>
        <stp>FQ4 2012</stp>
        <stp>FQ4 2012</stp>
        <stp>[AMZ_2009-2018.xlsx]Bal Sheet - Standardized!R81C18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81" s="3"/>
      </tp>
      <tp>
        <v>0</v>
        <stp/>
        <stp>##V3_BDHV12</stp>
        <stp>AMZN US Equity</stp>
        <stp>IS_TOT_CASH_COM_DVD</stp>
        <stp>FQ2 2009</stp>
        <stp>FQ2 2009</stp>
        <stp>[AMZ_2009-2018.xlsx]Income - Adjusted!R70C4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0" s="2"/>
      </tp>
      <tp>
        <v>8084</v>
        <stp/>
        <stp>##V3_BDHV12</stp>
        <stp>AMZN US Equity</stp>
        <stp>BS_CASH_NEAR_CASH_ITEM</stp>
        <stp>FQ4 2012</stp>
        <stp>FQ4 2012</stp>
        <stp>[AMZ_2009-2018.xlsx]Bal Sheet - Standardized!R8C18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8" s="3"/>
      </tp>
      <tp>
        <v>641</v>
        <stp/>
        <stp>##V3_BDHV12</stp>
        <stp>AMZN US Equity</stp>
        <stp>NET_DEBT</stp>
        <stp>FQ3 2016</stp>
        <stp>FQ3 2016</stp>
        <stp>[AMZ_2009-2018.xlsx]Bal Sheet - Standardized!R83C33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83" s="3"/>
      </tp>
      <tp>
        <v>2157</v>
        <stp/>
        <stp>##V3_BDHV12</stp>
        <stp>AMZN US Equity</stp>
        <stp>IS_OPERATING_EXPN</stp>
        <stp>FQ4 2010</stp>
        <stp>FQ4 2010</stp>
        <stp>[AMZ_2009-2018.xlsx]Income - Adjusted!R12C10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2" s="2"/>
      </tp>
      <tp>
        <v>10298</v>
        <stp/>
        <stp>##V3_BDHV12</stp>
        <stp>AMZN US Equity</stp>
        <stp>IS_OPERATING_EXPN</stp>
        <stp>FQ4 2015</stp>
        <stp>FQ4 2015</stp>
        <stp>[AMZ_2009-2018.xlsx]Income - Adjusted!R12C30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2" s="2"/>
      </tp>
      <tp>
        <v>4416</v>
        <stp/>
        <stp>##V3_BDHV12</stp>
        <stp>AMZN US Equity</stp>
        <stp>IS_OPERATING_EXPN</stp>
        <stp>FQ2 2013</stp>
        <stp>FQ2 2013</stp>
        <stp>[AMZ_2009-2018.xlsx]Income - Adjusted!R12C20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2" s="2"/>
      </tp>
      <tp>
        <v>19271</v>
        <stp/>
        <stp>##V3_BDHV12</stp>
        <stp>AMZN US Equity</stp>
        <stp>IS_OPERATING_EXPN</stp>
        <stp>FQ2 2018</stp>
        <stp>FQ2 2018</stp>
        <stp>[AMZ_2009-2018.xlsx]Income - Adjusted!R12C40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2" s="2"/>
      </tp>
      <tp>
        <v>2168</v>
        <stp/>
        <stp>##V3_BDHV12</stp>
        <stp>AMZN US Equity</stp>
        <stp>NET_DEBT</stp>
        <stp>FQ2 2017</stp>
        <stp>FQ2 2017</stp>
        <stp>[AMZ_2009-2018.xlsx]Bal Sheet - Standardized!R83C36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83" s="3"/>
      </tp>
      <tp>
        <v>-4147</v>
        <stp/>
        <stp>##V3_BDHV12</stp>
        <stp>AMZN US Equity</stp>
        <stp>NET_DEBT</stp>
        <stp>FQ1 2015</stp>
        <stp>FQ1 2015</stp>
        <stp>[AMZ_2009-2018.xlsx]Bal Sheet - Standardized!R83C27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83" s="3"/>
      </tp>
      <tp t="s">
        <v>—</v>
        <stp/>
        <stp>##V3_BDHV12</stp>
        <stp>AMZN US Equity</stp>
        <stp>NOTES_RECEIVABLE</stp>
        <stp>FQ3 2010</stp>
        <stp>FQ3 2010</stp>
        <stp>[AMZ_2009-2018.xlsx]Bal Sheet - Standardized!R12C9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2" s="3"/>
      </tp>
      <tp>
        <v>3777</v>
        <stp/>
        <stp>##V3_BDHV12</stp>
        <stp>AMZN US Equity</stp>
        <stp>BS_CASH_NEAR_CASH_ITEM</stp>
        <stp>FQ4 2010</stp>
        <stp>FQ4 2010</stp>
        <stp>[AMZ_2009-2018.xlsx]Bal Sheet - Standardized!R8C10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8" s="3"/>
      </tp>
      <tp>
        <v>0</v>
        <stp/>
        <stp>##V3_BDHV12</stp>
        <stp>AMZN US Equity</stp>
        <stp>NOTES_RECEIVABLE</stp>
        <stp>FQ2 2009</stp>
        <stp>FQ2 2009</stp>
        <stp>[AMZ_2009-2018.xlsx]Bal Sheet - Standardized!R12C4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2" s="3"/>
      </tp>
      <tp>
        <v>5269</v>
        <stp/>
        <stp>##V3_BDHV12</stp>
        <stp>AMZN US Equity</stp>
        <stp>BS_CASH_NEAR_CASH_ITEM</stp>
        <stp>FQ4 2011</stp>
        <stp>FQ4 2011</stp>
        <stp>[AMZ_2009-2018.xlsx]Bal Sheet - Standardized!R8C14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8" s="3"/>
      </tp>
      <tp>
        <v>-3103</v>
        <stp/>
        <stp>##V3_BDHV12</stp>
        <stp>AMZN US Equity</stp>
        <stp>NET_DEBT</stp>
        <stp>FQ2 2009</stp>
        <stp>FQ2 2009</stp>
        <stp>[AMZ_2009-2018.xlsx]Bal Sheet - Standardized!R83C4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83" s="3"/>
      </tp>
      <tp>
        <v>255.4</v>
        <stp/>
        <stp>##V3_BDHV12</stp>
        <stp>AMZN US Equity</stp>
        <stp>PX_OPEN</stp>
        <stp>FQ4 2012</stp>
        <stp>FQ4 2012</stp>
        <stp>[AMZ_2009-2018.xlsx]Stock Value!R8C18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8" s="6"/>
      </tp>
      <tp>
        <v>-5721</v>
        <stp/>
        <stp>##V3_BDHV12</stp>
        <stp>AMZN US Equity</stp>
        <stp>NET_DEBT</stp>
        <stp>FQ3 2010</stp>
        <stp>FQ3 2010</stp>
        <stp>[AMZ_2009-2018.xlsx]Bal Sheet - Standardized!R83C9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83" s="3"/>
      </tp>
      <tp>
        <v>964</v>
        <stp/>
        <stp>##V3_BDHV12</stp>
        <stp>AMZN US Equity</stp>
        <stp>PX_OPEN</stp>
        <stp>FQ4 2017</stp>
        <stp>FQ4 2017</stp>
        <stp>[AMZ_2009-2018.xlsx]Stock Value!R8C38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8" s="6"/>
      </tp>
      <tp>
        <v>580.57000000000005</v>
        <stp/>
        <stp>##V3_BDHV12</stp>
        <stp>AMZN US Equity</stp>
        <stp>PX_HIGH</stp>
        <stp>FQ3 2015</stp>
        <stp>FQ3 2015</stp>
        <stp>[AMZ_2009-2018.xlsx]Stock Value!R9C29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9" s="6"/>
      </tp>
      <tp>
        <v>452.65</v>
        <stp/>
        <stp>##V3_BDHV12</stp>
        <stp>AMZN US Equity</stp>
        <stp>PX_HIGH</stp>
        <stp>FQ2 2015</stp>
        <stp>FQ2 2015</stp>
        <stp>[AMZ_2009-2018.xlsx]Stock Value!R9C28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9" s="6"/>
      </tp>
      <tp>
        <v>-57</v>
        <stp/>
        <stp>##V3_BDHV12</stp>
        <stp>AMZN US Equity</stp>
        <stp>IS_INC_BEF_XO_ITEM</stp>
        <stp>FQ1 2015</stp>
        <stp>FQ1 2015</stp>
        <stp>[AMZ_2009-2018.xlsx]Income - Adjusted!R34C27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4" s="2"/>
      </tp>
      <tp>
        <v>92</v>
        <stp/>
        <stp>##V3_BDHV12</stp>
        <stp>AMZN US Equity</stp>
        <stp>IS_INC_BEF_XO_ITEM</stp>
        <stp>FQ2 2015</stp>
        <stp>FQ2 2015</stp>
        <stp>[AMZ_2009-2018.xlsx]Income - Adjusted!R34C28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4" s="2"/>
      </tp>
      <tp>
        <v>79</v>
        <stp/>
        <stp>##V3_BDHV12</stp>
        <stp>AMZN US Equity</stp>
        <stp>IS_INC_BEF_XO_ITEM</stp>
        <stp>FQ3 2015</stp>
        <stp>FQ3 2015</stp>
        <stp>[AMZ_2009-2018.xlsx]Income - Adjusted!R34C29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4" s="2"/>
      </tp>
      <tp>
        <v>-0.09</v>
        <stp/>
        <stp>##V3_BDHV12</stp>
        <stp>AMZN US Equity</stp>
        <stp>IS_DILUTED_EPS</stp>
        <stp>FQ3 2013</stp>
        <stp>FQ3 2013</stp>
        <stp>[AMZ_2009-2018.xlsx]Income - Adjusted!R55C21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55" s="2"/>
      </tp>
      <tp>
        <v>452.95800000000003</v>
        <stp/>
        <stp>##V3_BDHV12</stp>
        <stp>AMZN US Equity</stp>
        <stp>EQY_SH_OUT</stp>
        <stp>FQ4 2012</stp>
        <stp>FQ4 2012</stp>
        <stp>[AMZ_2009-2018.xlsx]Stock Value!R13C18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13" s="6"/>
      </tp>
      <tp>
        <v>-0.6</v>
        <stp/>
        <stp>##V3_BDHV12</stp>
        <stp>AMZN US Equity</stp>
        <stp>IS_DILUTED_EPS</stp>
        <stp>FQ3 2012</stp>
        <stp>FQ3 2012</stp>
        <stp>[AMZ_2009-2018.xlsx]Income - Adjusted!R55C17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55" s="2"/>
      </tp>
      <tp>
        <v>0.14000000000000001</v>
        <stp/>
        <stp>##V3_BDHV12</stp>
        <stp>AMZN US Equity</stp>
        <stp>IS_DILUTED_EPS</stp>
        <stp>FQ3 2011</stp>
        <stp>FQ3 2011</stp>
        <stp>[AMZ_2009-2018.xlsx]Income - Adjusted!R55C13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55" s="2"/>
      </tp>
      <tp>
        <v>0.52</v>
        <stp/>
        <stp>##V3_BDHV12</stp>
        <stp>AMZN US Equity</stp>
        <stp>IS_DILUTED_EPS</stp>
        <stp>FQ3 2017</stp>
        <stp>FQ3 2017</stp>
        <stp>[AMZ_2009-2018.xlsx]Income - Adjusted!R55C37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55" s="2"/>
      </tp>
      <tp>
        <v>0.52</v>
        <stp/>
        <stp>##V3_BDHV12</stp>
        <stp>AMZN US Equity</stp>
        <stp>IS_DILUTED_EPS</stp>
        <stp>FQ3 2016</stp>
        <stp>FQ3 2016</stp>
        <stp>[AMZ_2009-2018.xlsx]Income - Adjusted!R55C33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55" s="2"/>
      </tp>
      <tp>
        <v>0.17</v>
        <stp/>
        <stp>##V3_BDHV12</stp>
        <stp>AMZN US Equity</stp>
        <stp>IS_DILUTED_EPS</stp>
        <stp>FQ3 2015</stp>
        <stp>FQ3 2015</stp>
        <stp>[AMZ_2009-2018.xlsx]Income - Adjusted!R55C29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55" s="2"/>
      </tp>
      <tp>
        <v>-0.95</v>
        <stp/>
        <stp>##V3_BDHV12</stp>
        <stp>AMZN US Equity</stp>
        <stp>IS_DILUTED_EPS</stp>
        <stp>FQ3 2014</stp>
        <stp>FQ3 2014</stp>
        <stp>[AMZ_2009-2018.xlsx]Income - Adjusted!R55C25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55" s="2"/>
      </tp>
      <tp>
        <v>-157</v>
        <stp/>
        <stp>##V3_BDHV12</stp>
        <stp>AMZN US Equity</stp>
        <stp>OTHER_INS_RES_TO_SHRHLDR_EQY</stp>
        <stp>FQ1 2014</stp>
        <stp>FQ1 2014</stp>
        <stp>[AMZ_2009-2018.xlsx]Bal Sheet - Standardized!R70C23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70" s="3"/>
      </tp>
      <tp>
        <v>-614</v>
        <stp/>
        <stp>##V3_BDHV12</stp>
        <stp>AMZN US Equity</stp>
        <stp>OTHER_INS_RES_TO_SHRHLDR_EQY</stp>
        <stp>FQ1 2016</stp>
        <stp>FQ1 2016</stp>
        <stp>[AMZ_2009-2018.xlsx]Bal Sheet - Standardized!R70C31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70" s="3"/>
      </tp>
      <tp>
        <v>-174</v>
        <stp/>
        <stp>##V3_BDHV12</stp>
        <stp>AMZN US Equity</stp>
        <stp>OTHER_INS_RES_TO_SHRHLDR_EQY</stp>
        <stp>FQ1 2012</stp>
        <stp>FQ1 2012</stp>
        <stp>[AMZ_2009-2018.xlsx]Bal Sheet - Standardized!R70C15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70" s="3"/>
      </tp>
      <tp t="s">
        <v>—</v>
        <stp/>
        <stp>##V3_BDHV12</stp>
        <stp>AMZN US Equity</stp>
        <stp>BS_ACCRUED_LIABILITIES</stp>
        <stp>FQ1 2018</stp>
        <stp>FQ1 2018</stp>
        <stp>[AMZ_2009-2018.xlsx]Bal Sheet - Standardized!R56C39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6" s="3"/>
      </tp>
      <tp>
        <v>0</v>
        <stp/>
        <stp>##V3_BDHV12</stp>
        <stp>AMZN US Equity</stp>
        <stp>CF_DECR_INVEST</stp>
        <stp>FQ2 2009</stp>
        <stp>FQ2 2009</stp>
        <stp>[AMZ_2009-2018.xlsx]Cash Flow - Standardized!R30C4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0" s="4"/>
      </tp>
      <tp>
        <v>0</v>
        <stp/>
        <stp>##V3_BDHV12</stp>
        <stp>AMZN US Equity</stp>
        <stp>CF_INCR_INVEST</stp>
        <stp>FQ2 2009</stp>
        <stp>FQ2 2009</stp>
        <stp>[AMZ_2009-2018.xlsx]Cash Flow - Standardized!R31C4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1" s="4"/>
      </tp>
      <tp>
        <v>10696</v>
        <stp/>
        <stp>##V3_BDHV12</stp>
        <stp>AMZN US Equity</stp>
        <stp>BS_INVENTORIES</stp>
        <stp>FQ3 2016</stp>
        <stp>FQ3 2016</stp>
        <stp>[AMZ_2009-2018.xlsx]Bal Sheet - Standardized!R13C33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3" s="3"/>
      </tp>
      <tp>
        <v>7369</v>
        <stp/>
        <stp>##V3_BDHV12</stp>
        <stp>AMZN US Equity</stp>
        <stp>BS_INVENTORIES</stp>
        <stp>FQ1 2015</stp>
        <stp>FQ1 2015</stp>
        <stp>[AMZ_2009-2018.xlsx]Bal Sheet - Standardized!R13C27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3" s="3"/>
      </tp>
      <tp>
        <v>0</v>
        <stp/>
        <stp>##V3_BDHV12</stp>
        <stp>AMZN US Equity</stp>
        <stp>CF_INCR_INVEST</stp>
        <stp>FQ3 2010</stp>
        <stp>FQ3 2010</stp>
        <stp>[AMZ_2009-2018.xlsx]Cash Flow - Standardized!R31C9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1" s="4"/>
      </tp>
      <tp>
        <v>0</v>
        <stp/>
        <stp>##V3_BDHV12</stp>
        <stp>AMZN US Equity</stp>
        <stp>CF_DECR_INVEST</stp>
        <stp>FQ3 2010</stp>
        <stp>FQ3 2010</stp>
        <stp>[AMZ_2009-2018.xlsx]Cash Flow - Standardized!R30C9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0" s="4"/>
      </tp>
      <tp>
        <v>11510</v>
        <stp/>
        <stp>##V3_BDHV12</stp>
        <stp>AMZN US Equity</stp>
        <stp>BS_INVENTORIES</stp>
        <stp>FQ2 2017</stp>
        <stp>FQ2 2017</stp>
        <stp>[AMZ_2009-2018.xlsx]Bal Sheet - Standardized!R13C36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3" s="3"/>
      </tp>
      <tp>
        <v>1.1036999999999999</v>
        <stp/>
        <stp>##V3_BDHV12</stp>
        <stp>AMZN US Equity</stp>
        <stp>CUR_RATIO</stp>
        <stp>FQ2 2015</stp>
        <stp>FQ2 2015</stp>
        <stp>[AMZ_2009-2018.xlsx]Bal Sheet - Standardized!R86C28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86" s="3"/>
      </tp>
      <tp>
        <v>-103</v>
        <stp/>
        <stp>##V3_BDHV12</stp>
        <stp>AMZN US Equity</stp>
        <stp>PROC_FR_REPAYMNTS_BOR_DETAILED</stp>
        <stp>FQ4 2009</stp>
        <stp>FQ4 2009</stp>
        <stp>[AMZ_2009-2018.xlsx]Cash Flow - Standardized!R42C6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2" s="4"/>
      </tp>
      <tp>
        <v>0.52</v>
        <stp/>
        <stp>##V3_BDHV12</stp>
        <stp>AMZN US Equity</stp>
        <stp>IS_DIL_EPS_BEF_XO</stp>
        <stp>FQ3 2016</stp>
        <stp>FQ3 2016</stp>
        <stp>[AMZ_2009-2018.xlsx]Per Share!R18C33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18" s="5"/>
      </tp>
      <tp>
        <v>0.14000000000000001</v>
        <stp/>
        <stp>##V3_BDHV12</stp>
        <stp>AMZN US Equity</stp>
        <stp>IS_DIL_EPS_BEF_XO</stp>
        <stp>FQ3 2011</stp>
        <stp>FQ3 2011</stp>
        <stp>[AMZ_2009-2018.xlsx]Per Share!R18C13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18" s="5"/>
      </tp>
      <tp>
        <v>0.23</v>
        <stp/>
        <stp>##V3_BDHV12</stp>
        <stp>AMZN US Equity</stp>
        <stp>IS_DIL_EPS_BEF_XO</stp>
        <stp>FQ1 2014</stp>
        <stp>FQ1 2014</stp>
        <stp>[AMZ_2009-2018.xlsx]Per Share!R18C23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18" s="5"/>
      </tp>
      <tp>
        <v>0</v>
        <stp/>
        <stp>##V3_BDHV12</stp>
        <stp>AMZN US Equity</stp>
        <stp>MINORITY_NONCONTROLLING_INTEREST</stp>
        <stp>FQ3 2012</stp>
        <stp>FQ3 2012</stp>
        <stp>[AMZ_2009-2018.xlsx]Bal Sheet - Standardized!R72C17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2" s="3"/>
      </tp>
      <tp>
        <v>0</v>
        <stp/>
        <stp>##V3_BDHV12</stp>
        <stp>AMZN US Equity</stp>
        <stp>IS_OTHER_OPER_INC</stp>
        <stp>FQ2 2013</stp>
        <stp>FQ2 2013</stp>
        <stp>[AMZ_2009-2018.xlsx]Income - Adjusted!R11C20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1" s="2"/>
      </tp>
      <tp>
        <v>0</v>
        <stp/>
        <stp>##V3_BDHV12</stp>
        <stp>AMZN US Equity</stp>
        <stp>IS_OTHER_OPER_INC</stp>
        <stp>FQ2 2018</stp>
        <stp>FQ2 2018</stp>
        <stp>[AMZ_2009-2018.xlsx]Income - Adjusted!R11C40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1" s="2"/>
      </tp>
      <tp>
        <v>1704</v>
        <stp/>
        <stp>##V3_BDHV12</stp>
        <stp>AMZN US Equity</stp>
        <stp>BS_NET_FIX_ASSET</stp>
        <stp>FQ2 2010</stp>
        <stp>FQ2 2010</stp>
        <stp>[AMZ_2009-2018.xlsx]Bal Sheet - Standardized!R23C8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3" s="3"/>
      </tp>
      <tp>
        <v>0</v>
        <stp/>
        <stp>##V3_BDHV12</stp>
        <stp>AMZN US Equity</stp>
        <stp>IS_OTHER_OPER_INC</stp>
        <stp>FQ4 2010</stp>
        <stp>FQ4 2010</stp>
        <stp>[AMZ_2009-2018.xlsx]Income - Adjusted!R11C10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1" s="2"/>
      </tp>
      <tp>
        <v>0</v>
        <stp/>
        <stp>##V3_BDHV12</stp>
        <stp>AMZN US Equity</stp>
        <stp>IS_OTHER_OPER_INC</stp>
        <stp>FQ4 2015</stp>
        <stp>FQ4 2015</stp>
        <stp>[AMZ_2009-2018.xlsx]Income - Adjusted!R11C30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1" s="2"/>
      </tp>
      <tp>
        <v>0</v>
        <stp/>
        <stp>##V3_BDHV12</stp>
        <stp>AMZN US Equity</stp>
        <stp>MINORITY_NONCONTROLLING_INTEREST</stp>
        <stp>FQ4 2017</stp>
        <stp>FQ4 2017</stp>
        <stp>[AMZ_2009-2018.xlsx]Bal Sheet - Standardized!R72C38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2" s="3"/>
      </tp>
      <tp>
        <v>1086</v>
        <stp/>
        <stp>##V3_BDHV12</stp>
        <stp>AMZN US Equity</stp>
        <stp>BS_NET_FIX_ASSET</stp>
        <stp>FQ3 2009</stp>
        <stp>FQ3 2009</stp>
        <stp>[AMZ_2009-2018.xlsx]Bal Sheet - Standardized!R23C5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3" s="3"/>
      </tp>
      <tp>
        <v>5153</v>
        <stp/>
        <stp>##V3_BDHV12</stp>
        <stp>AMZN US Equity</stp>
        <stp>OTHER_CURRENT_LIABS_SUB_DETAILED</stp>
        <stp>FQ3 2017</stp>
        <stp>FQ3 2017</stp>
        <stp>[AMZ_2009-2018.xlsx]Bal Sheet - Standardized!R47C37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7" s="3"/>
      </tp>
      <tp>
        <v>3851</v>
        <stp/>
        <stp>##V3_BDHV12</stp>
        <stp>AMZN US Equity</stp>
        <stp>OTHER_CURRENT_LIABS_SUB_DETAILED</stp>
        <stp>FQ2 2016</stp>
        <stp>FQ2 2016</stp>
        <stp>[AMZ_2009-2018.xlsx]Bal Sheet - Standardized!R47C32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7" s="3"/>
      </tp>
      <tp>
        <v>1516</v>
        <stp/>
        <stp>##V3_BDHV12</stp>
        <stp>AMZN US Equity</stp>
        <stp>OTHER_CURRENT_LIABS_SUB_DETAILED</stp>
        <stp>FQ1 2014</stp>
        <stp>FQ1 2014</stp>
        <stp>[AMZ_2009-2018.xlsx]Bal Sheet - Standardized!R47C23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7" s="3"/>
      </tp>
      <tp>
        <v>0</v>
        <stp/>
        <stp>##V3_BDHV12</stp>
        <stp>AMZN US Equity</stp>
        <stp>OTHER_CURRENT_LIABS_SUB_DETAILED</stp>
        <stp>FQ4 2012</stp>
        <stp>FQ4 2012</stp>
        <stp>[AMZ_2009-2018.xlsx]Bal Sheet - Standardized!R47C18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7" s="3"/>
      </tp>
      <tp>
        <v>-126</v>
        <stp/>
        <stp>##V3_BDHV12</stp>
        <stp>AMZN US Equity</stp>
        <stp>IS_INC_BEF_XO_ITEM</stp>
        <stp>FQ2 2014</stp>
        <stp>FQ2 2014</stp>
        <stp>[AMZ_2009-2018.xlsx]Income - Adjusted!R34C24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4" s="2"/>
      </tp>
      <tp>
        <v>-437</v>
        <stp/>
        <stp>##V3_BDHV12</stp>
        <stp>AMZN US Equity</stp>
        <stp>IS_INC_BEF_XO_ITEM</stp>
        <stp>FQ3 2014</stp>
        <stp>FQ3 2014</stp>
        <stp>[AMZ_2009-2018.xlsx]Income - Adjusted!R34C25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4" s="2"/>
      </tp>
      <tp>
        <v>214</v>
        <stp/>
        <stp>##V3_BDHV12</stp>
        <stp>AMZN US Equity</stp>
        <stp>IS_INC_BEF_XO_ITEM</stp>
        <stp>FQ4 2014</stp>
        <stp>FQ4 2014</stp>
        <stp>[AMZ_2009-2018.xlsx]Income - Adjusted!R34C26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4" s="2"/>
      </tp>
      <tp>
        <v>482</v>
        <stp/>
        <stp>##V3_BDHV12</stp>
        <stp>AMZN US Equity</stp>
        <stp>IS_INC_BEF_XO_ITEM</stp>
        <stp>FQ4 2015</stp>
        <stp>FQ4 2015</stp>
        <stp>[AMZ_2009-2018.xlsx]Income - Adjusted!R34C30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4" s="2"/>
      </tp>
      <tp>
        <v>108</v>
        <stp/>
        <stp>##V3_BDHV12</stp>
        <stp>AMZN US Equity</stp>
        <stp>IS_INC_BEF_XO_ITEM</stp>
        <stp>FQ1 2014</stp>
        <stp>FQ1 2014</stp>
        <stp>[AMZ_2009-2018.xlsx]Income - Adjusted!R34C23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4" s="2"/>
      </tp>
      <tp>
        <v>0.01</v>
        <stp/>
        <stp>##V3_BDHV12</stp>
        <stp>AMZN US Equity</stp>
        <stp>IS_DILUTED_EPS</stp>
        <stp>FQ2 2012</stp>
        <stp>FQ2 2012</stp>
        <stp>[AMZ_2009-2018.xlsx]Income - Adjusted!R55C16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55" s="2"/>
      </tp>
      <tp>
        <v>-0.02</v>
        <stp/>
        <stp>##V3_BDHV12</stp>
        <stp>AMZN US Equity</stp>
        <stp>IS_DILUTED_EPS</stp>
        <stp>FQ2 2013</stp>
        <stp>FQ2 2013</stp>
        <stp>[AMZ_2009-2018.xlsx]Income - Adjusted!R55C20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55" s="2"/>
      </tp>
      <tp>
        <v>0.41</v>
        <stp/>
        <stp>##V3_BDHV12</stp>
        <stp>AMZN US Equity</stp>
        <stp>IS_DILUTED_EPS</stp>
        <stp>FQ2 2011</stp>
        <stp>FQ2 2011</stp>
        <stp>[AMZ_2009-2018.xlsx]Income - Adjusted!R55C12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55" s="2"/>
      </tp>
      <tp>
        <v>1.78</v>
        <stp/>
        <stp>##V3_BDHV12</stp>
        <stp>AMZN US Equity</stp>
        <stp>IS_DILUTED_EPS</stp>
        <stp>FQ2 2016</stp>
        <stp>FQ2 2016</stp>
        <stp>[AMZ_2009-2018.xlsx]Income - Adjusted!R55C32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55" s="2"/>
      </tp>
      <tp>
        <v>0.4</v>
        <stp/>
        <stp>##V3_BDHV12</stp>
        <stp>AMZN US Equity</stp>
        <stp>IS_DILUTED_EPS</stp>
        <stp>FQ2 2017</stp>
        <stp>FQ2 2017</stp>
        <stp>[AMZ_2009-2018.xlsx]Income - Adjusted!R55C36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55" s="2"/>
      </tp>
      <tp>
        <v>-0.27</v>
        <stp/>
        <stp>##V3_BDHV12</stp>
        <stp>AMZN US Equity</stp>
        <stp>IS_DILUTED_EPS</stp>
        <stp>FQ2 2014</stp>
        <stp>FQ2 2014</stp>
        <stp>[AMZ_2009-2018.xlsx]Income - Adjusted!R55C24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55" s="2"/>
      </tp>
      <tp>
        <v>465.68099999999998</v>
        <stp/>
        <stp>##V3_BDHV12</stp>
        <stp>AMZN US Equity</stp>
        <stp>EQY_SH_OUT</stp>
        <stp>FQ2 2015</stp>
        <stp>FQ2 2015</stp>
        <stp>[AMZ_2009-2018.xlsx]Stock Value!R13C28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13" s="6"/>
      </tp>
      <tp>
        <v>467.71</v>
        <stp/>
        <stp>##V3_BDHV12</stp>
        <stp>AMZN US Equity</stp>
        <stp>EQY_SH_OUT</stp>
        <stp>FQ3 2015</stp>
        <stp>FQ3 2015</stp>
        <stp>[AMZ_2009-2018.xlsx]Stock Value!R13C29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13" s="6"/>
      </tp>
      <tp>
        <v>0.19</v>
        <stp/>
        <stp>##V3_BDHV12</stp>
        <stp>AMZN US Equity</stp>
        <stp>IS_DILUTED_EPS</stp>
        <stp>FQ2 2015</stp>
        <stp>FQ2 2015</stp>
        <stp>[AMZ_2009-2018.xlsx]Income - Adjusted!R55C28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55" s="2"/>
      </tp>
      <tp>
        <v>5.07</v>
        <stp/>
        <stp>##V3_BDHV12</stp>
        <stp>AMZN US Equity</stp>
        <stp>IS_DILUTED_EPS</stp>
        <stp>FQ2 2018</stp>
        <stp>FQ2 2018</stp>
        <stp>[AMZ_2009-2018.xlsx]Income - Adjusted!R55C40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55" s="2"/>
      </tp>
      <tp>
        <v>14.689</v>
        <stp/>
        <stp>##V3_BDHV12</stp>
        <stp>AMZN US Equity</stp>
        <stp>REVENUE_PER_SH</stp>
        <stp>FQ2 2010</stp>
        <stp>FQ2 2010</stp>
        <stp>[AMZ_2009-2018.xlsx]Per Share!R11C8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11" s="5"/>
      </tp>
      <tp>
        <v>12.6134</v>
        <stp/>
        <stp>##V3_BDHV12</stp>
        <stp>AMZN US Equity</stp>
        <stp>REVENUE_PER_SH</stp>
        <stp>FQ3 2009</stp>
        <stp>FQ3 2009</stp>
        <stp>[AMZ_2009-2018.xlsx]Per Share!R11C5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11" s="5"/>
      </tp>
      <tp>
        <v>16.875</v>
        <stp/>
        <stp>##V3_BDHV12</stp>
        <stp>AMZN US Equity</stp>
        <stp>REVENUE_PER_SH</stp>
        <stp>FQ3 2010</stp>
        <stp>FQ3 2010</stp>
        <stp>[AMZ_2009-2018.xlsx]Per Share!R11C9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11" s="5"/>
      </tp>
      <tp>
        <v>10.7912</v>
        <stp/>
        <stp>##V3_BDHV12</stp>
        <stp>AMZN US Equity</stp>
        <stp>REVENUE_PER_SH</stp>
        <stp>FQ2 2009</stp>
        <stp>FQ2 2009</stp>
        <stp>[AMZ_2009-2018.xlsx]Per Share!R11C4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11" s="5"/>
      </tp>
      <tp>
        <v>11.3963</v>
        <stp/>
        <stp>##V3_BDHV12</stp>
        <stp>AMZN US Equity</stp>
        <stp>REVENUE_PER_SH</stp>
        <stp>FQ1 2009</stp>
        <stp>FQ1 2009</stp>
        <stp>[AMZ_2009-2018.xlsx]Per Share!R11C3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11" s="5"/>
      </tp>
      <tp>
        <v>16.024699999999999</v>
        <stp/>
        <stp>##V3_BDHV12</stp>
        <stp>AMZN US Equity</stp>
        <stp>REVENUE_PER_SH</stp>
        <stp>FQ1 2010</stp>
        <stp>FQ1 2010</stp>
        <stp>[AMZ_2009-2018.xlsx]Per Share!R11C7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11" s="5"/>
      </tp>
      <tp>
        <v>21.6341</v>
        <stp/>
        <stp>##V3_BDHV12</stp>
        <stp>AMZN US Equity</stp>
        <stp>REVENUE_PER_SH</stp>
        <stp>FQ4 2009</stp>
        <stp>FQ4 2009</stp>
        <stp>[AMZ_2009-2018.xlsx]Per Share!R11C6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11" s="5"/>
      </tp>
      <tp>
        <v>6031</v>
        <stp/>
        <stp>##V3_BDHV12</stp>
        <stp>AMZN US Equity</stp>
        <stp>BS_INVENTORIES</stp>
        <stp>FQ4 2012</stp>
        <stp>FQ4 2012</stp>
        <stp>[AMZ_2009-2018.xlsx]Bal Sheet - Standardized!R13C18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3" s="3"/>
      </tp>
      <tp>
        <v>6716</v>
        <stp/>
        <stp>##V3_BDHV12</stp>
        <stp>AMZN US Equity</stp>
        <stp>BS_INVENTORIES</stp>
        <stp>FQ1 2014</stp>
        <stp>FQ1 2014</stp>
        <stp>[AMZ_2009-2018.xlsx]Bal Sheet - Standardized!R13C23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3" s="3"/>
      </tp>
      <tp>
        <v>0</v>
        <stp/>
        <stp>##V3_BDHV12</stp>
        <stp>AMZN US Equity</stp>
        <stp>CF_DECR_INVEST</stp>
        <stp>FQ3 2009</stp>
        <stp>FQ3 2009</stp>
        <stp>[AMZ_2009-2018.xlsx]Cash Flow - Standardized!R30C5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0" s="4"/>
      </tp>
      <tp>
        <v>0</v>
        <stp/>
        <stp>##V3_BDHV12</stp>
        <stp>AMZN US Equity</stp>
        <stp>CF_INCR_INVEST</stp>
        <stp>FQ3 2009</stp>
        <stp>FQ3 2009</stp>
        <stp>[AMZ_2009-2018.xlsx]Cash Flow - Standardized!R31C5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1" s="4"/>
      </tp>
      <tp>
        <v>9588</v>
        <stp/>
        <stp>##V3_BDHV12</stp>
        <stp>AMZN US Equity</stp>
        <stp>BS_INVENTORIES</stp>
        <stp>FQ2 2016</stp>
        <stp>FQ2 2016</stp>
        <stp>[AMZ_2009-2018.xlsx]Bal Sheet - Standardized!R13C32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3" s="3"/>
      </tp>
      <tp>
        <v>0</v>
        <stp/>
        <stp>##V3_BDHV12</stp>
        <stp>AMZN US Equity</stp>
        <stp>CF_INCR_INVEST</stp>
        <stp>FQ2 2010</stp>
        <stp>FQ2 2010</stp>
        <stp>[AMZ_2009-2018.xlsx]Cash Flow - Standardized!R31C8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1" s="4"/>
      </tp>
      <tp>
        <v>0</v>
        <stp/>
        <stp>##V3_BDHV12</stp>
        <stp>AMZN US Equity</stp>
        <stp>CF_DECR_INVEST</stp>
        <stp>FQ2 2010</stp>
        <stp>FQ2 2010</stp>
        <stp>[AMZ_2009-2018.xlsx]Cash Flow - Standardized!R30C8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0" s="4"/>
      </tp>
      <tp>
        <v>13711</v>
        <stp/>
        <stp>##V3_BDHV12</stp>
        <stp>AMZN US Equity</stp>
        <stp>BS_INVENTORIES</stp>
        <stp>FQ3 2017</stp>
        <stp>FQ3 2017</stp>
        <stp>[AMZ_2009-2018.xlsx]Bal Sheet - Standardized!R13C37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3" s="3"/>
      </tp>
      <tp>
        <v>1.0822000000000001</v>
        <stp/>
        <stp>##V3_BDHV12</stp>
        <stp>AMZN US Equity</stp>
        <stp>CUR_RATIO</stp>
        <stp>FQ3 2015</stp>
        <stp>FQ3 2015</stp>
        <stp>[AMZ_2009-2018.xlsx]Bal Sheet - Standardized!R86C29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86" s="3"/>
      </tp>
      <tp>
        <v>1.78</v>
        <stp/>
        <stp>##V3_BDHV12</stp>
        <stp>AMZN US Equity</stp>
        <stp>IS_DIL_EPS_BEF_XO</stp>
        <stp>FQ2 2016</stp>
        <stp>FQ2 2016</stp>
        <stp>[AMZ_2009-2018.xlsx]Per Share!R18C32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18" s="5"/>
      </tp>
      <tp>
        <v>0.41</v>
        <stp/>
        <stp>##V3_BDHV12</stp>
        <stp>AMZN US Equity</stp>
        <stp>IS_DIL_EPS_BEF_XO</stp>
        <stp>FQ2 2011</stp>
        <stp>FQ2 2011</stp>
        <stp>[AMZ_2009-2018.xlsx]Per Share!R18C12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18" s="5"/>
      </tp>
      <tp>
        <v>0.51</v>
        <stp/>
        <stp>##V3_BDHV12</stp>
        <stp>AMZN US Equity</stp>
        <stp>IS_DIL_EPS_BEF_XO</stp>
        <stp>FQ4 2013</stp>
        <stp>FQ4 2013</stp>
        <stp>[AMZ_2009-2018.xlsx]Per Share!R18C22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18" s="5"/>
      </tp>
      <tp>
        <v>0</v>
        <stp/>
        <stp>##V3_BDHV12</stp>
        <stp>AMZN US Equity</stp>
        <stp>MINORITY_NONCONTROLLING_INTEREST</stp>
        <stp>FQ1 2011</stp>
        <stp>FQ1 2011</stp>
        <stp>[AMZ_2009-2018.xlsx]Bal Sheet - Standardized!R72C11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2" s="3"/>
      </tp>
      <tp>
        <v>0</v>
        <stp/>
        <stp>##V3_BDHV12</stp>
        <stp>AMZN US Equity</stp>
        <stp>MINORITY_NONCONTROLLING_INTEREST</stp>
        <stp>FQ4 2016</stp>
        <stp>FQ4 2016</stp>
        <stp>[AMZ_2009-2018.xlsx]Bal Sheet - Standardized!R72C34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2" s="3"/>
      </tp>
      <tp>
        <v>0</v>
        <stp/>
        <stp>##V3_BDHV12</stp>
        <stp>AMZN US Equity</stp>
        <stp>MINORITY_NONCONTROLLING_INTEREST</stp>
        <stp>FQ2 2012</stp>
        <stp>FQ2 2012</stp>
        <stp>[AMZ_2009-2018.xlsx]Bal Sheet - Standardized!R72C16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2" s="3"/>
      </tp>
      <tp>
        <v>0</v>
        <stp/>
        <stp>##V3_BDHV12</stp>
        <stp>AMZN US Equity</stp>
        <stp>IS_OTHER_OPER_INC</stp>
        <stp>FQ3 2013</stp>
        <stp>FQ3 2013</stp>
        <stp>[AMZ_2009-2018.xlsx]Income - Adjusted!R11C21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1" s="2"/>
      </tp>
      <tp>
        <v>0</v>
        <stp/>
        <stp>##V3_BDHV12</stp>
        <stp>AMZN US Equity</stp>
        <stp>IS_OTHER_OPER_INC</stp>
        <stp>FQ1 2016</stp>
        <stp>FQ1 2016</stp>
        <stp>[AMZ_2009-2018.xlsx]Income - Adjusted!R11C31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1" s="2"/>
      </tp>
      <tp>
        <v>0</v>
        <stp/>
        <stp>##V3_BDHV12</stp>
        <stp>AMZN US Equity</stp>
        <stp>IS_OTHER_OPER_INC</stp>
        <stp>FQ1 2011</stp>
        <stp>FQ1 2011</stp>
        <stp>[AMZ_2009-2018.xlsx]Income - Adjusted!R11C11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1" s="2"/>
      </tp>
      <tp t="s">
        <v>—</v>
        <stp/>
        <stp>##V3_BDHV12</stp>
        <stp>AMZN US Equity</stp>
        <stp>BS_TAXES_PAYABLE</stp>
        <stp>FQ4 2009</stp>
        <stp>FQ4 2009</stp>
        <stp>[AMZ_2009-2018.xlsx]Bal Sheet - Standardized!R40C6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0" s="3"/>
      </tp>
      <tp>
        <v>2099</v>
        <stp/>
        <stp>##V3_BDHV12</stp>
        <stp>AMZN US Equity</stp>
        <stp>BS_NET_FIX_ASSET</stp>
        <stp>FQ3 2010</stp>
        <stp>FQ3 2010</stp>
        <stp>[AMZ_2009-2018.xlsx]Bal Sheet - Standardized!R23C9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3" s="3"/>
      </tp>
      <tp>
        <v>981</v>
        <stp/>
        <stp>##V3_BDHV12</stp>
        <stp>AMZN US Equity</stp>
        <stp>BS_NET_FIX_ASSET</stp>
        <stp>FQ2 2009</stp>
        <stp>FQ2 2009</stp>
        <stp>[AMZ_2009-2018.xlsx]Bal Sheet - Standardized!R23C4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3" s="3"/>
      </tp>
      <tp>
        <v>5065</v>
        <stp/>
        <stp>##V3_BDHV12</stp>
        <stp>AMZN US Equity</stp>
        <stp>OTHER_CURRENT_LIABS_SUB_DETAILED</stp>
        <stp>FQ2 2017</stp>
        <stp>FQ2 2017</stp>
        <stp>[AMZ_2009-2018.xlsx]Bal Sheet - Standardized!R47C36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7" s="3"/>
      </tp>
      <tp>
        <v>2420</v>
        <stp/>
        <stp>##V3_BDHV12</stp>
        <stp>AMZN US Equity</stp>
        <stp>OTHER_CURRENT_LIABS_SUB_DETAILED</stp>
        <stp>FQ1 2015</stp>
        <stp>FQ1 2015</stp>
        <stp>[AMZ_2009-2018.xlsx]Bal Sheet - Standardized!R47C27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7" s="3"/>
      </tp>
      <tp>
        <v>1417.62</v>
        <stp/>
        <stp>##V3_BDHV12</stp>
        <stp>AMZN US Equity</stp>
        <stp>PX_OPEN</stp>
        <stp>FQ2 2018</stp>
        <stp>FQ2 2018</stp>
        <stp>[AMZ_2009-2018.xlsx]Stock Value!R8C40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8" s="6"/>
      </tp>
      <tp>
        <v>4200</v>
        <stp/>
        <stp>##V3_BDHV12</stp>
        <stp>AMZN US Equity</stp>
        <stp>OTHER_CURRENT_LIABS_SUB_DETAILED</stp>
        <stp>FQ3 2016</stp>
        <stp>FQ3 2016</stp>
        <stp>[AMZ_2009-2018.xlsx]Bal Sheet - Standardized!R47C33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7" s="3"/>
      </tp>
      <tp>
        <v>233.84</v>
        <stp/>
        <stp>##V3_BDHV12</stp>
        <stp>AMZN US Equity</stp>
        <stp>PX_HIGH</stp>
        <stp>FQ2 2012</stp>
        <stp>FQ2 2012</stp>
        <stp>[AMZ_2009-2018.xlsx]Stock Value!R9C16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9" s="6"/>
      </tp>
      <tp>
        <v>264.11</v>
        <stp/>
        <stp>##V3_BDHV12</stp>
        <stp>AMZN US Equity</stp>
        <stp>PX_HIGH</stp>
        <stp>FQ3 2012</stp>
        <stp>FQ3 2012</stp>
        <stp>[AMZ_2009-2018.xlsx]Stock Value!R9C17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9" s="6"/>
      </tp>
      <tp>
        <v>696.44</v>
        <stp/>
        <stp>##V3_BDHV12</stp>
        <stp>AMZN US Equity</stp>
        <stp>PX_HIGH</stp>
        <stp>FQ4 2015</stp>
        <stp>FQ4 2015</stp>
        <stp>[AMZ_2009-2018.xlsx]Stock Value!R9C30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9" s="6"/>
      </tp>
      <tp>
        <v>398.8</v>
        <stp/>
        <stp>##V3_BDHV12</stp>
        <stp>AMZN US Equity</stp>
        <stp>PX_OPEN</stp>
        <stp>FQ1 2014</stp>
        <stp>FQ1 2014</stp>
        <stp>[AMZ_2009-2018.xlsx]Stock Value!R8C23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8" s="6"/>
      </tp>
      <tp>
        <v>209.85</v>
        <stp/>
        <stp>##V3_BDHV12</stp>
        <stp>AMZN US Equity</stp>
        <stp>PX_HIGH</stp>
        <stp>FQ1 2012</stp>
        <stp>FQ1 2012</stp>
        <stp>[AMZ_2009-2018.xlsx]Stock Value!R9C15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9" s="6"/>
      </tp>
      <tp>
        <v>185.65</v>
        <stp/>
        <stp>##V3_BDHV12</stp>
        <stp>AMZN US Equity</stp>
        <stp>PX_HIGH</stp>
        <stp>FQ4 2010</stp>
        <stp>FQ4 2010</stp>
        <stp>[AMZ_2009-2018.xlsx]Stock Value!R9C10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9" s="6"/>
      </tp>
      <tp>
        <v>1083.31</v>
        <stp/>
        <stp>##V3_BDHV12</stp>
        <stp>AMZN US Equity</stp>
        <stp>PX_HIGH</stp>
        <stp>FQ3 2017</stp>
        <stp>FQ3 2017</stp>
        <stp>[AMZ_2009-2018.xlsx]Stock Value!R9C37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9" s="6"/>
      </tp>
      <tp>
        <v>1017</v>
        <stp/>
        <stp>##V3_BDHV12</stp>
        <stp>AMZN US Equity</stp>
        <stp>PX_HIGH</stp>
        <stp>FQ2 2017</stp>
        <stp>FQ2 2017</stp>
        <stp>[AMZ_2009-2018.xlsx]Stock Value!R9C36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9" s="6"/>
      </tp>
      <tp>
        <v>279</v>
        <stp/>
        <stp>##V3_BDHV12</stp>
        <stp>AMZN US Equity</stp>
        <stp>PX_OPEN</stp>
        <stp>FQ3 2013</stp>
        <stp>FQ3 2013</stp>
        <stp>[AMZ_2009-2018.xlsx]Stock Value!R8C21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8" s="6"/>
      </tp>
      <tp>
        <v>322.04000000000002</v>
        <stp/>
        <stp>##V3_BDHV12</stp>
        <stp>AMZN US Equity</stp>
        <stp>PX_OPEN</stp>
        <stp>FQ4 2014</stp>
        <stp>FQ4 2014</stp>
        <stp>[AMZ_2009-2018.xlsx]Stock Value!R8C26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8" s="6"/>
      </tp>
      <tp>
        <v>890.35</v>
        <stp/>
        <stp>##V3_BDHV12</stp>
        <stp>AMZN US Equity</stp>
        <stp>PX_HIGH</stp>
        <stp>FQ1 2017</stp>
        <stp>FQ1 2017</stp>
        <stp>[AMZ_2009-2018.xlsx]Stock Value!R9C35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9" s="6"/>
      </tp>
      <tp>
        <v>266.98</v>
        <stp/>
        <stp>##V3_BDHV12</stp>
        <stp>AMZN US Equity</stp>
        <stp>PX_OPEN</stp>
        <stp>FQ2 2013</stp>
        <stp>FQ2 2013</stp>
        <stp>[AMZ_2009-2018.xlsx]Stock Value!R8C20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8" s="6"/>
      </tp>
      <tp>
        <v>749</v>
        <stp/>
        <stp>##V3_BDHV12</stp>
        <stp>AMZN US Equity</stp>
        <stp>IS_INC_BEF_XO_ITEM</stp>
        <stp>FQ4 2016</stp>
        <stp>FQ4 2016</stp>
        <stp>[AMZ_2009-2018.xlsx]Income - Adjusted!R34C34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4" s="2"/>
      </tp>
      <tp>
        <v>513</v>
        <stp/>
        <stp>##V3_BDHV12</stp>
        <stp>AMZN US Equity</stp>
        <stp>IS_INC_BEF_XO_ITEM</stp>
        <stp>FQ1 2016</stp>
        <stp>FQ1 2016</stp>
        <stp>[AMZ_2009-2018.xlsx]Income - Adjusted!R34C31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4" s="2"/>
      </tp>
      <tp>
        <v>37846</v>
        <stp/>
        <stp>##V3_BDHV12</stp>
        <stp>AMZN US Equity</stp>
        <stp>ACCT_PAYABLE_&amp;_ACCRUALS_DETAILED</stp>
        <stp>FQ2 2018</stp>
        <stp>FQ2 2018</stp>
        <stp>[AMZ_2009-2018.xlsx]Bal Sheet - Standardized!R38C40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8" s="3"/>
      </tp>
      <tp>
        <v>857</v>
        <stp/>
        <stp>##V3_BDHV12</stp>
        <stp>AMZN US Equity</stp>
        <stp>IS_INC_BEF_XO_ITEM</stp>
        <stp>FQ2 2016</stp>
        <stp>FQ2 2016</stp>
        <stp>[AMZ_2009-2018.xlsx]Income - Adjusted!R34C32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4" s="2"/>
      </tp>
      <tp>
        <v>252</v>
        <stp/>
        <stp>##V3_BDHV12</stp>
        <stp>AMZN US Equity</stp>
        <stp>IS_INC_BEF_XO_ITEM</stp>
        <stp>FQ3 2016</stp>
        <stp>FQ3 2016</stp>
        <stp>[AMZ_2009-2018.xlsx]Income - Adjusted!R34C33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4" s="2"/>
      </tp>
      <tp>
        <v>0.44</v>
        <stp/>
        <stp>##V3_BDHV12</stp>
        <stp>AMZN US Equity</stp>
        <stp>IS_DILUTED_EPS</stp>
        <stp>FQ1 2011</stp>
        <stp>FQ1 2011</stp>
        <stp>[AMZ_2009-2018.xlsx]Income - Adjusted!R55C11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55" s="2"/>
      </tp>
      <tp>
        <v>0.18</v>
        <stp/>
        <stp>##V3_BDHV12</stp>
        <stp>AMZN US Equity</stp>
        <stp>IS_DILUTED_EPS</stp>
        <stp>FQ1 2013</stp>
        <stp>FQ1 2013</stp>
        <stp>[AMZ_2009-2018.xlsx]Income - Adjusted!R55C19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55" s="2"/>
      </tp>
      <tp>
        <v>0.28000000000000003</v>
        <stp/>
        <stp>##V3_BDHV12</stp>
        <stp>AMZN US Equity</stp>
        <stp>IS_DILUTED_EPS</stp>
        <stp>FQ1 2012</stp>
        <stp>FQ1 2012</stp>
        <stp>[AMZ_2009-2018.xlsx]Income - Adjusted!R55C15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55" s="2"/>
      </tp>
      <tp>
        <v>-0.12</v>
        <stp/>
        <stp>##V3_BDHV12</stp>
        <stp>AMZN US Equity</stp>
        <stp>IS_DILUTED_EPS</stp>
        <stp>FQ1 2015</stp>
        <stp>FQ1 2015</stp>
        <stp>[AMZ_2009-2018.xlsx]Income - Adjusted!R55C27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55" s="2"/>
      </tp>
      <tp>
        <v>0.23</v>
        <stp/>
        <stp>##V3_BDHV12</stp>
        <stp>AMZN US Equity</stp>
        <stp>IS_DILUTED_EPS</stp>
        <stp>FQ1 2014</stp>
        <stp>FQ1 2014</stp>
        <stp>[AMZ_2009-2018.xlsx]Income - Adjusted!R55C23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55" s="2"/>
      </tp>
      <tp>
        <v>1.48</v>
        <stp/>
        <stp>##V3_BDHV12</stp>
        <stp>AMZN US Equity</stp>
        <stp>IS_DILUTED_EPS</stp>
        <stp>FQ1 2017</stp>
        <stp>FQ1 2017</stp>
        <stp>[AMZ_2009-2018.xlsx]Income - Adjusted!R55C35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55" s="2"/>
      </tp>
      <tp>
        <v>1.07</v>
        <stp/>
        <stp>##V3_BDHV12</stp>
        <stp>AMZN US Equity</stp>
        <stp>IS_DILUTED_EPS</stp>
        <stp>FQ1 2016</stp>
        <stp>FQ1 2016</stp>
        <stp>[AMZ_2009-2018.xlsx]Income - Adjusted!R55C31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55" s="2"/>
      </tp>
      <tp>
        <v>3.27</v>
        <stp/>
        <stp>##V3_BDHV12</stp>
        <stp>AMZN US Equity</stp>
        <stp>IS_DILUTED_EPS</stp>
        <stp>FQ1 2018</stp>
        <stp>FQ1 2018</stp>
        <stp>[AMZ_2009-2018.xlsx]Income - Adjusted!R55C39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55" s="2"/>
      </tp>
      <tp>
        <v>-521</v>
        <stp/>
        <stp>##V3_BDHV12</stp>
        <stp>AMZN US Equity</stp>
        <stp>OTHER_INS_RES_TO_SHRHLDR_EQY</stp>
        <stp>FQ3 2016</stp>
        <stp>FQ3 2016</stp>
        <stp>[AMZ_2009-2018.xlsx]Bal Sheet - Standardized!R70C33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70" s="3"/>
      </tp>
      <tp>
        <v>-296</v>
        <stp/>
        <stp>##V3_BDHV12</stp>
        <stp>AMZN US Equity</stp>
        <stp>OTHER_INS_RES_TO_SHRHLDR_EQY</stp>
        <stp>FQ3 2012</stp>
        <stp>FQ3 2012</stp>
        <stp>[AMZ_2009-2018.xlsx]Bal Sheet - Standardized!R70C17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70" s="3"/>
      </tp>
      <tp>
        <v>-316</v>
        <stp/>
        <stp>##V3_BDHV12</stp>
        <stp>AMZN US Equity</stp>
        <stp>OTHER_INS_RES_TO_SHRHLDR_EQY</stp>
        <stp>FQ4 2011</stp>
        <stp>FQ4 2011</stp>
        <stp>[AMZ_2009-2018.xlsx]Bal Sheet - Standardized!R70C14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70" s="3"/>
      </tp>
      <tp>
        <v>-723</v>
        <stp/>
        <stp>##V3_BDHV12</stp>
        <stp>AMZN US Equity</stp>
        <stp>OTHER_INS_RES_TO_SHRHLDR_EQY</stp>
        <stp>FQ4 2015</stp>
        <stp>FQ4 2015</stp>
        <stp>[AMZ_2009-2018.xlsx]Bal Sheet - Standardized!R70C30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70" s="3"/>
      </tp>
      <tp>
        <v>7</v>
        <stp/>
        <stp>##V3_BDHV12</stp>
        <stp>AMZN US Equity</stp>
        <stp>IS_INT_EXPENSE</stp>
        <stp>FQ1 2010</stp>
        <stp>FQ1 2010</stp>
        <stp>[AMZ_2009-2018.xlsx]Income - Adjusted!R21C7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1" s="2"/>
      </tp>
      <tp>
        <v>0</v>
        <stp/>
        <stp>##V3_BDHV12</stp>
        <stp>AMZN US Equity</stp>
        <stp>CF_INCR_INVEST</stp>
        <stp>FQ1 2010</stp>
        <stp>FQ1 2010</stp>
        <stp>[AMZ_2009-2018.xlsx]Cash Flow - Standardized!R31C7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1" s="4"/>
      </tp>
      <tp>
        <v>0</v>
        <stp/>
        <stp>##V3_BDHV12</stp>
        <stp>AMZN US Equity</stp>
        <stp>CF_DECR_INVEST</stp>
        <stp>FQ1 2010</stp>
        <stp>FQ1 2010</stp>
        <stp>[AMZ_2009-2018.xlsx]Cash Flow - Standardized!R30C7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0" s="4"/>
      </tp>
      <tp>
        <v>352.05500000000001</v>
        <stp/>
        <stp>##V3_BDHV12</stp>
        <stp>AMZN US Equity</stp>
        <stp>EQY_FLOAT</stp>
        <stp>FQ2 2010</stp>
        <stp>FQ2 2010</stp>
        <stp>[AMZ_2009-2018.xlsx]Stock Value!R14C8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14" s="6"/>
      </tp>
      <tp>
        <v>355.27499999999998</v>
        <stp/>
        <stp>##V3_BDHV12</stp>
        <stp>AMZN US Equity</stp>
        <stp>EQY_FLOAT</stp>
        <stp>FQ3 2010</stp>
        <stp>FQ3 2010</stp>
        <stp>[AMZ_2009-2018.xlsx]Stock Value!R14C9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14" s="6"/>
      </tp>
      <tp>
        <v>8981</v>
        <stp/>
        <stp>##V3_BDHV12</stp>
        <stp>AMZN US Equity</stp>
        <stp>BS_INVENTORIES</stp>
        <stp>FQ3 2015</stp>
        <stp>FQ3 2015</stp>
        <stp>[AMZ_2009-2018.xlsx]Bal Sheet - Standardized!R13C29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3" s="3"/>
      </tp>
      <tp>
        <v>9582</v>
        <stp/>
        <stp>##V3_BDHV12</stp>
        <stp>AMZN US Equity</stp>
        <stp>BS_INVENTORIES</stp>
        <stp>FQ1 2016</stp>
        <stp>FQ1 2016</stp>
        <stp>[AMZ_2009-2018.xlsx]Bal Sheet - Standardized!R13C31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3" s="3"/>
      </tp>
      <tp>
        <v>-1</v>
        <stp/>
        <stp>##V3_BDHV12</stp>
        <stp>AMZN US Equity</stp>
        <stp>CF_DEF_INC_TAX</stp>
        <stp>FQ4 2009</stp>
        <stp>FQ4 2009</stp>
        <stp>[AMZ_2009-2018.xlsx]Cash Flow - Standardized!R11C6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1" s="4"/>
      </tp>
      <tp>
        <v>4992</v>
        <stp/>
        <stp>##V3_BDHV12</stp>
        <stp>AMZN US Equity</stp>
        <stp>BS_INVENTORIES</stp>
        <stp>FQ4 2011</stp>
        <stp>FQ4 2011</stp>
        <stp>[AMZ_2009-2018.xlsx]Bal Sheet - Standardized!R13C14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3" s="3"/>
      </tp>
      <tp>
        <v>6644</v>
        <stp/>
        <stp>##V3_BDHV12</stp>
        <stp>AMZN US Equity</stp>
        <stp>BS_INVENTORIES</stp>
        <stp>FQ2 2014</stp>
        <stp>FQ2 2014</stp>
        <stp>[AMZ_2009-2018.xlsx]Bal Sheet - Standardized!R13C24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3" s="3"/>
      </tp>
      <tp>
        <v>1</v>
        <stp/>
        <stp>##V3_BDHV12</stp>
        <stp>AMZN US Equity</stp>
        <stp>IS_GAIN_LOSS_ON_INVESTMENTS</stp>
        <stp>FQ4 2009</stp>
        <stp>FQ4 2009</stp>
        <stp>[AMZ_2009-2018.xlsx]Income - Adjusted!R29C6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9" s="2"/>
      </tp>
      <tp>
        <v>23509</v>
        <stp/>
        <stp>##V3_BDHV12</stp>
        <stp>AMZN US Equity</stp>
        <stp>BS_FUTURE_MIN_OPER_LEASE_OBLIG</stp>
        <stp>FQ1 2018</stp>
        <stp>FQ1 2018</stp>
        <stp>[AMZ_2009-2018.xlsx]Bal Sheet - Standardized!R81C39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81" s="3"/>
      </tp>
      <tp>
        <v>1.04</v>
        <stp/>
        <stp>##V3_BDHV12</stp>
        <stp>AMZN US Equity</stp>
        <stp>CUR_RATIO</stp>
        <stp>FQ4 2017</stp>
        <stp>FQ4 2017</stp>
        <stp>[AMZ_2009-2018.xlsx]Bal Sheet - Standardized!R86C38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86" s="3"/>
      </tp>
      <tp>
        <v>-0.09</v>
        <stp/>
        <stp>##V3_BDHV12</stp>
        <stp>AMZN US Equity</stp>
        <stp>IS_DIL_EPS_BEF_XO</stp>
        <stp>FQ3 2013</stp>
        <stp>FQ3 2013</stp>
        <stp>[AMZ_2009-2018.xlsx]Per Share!R18C21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18" s="5"/>
      </tp>
      <tp>
        <v>1.07</v>
        <stp/>
        <stp>##V3_BDHV12</stp>
        <stp>AMZN US Equity</stp>
        <stp>IS_DIL_EPS_BEF_XO</stp>
        <stp>FQ1 2016</stp>
        <stp>FQ1 2016</stp>
        <stp>[AMZ_2009-2018.xlsx]Per Share!R18C31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18" s="5"/>
      </tp>
      <tp>
        <v>0.44</v>
        <stp/>
        <stp>##V3_BDHV12</stp>
        <stp>AMZN US Equity</stp>
        <stp>IS_DIL_EPS_BEF_XO</stp>
        <stp>FQ1 2011</stp>
        <stp>FQ1 2011</stp>
        <stp>[AMZ_2009-2018.xlsx]Per Share!R18C11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18" s="5"/>
      </tp>
      <tp>
        <v>0</v>
        <stp/>
        <stp>##V3_BDHV12</stp>
        <stp>AMZN US Equity</stp>
        <stp>MINORITY_NONCONTROLLING_INTEREST</stp>
        <stp>FQ4 2014</stp>
        <stp>FQ4 2014</stp>
        <stp>[AMZ_2009-2018.xlsx]Bal Sheet - Standardized!R72C26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2" s="3"/>
      </tp>
      <tp>
        <v>0</v>
        <stp/>
        <stp>##V3_BDHV12</stp>
        <stp>AMZN US Equity</stp>
        <stp>MINORITY_NONCONTROLLING_INTEREST</stp>
        <stp>FQ3 2013</stp>
        <stp>FQ3 2013</stp>
        <stp>[AMZ_2009-2018.xlsx]Bal Sheet - Standardized!R72C21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2" s="3"/>
      </tp>
      <tp>
        <v>0</v>
        <stp/>
        <stp>##V3_BDHV12</stp>
        <stp>AMZN US Equity</stp>
        <stp>MINORITY_NONCONTROLLING_INTEREST</stp>
        <stp>FQ2 2011</stp>
        <stp>FQ2 2011</stp>
        <stp>[AMZ_2009-2018.xlsx]Bal Sheet - Standardized!R72C12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2" s="3"/>
      </tp>
      <tp>
        <v>0</v>
        <stp/>
        <stp>##V3_BDHV12</stp>
        <stp>AMZN US Equity</stp>
        <stp>MINORITY_NONCONTROLLING_INTEREST</stp>
        <stp>FQ4 2015</stp>
        <stp>FQ4 2015</stp>
        <stp>[AMZ_2009-2018.xlsx]Bal Sheet - Standardized!R72C30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2" s="3"/>
      </tp>
      <tp>
        <v>0</v>
        <stp/>
        <stp>##V3_BDHV12</stp>
        <stp>AMZN US Equity</stp>
        <stp>MINORITY_NONCONTROLLING_INTEREST</stp>
        <stp>FQ1 2012</stp>
        <stp>FQ1 2012</stp>
        <stp>[AMZ_2009-2018.xlsx]Bal Sheet - Standardized!R72C15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2" s="3"/>
      </tp>
      <tp>
        <v>0</v>
        <stp/>
        <stp>##V3_BDHV12</stp>
        <stp>AMZN US Equity</stp>
        <stp>IS_OTHER_OPER_INC</stp>
        <stp>FQ2 2016</stp>
        <stp>FQ2 2016</stp>
        <stp>[AMZ_2009-2018.xlsx]Income - Adjusted!R11C32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1" s="2"/>
      </tp>
      <tp>
        <v>0</v>
        <stp/>
        <stp>##V3_BDHV12</stp>
        <stp>AMZN US Equity</stp>
        <stp>IS_OTHER_OPER_INC</stp>
        <stp>FQ2 2011</stp>
        <stp>FQ2 2011</stp>
        <stp>[AMZ_2009-2018.xlsx]Income - Adjusted!R11C12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1" s="2"/>
      </tp>
      <tp>
        <v>889</v>
        <stp/>
        <stp>##V3_BDHV12</stp>
        <stp>AMZN US Equity</stp>
        <stp>BS_NET_FIX_ASSET</stp>
        <stp>FQ1 2009</stp>
        <stp>FQ1 2009</stp>
        <stp>[AMZ_2009-2018.xlsx]Bal Sheet - Standardized!R23C3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3"/>
      </tp>
      <tp>
        <v>0</v>
        <stp/>
        <stp>##V3_BDHV12</stp>
        <stp>AMZN US Equity</stp>
        <stp>IS_OTHER_OPER_INC</stp>
        <stp>FQ4 2013</stp>
        <stp>FQ4 2013</stp>
        <stp>[AMZ_2009-2018.xlsx]Income - Adjusted!R11C22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1" s="2"/>
      </tp>
      <tp>
        <v>0</v>
        <stp/>
        <stp>##V3_BDHV12</stp>
        <stp>AMZN US Equity</stp>
        <stp>OTHER_CURRENT_LIABS_SUB_DETAILED</stp>
        <stp>FQ4 2010</stp>
        <stp>FQ4 2010</stp>
        <stp>[AMZ_2009-2018.xlsx]Bal Sheet - Standardized!R47C10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7" s="3"/>
      </tp>
      <tp>
        <v>1814</v>
        <stp/>
        <stp>##V3_BDHV12</stp>
        <stp>AMZN US Equity</stp>
        <stp>OTHER_CURRENT_LIABS_SUB_DETAILED</stp>
        <stp>FQ3 2014</stp>
        <stp>FQ3 2014</stp>
        <stp>[AMZ_2009-2018.xlsx]Bal Sheet - Standardized!R47C25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7" s="3"/>
      </tp>
      <tp>
        <v>1159</v>
        <stp/>
        <stp>##V3_BDHV12</stp>
        <stp>AMZN US Equity</stp>
        <stp>OTHER_CURRENT_LIABS_SUB_DETAILED</stp>
        <stp>FQ4 2013</stp>
        <stp>FQ4 2013</stp>
        <stp>[AMZ_2009-2018.xlsx]Bal Sheet - Standardized!R47C22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7" s="3"/>
      </tp>
      <tp>
        <v>5454</v>
        <stp/>
        <stp>##V3_BDHV12</stp>
        <stp>AMZN US Equity</stp>
        <stp>OTHER_CURRENT_LIABS_SUB_DETAILED</stp>
        <stp>FQ1 2017</stp>
        <stp>FQ1 2017</stp>
        <stp>[AMZ_2009-2018.xlsx]Bal Sheet - Standardized!R47C35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7" s="3"/>
      </tp>
      <tp>
        <v>2562</v>
        <stp/>
        <stp>##V3_BDHV12</stp>
        <stp>AMZN US Equity</stp>
        <stp>OTHER_CURRENT_LIABS_SUB_DETAILED</stp>
        <stp>FQ2 2015</stp>
        <stp>FQ2 2015</stp>
        <stp>[AMZ_2009-2018.xlsx]Bal Sheet - Standardized!R47C28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7" s="3"/>
      </tp>
      <tp>
        <v>0</v>
        <stp/>
        <stp>##V3_BDHV12</stp>
        <stp>AMZN US Equity</stp>
        <stp>IS_DISCONTINUED_OPERATIONS</stp>
        <stp>FQ2 2018</stp>
        <stp>FQ2 2018</stp>
        <stp>[AMZ_2009-2018.xlsx]Income - Adjusted!R36C40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6" s="2"/>
      </tp>
      <tp>
        <v>724</v>
        <stp/>
        <stp>##V3_BDHV12</stp>
        <stp>AMZN US Equity</stp>
        <stp>IS_INC_BEF_XO_ITEM</stp>
        <stp>FQ1 2017</stp>
        <stp>FQ1 2017</stp>
        <stp>[AMZ_2009-2018.xlsx]Income - Adjusted!R34C35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4" s="2"/>
      </tp>
      <tp>
        <v>197</v>
        <stp/>
        <stp>##V3_BDHV12</stp>
        <stp>AMZN US Equity</stp>
        <stp>IS_INC_BEF_XO_ITEM</stp>
        <stp>FQ2 2017</stp>
        <stp>FQ2 2017</stp>
        <stp>[AMZ_2009-2018.xlsx]Income - Adjusted!R34C36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4" s="2"/>
      </tp>
      <tp>
        <v>256</v>
        <stp/>
        <stp>##V3_BDHV12</stp>
        <stp>AMZN US Equity</stp>
        <stp>IS_INC_BEF_XO_ITEM</stp>
        <stp>FQ3 2017</stp>
        <stp>FQ3 2017</stp>
        <stp>[AMZ_2009-2018.xlsx]Income - Adjusted!R34C37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4" s="2"/>
      </tp>
      <tp>
        <v>1856</v>
        <stp/>
        <stp>##V3_BDHV12</stp>
        <stp>AMZN US Equity</stp>
        <stp>IS_INC_BEF_XO_ITEM</stp>
        <stp>FQ4 2017</stp>
        <stp>FQ4 2017</stp>
        <stp>[AMZ_2009-2018.xlsx]Income - Adjusted!R34C38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4" s="2"/>
      </tp>
      <tp>
        <v>-571</v>
        <stp/>
        <stp>##V3_BDHV12</stp>
        <stp>AMZN US Equity</stp>
        <stp>OTHER_INS_RES_TO_SHRHLDR_EQY</stp>
        <stp>FQ2 2016</stp>
        <stp>FQ2 2016</stp>
        <stp>[AMZ_2009-2018.xlsx]Bal Sheet - Standardized!R70C32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70" s="3"/>
      </tp>
      <tp>
        <v>-328</v>
        <stp/>
        <stp>##V3_BDHV12</stp>
        <stp>AMZN US Equity</stp>
        <stp>OTHER_INS_RES_TO_SHRHLDR_EQY</stp>
        <stp>FQ2 2012</stp>
        <stp>FQ2 2012</stp>
        <stp>[AMZ_2009-2018.xlsx]Bal Sheet - Standardized!R70C16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70" s="3"/>
      </tp>
      <tp t="s">
        <v>—</v>
        <stp/>
        <stp>##V3_BDHV12</stp>
        <stp>AMZN US Equity</stp>
        <stp>BS_DEFERRED_TAX_ASSETS_ST</stp>
        <stp>FQ2 2018</stp>
        <stp>FQ2 2018</stp>
        <stp>[AMZ_2009-2018.xlsx]Bal Sheet - Standardized!R20C40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0" s="3"/>
      </tp>
      <tp t="s">
        <v>—</v>
        <stp/>
        <stp>##V3_BDHV12</stp>
        <stp>AMZN US Equity</stp>
        <stp>BS_DEFERRED_TAX_ASSETS_LT</stp>
        <stp>FQ2 2018</stp>
        <stp>FQ2 2018</stp>
        <stp>[AMZ_2009-2018.xlsx]Bal Sheet - Standardized!R31C40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1" s="3"/>
      </tp>
      <tp>
        <v>7470</v>
        <stp/>
        <stp>##V3_BDHV12</stp>
        <stp>AMZN US Equity</stp>
        <stp>BS_INVENTORIES</stp>
        <stp>FQ2 2015</stp>
        <stp>FQ2 2015</stp>
        <stp>[AMZ_2009-2018.xlsx]Bal Sheet - Standardized!R13C28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3" s="3"/>
      </tp>
      <tp>
        <v>10600</v>
        <stp/>
        <stp>##V3_BDHV12</stp>
        <stp>AMZN US Equity</stp>
        <stp>BS_INVENTORIES</stp>
        <stp>FQ1 2017</stp>
        <stp>FQ1 2017</stp>
        <stp>[AMZ_2009-2018.xlsx]Bal Sheet - Standardized!R13C35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3" s="3"/>
      </tp>
      <tp>
        <v>0</v>
        <stp/>
        <stp>##V3_BDHV12</stp>
        <stp>AMZN US Equity</stp>
        <stp>CF_DECR_INVEST</stp>
        <stp>FQ1 2009</stp>
        <stp>FQ1 2009</stp>
        <stp>[AMZ_2009-2018.xlsx]Cash Flow - Standardized!R30C3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4"/>
      </tp>
      <tp>
        <v>0</v>
        <stp/>
        <stp>##V3_BDHV12</stp>
        <stp>AMZN US Equity</stp>
        <stp>CF_INCR_INVEST</stp>
        <stp>FQ1 2009</stp>
        <stp>FQ1 2009</stp>
        <stp>[AMZ_2009-2018.xlsx]Cash Flow - Standardized!R31C3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4"/>
      </tp>
      <tp>
        <v>7316</v>
        <stp/>
        <stp>##V3_BDHV12</stp>
        <stp>AMZN US Equity</stp>
        <stp>BS_INVENTORIES</stp>
        <stp>FQ3 2014</stp>
        <stp>FQ3 2014</stp>
        <stp>[AMZ_2009-2018.xlsx]Bal Sheet - Standardized!R13C25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3" s="3"/>
      </tp>
      <tp>
        <v>7411</v>
        <stp/>
        <stp>##V3_BDHV12</stp>
        <stp>AMZN US Equity</stp>
        <stp>BS_INVENTORIES</stp>
        <stp>FQ4 2013</stp>
        <stp>FQ4 2013</stp>
        <stp>[AMZ_2009-2018.xlsx]Bal Sheet - Standardized!R13C22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3" s="3"/>
      </tp>
      <tp>
        <v>3202</v>
        <stp/>
        <stp>##V3_BDHV12</stp>
        <stp>AMZN US Equity</stp>
        <stp>BS_INVENTORIES</stp>
        <stp>FQ4 2010</stp>
        <stp>FQ4 2010</stp>
        <stp>[AMZ_2009-2018.xlsx]Bal Sheet - Standardized!R13C10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3" s="3"/>
      </tp>
      <tp>
        <v>-0.02</v>
        <stp/>
        <stp>##V3_BDHV12</stp>
        <stp>AMZN US Equity</stp>
        <stp>IS_DIL_EPS_BEF_XO</stp>
        <stp>FQ2 2013</stp>
        <stp>FQ2 2013</stp>
        <stp>[AMZ_2009-2018.xlsx]Per Share!R18C20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18" s="5"/>
      </tp>
      <tp>
        <v>5.07</v>
        <stp/>
        <stp>##V3_BDHV12</stp>
        <stp>AMZN US Equity</stp>
        <stp>IS_DIL_EPS_BEF_XO</stp>
        <stp>FQ2 2018</stp>
        <stp>FQ2 2018</stp>
        <stp>[AMZ_2009-2018.xlsx]Per Share!R18C40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18" s="5"/>
      </tp>
      <tp>
        <v>0.91</v>
        <stp/>
        <stp>##V3_BDHV12</stp>
        <stp>AMZN US Equity</stp>
        <stp>IS_DIL_EPS_BEF_XO</stp>
        <stp>FQ4 2010</stp>
        <stp>FQ4 2010</stp>
        <stp>[AMZ_2009-2018.xlsx]Per Share!R18C10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18" s="5"/>
      </tp>
      <tp>
        <v>1</v>
        <stp/>
        <stp>##V3_BDHV12</stp>
        <stp>AMZN US Equity</stp>
        <stp>IS_DIL_EPS_BEF_XO</stp>
        <stp>FQ4 2015</stp>
        <stp>FQ4 2015</stp>
        <stp>[AMZ_2009-2018.xlsx]Per Share!R18C30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18" s="5"/>
      </tp>
      <tp>
        <v>0</v>
        <stp/>
        <stp>##V3_BDHV12</stp>
        <stp>AMZN US Equity</stp>
        <stp>MINORITY_NONCONTROLLING_INTEREST</stp>
        <stp>FQ3 2011</stp>
        <stp>FQ3 2011</stp>
        <stp>[AMZ_2009-2018.xlsx]Bal Sheet - Standardized!R72C13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2" s="3"/>
      </tp>
      <tp>
        <v>0</v>
        <stp/>
        <stp>##V3_BDHV12</stp>
        <stp>AMZN US Equity</stp>
        <stp>MINORITY_NONCONTROLLING_INTEREST</stp>
        <stp>FQ2 2013</stp>
        <stp>FQ2 2013</stp>
        <stp>[AMZ_2009-2018.xlsx]Bal Sheet - Standardized!R72C20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2" s="3"/>
      </tp>
      <tp>
        <v>19524</v>
        <stp/>
        <stp>##V3_BDHV12</stp>
        <stp>AMZN US Equity</stp>
        <stp>NET_DEBT</stp>
        <stp>FQ1 2018</stp>
        <stp>FQ1 2018</stp>
        <stp>[AMZ_2009-2018.xlsx]Bal Sheet - Standardized!R83C39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83" s="3"/>
      </tp>
      <tp>
        <v>1436</v>
        <stp/>
        <stp>##V3_BDHV12</stp>
        <stp>AMZN US Equity</stp>
        <stp>BS_NET_FIX_ASSET</stp>
        <stp>FQ1 2010</stp>
        <stp>FQ1 2010</stp>
        <stp>[AMZ_2009-2018.xlsx]Bal Sheet - Standardized!R23C7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3" s="3"/>
      </tp>
      <tp>
        <v>0</v>
        <stp/>
        <stp>##V3_BDHV12</stp>
        <stp>AMZN US Equity</stp>
        <stp>IS_OTHER_OPER_INC</stp>
        <stp>FQ3 2016</stp>
        <stp>FQ3 2016</stp>
        <stp>[AMZ_2009-2018.xlsx]Income - Adjusted!R11C33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1" s="2"/>
      </tp>
      <tp>
        <v>0</v>
        <stp/>
        <stp>##V3_BDHV12</stp>
        <stp>AMZN US Equity</stp>
        <stp>IS_OTHER_OPER_INC</stp>
        <stp>FQ3 2011</stp>
        <stp>FQ3 2011</stp>
        <stp>[AMZ_2009-2018.xlsx]Income - Adjusted!R11C13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1" s="2"/>
      </tp>
      <tp>
        <v>0</v>
        <stp/>
        <stp>##V3_BDHV12</stp>
        <stp>AMZN US Equity</stp>
        <stp>MINORITY_NONCONTROLLING_INTEREST</stp>
        <stp>FQ1 2013</stp>
        <stp>FQ1 2013</stp>
        <stp>[AMZ_2009-2018.xlsx]Bal Sheet - Standardized!R72C19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2" s="3"/>
      </tp>
      <tp>
        <v>0</v>
        <stp/>
        <stp>##V3_BDHV12</stp>
        <stp>AMZN US Equity</stp>
        <stp>IS_OTHER_OPER_INC</stp>
        <stp>FQ1 2014</stp>
        <stp>FQ1 2014</stp>
        <stp>[AMZ_2009-2018.xlsx]Income - Adjusted!R11C23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1" s="2"/>
      </tp>
      <tp>
        <v>1606</v>
        <stp/>
        <stp>##V3_BDHV12</stp>
        <stp>AMZN US Equity</stp>
        <stp>OTHER_CURRENT_LIABS_SUB_DETAILED</stp>
        <stp>FQ2 2014</stp>
        <stp>FQ2 2014</stp>
        <stp>[AMZ_2009-2018.xlsx]Bal Sheet - Standardized!R47C24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7" s="3"/>
      </tp>
      <tp>
        <v>0</v>
        <stp/>
        <stp>##V3_BDHV12</stp>
        <stp>AMZN US Equity</stp>
        <stp>OTHER_CURRENT_LIABS_SUB_DETAILED</stp>
        <stp>FQ4 2011</stp>
        <stp>FQ4 2011</stp>
        <stp>[AMZ_2009-2018.xlsx]Bal Sheet - Standardized!R47C14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7" s="3"/>
      </tp>
      <tp>
        <v>3766</v>
        <stp/>
        <stp>##V3_BDHV12</stp>
        <stp>AMZN US Equity</stp>
        <stp>OTHER_CURRENT_LIABS_SUB_DETAILED</stp>
        <stp>FQ1 2016</stp>
        <stp>FQ1 2016</stp>
        <stp>[AMZ_2009-2018.xlsx]Bal Sheet - Standardized!R47C31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7" s="3"/>
      </tp>
      <tp>
        <v>656.29</v>
        <stp/>
        <stp>##V3_BDHV12</stp>
        <stp>AMZN US Equity</stp>
        <stp>PX_OPEN</stp>
        <stp>FQ1 2016</stp>
        <stp>FQ1 2016</stp>
        <stp>[AMZ_2009-2018.xlsx]Stock Value!R8C31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8" s="6"/>
      </tp>
      <tp>
        <v>590.49</v>
        <stp/>
        <stp>##V3_BDHV12</stp>
        <stp>AMZN US Equity</stp>
        <stp>PX_OPEN</stp>
        <stp>FQ2 2016</stp>
        <stp>FQ2 2016</stp>
        <stp>[AMZ_2009-2018.xlsx]Stock Value!R8C32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8" s="6"/>
      </tp>
      <tp>
        <v>217.01</v>
        <stp/>
        <stp>##V3_BDHV12</stp>
        <stp>AMZN US Equity</stp>
        <stp>PX_OPEN</stp>
        <stp>FQ4 2011</stp>
        <stp>FQ4 2011</stp>
        <stp>[AMZ_2009-2018.xlsx]Stock Value!R8C14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8" s="6"/>
      </tp>
      <tp>
        <v>717.32</v>
        <stp/>
        <stp>##V3_BDHV12</stp>
        <stp>AMZN US Equity</stp>
        <stp>PX_OPEN</stp>
        <stp>FQ3 2016</stp>
        <stp>FQ3 2016</stp>
        <stp>[AMZ_2009-2018.xlsx]Stock Value!R8C33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8" s="6"/>
      </tp>
      <tp>
        <v>3063</v>
        <stp/>
        <stp>##V3_BDHV12</stp>
        <stp>AMZN US Equity</stp>
        <stp>OTHER_CURRENT_LIABS_SUB_DETAILED</stp>
        <stp>FQ3 2015</stp>
        <stp>FQ3 2015</stp>
        <stp>[AMZ_2009-2018.xlsx]Bal Sheet - Standardized!R47C29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7" s="3"/>
      </tp>
      <tp>
        <v>205.55</v>
        <stp/>
        <stp>##V3_BDHV12</stp>
        <stp>AMZN US Equity</stp>
        <stp>PX_OPEN</stp>
        <stp>FQ3 2011</stp>
        <stp>FQ3 2011</stp>
        <stp>[AMZ_2009-2018.xlsx]Stock Value!R8C13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8" s="6"/>
      </tp>
      <tp>
        <v>836</v>
        <stp/>
        <stp>##V3_BDHV12</stp>
        <stp>AMZN US Equity</stp>
        <stp>PX_OPEN</stp>
        <stp>FQ4 2016</stp>
        <stp>FQ4 2016</stp>
        <stp>[AMZ_2009-2018.xlsx]Stock Value!R8C34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8" s="6"/>
      </tp>
      <tp>
        <v>389.37</v>
        <stp/>
        <stp>##V3_BDHV12</stp>
        <stp>AMZN US Equity</stp>
        <stp>PX_HIGH</stp>
        <stp>FQ1 2015</stp>
        <stp>FQ1 2015</stp>
        <stp>[AMZ_2009-2018.xlsx]Stock Value!R9C27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9" s="6"/>
      </tp>
      <tp>
        <v>181.58</v>
        <stp/>
        <stp>##V3_BDHV12</stp>
        <stp>AMZN US Equity</stp>
        <stp>PX_OPEN</stp>
        <stp>FQ2 2011</stp>
        <stp>FQ2 2011</stp>
        <stp>[AMZ_2009-2018.xlsx]Stock Value!R8C12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8" s="6"/>
      </tp>
      <tp>
        <v>181.37</v>
        <stp/>
        <stp>##V3_BDHV12</stp>
        <stp>AMZN US Equity</stp>
        <stp>PX_OPEN</stp>
        <stp>FQ1 2011</stp>
        <stp>FQ1 2011</stp>
        <stp>[AMZ_2009-2018.xlsx]Stock Value!R8C11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8" s="6"/>
      </tp>
      <tp>
        <v>348.29500000000002</v>
        <stp/>
        <stp>##V3_BDHV12</stp>
        <stp>AMZN US Equity</stp>
        <stp>PX_HIGH</stp>
        <stp>FQ2 2014</stp>
        <stp>FQ2 2014</stp>
        <stp>[AMZ_2009-2018.xlsx]Stock Value!R9C24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9" s="6"/>
      </tp>
      <tp>
        <v>405.63</v>
        <stp/>
        <stp>##V3_BDHV12</stp>
        <stp>AMZN US Equity</stp>
        <stp>PX_HIGH</stp>
        <stp>FQ4 2013</stp>
        <stp>FQ4 2013</stp>
        <stp>[AMZ_2009-2018.xlsx]Stock Value!R9C22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9" s="6"/>
      </tp>
      <tp>
        <v>364.85</v>
        <stp/>
        <stp>##V3_BDHV12</stp>
        <stp>AMZN US Equity</stp>
        <stp>PX_HIGH</stp>
        <stp>FQ3 2014</stp>
        <stp>FQ3 2014</stp>
        <stp>[AMZ_2009-2018.xlsx]Stock Value!R9C25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9" s="6"/>
      </tp>
      <tp>
        <v>0</v>
        <stp/>
        <stp>##V3_BDHV12</stp>
        <stp>AMZN US Equity</stp>
        <stp>IS_DISCONTINUED_OPERATIONS</stp>
        <stp>FQ1 2018</stp>
        <stp>FQ1 2018</stp>
        <stp>[AMZ_2009-2018.xlsx]Income - Adjusted!R36C39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6" s="2"/>
      </tp>
      <tp>
        <v>130</v>
        <stp/>
        <stp>##V3_BDHV12</stp>
        <stp>AMZN US Equity</stp>
        <stp>IS_INC_BEF_XO_ITEM</stp>
        <stp>FQ1 2012</stp>
        <stp>FQ1 2012</stp>
        <stp>[AMZ_2009-2018.xlsx]Income - Adjusted!R34C15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4" s="2"/>
      </tp>
      <tp>
        <v>7</v>
        <stp/>
        <stp>##V3_BDHV12</stp>
        <stp>AMZN US Equity</stp>
        <stp>IS_INC_BEF_XO_ITEM</stp>
        <stp>FQ2 2012</stp>
        <stp>FQ2 2012</stp>
        <stp>[AMZ_2009-2018.xlsx]Income - Adjusted!R34C16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4" s="2"/>
      </tp>
      <tp>
        <v>-274</v>
        <stp/>
        <stp>##V3_BDHV12</stp>
        <stp>AMZN US Equity</stp>
        <stp>IS_INC_BEF_XO_ITEM</stp>
        <stp>FQ3 2012</stp>
        <stp>FQ3 2012</stp>
        <stp>[AMZ_2009-2018.xlsx]Income - Adjusted!R34C17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4" s="2"/>
      </tp>
      <tp>
        <v>97</v>
        <stp/>
        <stp>##V3_BDHV12</stp>
        <stp>AMZN US Equity</stp>
        <stp>IS_INC_BEF_XO_ITEM</stp>
        <stp>FQ4 2012</stp>
        <stp>FQ4 2012</stp>
        <stp>[AMZ_2009-2018.xlsx]Income - Adjusted!R34C18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4" s="2"/>
      </tp>
      <tp>
        <v>-319</v>
        <stp/>
        <stp>##V3_BDHV12</stp>
        <stp>AMZN US Equity</stp>
        <stp>OTHER_INS_RES_TO_SHRHLDR_EQY</stp>
        <stp>FQ2 2013</stp>
        <stp>FQ2 2013</stp>
        <stp>[AMZ_2009-2018.xlsx]Bal Sheet - Standardized!R70C20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70" s="3"/>
      </tp>
      <tp>
        <v>-30</v>
        <stp/>
        <stp>##V3_BDHV12</stp>
        <stp>AMZN US Equity</stp>
        <stp>OTHER_INS_RES_TO_SHRHLDR_EQY</stp>
        <stp>FQ2 2011</stp>
        <stp>FQ2 2011</stp>
        <stp>[AMZ_2009-2018.xlsx]Bal Sheet - Standardized!R70C12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70" s="3"/>
      </tp>
      <tp>
        <v>485.22699999999998</v>
        <stp/>
        <stp>##V3_BDHV12</stp>
        <stp>AMZN US Equity</stp>
        <stp>EQY_SH_OUT</stp>
        <stp>FQ2 2018</stp>
        <stp>FQ2 2018</stp>
        <stp>[AMZ_2009-2018.xlsx]Stock Value!R13C40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13" s="6"/>
      </tp>
      <tp>
        <v>0</v>
        <stp/>
        <stp>##V3_BDHV12</stp>
        <stp>AMZN US Equity</stp>
        <stp>IS_TOT_CASH_PFD_DVD</stp>
        <stp>FQ1 2010</stp>
        <stp>FQ1 2010</stp>
        <stp>[AMZ_2009-2018.xlsx]Income - Adjusted!R41C7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1" s="2"/>
      </tp>
      <tp>
        <v>4255</v>
        <stp/>
        <stp>##V3_BDHV12</stp>
        <stp>AMZN US Equity</stp>
        <stp>BS_INVENTORIES</stp>
        <stp>FQ1 2012</stp>
        <stp>FQ1 2012</stp>
        <stp>[AMZ_2009-2018.xlsx]Bal Sheet - Standardized!R13C15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3" s="3"/>
      </tp>
      <tp>
        <v>-16</v>
        <stp/>
        <stp>##V3_BDHV12</stp>
        <stp>AMZN US Equity</stp>
        <stp>CF_DEF_INC_TAX</stp>
        <stp>FQ3 2010</stp>
        <stp>FQ3 2010</stp>
        <stp>[AMZ_2009-2018.xlsx]Cash Flow - Standardized!R11C9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1" s="4"/>
      </tp>
      <tp>
        <v>10243</v>
        <stp/>
        <stp>##V3_BDHV12</stp>
        <stp>AMZN US Equity</stp>
        <stp>BS_INVENTORIES</stp>
        <stp>FQ4 2015</stp>
        <stp>FQ4 2015</stp>
        <stp>[AMZ_2009-2018.xlsx]Bal Sheet - Standardized!R13C30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3" s="3"/>
      </tp>
      <tp>
        <v>3229</v>
        <stp/>
        <stp>##V3_BDHV12</stp>
        <stp>AMZN US Equity</stp>
        <stp>BS_INVENTORIES</stp>
        <stp>FQ2 2011</stp>
        <stp>FQ2 2011</stp>
        <stp>[AMZ_2009-2018.xlsx]Bal Sheet - Standardized!R13C12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3" s="3"/>
      </tp>
      <tp>
        <v>6068</v>
        <stp/>
        <stp>##V3_BDHV12</stp>
        <stp>AMZN US Equity</stp>
        <stp>BS_INVENTORIES</stp>
        <stp>FQ3 2013</stp>
        <stp>FQ3 2013</stp>
        <stp>[AMZ_2009-2018.xlsx]Bal Sheet - Standardized!R13C21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3" s="3"/>
      </tp>
      <tp>
        <v>8299</v>
        <stp/>
        <stp>##V3_BDHV12</stp>
        <stp>AMZN US Equity</stp>
        <stp>BS_INVENTORIES</stp>
        <stp>FQ4 2014</stp>
        <stp>FQ4 2014</stp>
        <stp>[AMZ_2009-2018.xlsx]Bal Sheet - Standardized!R13C26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3" s="3"/>
      </tp>
      <tp t="s">
        <v>—</v>
        <stp/>
        <stp>##V3_BDHV12</stp>
        <stp>AMZN US Equity</stp>
        <stp>BS_ACCRUED_LIABILITIES</stp>
        <stp>FQ2 2018</stp>
        <stp>FQ2 2018</stp>
        <stp>[AMZ_2009-2018.xlsx]Bal Sheet - Standardized!R56C40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6" s="3"/>
      </tp>
      <tp>
        <v>6</v>
        <stp/>
        <stp>##V3_BDHV12</stp>
        <stp>AMZN US Equity</stp>
        <stp>CF_DEF_INC_TAX</stp>
        <stp>FQ2 2009</stp>
        <stp>FQ2 2009</stp>
        <stp>[AMZ_2009-2018.xlsx]Cash Flow - Standardized!R11C4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1" s="4"/>
      </tp>
      <tp>
        <v>-2</v>
        <stp/>
        <stp>##V3_BDHV12</stp>
        <stp>AMZN US Equity</stp>
        <stp>IS_GAIN_LOSS_ON_INVESTMENTS</stp>
        <stp>FQ2 2009</stp>
        <stp>FQ2 2009</stp>
        <stp>[AMZ_2009-2018.xlsx]Income - Adjusted!R29C4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9" s="2"/>
      </tp>
      <tp>
        <v>1</v>
        <stp/>
        <stp>##V3_BDHV12</stp>
        <stp>AMZN US Equity</stp>
        <stp>PROC_FR_REPAYMNTS_BOR_DETAILED</stp>
        <stp>FQ1 2010</stp>
        <stp>FQ1 2010</stp>
        <stp>[AMZ_2009-2018.xlsx]Cash Flow - Standardized!R42C7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2" s="4"/>
      </tp>
      <tp>
        <v>0</v>
        <stp/>
        <stp>##V3_BDHV12</stp>
        <stp>AMZN US Equity</stp>
        <stp>IS_TOT_CASH_COM_DVD</stp>
        <stp>FQ1 2010</stp>
        <stp>FQ1 2010</stp>
        <stp>[AMZ_2009-2018.xlsx]Income - Adjusted!R70C7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0" s="2"/>
      </tp>
      <tp>
        <v>0.52</v>
        <stp/>
        <stp>##V3_BDHV12</stp>
        <stp>AMZN US Equity</stp>
        <stp>IS_DIL_EPS_BEF_XO</stp>
        <stp>FQ3 2017</stp>
        <stp>FQ3 2017</stp>
        <stp>[AMZ_2009-2018.xlsx]Per Share!R18C37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18" s="5"/>
      </tp>
      <tp>
        <v>-0.6</v>
        <stp/>
        <stp>##V3_BDHV12</stp>
        <stp>AMZN US Equity</stp>
        <stp>IS_DIL_EPS_BEF_XO</stp>
        <stp>FQ3 2012</stp>
        <stp>FQ3 2012</stp>
        <stp>[AMZ_2009-2018.xlsx]Per Share!R18C17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18" s="5"/>
      </tp>
      <tp>
        <v>-0.12</v>
        <stp/>
        <stp>##V3_BDHV12</stp>
        <stp>AMZN US Equity</stp>
        <stp>IS_DIL_EPS_BEF_XO</stp>
        <stp>FQ1 2015</stp>
        <stp>FQ1 2015</stp>
        <stp>[AMZ_2009-2018.xlsx]Per Share!R18C27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18" s="5"/>
      </tp>
      <tp>
        <v>0</v>
        <stp/>
        <stp>##V3_BDHV12</stp>
        <stp>AMZN US Equity</stp>
        <stp>MINORITY_NONCONTROLLING_INTEREST</stp>
        <stp>FQ2 2014</stp>
        <stp>FQ2 2014</stp>
        <stp>[AMZ_2009-2018.xlsx]Bal Sheet - Standardized!R72C24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2" s="3"/>
      </tp>
      <tp>
        <v>0</v>
        <stp/>
        <stp>##V3_BDHV12</stp>
        <stp>AMZN US Equity</stp>
        <stp>MINORITY_NONCONTROLLING_INTEREST</stp>
        <stp>FQ4 2011</stp>
        <stp>FQ4 2011</stp>
        <stp>[AMZ_2009-2018.xlsx]Bal Sheet - Standardized!R72C14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2" s="3"/>
      </tp>
      <tp>
        <v>0</v>
        <stp/>
        <stp>##V3_BDHV12</stp>
        <stp>AMZN US Equity</stp>
        <stp>MINORITY_NONCONTROLLING_INTEREST</stp>
        <stp>FQ1 2016</stp>
        <stp>FQ1 2016</stp>
        <stp>[AMZ_2009-2018.xlsx]Bal Sheet - Standardized!R72C31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2" s="3"/>
      </tp>
      <tp>
        <v>0</v>
        <stp/>
        <stp>##V3_BDHV12</stp>
        <stp>AMZN US Equity</stp>
        <stp>IS_OTHER_OPER_INC</stp>
        <stp>FQ2 2014</stp>
        <stp>FQ2 2014</stp>
        <stp>[AMZ_2009-2018.xlsx]Income - Adjusted!R11C24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1" s="2"/>
      </tp>
      <tp t="s">
        <v>—</v>
        <stp/>
        <stp>##V3_BDHV12</stp>
        <stp>AMZN US Equity</stp>
        <stp>BS_TAXES_PAYABLE</stp>
        <stp>FQ1 2009</stp>
        <stp>FQ1 2009</stp>
        <stp>[AMZ_2009-2018.xlsx]Bal Sheet - Standardized!R40C3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0" s="3"/>
      </tp>
      <tp>
        <v>0</v>
        <stp/>
        <stp>##V3_BDHV12</stp>
        <stp>AMZN US Equity</stp>
        <stp>MINORITY_NONCONTROLLING_INTEREST</stp>
        <stp>FQ3 2015</stp>
        <stp>FQ3 2015</stp>
        <stp>[AMZ_2009-2018.xlsx]Bal Sheet - Standardized!R72C29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2" s="3"/>
      </tp>
      <tp>
        <v>0</v>
        <stp/>
        <stp>##V3_BDHV12</stp>
        <stp>AMZN US Equity</stp>
        <stp>IS_OTHER_OPER_INC</stp>
        <stp>FQ4 2011</stp>
        <stp>FQ4 2011</stp>
        <stp>[AMZ_2009-2018.xlsx]Income - Adjusted!R11C14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1" s="2"/>
      </tp>
      <tp>
        <v>0</v>
        <stp/>
        <stp>##V3_BDHV12</stp>
        <stp>AMZN US Equity</stp>
        <stp>IS_OTHER_OPER_INC</stp>
        <stp>FQ4 2016</stp>
        <stp>FQ4 2016</stp>
        <stp>[AMZ_2009-2018.xlsx]Income - Adjusted!R11C34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1" s="2"/>
      </tp>
      <tp>
        <v>0</v>
        <stp/>
        <stp>##V3_BDHV12</stp>
        <stp>AMZN US Equity</stp>
        <stp>OTHER_CURRENT_LIABS_SUB_DETAILED</stp>
        <stp>FQ3 2011</stp>
        <stp>FQ3 2011</stp>
        <stp>[AMZ_2009-2018.xlsx]Bal Sheet - Standardized!R47C13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7" s="3"/>
      </tp>
      <tp>
        <v>0</v>
        <stp/>
        <stp>##V3_BDHV12</stp>
        <stp>AMZN US Equity</stp>
        <stp>OTHER_CURRENT_LIABS_SUB_DETAILED</stp>
        <stp>FQ2 2013</stp>
        <stp>FQ2 2013</stp>
        <stp>[AMZ_2009-2018.xlsx]Bal Sheet - Standardized!R47C20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7" s="3"/>
      </tp>
      <tp>
        <v>0</v>
        <stp/>
        <stp>##V3_BDHV12</stp>
        <stp>AMZN US Equity</stp>
        <stp>OTHER_CURRENT_LIABS_SUB_DETAILED</stp>
        <stp>FQ1 2013</stp>
        <stp>FQ1 2013</stp>
        <stp>[AMZ_2009-2018.xlsx]Bal Sheet - Standardized!R47C19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7" s="3"/>
      </tp>
      <tp>
        <v>82</v>
        <stp/>
        <stp>##V3_BDHV12</stp>
        <stp>AMZN US Equity</stp>
        <stp>IS_INC_BEF_XO_ITEM</stp>
        <stp>FQ1 2013</stp>
        <stp>FQ1 2013</stp>
        <stp>[AMZ_2009-2018.xlsx]Income - Adjusted!R34C19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4" s="2"/>
      </tp>
      <tp>
        <v>454.55099999999999</v>
        <stp/>
        <stp>##V3_BDHV12</stp>
        <stp>AMZN US Equity</stp>
        <stp>EQY_SH_OUT</stp>
        <stp>FQ1 2013</stp>
        <stp>FQ1 2013</stp>
        <stp>[AMZ_2009-2018.xlsx]Stock Value!R13C19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13" s="6"/>
      </tp>
      <tp>
        <v>481.87200000000001</v>
        <stp/>
        <stp>##V3_BDHV12</stp>
        <stp>AMZN US Equity</stp>
        <stp>EQY_SH_OUT</stp>
        <stp>FQ4 2017</stp>
        <stp>FQ4 2017</stp>
        <stp>[AMZ_2009-2018.xlsx]Stock Value!R13C38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13" s="6"/>
      </tp>
      <tp>
        <v>-752</v>
        <stp/>
        <stp>##V3_BDHV12</stp>
        <stp>AMZN US Equity</stp>
        <stp>OTHER_INS_RES_TO_SHRHLDR_EQY</stp>
        <stp>FQ1 2015</stp>
        <stp>FQ1 2015</stp>
        <stp>[AMZ_2009-2018.xlsx]Bal Sheet - Standardized!R70C27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70" s="3"/>
      </tp>
      <tp>
        <v>-797</v>
        <stp/>
        <stp>##V3_BDHV12</stp>
        <stp>AMZN US Equity</stp>
        <stp>OTHER_INS_RES_TO_SHRHLDR_EQY</stp>
        <stp>FQ1 2017</stp>
        <stp>FQ1 2017</stp>
        <stp>[AMZ_2009-2018.xlsx]Bal Sheet - Standardized!R70C35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70" s="3"/>
      </tp>
      <tp>
        <v>-241</v>
        <stp/>
        <stp>##V3_BDHV12</stp>
        <stp>AMZN US Equity</stp>
        <stp>OTHER_INS_RES_TO_SHRHLDR_EQY</stp>
        <stp>FQ3 2011</stp>
        <stp>FQ3 2011</stp>
        <stp>[AMZ_2009-2018.xlsx]Bal Sheet - Standardized!R70C13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70" s="3"/>
      </tp>
      <tp>
        <v>-206</v>
        <stp/>
        <stp>##V3_BDHV12</stp>
        <stp>AMZN US Equity</stp>
        <stp>OTHER_INS_RES_TO_SHRHLDR_EQY</stp>
        <stp>FQ3 2013</stp>
        <stp>FQ3 2013</stp>
        <stp>[AMZ_2009-2018.xlsx]Bal Sheet - Standardized!R70C21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70" s="3"/>
      </tp>
      <tp>
        <v>-511</v>
        <stp/>
        <stp>##V3_BDHV12</stp>
        <stp>AMZN US Equity</stp>
        <stp>OTHER_INS_RES_TO_SHRHLDR_EQY</stp>
        <stp>FQ4 2014</stp>
        <stp>FQ4 2014</stp>
        <stp>[AMZ_2009-2018.xlsx]Bal Sheet - Standardized!R70C26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70" s="3"/>
      </tp>
      <tp>
        <v>-985</v>
        <stp/>
        <stp>##V3_BDHV12</stp>
        <stp>AMZN US Equity</stp>
        <stp>OTHER_INS_RES_TO_SHRHLDR_EQY</stp>
        <stp>FQ4 2016</stp>
        <stp>FQ4 2016</stp>
        <stp>[AMZ_2009-2018.xlsx]Bal Sheet - Standardized!R70C34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70" s="3"/>
      </tp>
      <tp>
        <v>5395</v>
        <stp/>
        <stp>##V3_BDHV12</stp>
        <stp>AMZN US Equity</stp>
        <stp>BS_INVENTORIES</stp>
        <stp>FQ1 2013</stp>
        <stp>FQ1 2013</stp>
        <stp>[AMZ_2009-2018.xlsx]Bal Sheet - Standardized!R13C19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3" s="3"/>
      </tp>
      <tp>
        <v>-8</v>
        <stp/>
        <stp>##V3_BDHV12</stp>
        <stp>AMZN US Equity</stp>
        <stp>CF_DEF_INC_TAX</stp>
        <stp>FQ2 2010</stp>
        <stp>FQ2 2010</stp>
        <stp>[AMZ_2009-2018.xlsx]Cash Flow - Standardized!R11C8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1" s="4"/>
      </tp>
      <tp>
        <v>5420</v>
        <stp/>
        <stp>##V3_BDHV12</stp>
        <stp>AMZN US Equity</stp>
        <stp>BS_INVENTORIES</stp>
        <stp>FQ2 2013</stp>
        <stp>FQ2 2013</stp>
        <stp>[AMZ_2009-2018.xlsx]Bal Sheet - Standardized!R13C20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3" s="3"/>
      </tp>
      <tp>
        <v>3770</v>
        <stp/>
        <stp>##V3_BDHV12</stp>
        <stp>AMZN US Equity</stp>
        <stp>BS_INVENTORIES</stp>
        <stp>FQ3 2011</stp>
        <stp>FQ3 2011</stp>
        <stp>[AMZ_2009-2018.xlsx]Bal Sheet - Standardized!R13C13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3" s="3"/>
      </tp>
      <tp>
        <v>77</v>
        <stp/>
        <stp>##V3_BDHV12</stp>
        <stp>AMZN US Equity</stp>
        <stp>CF_DEF_INC_TAX</stp>
        <stp>FQ3 2009</stp>
        <stp>FQ3 2009</stp>
        <stp>[AMZ_2009-2018.xlsx]Cash Flow - Standardized!R11C5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1" s="4"/>
      </tp>
      <tp>
        <v>-1</v>
        <stp/>
        <stp>##V3_BDHV12</stp>
        <stp>AMZN US Equity</stp>
        <stp>IS_GAIN_LOSS_ON_INVESTMENTS</stp>
        <stp>FQ3 2009</stp>
        <stp>FQ3 2009</stp>
        <stp>[AMZ_2009-2018.xlsx]Income - Adjusted!R29C5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9" s="2"/>
      </tp>
      <tp>
        <v>1.0724</v>
        <stp/>
        <stp>##V3_BDHV12</stp>
        <stp>AMZN US Equity</stp>
        <stp>CUR_RATIO</stp>
        <stp>FQ2 2018</stp>
        <stp>FQ2 2018</stp>
        <stp>[AMZ_2009-2018.xlsx]Bal Sheet - Standardized!R86C40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86" s="3"/>
      </tp>
      <tp>
        <v>0.4</v>
        <stp/>
        <stp>##V3_BDHV12</stp>
        <stp>AMZN US Equity</stp>
        <stp>IS_DIL_EPS_BEF_XO</stp>
        <stp>FQ2 2017</stp>
        <stp>FQ2 2017</stp>
        <stp>[AMZ_2009-2018.xlsx]Per Share!R18C36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18" s="5"/>
      </tp>
      <tp>
        <v>0.01</v>
        <stp/>
        <stp>##V3_BDHV12</stp>
        <stp>AMZN US Equity</stp>
        <stp>IS_DIL_EPS_BEF_XO</stp>
        <stp>FQ2 2012</stp>
        <stp>FQ2 2012</stp>
        <stp>[AMZ_2009-2018.xlsx]Per Share!R18C16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18" s="5"/>
      </tp>
      <tp>
        <v>-340</v>
        <stp/>
        <stp>##V3_BDHV12</stp>
        <stp>AMZN US Equity</stp>
        <stp>PROC_FR_REPAYMNTS_BOR_DETAILED</stp>
        <stp>FQ1 2009</stp>
        <stp>FQ1 2009</stp>
        <stp>[AMZ_2009-2018.xlsx]Cash Flow - Standardized!R42C3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2" s="4"/>
      </tp>
      <tp>
        <v>0.45</v>
        <stp/>
        <stp>##V3_BDHV12</stp>
        <stp>AMZN US Equity</stp>
        <stp>IS_DIL_EPS_BEF_XO</stp>
        <stp>FQ4 2014</stp>
        <stp>FQ4 2014</stp>
        <stp>[AMZ_2009-2018.xlsx]Per Share!R18C26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18" s="5"/>
      </tp>
      <tp>
        <v>0</v>
        <stp/>
        <stp>##V3_BDHV12</stp>
        <stp>AMZN US Equity</stp>
        <stp>MINORITY_NONCONTROLLING_INTEREST</stp>
        <stp>FQ4 2010</stp>
        <stp>FQ4 2010</stp>
        <stp>[AMZ_2009-2018.xlsx]Bal Sheet - Standardized!R72C10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2" s="3"/>
      </tp>
      <tp>
        <v>0</v>
        <stp/>
        <stp>##V3_BDHV12</stp>
        <stp>AMZN US Equity</stp>
        <stp>MINORITY_NONCONTROLLING_INTEREST</stp>
        <stp>FQ4 2013</stp>
        <stp>FQ4 2013</stp>
        <stp>[AMZ_2009-2018.xlsx]Bal Sheet - Standardized!R72C22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2" s="3"/>
      </tp>
      <tp>
        <v>0</v>
        <stp/>
        <stp>##V3_BDHV12</stp>
        <stp>AMZN US Equity</stp>
        <stp>MINORITY_NONCONTROLLING_INTEREST</stp>
        <stp>FQ3 2014</stp>
        <stp>FQ3 2014</stp>
        <stp>[AMZ_2009-2018.xlsx]Bal Sheet - Standardized!R72C25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2" s="3"/>
      </tp>
      <tp>
        <v>0</v>
        <stp/>
        <stp>##V3_BDHV12</stp>
        <stp>AMZN US Equity</stp>
        <stp>MINORITY_NONCONTROLLING_INTEREST</stp>
        <stp>FQ1 2017</stp>
        <stp>FQ1 2017</stp>
        <stp>[AMZ_2009-2018.xlsx]Bal Sheet - Standardized!R72C35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2" s="3"/>
      </tp>
      <tp t="s">
        <v>—</v>
        <stp/>
        <stp>##V3_BDHV12</stp>
        <stp>AMZN US Equity</stp>
        <stp>BS_TAXES_PAYABLE</stp>
        <stp>FQ1 2010</stp>
        <stp>FQ1 2010</stp>
        <stp>[AMZ_2009-2018.xlsx]Bal Sheet - Standardized!R40C7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0" s="3"/>
      </tp>
      <tp>
        <v>0</v>
        <stp/>
        <stp>##V3_BDHV12</stp>
        <stp>AMZN US Equity</stp>
        <stp>IS_OTHER_OPER_INC</stp>
        <stp>FQ3 2014</stp>
        <stp>FQ3 2014</stp>
        <stp>[AMZ_2009-2018.xlsx]Income - Adjusted!R11C25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1" s="2"/>
      </tp>
      <tp>
        <v>0</v>
        <stp/>
        <stp>##V3_BDHV12</stp>
        <stp>AMZN US Equity</stp>
        <stp>IS_OTHER_OPER_INC</stp>
        <stp>FQ1 2017</stp>
        <stp>FQ1 2017</stp>
        <stp>[AMZ_2009-2018.xlsx]Income - Adjusted!R11C35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1" s="2"/>
      </tp>
      <tp>
        <v>0</v>
        <stp/>
        <stp>##V3_BDHV12</stp>
        <stp>AMZN US Equity</stp>
        <stp>IS_OTHER_OPER_INC</stp>
        <stp>FQ1 2012</stp>
        <stp>FQ1 2012</stp>
        <stp>[AMZ_2009-2018.xlsx]Income - Adjusted!R11C15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1" s="2"/>
      </tp>
      <tp>
        <v>0</v>
        <stp/>
        <stp>##V3_BDHV12</stp>
        <stp>AMZN US Equity</stp>
        <stp>MINORITY_NONCONTROLLING_INTEREST</stp>
        <stp>FQ2 2015</stp>
        <stp>FQ2 2015</stp>
        <stp>[AMZ_2009-2018.xlsx]Bal Sheet - Standardized!R72C28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2" s="3"/>
      </tp>
      <tp>
        <v>0</v>
        <stp/>
        <stp>##V3_BDHV12</stp>
        <stp>AMZN US Equity</stp>
        <stp>OTHER_CURRENT_LIABS_SUB_DETAILED</stp>
        <stp>FQ3 2013</stp>
        <stp>FQ3 2013</stp>
        <stp>[AMZ_2009-2018.xlsx]Bal Sheet - Standardized!R47C21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7" s="3"/>
      </tp>
      <tp>
        <v>1823</v>
        <stp/>
        <stp>##V3_BDHV12</stp>
        <stp>AMZN US Equity</stp>
        <stp>OTHER_CURRENT_LIABS_SUB_DETAILED</stp>
        <stp>FQ4 2014</stp>
        <stp>FQ4 2014</stp>
        <stp>[AMZ_2009-2018.xlsx]Bal Sheet - Standardized!R47C26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7" s="3"/>
      </tp>
      <tp>
        <v>0</v>
        <stp/>
        <stp>##V3_BDHV12</stp>
        <stp>AMZN US Equity</stp>
        <stp>OTHER_CURRENT_LIABS_SUB_DETAILED</stp>
        <stp>FQ2 2011</stp>
        <stp>FQ2 2011</stp>
        <stp>[AMZ_2009-2018.xlsx]Bal Sheet - Standardized!R47C12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7" s="3"/>
      </tp>
      <tp>
        <v>3118</v>
        <stp/>
        <stp>##V3_BDHV12</stp>
        <stp>AMZN US Equity</stp>
        <stp>OTHER_CURRENT_LIABS_SUB_DETAILED</stp>
        <stp>FQ4 2015</stp>
        <stp>FQ4 2015</stp>
        <stp>[AMZ_2009-2018.xlsx]Bal Sheet - Standardized!R47C30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7" s="3"/>
      </tp>
      <tp>
        <v>0</v>
        <stp/>
        <stp>##V3_BDHV12</stp>
        <stp>AMZN US Equity</stp>
        <stp>OTHER_CURRENT_LIABS_SUB_DETAILED</stp>
        <stp>FQ1 2012</stp>
        <stp>FQ1 2012</stp>
        <stp>[AMZ_2009-2018.xlsx]Bal Sheet - Standardized!R47C15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7" s="3"/>
      </tp>
      <tp>
        <v>338.09</v>
        <stp/>
        <stp>##V3_BDHV12</stp>
        <stp>AMZN US Equity</stp>
        <stp>PX_OPEN</stp>
        <stp>FQ2 2014</stp>
        <stp>FQ2 2014</stp>
        <stp>[AMZ_2009-2018.xlsx]Stock Value!R8C24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8" s="6"/>
      </tp>
      <tp>
        <v>191.6</v>
        <stp/>
        <stp>##V3_BDHV12</stp>
        <stp>AMZN US Equity</stp>
        <stp>PX_HIGH</stp>
        <stp>FQ1 2011</stp>
        <stp>FQ1 2011</stp>
        <stp>[AMZ_2009-2018.xlsx]Stock Value!R9C11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9" s="6"/>
      </tp>
      <tp>
        <v>314.22000000000003</v>
        <stp/>
        <stp>##V3_BDHV12</stp>
        <stp>AMZN US Equity</stp>
        <stp>PX_OPEN</stp>
        <stp>FQ4 2013</stp>
        <stp>FQ4 2013</stp>
        <stp>[AMZ_2009-2018.xlsx]Stock Value!R8C22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8" s="6"/>
      </tp>
      <tp>
        <v>325.86</v>
        <stp/>
        <stp>##V3_BDHV12</stp>
        <stp>AMZN US Equity</stp>
        <stp>PX_OPEN</stp>
        <stp>FQ3 2014</stp>
        <stp>FQ3 2014</stp>
        <stp>[AMZ_2009-2018.xlsx]Stock Value!R8C25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8" s="6"/>
      </tp>
      <tp>
        <v>312.58</v>
        <stp/>
        <stp>##V3_BDHV12</stp>
        <stp>AMZN US Equity</stp>
        <stp>PX_OPEN</stp>
        <stp>FQ1 2015</stp>
        <stp>FQ1 2015</stp>
        <stp>[AMZ_2009-2018.xlsx]Stock Value!R8C27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8" s="6"/>
      </tp>
      <tp>
        <v>244</v>
        <stp/>
        <stp>##V3_BDHV12</stp>
        <stp>AMZN US Equity</stp>
        <stp>PX_HIGH</stp>
        <stp>FQ3 2011</stp>
        <stp>FQ3 2011</stp>
        <stp>[AMZ_2009-2018.xlsx]Stock Value!R9C13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9" s="6"/>
      </tp>
      <tp>
        <v>847.21</v>
        <stp/>
        <stp>##V3_BDHV12</stp>
        <stp>AMZN US Equity</stp>
        <stp>PX_HIGH</stp>
        <stp>FQ4 2016</stp>
        <stp>FQ4 2016</stp>
        <stp>[AMZ_2009-2018.xlsx]Stock Value!R9C34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9" s="6"/>
      </tp>
      <tp>
        <v>206.39</v>
        <stp/>
        <stp>##V3_BDHV12</stp>
        <stp>AMZN US Equity</stp>
        <stp>PX_HIGH</stp>
        <stp>FQ2 2011</stp>
        <stp>FQ2 2011</stp>
        <stp>[AMZ_2009-2018.xlsx]Stock Value!R9C12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9" s="6"/>
      </tp>
      <tp>
        <v>731.5</v>
        <stp/>
        <stp>##V3_BDHV12</stp>
        <stp>AMZN US Equity</stp>
        <stp>PX_HIGH</stp>
        <stp>FQ2 2016</stp>
        <stp>FQ2 2016</stp>
        <stp>[AMZ_2009-2018.xlsx]Stock Value!R9C32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9" s="6"/>
      </tp>
      <tp>
        <v>246.71</v>
        <stp/>
        <stp>##V3_BDHV12</stp>
        <stp>AMZN US Equity</stp>
        <stp>PX_HIGH</stp>
        <stp>FQ4 2011</stp>
        <stp>FQ4 2011</stp>
        <stp>[AMZ_2009-2018.xlsx]Stock Value!R9C14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9" s="6"/>
      </tp>
      <tp>
        <v>839.95</v>
        <stp/>
        <stp>##V3_BDHV12</stp>
        <stp>AMZN US Equity</stp>
        <stp>PX_HIGH</stp>
        <stp>FQ3 2016</stp>
        <stp>FQ3 2016</stp>
        <stp>[AMZ_2009-2018.xlsx]Stock Value!R9C33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9" s="6"/>
      </tp>
      <tp>
        <v>657.71500000000003</v>
        <stp/>
        <stp>##V3_BDHV12</stp>
        <stp>AMZN US Equity</stp>
        <stp>PX_HIGH</stp>
        <stp>FQ1 2016</stp>
        <stp>FQ1 2016</stp>
        <stp>[AMZ_2009-2018.xlsx]Stock Value!R9C31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9" s="6"/>
      </tp>
      <tp>
        <v>416</v>
        <stp/>
        <stp>##V3_BDHV12</stp>
        <stp>AMZN US Equity</stp>
        <stp>IS_INC_BEF_XO_ITEM</stp>
        <stp>FQ4 2010</stp>
        <stp>FQ4 2010</stp>
        <stp>[AMZ_2009-2018.xlsx]Income - Adjusted!R34C10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4" s="2"/>
      </tp>
      <tp>
        <v>-7</v>
        <stp/>
        <stp>##V3_BDHV12</stp>
        <stp>AMZN US Equity</stp>
        <stp>IS_INC_BEF_XO_ITEM</stp>
        <stp>FQ2 2013</stp>
        <stp>FQ2 2013</stp>
        <stp>[AMZ_2009-2018.xlsx]Income - Adjusted!R34C20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4" s="2"/>
      </tp>
      <tp>
        <v>-41</v>
        <stp/>
        <stp>##V3_BDHV12</stp>
        <stp>AMZN US Equity</stp>
        <stp>IS_INC_BEF_XO_ITEM</stp>
        <stp>FQ3 2013</stp>
        <stp>FQ3 2013</stp>
        <stp>[AMZ_2009-2018.xlsx]Income - Adjusted!R34C21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4" s="2"/>
      </tp>
      <tp>
        <v>239</v>
        <stp/>
        <stp>##V3_BDHV12</stp>
        <stp>AMZN US Equity</stp>
        <stp>IS_INC_BEF_XO_ITEM</stp>
        <stp>FQ4 2013</stp>
        <stp>FQ4 2013</stp>
        <stp>[AMZ_2009-2018.xlsx]Income - Adjusted!R34C22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4" s="2"/>
      </tp>
      <tp>
        <v>35316</v>
        <stp/>
        <stp>##V3_BDHV12</stp>
        <stp>AMZN US Equity</stp>
        <stp>ACCT_PAYABLE_&amp;_ACCRUALS_DETAILED</stp>
        <stp>FQ1 2018</stp>
        <stp>FQ1 2018</stp>
        <stp>[AMZ_2009-2018.xlsx]Bal Sheet - Standardized!R38C39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8" s="3"/>
      </tp>
      <tp>
        <v>-467</v>
        <stp/>
        <stp>##V3_BDHV12</stp>
        <stp>AMZN US Equity</stp>
        <stp>OTHER_INS_RES_TO_SHRHLDR_EQY</stp>
        <stp>FQ1 2018</stp>
        <stp>FQ1 2018</stp>
        <stp>[AMZ_2009-2018.xlsx]Bal Sheet - Standardized!R70C39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70" s="3"/>
      </tp>
      <tp>
        <v>-607</v>
        <stp/>
        <stp>##V3_BDHV12</stp>
        <stp>AMZN US Equity</stp>
        <stp>OTHER_INS_RES_TO_SHRHLDR_EQY</stp>
        <stp>FQ2 2017</stp>
        <stp>FQ2 2017</stp>
        <stp>[AMZ_2009-2018.xlsx]Bal Sheet - Standardized!R70C36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70" s="3"/>
      </tp>
      <tp>
        <v>-394</v>
        <stp/>
        <stp>##V3_BDHV12</stp>
        <stp>AMZN US Equity</stp>
        <stp>OTHER_INS_RES_TO_SHRHLDR_EQY</stp>
        <stp>FQ3 2014</stp>
        <stp>FQ3 2014</stp>
        <stp>[AMZ_2009-2018.xlsx]Bal Sheet - Standardized!R70C25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70" s="3"/>
      </tp>
      <tp>
        <v>-185</v>
        <stp/>
        <stp>##V3_BDHV12</stp>
        <stp>AMZN US Equity</stp>
        <stp>OTHER_INS_RES_TO_SHRHLDR_EQY</stp>
        <stp>FQ4 2013</stp>
        <stp>FQ4 2013</stp>
        <stp>[AMZ_2009-2018.xlsx]Bal Sheet - Standardized!R70C22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70" s="3"/>
      </tp>
      <tp>
        <v>16047</v>
        <stp/>
        <stp>##V3_BDHV12</stp>
        <stp>AMZN US Equity</stp>
        <stp>BS_INVENTORIES</stp>
        <stp>FQ4 2017</stp>
        <stp>FQ4 2017</stp>
        <stp>[AMZ_2009-2018.xlsx]Bal Sheet - Standardized!R13C38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3" s="3"/>
      </tp>
      <tp>
        <v>-20</v>
        <stp/>
        <stp>##V3_BDHV12</stp>
        <stp>AMZN US Equity</stp>
        <stp>CF_DEF_INC_TAX</stp>
        <stp>FQ1 2010</stp>
        <stp>FQ1 2010</stp>
        <stp>[AMZ_2009-2018.xlsx]Cash Flow - Standardized!R11C7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1" s="4"/>
      </tp>
      <tp>
        <v>5065</v>
        <stp/>
        <stp>##V3_BDHV12</stp>
        <stp>AMZN US Equity</stp>
        <stp>BS_INVENTORIES</stp>
        <stp>FQ3 2012</stp>
        <stp>FQ3 2012</stp>
        <stp>[AMZ_2009-2018.xlsx]Bal Sheet - Standardized!R13C17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3" s="3"/>
      </tp>
      <tp>
        <v>0</v>
        <stp/>
        <stp>##V3_BDHV12</stp>
        <stp>AMZN US Equity</stp>
        <stp>IS_TOT_CASH_PFD_DVD</stp>
        <stp>FQ3 2010</stp>
        <stp>FQ3 2010</stp>
        <stp>[AMZ_2009-2018.xlsx]Income - Adjusted!R41C9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1" s="2"/>
      </tp>
      <tp>
        <v>0</v>
        <stp/>
        <stp>##V3_BDHV12</stp>
        <stp>AMZN US Equity</stp>
        <stp>CF_DECR_INVEST</stp>
        <stp>FQ4 2009</stp>
        <stp>FQ4 2009</stp>
        <stp>[AMZ_2009-2018.xlsx]Cash Flow - Standardized!R30C6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0" s="4"/>
      </tp>
      <tp>
        <v>0</v>
        <stp/>
        <stp>##V3_BDHV12</stp>
        <stp>AMZN US Equity</stp>
        <stp>CF_INCR_INVEST</stp>
        <stp>FQ4 2009</stp>
        <stp>FQ4 2009</stp>
        <stp>[AMZ_2009-2018.xlsx]Cash Flow - Standardized!R31C6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1" s="4"/>
      </tp>
      <tp>
        <v>23671</v>
        <stp/>
        <stp>##V3_BDHV12</stp>
        <stp>AMZN US Equity</stp>
        <stp>BS_FUTURE_MIN_OPER_LEASE_OBLIG</stp>
        <stp>FQ2 2018</stp>
        <stp>FQ2 2018</stp>
        <stp>[AMZ_2009-2018.xlsx]Bal Sheet - Standardized!R81C40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81" s="3"/>
      </tp>
      <tp>
        <v>18</v>
        <stp/>
        <stp>##V3_BDHV12</stp>
        <stp>AMZN US Equity</stp>
        <stp>PROC_FR_REPAYMNTS_BOR_DETAILED</stp>
        <stp>FQ3 2010</stp>
        <stp>FQ3 2010</stp>
        <stp>[AMZ_2009-2018.xlsx]Cash Flow - Standardized!R42C9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2" s="4"/>
      </tp>
      <tp>
        <v>0</v>
        <stp/>
        <stp>##V3_BDHV12</stp>
        <stp>AMZN US Equity</stp>
        <stp>IS_TOT_CASH_COM_DVD</stp>
        <stp>FQ3 2010</stp>
        <stp>FQ3 2010</stp>
        <stp>[AMZ_2009-2018.xlsx]Income - Adjusted!R70C9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0" s="2"/>
      </tp>
      <tp>
        <v>-0.95</v>
        <stp/>
        <stp>##V3_BDHV12</stp>
        <stp>AMZN US Equity</stp>
        <stp>IS_DIL_EPS_BEF_XO</stp>
        <stp>FQ3 2014</stp>
        <stp>FQ3 2014</stp>
        <stp>[AMZ_2009-2018.xlsx]Per Share!R18C25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18" s="5"/>
      </tp>
      <tp>
        <v>1.48</v>
        <stp/>
        <stp>##V3_BDHV12</stp>
        <stp>AMZN US Equity</stp>
        <stp>IS_DIL_EPS_BEF_XO</stp>
        <stp>FQ1 2017</stp>
        <stp>FQ1 2017</stp>
        <stp>[AMZ_2009-2018.xlsx]Per Share!R18C35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18" s="5"/>
      </tp>
      <tp>
        <v>0.28000000000000003</v>
        <stp/>
        <stp>##V3_BDHV12</stp>
        <stp>AMZN US Equity</stp>
        <stp>IS_DIL_EPS_BEF_XO</stp>
        <stp>FQ1 2012</stp>
        <stp>FQ1 2012</stp>
        <stp>[AMZ_2009-2018.xlsx]Per Share!R18C15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18" s="5"/>
      </tp>
      <tp>
        <v>-23</v>
        <stp/>
        <stp>##V3_BDHV12</stp>
        <stp>AMZN US Equity</stp>
        <stp>PROC_FR_REPAYMNTS_BOR_DETAILED</stp>
        <stp>FQ2 2009</stp>
        <stp>FQ2 2009</stp>
        <stp>[AMZ_2009-2018.xlsx]Cash Flow - Standardized!R42C4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2" s="4"/>
      </tp>
      <tp>
        <v>0</v>
        <stp/>
        <stp>##V3_BDHV12</stp>
        <stp>AMZN US Equity</stp>
        <stp>MINORITY_NONCONTROLLING_INTEREST</stp>
        <stp>FQ2 2017</stp>
        <stp>FQ2 2017</stp>
        <stp>[AMZ_2009-2018.xlsx]Bal Sheet - Standardized!R72C36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2" s="3"/>
      </tp>
      <tp>
        <v>0</v>
        <stp/>
        <stp>##V3_BDHV12</stp>
        <stp>AMZN US Equity</stp>
        <stp>MINORITY_NONCONTROLLING_INTEREST</stp>
        <stp>FQ1 2015</stp>
        <stp>FQ1 2015</stp>
        <stp>[AMZ_2009-2018.xlsx]Bal Sheet - Standardized!R72C27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2" s="3"/>
      </tp>
      <tp>
        <v>0</v>
        <stp/>
        <stp>##V3_BDHV12</stp>
        <stp>AMZN US Equity</stp>
        <stp>MINORITY_NONCONTROLLING_INTEREST</stp>
        <stp>FQ3 2016</stp>
        <stp>FQ3 2016</stp>
        <stp>[AMZ_2009-2018.xlsx]Bal Sheet - Standardized!R72C33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2" s="3"/>
      </tp>
      <tp>
        <v>8197</v>
        <stp/>
        <stp>##V3_BDHV12</stp>
        <stp>AMZN US Equity</stp>
        <stp>IS_OPERATING_EXPN</stp>
        <stp>FQ3 2015</stp>
        <stp>FQ3 2015</stp>
        <stp>[AMZ_2009-2018.xlsx]Income - Adjusted!R12C29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2" s="2"/>
      </tp>
      <tp>
        <v>4088</v>
        <stp/>
        <stp>##V3_BDHV12</stp>
        <stp>AMZN US Equity</stp>
        <stp>IS_OPERATING_EXPN</stp>
        <stp>FQ1 2013</stp>
        <stp>FQ1 2013</stp>
        <stp>[AMZ_2009-2018.xlsx]Income - Adjusted!R12C19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2" s="2"/>
      </tp>
      <tp>
        <v>18380</v>
        <stp/>
        <stp>##V3_BDHV12</stp>
        <stp>AMZN US Equity</stp>
        <stp>IS_OPERATING_EXPN</stp>
        <stp>FQ1 2018</stp>
        <stp>FQ1 2018</stp>
        <stp>[AMZ_2009-2018.xlsx]Income - Adjusted!R12C39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2" s="2"/>
      </tp>
      <tp>
        <v>0</v>
        <stp/>
        <stp>##V3_BDHV12</stp>
        <stp>AMZN US Equity</stp>
        <stp>IS_OTHER_OPER_INC</stp>
        <stp>FQ2 2017</stp>
        <stp>FQ2 2017</stp>
        <stp>[AMZ_2009-2018.xlsx]Income - Adjusted!R11C36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1" s="2"/>
      </tp>
      <tp>
        <v>0</v>
        <stp/>
        <stp>##V3_BDHV12</stp>
        <stp>AMZN US Equity</stp>
        <stp>IS_OTHER_OPER_INC</stp>
        <stp>FQ2 2012</stp>
        <stp>FQ2 2012</stp>
        <stp>[AMZ_2009-2018.xlsx]Income - Adjusted!R11C16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1" s="2"/>
      </tp>
      <tp t="s">
        <v>—</v>
        <stp/>
        <stp>##V3_BDHV12</stp>
        <stp>AMZN US Equity</stp>
        <stp>BS_TAXES_PAYABLE</stp>
        <stp>FQ2 2010</stp>
        <stp>FQ2 2010</stp>
        <stp>[AMZ_2009-2018.xlsx]Bal Sheet - Standardized!R40C8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0" s="3"/>
      </tp>
      <tp>
        <v>0</v>
        <stp/>
        <stp>##V3_BDHV12</stp>
        <stp>AMZN US Equity</stp>
        <stp>IS_OTHER_OPER_INC</stp>
        <stp>FQ4 2014</stp>
        <stp>FQ4 2014</stp>
        <stp>[AMZ_2009-2018.xlsx]Income - Adjusted!R11C26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1" s="2"/>
      </tp>
      <tp t="s">
        <v>—</v>
        <stp/>
        <stp>##V3_BDHV12</stp>
        <stp>AMZN US Equity</stp>
        <stp>BS_TAXES_PAYABLE</stp>
        <stp>FQ3 2009</stp>
        <stp>FQ3 2009</stp>
        <stp>[AMZ_2009-2018.xlsx]Bal Sheet - Standardized!R40C5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0" s="3"/>
      </tp>
      <tp>
        <v>0</v>
        <stp/>
        <stp>##V3_BDHV12</stp>
        <stp>AMZN US Equity</stp>
        <stp>OTHER_CURRENT_LIABS_SUB_DETAILED</stp>
        <stp>FQ1 2011</stp>
        <stp>FQ1 2011</stp>
        <stp>[AMZ_2009-2018.xlsx]Bal Sheet - Standardized!R47C11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7" s="3"/>
      </tp>
      <tp>
        <v>4768</v>
        <stp/>
        <stp>##V3_BDHV12</stp>
        <stp>AMZN US Equity</stp>
        <stp>OTHER_CURRENT_LIABS_SUB_DETAILED</stp>
        <stp>FQ4 2016</stp>
        <stp>FQ4 2016</stp>
        <stp>[AMZ_2009-2018.xlsx]Bal Sheet - Standardized!R47C34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7" s="3"/>
      </tp>
      <tp>
        <v>0</v>
        <stp/>
        <stp>##V3_BDHV12</stp>
        <stp>AMZN US Equity</stp>
        <stp>OTHER_CURRENT_LIABS_SUB_DETAILED</stp>
        <stp>FQ2 2012</stp>
        <stp>FQ2 2012</stp>
        <stp>[AMZ_2009-2018.xlsx]Bal Sheet - Standardized!R47C16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7" s="3"/>
      </tp>
      <tp>
        <v>447.82499999999999</v>
        <stp/>
        <stp>##V3_BDHV12</stp>
        <stp>AMZN US Equity</stp>
        <stp>EQY_SH_OUT</stp>
        <stp>FQ3 2010</stp>
        <stp>FQ3 2010</stp>
        <stp>[AMZ_2009-2018.xlsx]Stock Value!R13C9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13" s="6"/>
      </tp>
      <tp>
        <v>445.67200000000003</v>
        <stp/>
        <stp>##V3_BDHV12</stp>
        <stp>AMZN US Equity</stp>
        <stp>EQY_SH_OUT</stp>
        <stp>FQ2 2010</stp>
        <stp>FQ2 2010</stp>
        <stp>[AMZ_2009-2018.xlsx]Stock Value!R13C8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13" s="6"/>
      </tp>
      <tp>
        <v>177</v>
        <stp/>
        <stp>##V3_BDHV12</stp>
        <stp>AMZN US Equity</stp>
        <stp>IS_INC_BEF_XO_ITEM</stp>
        <stp>FQ4 2011</stp>
        <stp>FQ4 2011</stp>
        <stp>[AMZ_2009-2018.xlsx]Income - Adjusted!R34C14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4" s="2"/>
      </tp>
      <tp>
        <v>201</v>
        <stp/>
        <stp>##V3_BDHV12</stp>
        <stp>AMZN US Equity</stp>
        <stp>IS_INC_BEF_XO_ITEM</stp>
        <stp>FQ1 2011</stp>
        <stp>FQ1 2011</stp>
        <stp>[AMZ_2009-2018.xlsx]Income - Adjusted!R34C11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4" s="2"/>
      </tp>
      <tp>
        <v>191</v>
        <stp/>
        <stp>##V3_BDHV12</stp>
        <stp>AMZN US Equity</stp>
        <stp>IS_INC_BEF_XO_ITEM</stp>
        <stp>FQ2 2011</stp>
        <stp>FQ2 2011</stp>
        <stp>[AMZ_2009-2018.xlsx]Income - Adjusted!R34C12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4" s="2"/>
      </tp>
      <tp>
        <v>63</v>
        <stp/>
        <stp>##V3_BDHV12</stp>
        <stp>AMZN US Equity</stp>
        <stp>IS_INC_BEF_XO_ITEM</stp>
        <stp>FQ3 2011</stp>
        <stp>FQ3 2011</stp>
        <stp>[AMZ_2009-2018.xlsx]Income - Adjusted!R34C13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4" s="2"/>
      </tp>
      <tp>
        <v>0.45</v>
        <stp/>
        <stp>##V3_BDHV12</stp>
        <stp>AMZN US Equity</stp>
        <stp>IS_DILUTED_EPS</stp>
        <stp>FQ4 2014</stp>
        <stp>FQ4 2014</stp>
        <stp>[AMZ_2009-2018.xlsx]Income - Adjusted!R55C26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55" s="2"/>
      </tp>
      <tp>
        <v>0.46</v>
        <stp/>
        <stp>##V3_BDHV12</stp>
        <stp>AMZN US Equity</stp>
        <stp>IS_EPS</stp>
        <stp>FQ3 2009</stp>
        <stp>FQ3 2009</stp>
        <stp>[AMZ_2009-2018.xlsx]Per Share!R14C5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14" s="5"/>
      </tp>
      <tp>
        <v>0.46</v>
        <stp/>
        <stp>##V3_BDHV12</stp>
        <stp>AMZN US Equity</stp>
        <stp>IS_EPS</stp>
        <stp>FQ2 2010</stp>
        <stp>FQ2 2010</stp>
        <stp>[AMZ_2009-2018.xlsx]Per Share!R14C8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14" s="5"/>
      </tp>
      <tp>
        <v>1</v>
        <stp/>
        <stp>##V3_BDHV12</stp>
        <stp>AMZN US Equity</stp>
        <stp>IS_DILUTED_EPS</stp>
        <stp>FQ4 2015</stp>
        <stp>FQ4 2015</stp>
        <stp>[AMZ_2009-2018.xlsx]Income - Adjusted!R55C30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55" s="2"/>
      </tp>
      <tp>
        <v>0.33</v>
        <stp/>
        <stp>##V3_BDHV12</stp>
        <stp>AMZN US Equity</stp>
        <stp>IS_EPS</stp>
        <stp>FQ2 2009</stp>
        <stp>FQ2 2009</stp>
        <stp>[AMZ_2009-2018.xlsx]Per Share!R14C4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14" s="5"/>
      </tp>
      <tp>
        <v>0.51</v>
        <stp/>
        <stp>##V3_BDHV12</stp>
        <stp>AMZN US Equity</stp>
        <stp>IS_EPS</stp>
        <stp>FQ3 2010</stp>
        <stp>FQ3 2010</stp>
        <stp>[AMZ_2009-2018.xlsx]Per Share!R14C9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14" s="5"/>
      </tp>
      <tp>
        <v>1.54</v>
        <stp/>
        <stp>##V3_BDHV12</stp>
        <stp>AMZN US Equity</stp>
        <stp>IS_DILUTED_EPS</stp>
        <stp>FQ4 2016</stp>
        <stp>FQ4 2016</stp>
        <stp>[AMZ_2009-2018.xlsx]Income - Adjusted!R55C34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55" s="2"/>
      </tp>
      <tp>
        <v>0.41</v>
        <stp/>
        <stp>##V3_BDHV12</stp>
        <stp>AMZN US Equity</stp>
        <stp>IS_EPS</stp>
        <stp>FQ1 2009</stp>
        <stp>FQ1 2009</stp>
        <stp>[AMZ_2009-2018.xlsx]Per Share!R14C3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14" s="5"/>
      </tp>
      <tp>
        <v>3.75</v>
        <stp/>
        <stp>##V3_BDHV12</stp>
        <stp>AMZN US Equity</stp>
        <stp>IS_DILUTED_EPS</stp>
        <stp>FQ4 2017</stp>
        <stp>FQ4 2017</stp>
        <stp>[AMZ_2009-2018.xlsx]Income - Adjusted!R55C38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55" s="2"/>
      </tp>
      <tp>
        <v>0.67</v>
        <stp/>
        <stp>##V3_BDHV12</stp>
        <stp>AMZN US Equity</stp>
        <stp>IS_EPS</stp>
        <stp>FQ1 2010</stp>
        <stp>FQ1 2010</stp>
        <stp>[AMZ_2009-2018.xlsx]Per Share!R14C7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14" s="5"/>
      </tp>
      <tp>
        <v>0.91</v>
        <stp/>
        <stp>##V3_BDHV12</stp>
        <stp>AMZN US Equity</stp>
        <stp>IS_DILUTED_EPS</stp>
        <stp>FQ4 2010</stp>
        <stp>FQ4 2010</stp>
        <stp>[AMZ_2009-2018.xlsx]Income - Adjusted!R55C10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55" s="2"/>
      </tp>
      <tp>
        <v>0.38</v>
        <stp/>
        <stp>##V3_BDHV12</stp>
        <stp>AMZN US Equity</stp>
        <stp>IS_DILUTED_EPS</stp>
        <stp>FQ4 2011</stp>
        <stp>FQ4 2011</stp>
        <stp>[AMZ_2009-2018.xlsx]Income - Adjusted!R55C14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55" s="2"/>
      </tp>
      <tp>
        <v>0.21</v>
        <stp/>
        <stp>##V3_BDHV12</stp>
        <stp>AMZN US Equity</stp>
        <stp>IS_DILUTED_EPS</stp>
        <stp>FQ4 2012</stp>
        <stp>FQ4 2012</stp>
        <stp>[AMZ_2009-2018.xlsx]Income - Adjusted!R55C18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55" s="2"/>
      </tp>
      <tp>
        <v>0.51</v>
        <stp/>
        <stp>##V3_BDHV12</stp>
        <stp>AMZN US Equity</stp>
        <stp>IS_DILUTED_EPS</stp>
        <stp>FQ4 2013</stp>
        <stp>FQ4 2013</stp>
        <stp>[AMZ_2009-2018.xlsx]Income - Adjusted!R55C22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55" s="2"/>
      </tp>
      <tp>
        <v>0.87</v>
        <stp/>
        <stp>##V3_BDHV12</stp>
        <stp>AMZN US Equity</stp>
        <stp>IS_EPS</stp>
        <stp>FQ4 2009</stp>
        <stp>FQ4 2009</stp>
        <stp>[AMZ_2009-2018.xlsx]Per Share!R14C6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14" s="5"/>
      </tp>
      <tp>
        <v>-66</v>
        <stp/>
        <stp>##V3_BDHV12</stp>
        <stp>AMZN US Equity</stp>
        <stp>OTHER_INS_RES_TO_SHRHLDR_EQY</stp>
        <stp>FQ1 2011</stp>
        <stp>FQ1 2011</stp>
        <stp>[AMZ_2009-2018.xlsx]Bal Sheet - Standardized!R70C11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70" s="3"/>
      </tp>
      <tp>
        <v>-143</v>
        <stp/>
        <stp>##V3_BDHV12</stp>
        <stp>AMZN US Equity</stp>
        <stp>OTHER_INS_RES_TO_SHRHLDR_EQY</stp>
        <stp>FQ2 2014</stp>
        <stp>FQ2 2014</stp>
        <stp>[AMZ_2009-2018.xlsx]Bal Sheet - Standardized!R70C24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70" s="3"/>
      </tp>
      <tp>
        <v>-501</v>
        <stp/>
        <stp>##V3_BDHV12</stp>
        <stp>AMZN US Equity</stp>
        <stp>OTHER_INS_RES_TO_SHRHLDR_EQY</stp>
        <stp>FQ3 2017</stp>
        <stp>FQ3 2017</stp>
        <stp>[AMZ_2009-2018.xlsx]Bal Sheet - Standardized!R70C37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70" s="3"/>
      </tp>
      <tp>
        <v>-190</v>
        <stp/>
        <stp>##V3_BDHV12</stp>
        <stp>AMZN US Equity</stp>
        <stp>OTHER_INS_RES_TO_SHRHLDR_EQY</stp>
        <stp>FQ4 2010</stp>
        <stp>FQ4 2010</stp>
        <stp>[AMZ_2009-2018.xlsx]Bal Sheet - Standardized!R70C10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70" s="3"/>
      </tp>
      <tp t="s">
        <v>—</v>
        <stp/>
        <stp>##V3_BDHV12</stp>
        <stp>AMZN US Equity</stp>
        <stp>BS_DEFERRED_TAX_ASSETS_LT</stp>
        <stp>FQ1 2018</stp>
        <stp>FQ1 2018</stp>
        <stp>[AMZ_2009-2018.xlsx]Bal Sheet - Standardized!R31C39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1" s="3"/>
      </tp>
      <tp t="s">
        <v>—</v>
        <stp/>
        <stp>##V3_BDHV12</stp>
        <stp>AMZN US Equity</stp>
        <stp>BS_DEFERRED_TAX_ASSETS_ST</stp>
        <stp>FQ1 2018</stp>
        <stp>FQ1 2018</stp>
        <stp>[AMZ_2009-2018.xlsx]Bal Sheet - Standardized!R20C39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0" s="3"/>
      </tp>
      <tp>
        <v>0</v>
        <stp/>
        <stp>##V3_BDHV12</stp>
        <stp>AMZN US Equity</stp>
        <stp>CF_DEF_INC_TAX</stp>
        <stp>FQ1 2009</stp>
        <stp>FQ1 2009</stp>
        <stp>[AMZ_2009-2018.xlsx]Cash Flow - Standardized!R11C3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4"/>
      </tp>
      <tp>
        <v>4380</v>
        <stp/>
        <stp>##V3_BDHV12</stp>
        <stp>AMZN US Equity</stp>
        <stp>BS_INVENTORIES</stp>
        <stp>FQ2 2012</stp>
        <stp>FQ2 2012</stp>
        <stp>[AMZ_2009-2018.xlsx]Bal Sheet - Standardized!R13C16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3" s="3"/>
      </tp>
      <tp>
        <v>0</v>
        <stp/>
        <stp>##V3_BDHV12</stp>
        <stp>AMZN US Equity</stp>
        <stp>IS_TOT_CASH_PFD_DVD</stp>
        <stp>FQ2 2010</stp>
        <stp>FQ2 2010</stp>
        <stp>[AMZ_2009-2018.xlsx]Income - Adjusted!R41C8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1" s="2"/>
      </tp>
      <tp>
        <v>11461</v>
        <stp/>
        <stp>##V3_BDHV12</stp>
        <stp>AMZN US Equity</stp>
        <stp>BS_INVENTORIES</stp>
        <stp>FQ4 2016</stp>
        <stp>FQ4 2016</stp>
        <stp>[AMZ_2009-2018.xlsx]Bal Sheet - Standardized!R13C34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3" s="3"/>
      </tp>
      <tp>
        <v>2888</v>
        <stp/>
        <stp>##V3_BDHV12</stp>
        <stp>AMZN US Equity</stp>
        <stp>BS_INVENTORIES</stp>
        <stp>FQ1 2011</stp>
        <stp>FQ1 2011</stp>
        <stp>[AMZ_2009-2018.xlsx]Bal Sheet - Standardized!R13C11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3" s="3"/>
      </tp>
      <tp>
        <v>-2</v>
        <stp/>
        <stp>##V3_BDHV12</stp>
        <stp>AMZN US Equity</stp>
        <stp>IS_GAIN_LOSS_ON_INVESTMENTS</stp>
        <stp>FQ1 2009</stp>
        <stp>FQ1 2009</stp>
        <stp>[AMZ_2009-2018.xlsx]Income - Adjusted!R29C3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2"/>
      </tp>
      <tp>
        <v>1.1207</v>
        <stp/>
        <stp>##V3_BDHV12</stp>
        <stp>AMZN US Equity</stp>
        <stp>CUR_RATIO</stp>
        <stp>FQ4 2012</stp>
        <stp>FQ4 2012</stp>
        <stp>[AMZ_2009-2018.xlsx]Bal Sheet - Standardized!R86C18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86" s="3"/>
      </tp>
      <tp>
        <v>1.1381999999999999</v>
        <stp/>
        <stp>##V3_BDHV12</stp>
        <stp>AMZN US Equity</stp>
        <stp>CUR_RATIO</stp>
        <stp>FQ1 2013</stp>
        <stp>FQ1 2013</stp>
        <stp>[AMZ_2009-2018.xlsx]Bal Sheet - Standardized!R86C19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86" s="3"/>
      </tp>
      <tp>
        <v>0</v>
        <stp/>
        <stp>##V3_BDHV12</stp>
        <stp>AMZN US Equity</stp>
        <stp>IS_TOT_CASH_COM_DVD</stp>
        <stp>FQ2 2010</stp>
        <stp>FQ2 2010</stp>
        <stp>[AMZ_2009-2018.xlsx]Income - Adjusted!R70C8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0" s="2"/>
      </tp>
      <tp>
        <v>-0.27</v>
        <stp/>
        <stp>##V3_BDHV12</stp>
        <stp>AMZN US Equity</stp>
        <stp>IS_DIL_EPS_BEF_XO</stp>
        <stp>FQ2 2014</stp>
        <stp>FQ2 2014</stp>
        <stp>[AMZ_2009-2018.xlsx]Per Share!R18C24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18" s="5"/>
      </tp>
      <tp>
        <v>-32</v>
        <stp/>
        <stp>##V3_BDHV12</stp>
        <stp>AMZN US Equity</stp>
        <stp>PROC_FR_REPAYMNTS_BOR_DETAILED</stp>
        <stp>FQ2 2010</stp>
        <stp>FQ2 2010</stp>
        <stp>[AMZ_2009-2018.xlsx]Cash Flow - Standardized!R42C8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2" s="4"/>
      </tp>
      <tp>
        <v>81</v>
        <stp/>
        <stp>##V3_BDHV12</stp>
        <stp>AMZN US Equity</stp>
        <stp>PROC_FR_REPAYMNTS_BOR_DETAILED</stp>
        <stp>FQ3 2009</stp>
        <stp>FQ3 2009</stp>
        <stp>[AMZ_2009-2018.xlsx]Cash Flow - Standardized!R42C5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2" s="4"/>
      </tp>
      <tp>
        <v>0.38</v>
        <stp/>
        <stp>##V3_BDHV12</stp>
        <stp>AMZN US Equity</stp>
        <stp>IS_DIL_EPS_BEF_XO</stp>
        <stp>FQ4 2011</stp>
        <stp>FQ4 2011</stp>
        <stp>[AMZ_2009-2018.xlsx]Per Share!R18C14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18" s="5"/>
      </tp>
      <tp>
        <v>1.54</v>
        <stp/>
        <stp>##V3_BDHV12</stp>
        <stp>AMZN US Equity</stp>
        <stp>IS_DIL_EPS_BEF_XO</stp>
        <stp>FQ4 2016</stp>
        <stp>FQ4 2016</stp>
        <stp>[AMZ_2009-2018.xlsx]Per Share!R18C34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18" s="5"/>
      </tp>
      <tp>
        <v>0</v>
        <stp/>
        <stp>##V3_BDHV12</stp>
        <stp>AMZN US Equity</stp>
        <stp>MINORITY_NONCONTROLLING_INTEREST</stp>
        <stp>FQ3 2017</stp>
        <stp>FQ3 2017</stp>
        <stp>[AMZ_2009-2018.xlsx]Bal Sheet - Standardized!R72C37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2" s="3"/>
      </tp>
      <tp>
        <v>4727</v>
        <stp/>
        <stp>##V3_BDHV12</stp>
        <stp>AMZN US Equity</stp>
        <stp>IS_OPERATING_EXPN</stp>
        <stp>FQ4 2012</stp>
        <stp>FQ4 2012</stp>
        <stp>[AMZ_2009-2018.xlsx]Income - Adjusted!R12C18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2" s="2"/>
      </tp>
      <tp>
        <v>19832</v>
        <stp/>
        <stp>##V3_BDHV12</stp>
        <stp>AMZN US Equity</stp>
        <stp>IS_OPERATING_EXPN</stp>
        <stp>FQ4 2017</stp>
        <stp>FQ4 2017</stp>
        <stp>[AMZ_2009-2018.xlsx]Income - Adjusted!R12C38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2" s="2"/>
      </tp>
      <tp>
        <v>0</v>
        <stp/>
        <stp>##V3_BDHV12</stp>
        <stp>AMZN US Equity</stp>
        <stp>MINORITY_NONCONTROLLING_INTEREST</stp>
        <stp>FQ2 2016</stp>
        <stp>FQ2 2016</stp>
        <stp>[AMZ_2009-2018.xlsx]Bal Sheet - Standardized!R72C32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2" s="3"/>
      </tp>
      <tp>
        <v>7561</v>
        <stp/>
        <stp>##V3_BDHV12</stp>
        <stp>AMZN US Equity</stp>
        <stp>IS_OPERATING_EXPN</stp>
        <stp>FQ2 2015</stp>
        <stp>FQ2 2015</stp>
        <stp>[AMZ_2009-2018.xlsx]Income - Adjusted!R12C28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2" s="2"/>
      </tp>
      <tp>
        <v>0</v>
        <stp/>
        <stp>##V3_BDHV12</stp>
        <stp>AMZN US Equity</stp>
        <stp>MINORITY_NONCONTROLLING_INTEREST</stp>
        <stp>FQ1 2014</stp>
        <stp>FQ1 2014</stp>
        <stp>[AMZ_2009-2018.xlsx]Bal Sheet - Standardized!R72C23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2" s="3"/>
      </tp>
      <tp>
        <v>0</v>
        <stp/>
        <stp>##V3_BDHV12</stp>
        <stp>AMZN US Equity</stp>
        <stp>IS_OTHER_OPER_INC</stp>
        <stp>FQ3 2017</stp>
        <stp>FQ3 2017</stp>
        <stp>[AMZ_2009-2018.xlsx]Income - Adjusted!R11C37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1" s="2"/>
      </tp>
      <tp>
        <v>0</v>
        <stp/>
        <stp>##V3_BDHV12</stp>
        <stp>AMZN US Equity</stp>
        <stp>IS_OTHER_OPER_INC</stp>
        <stp>FQ3 2012</stp>
        <stp>FQ3 2012</stp>
        <stp>[AMZ_2009-2018.xlsx]Income - Adjusted!R11C17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1" s="2"/>
      </tp>
      <tp>
        <v>0</v>
        <stp/>
        <stp>##V3_BDHV12</stp>
        <stp>AMZN US Equity</stp>
        <stp>MINORITY_NONCONTROLLING_INTEREST</stp>
        <stp>FQ4 2012</stp>
        <stp>FQ4 2012</stp>
        <stp>[AMZ_2009-2018.xlsx]Bal Sheet - Standardized!R72C18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2" s="3"/>
      </tp>
      <tp>
        <v>0</v>
        <stp/>
        <stp>##V3_BDHV12</stp>
        <stp>AMZN US Equity</stp>
        <stp>IS_OTHER_OPER_INC</stp>
        <stp>FQ1 2015</stp>
        <stp>FQ1 2015</stp>
        <stp>[AMZ_2009-2018.xlsx]Income - Adjusted!R11C27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1" s="2"/>
      </tp>
      <tp t="s">
        <v>—</v>
        <stp/>
        <stp>##V3_BDHV12</stp>
        <stp>AMZN US Equity</stp>
        <stp>BS_TAXES_PAYABLE</stp>
        <stp>FQ3 2010</stp>
        <stp>FQ3 2010</stp>
        <stp>[AMZ_2009-2018.xlsx]Bal Sheet - Standardized!R40C9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0" s="3"/>
      </tp>
      <tp>
        <v>1290</v>
        <stp/>
        <stp>##V3_BDHV12</stp>
        <stp>AMZN US Equity</stp>
        <stp>BS_NET_FIX_ASSET</stp>
        <stp>FQ4 2009</stp>
        <stp>FQ4 2009</stp>
        <stp>[AMZ_2009-2018.xlsx]Bal Sheet - Standardized!R23C6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3" s="3"/>
      </tp>
      <tp>
        <v>18739</v>
        <stp/>
        <stp>##V3_BDHV12</stp>
        <stp>AMZN US Equity</stp>
        <stp>NET_DEBT</stp>
        <stp>FQ2 2018</stp>
        <stp>FQ2 2018</stp>
        <stp>[AMZ_2009-2018.xlsx]Bal Sheet - Standardized!R83C40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83" s="3"/>
      </tp>
      <tp t="s">
        <v>—</v>
        <stp/>
        <stp>##V3_BDHV12</stp>
        <stp>AMZN US Equity</stp>
        <stp>BS_TAXES_PAYABLE</stp>
        <stp>FQ2 2009</stp>
        <stp>FQ2 2009</stp>
        <stp>[AMZ_2009-2018.xlsx]Bal Sheet - Standardized!R40C4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0" s="3"/>
      </tp>
      <tp>
        <v>1763.1</v>
        <stp/>
        <stp>##V3_BDHV12</stp>
        <stp>AMZN US Equity</stp>
        <stp>PX_HIGH</stp>
        <stp>FQ2 2018</stp>
        <stp>FQ2 2018</stp>
        <stp>[AMZ_2009-2018.xlsx]Stock Value!R9C40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9" s="6"/>
      </tp>
      <tp>
        <v>0</v>
        <stp/>
        <stp>##V3_BDHV12</stp>
        <stp>AMZN US Equity</stp>
        <stp>OTHER_CURRENT_LIABS_SUB_DETAILED</stp>
        <stp>FQ3 2012</stp>
        <stp>FQ3 2012</stp>
        <stp>[AMZ_2009-2018.xlsx]Bal Sheet - Standardized!R47C17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7" s="3"/>
      </tp>
      <tp>
        <v>757.92</v>
        <stp/>
        <stp>##V3_BDHV12</stp>
        <stp>AMZN US Equity</stp>
        <stp>PX_OPEN</stp>
        <stp>FQ1 2017</stp>
        <stp>FQ1 2017</stp>
        <stp>[AMZ_2009-2018.xlsx]Stock Value!R8C35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8" s="6"/>
      </tp>
      <tp>
        <v>320.57</v>
        <stp/>
        <stp>##V3_BDHV12</stp>
        <stp>AMZN US Equity</stp>
        <stp>PX_HIGH</stp>
        <stp>FQ3 2013</stp>
        <stp>FQ3 2013</stp>
        <stp>[AMZ_2009-2018.xlsx]Stock Value!R9C21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9" s="6"/>
      </tp>
      <tp>
        <v>341.26</v>
        <stp/>
        <stp>##V3_BDHV12</stp>
        <stp>AMZN US Equity</stp>
        <stp>PX_HIGH</stp>
        <stp>FQ4 2014</stp>
        <stp>FQ4 2014</stp>
        <stp>[AMZ_2009-2018.xlsx]Stock Value!R9C26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9" s="6"/>
      </tp>
      <tp>
        <v>283.33999999999997</v>
        <stp/>
        <stp>##V3_BDHV12</stp>
        <stp>AMZN US Equity</stp>
        <stp>PX_HIGH</stp>
        <stp>FQ2 2013</stp>
        <stp>FQ2 2013</stp>
        <stp>[AMZ_2009-2018.xlsx]Stock Value!R9C20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9" s="6"/>
      </tp>
      <tp>
        <v>157.08000000000001</v>
        <stp/>
        <stp>##V3_BDHV12</stp>
        <stp>AMZN US Equity</stp>
        <stp>PX_OPEN</stp>
        <stp>FQ4 2010</stp>
        <stp>FQ4 2010</stp>
        <stp>[AMZ_2009-2018.xlsx]Stock Value!R8C10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8" s="6"/>
      </tp>
      <tp>
        <v>972.79</v>
        <stp/>
        <stp>##V3_BDHV12</stp>
        <stp>AMZN US Equity</stp>
        <stp>PX_OPEN</stp>
        <stp>FQ3 2017</stp>
        <stp>FQ3 2017</stp>
        <stp>[AMZ_2009-2018.xlsx]Stock Value!R8C37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8" s="6"/>
      </tp>
      <tp>
        <v>888</v>
        <stp/>
        <stp>##V3_BDHV12</stp>
        <stp>AMZN US Equity</stp>
        <stp>PX_OPEN</stp>
        <stp>FQ2 2017</stp>
        <stp>FQ2 2017</stp>
        <stp>[AMZ_2009-2018.xlsx]Stock Value!R8C36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8" s="6"/>
      </tp>
      <tp>
        <v>175.89</v>
        <stp/>
        <stp>##V3_BDHV12</stp>
        <stp>AMZN US Equity</stp>
        <stp>PX_OPEN</stp>
        <stp>FQ1 2012</stp>
        <stp>FQ1 2012</stp>
        <stp>[AMZ_2009-2018.xlsx]Stock Value!R8C15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8" s="6"/>
      </tp>
      <tp>
        <v>408.06</v>
        <stp/>
        <stp>##V3_BDHV12</stp>
        <stp>AMZN US Equity</stp>
        <stp>PX_HIGH</stp>
        <stp>FQ1 2014</stp>
        <stp>FQ1 2014</stp>
        <stp>[AMZ_2009-2018.xlsx]Stock Value!R9C23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9" s="6"/>
      </tp>
      <tp>
        <v>198.02</v>
        <stp/>
        <stp>##V3_BDHV12</stp>
        <stp>AMZN US Equity</stp>
        <stp>PX_OPEN</stp>
        <stp>FQ2 2012</stp>
        <stp>FQ2 2012</stp>
        <stp>[AMZ_2009-2018.xlsx]Stock Value!R8C16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8" s="6"/>
      </tp>
      <tp>
        <v>5097</v>
        <stp/>
        <stp>##V3_BDHV12</stp>
        <stp>AMZN US Equity</stp>
        <stp>OTHER_CURRENT_LIABS_SUB_DETAILED</stp>
        <stp>FQ4 2017</stp>
        <stp>FQ4 2017</stp>
        <stp>[AMZ_2009-2018.xlsx]Bal Sheet - Standardized!R47C38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7" s="3"/>
      </tp>
      <tp>
        <v>229.3</v>
        <stp/>
        <stp>##V3_BDHV12</stp>
        <stp>AMZN US Equity</stp>
        <stp>PX_OPEN</stp>
        <stp>FQ3 2012</stp>
        <stp>FQ3 2012</stp>
        <stp>[AMZ_2009-2018.xlsx]Stock Value!R8C17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8" s="6"/>
      </tp>
      <tp>
        <v>511</v>
        <stp/>
        <stp>##V3_BDHV12</stp>
        <stp>AMZN US Equity</stp>
        <stp>PX_OPEN</stp>
        <stp>FQ4 2015</stp>
        <stp>FQ4 2015</stp>
        <stp>[AMZ_2009-2018.xlsx]Stock Value!R8C30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8" s="6"/>
      </tp>
      <tp>
        <v>487</v>
        <stp/>
        <stp>##V3_BDHV12</stp>
        <stp>AMZN US Equity</stp>
        <stp>BS_SH_OUT</stp>
        <stp>FQ2 2018</stp>
        <stp>FQ2 2018</stp>
        <stp>[AMZ_2009-2018.xlsx]Per Share!R6C40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6" s="5"/>
      </tp>
      <tp>
        <v>0</v>
        <stp/>
        <stp>##V3_BDHV12</stp>
        <stp>AMZN US Equity</stp>
        <stp>IS_TOT_CASH_PFD_DVD</stp>
        <stp>FQ1 2017</stp>
        <stp>FQ1 2017</stp>
        <stp>[AMZ_2009-2018.xlsx]Income - Adjusted!R41C35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1" s="2"/>
      </tp>
      <tp>
        <v>0</v>
        <stp/>
        <stp>##V3_BDHV12</stp>
        <stp>AMZN US Equity</stp>
        <stp>IS_TOT_CASH_PFD_DVD</stp>
        <stp>FQ2 2017</stp>
        <stp>FQ2 2017</stp>
        <stp>[AMZ_2009-2018.xlsx]Income - Adjusted!R41C36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1" s="2"/>
      </tp>
      <tp>
        <v>0</v>
        <stp/>
        <stp>##V3_BDHV12</stp>
        <stp>AMZN US Equity</stp>
        <stp>IS_TOT_CASH_PFD_DVD</stp>
        <stp>FQ3 2017</stp>
        <stp>FQ3 2017</stp>
        <stp>[AMZ_2009-2018.xlsx]Income - Adjusted!R41C37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1" s="2"/>
      </tp>
      <tp>
        <v>0</v>
        <stp/>
        <stp>##V3_BDHV12</stp>
        <stp>AMZN US Equity</stp>
        <stp>IS_TOT_CASH_PFD_DVD</stp>
        <stp>FQ4 2017</stp>
        <stp>FQ4 2017</stp>
        <stp>[AMZ_2009-2018.xlsx]Income - Adjusted!R41C38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1" s="2"/>
      </tp>
      <tp>
        <v>11</v>
        <stp/>
        <stp>##V3_BDHV12</stp>
        <stp>AMZN US Equity</stp>
        <stp>CF_CASH_PAID_FOR_TAX</stp>
        <stp>FQ1 2009</stp>
        <stp>FQ1 2009</stp>
        <stp>[AMZ_2009-2018.xlsx]Cash Flow - Standardized!R57C3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7" s="4"/>
      </tp>
      <tp t="s">
        <v>—</v>
        <stp/>
        <stp>##V3_BDHV12</stp>
        <stp>AMZN US Equity</stp>
        <stp>EBITA</stp>
        <stp>FQ2 2010</stp>
        <stp>FQ2 2010</stp>
        <stp>[AMZ_2009-2018.xlsx]Income - Adjusted!R63C8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63" s="2"/>
      </tp>
      <tp>
        <v>-542</v>
        <stp/>
        <stp>##V3_BDHV12</stp>
        <stp>AMZN US Equity</stp>
        <stp>CF_CASH_FROM_INV_ACT</stp>
        <stp>FQ1 2010</stp>
        <stp>FQ1 2010</stp>
        <stp>[AMZ_2009-2018.xlsx]Cash Flow - Standardized!R38C7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8" s="4"/>
      </tp>
      <tp>
        <v>20.245000000000001</v>
        <stp/>
        <stp>##V3_BDHV12</stp>
        <stp>AMZN US Equity</stp>
        <stp>PX_TO_FREE_CASH_FLOW</stp>
        <stp>FQ4 2009</stp>
        <stp>FQ4 2009</stp>
        <stp>[AMZ_2009-2018.xlsx]Cash Flow - Standardized!R69C6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69" s="4"/>
      </tp>
      <tp>
        <v>21.865300000000001</v>
        <stp/>
        <stp>##V3_BDHV12</stp>
        <stp>AMZN US Equity</stp>
        <stp>PX_TO_FREE_CASH_FLOW</stp>
        <stp>FQ1 2009</stp>
        <stp>FQ1 2009</stp>
        <stp>[AMZ_2009-2018.xlsx]Cash Flow - Standardized!R69C3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69" s="4"/>
      </tp>
      <tp>
        <v>0.44</v>
        <stp/>
        <stp>##V3_BDHV12</stp>
        <stp>AMZN US Equity</stp>
        <stp>IS_DIL_EPS_CONT_OPS</stp>
        <stp>FQ1 2011</stp>
        <stp>FQ1 2011</stp>
        <stp>[AMZ_2009-2018.xlsx]Per Share!R19C11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19" s="5"/>
      </tp>
      <tp>
        <v>1.07</v>
        <stp/>
        <stp>##V3_BDHV12</stp>
        <stp>AMZN US Equity</stp>
        <stp>IS_DIL_EPS_CONT_OPS</stp>
        <stp>FQ1 2016</stp>
        <stp>FQ1 2016</stp>
        <stp>[AMZ_2009-2018.xlsx]Per Share!R19C31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19" s="5"/>
      </tp>
      <tp>
        <v>2534</v>
        <stp/>
        <stp>##V3_BDHV12</stp>
        <stp>AMZN US Equity</stp>
        <stp>CF_NET_INC</stp>
        <stp>FQ2 2018</stp>
        <stp>FQ2 2018</stp>
        <stp>[AMZ_2009-2018.xlsx]Cash Flow - Standardized!R7C40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" s="4"/>
      </tp>
    </main>
    <main first="bloomberg.rtd">
      <tp>
        <v>-77</v>
        <stp/>
        <stp>##V3_BDHV12</stp>
        <stp>AMZN US Equity</stp>
        <stp>OTHER_INVESTING_ACT_DETAILED</stp>
        <stp>FQ1 2009</stp>
        <stp>FQ1 2009</stp>
        <stp>[AMZ_2009-2018.xlsx]Cash Flow - Standardized!R36C3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4"/>
      </tp>
      <tp>
        <v>-0.09</v>
        <stp/>
        <stp>##V3_BDHV12</stp>
        <stp>AMZN US Equity</stp>
        <stp>IS_DIL_EPS_CONT_OPS</stp>
        <stp>FQ3 2013</stp>
        <stp>FQ3 2013</stp>
        <stp>[AMZ_2009-2018.xlsx]Per Share!R19C21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19" s="5"/>
      </tp>
      <tp>
        <v>214</v>
        <stp/>
        <stp>##V3_BDHV12</stp>
        <stp>AMZN US Equity</stp>
        <stp>CF_NET_INC</stp>
        <stp>FQ4 2014</stp>
        <stp>FQ4 2014</stp>
        <stp>[AMZ_2009-2018.xlsx]Cash Flow - Standardized!R7C26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" s="4"/>
      </tp>
      <tp>
        <v>239</v>
        <stp/>
        <stp>##V3_BDHV12</stp>
        <stp>AMZN US Equity</stp>
        <stp>CF_NET_INC</stp>
        <stp>FQ4 2013</stp>
        <stp>FQ4 2013</stp>
        <stp>[AMZ_2009-2018.xlsx]Cash Flow - Standardized!R7C22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" s="4"/>
      </tp>
      <tp>
        <v>23.906300000000002</v>
        <stp/>
        <stp>##V3_BDHV12</stp>
        <stp>AMZN US Equity</stp>
        <stp>PX_TO_FREE_CASH_FLOW</stp>
        <stp>FQ2 2010</stp>
        <stp>FQ2 2010</stp>
        <stp>[AMZ_2009-2018.xlsx]Cash Flow - Standardized!R69C8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69" s="4"/>
      </tp>
      <tp>
        <v>37.713200000000001</v>
        <stp/>
        <stp>##V3_BDHV12</stp>
        <stp>AMZN US Equity</stp>
        <stp>PX_TO_FREE_CASH_FLOW</stp>
        <stp>FQ3 2010</stp>
        <stp>FQ3 2010</stp>
        <stp>[AMZ_2009-2018.xlsx]Cash Flow - Standardized!R69C9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69" s="4"/>
      </tp>
      <tp>
        <v>100</v>
        <stp/>
        <stp>##V3_BDHV12</stp>
        <stp>AMZN US Equity</stp>
        <stp>IS_GENERAL_AND_ADMINISTRATIVE</stp>
        <stp>FQ4 2009</stp>
        <stp>FQ4 2009</stp>
        <stp>[AMZ_2009-2018.xlsx]Income - Adjusted!R15C6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5" s="2"/>
      </tp>
      <tp>
        <v>-482</v>
        <stp/>
        <stp>##V3_BDHV12</stp>
        <stp>AMZN US Equity</stp>
        <stp>CF_CHNG_NON_CASH_WORK_CAP</stp>
        <stp>FQ2 2014</stp>
        <stp>FQ2 2014</stp>
        <stp>[AMZ_2009-2018.xlsx]Cash Flow - Standardized!R13C24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3" s="4"/>
      </tp>
      <tp>
        <v>423</v>
        <stp/>
        <stp>##V3_BDHV12</stp>
        <stp>AMZN US Equity</stp>
        <stp>CF_CASH_FROM_OPER</stp>
        <stp>FQ2 2011</stp>
        <stp>FQ2 2011</stp>
        <stp>[AMZ_2009-2018.xlsx]Cash Flow - Standardized!R19C12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9" s="4"/>
      </tp>
      <tp>
        <v>4206</v>
        <stp/>
        <stp>##V3_BDHV12</stp>
        <stp>AMZN US Equity</stp>
        <stp>CF_FREE_CASH_FLOW</stp>
        <stp>FQ2 2018</stp>
        <stp>FQ2 2018</stp>
        <stp>[AMZ_2009-2018.xlsx]Cash Flow - Standardized!R65C40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5" s="4"/>
      </tp>
      <tp>
        <v>6715</v>
        <stp/>
        <stp>##V3_BDHV12</stp>
        <stp>AMZN US Equity</stp>
        <stp>CF_CASH_FROM_OPER</stp>
        <stp>FQ4 2014</stp>
        <stp>FQ4 2014</stp>
        <stp>[AMZ_2009-2018.xlsx]Cash Flow - Standardized!R19C26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9" s="4"/>
      </tp>
      <tp>
        <v>1388</v>
        <stp/>
        <stp>##V3_BDHV12</stp>
        <stp>AMZN US Equity</stp>
        <stp>CF_CASH_FROM_OPER</stp>
        <stp>FQ3 2013</stp>
        <stp>FQ3 2013</stp>
        <stp>[AMZ_2009-2018.xlsx]Cash Flow - Standardized!R19C21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9" s="4"/>
      </tp>
      <tp>
        <v>8812</v>
        <stp/>
        <stp>##V3_BDHV12</stp>
        <stp>AMZN US Equity</stp>
        <stp>CF_CASH_FROM_OPER</stp>
        <stp>FQ4 2015</stp>
        <stp>FQ4 2015</stp>
        <stp>[AMZ_2009-2018.xlsx]Cash Flow - Standardized!R19C30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9" s="4"/>
      </tp>
      <tp>
        <v>3481</v>
        <stp/>
        <stp>##V3_BDHV12</stp>
        <stp>AMZN US Equity</stp>
        <stp>CF_CHNG_NON_CASH_WORK_CAP</stp>
        <stp>FQ4 2011</stp>
        <stp>FQ4 2011</stp>
        <stp>[AMZ_2009-2018.xlsx]Cash Flow - Standardized!R13C14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3" s="4"/>
      </tp>
      <tp>
        <v>-2438</v>
        <stp/>
        <stp>##V3_BDHV12</stp>
        <stp>AMZN US Equity</stp>
        <stp>CF_CASH_FROM_OPER</stp>
        <stp>FQ1 2012</stp>
        <stp>FQ1 2012</stp>
        <stp>[AMZ_2009-2018.xlsx]Cash Flow - Standardized!R19C15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9" s="4"/>
      </tp>
      <tp>
        <v>-4841</v>
        <stp/>
        <stp>##V3_BDHV12</stp>
        <stp>AMZN US Equity</stp>
        <stp>CF_CHNG_NON_CASH_WORK_CAP</stp>
        <stp>FQ1 2016</stp>
        <stp>FQ1 2016</stp>
        <stp>[AMZ_2009-2018.xlsx]Cash Flow - Standardized!R13C31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3" s="4"/>
      </tp>
      <tp>
        <v>454</v>
        <stp/>
        <stp>##V3_BDHV12</stp>
        <stp>AMZN US Equity</stp>
        <stp>CF_CHNG_NON_CASH_WORK_CAP</stp>
        <stp>FQ3 2015</stp>
        <stp>FQ3 2015</stp>
        <stp>[AMZ_2009-2018.xlsx]Cash Flow - Standardized!R13C29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3" s="4"/>
      </tp>
      <tp>
        <v>-10</v>
        <stp/>
        <stp>##V3_BDHV12</stp>
        <stp>AMZN US Equity</stp>
        <stp>IS_OTHER_NON_OPERATING_INC_LOSS</stp>
        <stp>FQ3 2009</stp>
        <stp>FQ3 2009</stp>
        <stp>[AMZ_2009-2018.xlsx]Income - Adjusted!R24C5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4" s="2"/>
      </tp>
      <tp>
        <v>-374</v>
        <stp/>
        <stp>##V3_BDHV12</stp>
        <stp>AMZN US Equity</stp>
        <stp>IS_OPER_INC</stp>
        <stp>FQ3 2014</stp>
        <stp>FQ3 2014</stp>
        <stp>[AMZ_2009-2018.xlsx]Income - Adjusted!R18C25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8" s="2"/>
      </tp>
      <tp>
        <v>1005</v>
        <stp/>
        <stp>##V3_BDHV12</stp>
        <stp>AMZN US Equity</stp>
        <stp>IS_OPER_INC</stp>
        <stp>FQ1 2017</stp>
        <stp>FQ1 2017</stp>
        <stp>[AMZ_2009-2018.xlsx]Income - Adjusted!R18C35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8" s="2"/>
      </tp>
      <tp>
        <v>192</v>
        <stp/>
        <stp>##V3_BDHV12</stp>
        <stp>AMZN US Equity</stp>
        <stp>IS_OPER_INC</stp>
        <stp>FQ1 2012</stp>
        <stp>FQ1 2012</stp>
        <stp>[AMZ_2009-2018.xlsx]Income - Adjusted!R18C15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8" s="2"/>
      </tp>
      <tp>
        <v>-126</v>
        <stp/>
        <stp>##V3_BDHV12</stp>
        <stp>AMZN US Equity</stp>
        <stp>NI_INCLUDING_MINORITY_INT_RATIO</stp>
        <stp>FQ2 2014</stp>
        <stp>FQ2 2014</stp>
        <stp>[AMZ_2009-2018.xlsx]Income - Adjusted!R38C24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38" s="2"/>
      </tp>
      <tp>
        <v>749</v>
        <stp/>
        <stp>##V3_BDHV12</stp>
        <stp>AMZN US Equity</stp>
        <stp>NI_INCLUDING_MINORITY_INT_RATIO</stp>
        <stp>FQ4 2016</stp>
        <stp>FQ4 2016</stp>
        <stp>[AMZ_2009-2018.xlsx]Income - Adjusted!R38C34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38" s="2"/>
      </tp>
      <tp>
        <v>177</v>
        <stp/>
        <stp>##V3_BDHV12</stp>
        <stp>AMZN US Equity</stp>
        <stp>NI_INCLUDING_MINORITY_INT_RATIO</stp>
        <stp>FQ4 2011</stp>
        <stp>FQ4 2011</stp>
        <stp>[AMZ_2009-2018.xlsx]Income - Adjusted!R38C14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38" s="2"/>
      </tp>
      <tp>
        <v>358</v>
        <stp/>
        <stp>##V3_BDHV12</stp>
        <stp>AMZN US Equity</stp>
        <stp>IS_SG&amp;A_EXPENSE</stp>
        <stp>FQ3 2010</stp>
        <stp>FQ3 2010</stp>
        <stp>[AMZ_2009-2018.xlsx]Income - Adjusted!R13C9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3" s="2"/>
      </tp>
      <tp>
        <v>0</v>
        <stp/>
        <stp>##V3_BDHV12</stp>
        <stp>AMZN US Equity</stp>
        <stp>CF_DECR_INVEST</stp>
        <stp>FQ1 2013</stp>
        <stp>FQ1 2013</stp>
        <stp>[AMZ_2009-2018.xlsx]Cash Flow - Standardized!R30C19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0" s="4"/>
      </tp>
      <tp>
        <v>17.285699999999999</v>
        <stp/>
        <stp>##V3_BDHV12</stp>
        <stp>AMZN US Equity</stp>
        <stp>CASH_ST_INVESTMENTS_PER_SH</stp>
        <stp>FQ2 2014</stp>
        <stp>FQ2 2014</stp>
        <stp>[AMZ_2009-2018.xlsx]Per Share!R25C24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25" s="5"/>
      </tp>
      <tp>
        <v>0</v>
        <stp/>
        <stp>##V3_BDHV12</stp>
        <stp>AMZN US Equity</stp>
        <stp>CF_OTHER_FINANCING_ACT_EXCL_FX</stp>
        <stp>FQ2 2014</stp>
        <stp>FQ2 2014</stp>
        <stp>[AMZ_2009-2018.xlsx]Cash Flow - Standardized!R49C24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9" s="4"/>
      </tp>
      <tp>
        <v>0</v>
        <stp/>
        <stp>##V3_BDHV12</stp>
        <stp>AMZN US Equity</stp>
        <stp>CF_INCR_INVEST</stp>
        <stp>FQ3 2011</stp>
        <stp>FQ3 2011</stp>
        <stp>[AMZ_2009-2018.xlsx]Cash Flow - Standardized!R31C13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1" s="4"/>
      </tp>
      <tp>
        <v>0</v>
        <stp/>
        <stp>##V3_BDHV12</stp>
        <stp>AMZN US Equity</stp>
        <stp>CF_OTHER_FINANCING_ACT_EXCL_FX</stp>
        <stp>FQ1 2016</stp>
        <stp>FQ1 2016</stp>
        <stp>[AMZ_2009-2018.xlsx]Cash Flow - Standardized!R49C31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9" s="4"/>
      </tp>
      <tp>
        <v>-148</v>
        <stp/>
        <stp>##V3_BDHV12</stp>
        <stp>AMZN US Equity</stp>
        <stp>CF_DEF_INC_TAX</stp>
        <stp>FQ4 2012</stp>
        <stp>FQ4 2012</stp>
        <stp>[AMZ_2009-2018.xlsx]Cash Flow - Standardized!R11C18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1" s="4"/>
      </tp>
      <tp>
        <v>0</v>
        <stp/>
        <stp>##V3_BDHV12</stp>
        <stp>AMZN US Equity</stp>
        <stp>CF_INCR_INVEST</stp>
        <stp>FQ2 2013</stp>
        <stp>FQ2 2013</stp>
        <stp>[AMZ_2009-2018.xlsx]Cash Flow - Standardized!R31C20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1" s="4"/>
      </tp>
      <tp>
        <v>0</v>
        <stp/>
        <stp>##V3_BDHV12</stp>
        <stp>AMZN US Equity</stp>
        <stp>CF_OTHER_FINANCING_ACT_EXCL_FX</stp>
        <stp>FQ4 2011</stp>
        <stp>FQ4 2011</stp>
        <stp>[AMZ_2009-2018.xlsx]Cash Flow - Standardized!R49C14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9" s="4"/>
      </tp>
      <tp>
        <v>54.467500000000001</v>
        <stp/>
        <stp>##V3_BDHV12</stp>
        <stp>AMZN US Equity</stp>
        <stp>CASH_ST_INVESTMENTS_PER_SH</stp>
        <stp>FQ4 2016</stp>
        <stp>FQ4 2016</stp>
        <stp>[AMZ_2009-2018.xlsx]Per Share!R25C34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25" s="5"/>
      </tp>
      <tp>
        <v>21.046199999999999</v>
        <stp/>
        <stp>##V3_BDHV12</stp>
        <stp>AMZN US Equity</stp>
        <stp>CASH_ST_INVESTMENTS_PER_SH</stp>
        <stp>FQ4 2011</stp>
        <stp>FQ4 2011</stp>
        <stp>[AMZ_2009-2018.xlsx]Per Share!R25C14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25" s="5"/>
      </tp>
      <tp>
        <v>0</v>
        <stp/>
        <stp>##V3_BDHV12</stp>
        <stp>AMZN US Equity</stp>
        <stp>CF_DECR_INVEST</stp>
        <stp>FQ2 2013</stp>
        <stp>FQ2 2013</stp>
        <stp>[AMZ_2009-2018.xlsx]Cash Flow - Standardized!R30C20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0" s="4"/>
      </tp>
      <tp>
        <v>0</v>
        <stp/>
        <stp>##V3_BDHV12</stp>
        <stp>AMZN US Equity</stp>
        <stp>CF_DECR_INVEST</stp>
        <stp>FQ3 2011</stp>
        <stp>FQ3 2011</stp>
        <stp>[AMZ_2009-2018.xlsx]Cash Flow - Standardized!R30C13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0" s="4"/>
      </tp>
      <tp>
        <v>-185</v>
        <stp/>
        <stp>##V3_BDHV12</stp>
        <stp>AMZN US Equity</stp>
        <stp>CF_DEF_INC_TAX</stp>
        <stp>FQ1 2014</stp>
        <stp>FQ1 2014</stp>
        <stp>[AMZ_2009-2018.xlsx]Cash Flow - Standardized!R11C23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1" s="4"/>
      </tp>
      <tp>
        <v>106</v>
        <stp/>
        <stp>##V3_BDHV12</stp>
        <stp>AMZN US Equity</stp>
        <stp>CF_DEF_INC_TAX</stp>
        <stp>FQ2 2016</stp>
        <stp>FQ2 2016</stp>
        <stp>[AMZ_2009-2018.xlsx]Cash Flow - Standardized!R11C32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1" s="4"/>
      </tp>
      <tp>
        <v>0</v>
        <stp/>
        <stp>##V3_BDHV12</stp>
        <stp>AMZN US Equity</stp>
        <stp>BS_PENSION_RSRV</stp>
        <stp>FQ3 2009</stp>
        <stp>FQ3 2009</stp>
        <stp>[AMZ_2009-2018.xlsx]Bal Sheet - Standardized!R80C5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80" s="3"/>
      </tp>
      <tp>
        <v>0</v>
        <stp/>
        <stp>##V3_BDHV12</stp>
        <stp>AMZN US Equity</stp>
        <stp>CF_INCR_INVEST</stp>
        <stp>FQ1 2013</stp>
        <stp>FQ1 2013</stp>
        <stp>[AMZ_2009-2018.xlsx]Cash Flow - Standardized!R31C19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1" s="4"/>
      </tp>
      <tp>
        <v>-74</v>
        <stp/>
        <stp>##V3_BDHV12</stp>
        <stp>AMZN US Equity</stp>
        <stp>CF_DEF_INC_TAX</stp>
        <stp>FQ3 2017</stp>
        <stp>FQ3 2017</stp>
        <stp>[AMZ_2009-2018.xlsx]Cash Flow - Standardized!R11C37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1" s="4"/>
      </tp>
      <tp>
        <v>0</v>
        <stp/>
        <stp>##V3_BDHV12</stp>
        <stp>AMZN US Equity</stp>
        <stp>CF_OTHER_FINANCING_ACT_EXCL_FX</stp>
        <stp>FQ3 2015</stp>
        <stp>FQ3 2015</stp>
        <stp>[AMZ_2009-2018.xlsx]Cash Flow - Standardized!R49C29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9" s="4"/>
      </tp>
      <tp>
        <v>0</v>
        <stp/>
        <stp>##V3_BDHV12</stp>
        <stp>AMZN US Equity</stp>
        <stp>BS_PENSION_RSRV</stp>
        <stp>FQ2 2010</stp>
        <stp>FQ2 2010</stp>
        <stp>[AMZ_2009-2018.xlsx]Bal Sheet - Standardized!R80C8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80" s="3"/>
      </tp>
      <tp>
        <v>0</v>
        <stp/>
        <stp>##V3_BDHV12</stp>
        <stp>AMZN US Equity</stp>
        <stp>BS_PENSION_RSRV</stp>
        <stp>FQ4 2014</stp>
        <stp>FQ4 2014</stp>
        <stp>[AMZ_2009-2018.xlsx]Bal Sheet - Standardized!R80C26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80" s="3"/>
      </tp>
      <tp>
        <v>0</v>
        <stp/>
        <stp>##V3_BDHV12</stp>
        <stp>AMZN US Equity</stp>
        <stp>BS_PENSION_RSRV</stp>
        <stp>FQ3 2013</stp>
        <stp>FQ3 2013</stp>
        <stp>[AMZ_2009-2018.xlsx]Bal Sheet - Standardized!R80C21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80" s="3"/>
      </tp>
      <tp>
        <v>0</v>
        <stp/>
        <stp>##V3_BDHV12</stp>
        <stp>AMZN US Equity</stp>
        <stp>BS_PENSION_RSRV</stp>
        <stp>FQ2 2011</stp>
        <stp>FQ2 2011</stp>
        <stp>[AMZ_2009-2018.xlsx]Bal Sheet - Standardized!R80C12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80" s="3"/>
      </tp>
      <tp>
        <v>12</v>
        <stp/>
        <stp>##V3_BDHV12</stp>
        <stp>AMZN US Equity</stp>
        <stp>IS_INT_INC</stp>
        <stp>FQ2 2015</stp>
        <stp>FQ2 2015</stp>
        <stp>[AMZ_2009-2018.xlsx]Income - Adjusted!R22C28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2" s="2"/>
      </tp>
      <tp>
        <v>0</v>
        <stp/>
        <stp>##V3_BDHV12</stp>
        <stp>AMZN US Equity</stp>
        <stp>BS_PENSION_RSRV</stp>
        <stp>FQ4 2015</stp>
        <stp>FQ4 2015</stp>
        <stp>[AMZ_2009-2018.xlsx]Bal Sheet - Standardized!R80C30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80" s="3"/>
      </tp>
      <tp>
        <v>9</v>
        <stp/>
        <stp>##V3_BDHV12</stp>
        <stp>AMZN US Equity</stp>
        <stp>IS_INT_INC</stp>
        <stp>FQ4 2012</stp>
        <stp>FQ4 2012</stp>
        <stp>[AMZ_2009-2018.xlsx]Income - Adjusted!R22C18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2" s="2"/>
      </tp>
      <tp>
        <v>66</v>
        <stp/>
        <stp>##V3_BDHV12</stp>
        <stp>AMZN US Equity</stp>
        <stp>IS_INT_INC</stp>
        <stp>FQ4 2017</stp>
        <stp>FQ4 2017</stp>
        <stp>[AMZ_2009-2018.xlsx]Income - Adjusted!R22C38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22" s="2"/>
      </tp>
      <tp>
        <v>-105</v>
        <stp/>
        <stp>##V3_BDHV12</stp>
        <stp>AMZN US Equity</stp>
        <stp>CF_NT_CSH_RCVD_PD_FOR_ACQUIS_DIV</stp>
        <stp>FQ3 2015</stp>
        <stp>FQ3 2015</stp>
        <stp>[AMZ_2009-2018.xlsx]Cash Flow - Standardized!R32C29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2" s="4"/>
      </tp>
      <tp>
        <v>0</v>
        <stp/>
        <stp>##V3_BDHV12</stp>
        <stp>AMZN US Equity</stp>
        <stp>BS_PENSION_RSRV</stp>
        <stp>FQ1 2012</stp>
        <stp>FQ1 2012</stp>
        <stp>[AMZ_2009-2018.xlsx]Bal Sheet - Standardized!R80C15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80" s="3"/>
      </tp>
      <tp>
        <v>-166</v>
        <stp/>
        <stp>##V3_BDHV12</stp>
        <stp>AMZN US Equity</stp>
        <stp>CF_ACCT_RCV_UNBILLED_REV</stp>
        <stp>FQ2 2012</stp>
        <stp>FQ2 2012</stp>
        <stp>[AMZ_2009-2018.xlsx]Cash Flow - Standardized!R14C16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4" s="4"/>
      </tp>
      <tp>
        <v>395.47489999999999</v>
        <stp/>
        <stp>##V3_BDHV12</stp>
        <stp>AMZN US Equity</stp>
        <stp>CF_FREE_CASH_FLOW_FIRM</stp>
        <stp>FQ2 2009</stp>
        <stp>FQ2 2009</stp>
        <stp>[AMZ_2009-2018.xlsx]Cash Flow - Standardized!R66C4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66" s="4"/>
      </tp>
      <tp>
        <v>701.39689999999996</v>
        <stp/>
        <stp>##V3_BDHV12</stp>
        <stp>AMZN US Equity</stp>
        <stp>CF_FREE_CASH_FLOW_FIRM</stp>
        <stp>FQ3 2009</stp>
        <stp>FQ3 2009</stp>
        <stp>[AMZ_2009-2018.xlsx]Cash Flow - Standardized!R66C5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66" s="4"/>
      </tp>
      <tp>
        <v>-67</v>
        <stp/>
        <stp>##V3_BDHV12</stp>
        <stp>AMZN US Equity</stp>
        <stp>CF_NT_CSH_RCVD_PD_FOR_ACQUIS_DIV</stp>
        <stp>FQ2 2014</stp>
        <stp>FQ2 2014</stp>
        <stp>[AMZ_2009-2018.xlsx]Cash Flow - Standardized!R32C24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2" s="4"/>
      </tp>
      <tp t="s">
        <v>—</v>
        <stp/>
        <stp>##V3_BDHV12</stp>
        <stp>AMZN US Equity</stp>
        <stp>BS_DERIVATIVE_&amp;_HEDGING_LIABS_ST</stp>
        <stp>FQ2 2010</stp>
        <stp>FQ2 2010</stp>
        <stp>[AMZ_2009-2018.xlsx]Bal Sheet - Standardized!R49C8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9" s="3"/>
      </tp>
      <tp t="s">
        <v>—</v>
        <stp/>
        <stp>##V3_BDHV12</stp>
        <stp>AMZN US Equity</stp>
        <stp>BS_DERIVATIVE_&amp;_HEDGING_LIABS_LT</stp>
        <stp>FQ2 2010</stp>
        <stp>FQ2 2010</stp>
        <stp>[AMZ_2009-2018.xlsx]Bal Sheet - Standardized!R60C8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0" s="3"/>
      </tp>
      <tp>
        <v>359</v>
        <stp/>
        <stp>##V3_BDHV12</stp>
        <stp>AMZN US Equity</stp>
        <stp>CF_ACCT_RCV_UNBILLED_REV</stp>
        <stp>FQ1 2011</stp>
        <stp>FQ1 2011</stp>
        <stp>[AMZ_2009-2018.xlsx]Cash Flow - Standardized!R14C11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4" s="4"/>
      </tp>
      <tp>
        <v>-16</v>
        <stp/>
        <stp>##V3_BDHV12</stp>
        <stp>AMZN US Equity</stp>
        <stp>CF_NT_CSH_RCVD_PD_FOR_ACQUIS_DIV</stp>
        <stp>FQ1 2016</stp>
        <stp>FQ1 2016</stp>
        <stp>[AMZ_2009-2018.xlsx]Cash Flow - Standardized!R32C31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2" s="4"/>
      </tp>
      <tp t="s">
        <v>—</v>
        <stp/>
        <stp>##V3_BDHV12</stp>
        <stp>AMZN US Equity</stp>
        <stp>BS_DERIVATIVE_&amp;_HEDGING_LIABS_ST</stp>
        <stp>FQ3 2009</stp>
        <stp>FQ3 2009</stp>
        <stp>[AMZ_2009-2018.xlsx]Bal Sheet - Standardized!R49C5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9" s="3"/>
      </tp>
      <tp t="s">
        <v>—</v>
        <stp/>
        <stp>##V3_BDHV12</stp>
        <stp>AMZN US Equity</stp>
        <stp>BS_DERIVATIVE_&amp;_HEDGING_LIABS_LT</stp>
        <stp>FQ3 2009</stp>
        <stp>FQ3 2009</stp>
        <stp>[AMZ_2009-2018.xlsx]Bal Sheet - Standardized!R60C5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0" s="3"/>
      </tp>
      <tp>
        <v>-1924</v>
        <stp/>
        <stp>##V3_BDHV12</stp>
        <stp>AMZN US Equity</stp>
        <stp>CF_ACCT_RCV_UNBILLED_REV</stp>
        <stp>FQ4 2016</stp>
        <stp>FQ4 2016</stp>
        <stp>[AMZ_2009-2018.xlsx]Cash Flow - Standardized!R14C34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4" s="4"/>
      </tp>
      <tp>
        <v>-49</v>
        <stp/>
        <stp>##V3_BDHV12</stp>
        <stp>AMZN US Equity</stp>
        <stp>CF_NT_CSH_RCVD_PD_FOR_ACQUIS_DIV</stp>
        <stp>FQ4 2011</stp>
        <stp>FQ4 2011</stp>
        <stp>[AMZ_2009-2018.xlsx]Cash Flow - Standardized!R32C14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2" s="4"/>
      </tp>
      <tp>
        <v>0</v>
        <stp/>
        <stp>##V3_BDHV12</stp>
        <stp>AMZN US Equity</stp>
        <stp>OTHER_CURRENT_LIABS_SUB_DETAILED</stp>
        <stp>FQ4 2009</stp>
        <stp>FQ4 2009</stp>
        <stp>[AMZ_2009-2018.xlsx]Bal Sheet - Standardized!R47C6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7" s="3"/>
      </tp>
      <tp>
        <v>680</v>
        <stp/>
        <stp>##V3_BDHV12</stp>
        <stp>AMZN US Equity</stp>
        <stp>BS_CURR_PORTION_LT_DEBT</stp>
        <stp>FQ3 2013</stp>
        <stp>FQ3 2013</stp>
        <stp>[AMZ_2009-2018.xlsx]Bal Sheet - Standardized!R46C21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6" s="3"/>
      </tp>
      <tp>
        <v>1520</v>
        <stp/>
        <stp>##V3_BDHV12</stp>
        <stp>AMZN US Equity</stp>
        <stp>BS_CURR_PORTION_LT_DEBT</stp>
        <stp>FQ4 2014</stp>
        <stp>FQ4 2014</stp>
        <stp>[AMZ_2009-2018.xlsx]Bal Sheet - Standardized!R46C26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6" s="3"/>
      </tp>
      <tp t="s">
        <v>—</v>
        <stp/>
        <stp>##V3_BDHV12</stp>
        <stp>AMZN US Equity</stp>
        <stp>BS_CURR_PORTION_LT_DEBT</stp>
        <stp>FQ2 2011</stp>
        <stp>FQ2 2011</stp>
        <stp>[AMZ_2009-2018.xlsx]Bal Sheet - Standardized!R46C12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6" s="3"/>
      </tp>
      <tp>
        <v>238</v>
        <stp/>
        <stp>##V3_BDHV12</stp>
        <stp>AMZN US Equity</stp>
        <stp>BS_CURR_PORTION_LT_DEBT</stp>
        <stp>FQ4 2015</stp>
        <stp>FQ4 2015</stp>
        <stp>[AMZ_2009-2018.xlsx]Bal Sheet - Standardized!R46C30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6" s="3"/>
      </tp>
      <tp>
        <v>814.23199999999997</v>
        <stp/>
        <stp>##V3_BDHV12</stp>
        <stp>AMZN US Equity</stp>
        <stp>CF_FREE_CASH_FLOW_FIRM</stp>
        <stp>FQ2 2015</stp>
        <stp>FQ2 2015</stp>
        <stp>[AMZ_2009-2018.xlsx]Cash Flow - Standardized!R66C28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66" s="4"/>
      </tp>
      <tp t="s">
        <v>—</v>
        <stp/>
        <stp>##V3_BDHV12</stp>
        <stp>AMZN US Equity</stp>
        <stp>BS_CURR_PORTION_LT_DEBT</stp>
        <stp>FQ1 2012</stp>
        <stp>FQ1 2012</stp>
        <stp>[AMZ_2009-2018.xlsx]Bal Sheet - Standardized!R46C15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6" s="3"/>
      </tp>
      <tp>
        <v>0</v>
        <stp/>
        <stp>##V3_BDHV12</stp>
        <stp>AMZN US Equity</stp>
        <stp>CF_DISPOSAL_OF_FIXED_PROD_ASSETS</stp>
        <stp>FQ3 2013</stp>
        <stp>FQ3 2013</stp>
        <stp>[AMZ_2009-2018.xlsx]Cash Flow - Standardized!R24C21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4" s="4"/>
      </tp>
      <tp>
        <v>0</v>
        <stp/>
        <stp>##V3_BDHV12</stp>
        <stp>AMZN US Equity</stp>
        <stp>CF_DISPOSAL_OF_FIXED_PROD_ASSETS</stp>
        <stp>FQ4 2014</stp>
        <stp>FQ4 2014</stp>
        <stp>[AMZ_2009-2018.xlsx]Cash Flow - Standardized!R24C26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4" s="4"/>
      </tp>
      <tp>
        <v>0</v>
        <stp/>
        <stp>##V3_BDHV12</stp>
        <stp>AMZN US Equity</stp>
        <stp>CF_DISPOSAL_OF_FIXED_PROD_ASSETS</stp>
        <stp>FQ2 2011</stp>
        <stp>FQ2 2011</stp>
        <stp>[AMZ_2009-2018.xlsx]Cash Flow - Standardized!R24C12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4" s="4"/>
      </tp>
      <tp>
        <v>0</v>
        <stp/>
        <stp>##V3_BDHV12</stp>
        <stp>AMZN US Equity</stp>
        <stp>CF_DISPOSAL_OF_FIXED_PROD_ASSETS</stp>
        <stp>FQ4 2015</stp>
        <stp>FQ4 2015</stp>
        <stp>[AMZ_2009-2018.xlsx]Cash Flow - Standardized!R24C30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4" s="4"/>
      </tp>
      <tp>
        <v>0</v>
        <stp/>
        <stp>##V3_BDHV12</stp>
        <stp>AMZN US Equity</stp>
        <stp>CF_DISPOSAL_OF_FIXED_PROD_ASSETS</stp>
        <stp>FQ1 2012</stp>
        <stp>FQ1 2012</stp>
        <stp>[AMZ_2009-2018.xlsx]Cash Flow - Standardized!R24C15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4" s="4"/>
      </tp>
      <tp>
        <v>0</v>
        <stp/>
        <stp>##V3_BDHV12</stp>
        <stp>AMZN US Equity</stp>
        <stp>IS_TOT_CASH_PFD_DVD</stp>
        <stp>FQ1 2016</stp>
        <stp>FQ1 2016</stp>
        <stp>[AMZ_2009-2018.xlsx]Income - Adjusted!R41C31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1" s="2"/>
      </tp>
      <tp>
        <v>0</v>
        <stp/>
        <stp>##V3_BDHV12</stp>
        <stp>AMZN US Equity</stp>
        <stp>IS_TOT_CASH_PFD_DVD</stp>
        <stp>FQ2 2016</stp>
        <stp>FQ2 2016</stp>
        <stp>[AMZ_2009-2018.xlsx]Income - Adjusted!R41C32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1" s="2"/>
      </tp>
      <tp>
        <v>0</v>
        <stp/>
        <stp>##V3_BDHV12</stp>
        <stp>AMZN US Equity</stp>
        <stp>IS_TOT_CASH_PFD_DVD</stp>
        <stp>FQ3 2016</stp>
        <stp>FQ3 2016</stp>
        <stp>[AMZ_2009-2018.xlsx]Income - Adjusted!R41C33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1" s="2"/>
      </tp>
      <tp>
        <v>0</v>
        <stp/>
        <stp>##V3_BDHV12</stp>
        <stp>AMZN US Equity</stp>
        <stp>IS_TOT_CASH_PFD_DVD</stp>
        <stp>FQ4 2016</stp>
        <stp>FQ4 2016</stp>
        <stp>[AMZ_2009-2018.xlsx]Income - Adjusted!R41C34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1" s="2"/>
      </tp>
      <tp>
        <v>4</v>
        <stp/>
        <stp>##V3_BDHV12</stp>
        <stp>AMZN US Equity</stp>
        <stp>CF_CASH_PAID_FOR_TAX</stp>
        <stp>FQ1 2010</stp>
        <stp>FQ1 2010</stp>
        <stp>[AMZ_2009-2018.xlsx]Cash Flow - Standardized!R57C7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7" s="4"/>
      </tp>
      <tp t="s">
        <v>—</v>
        <stp/>
        <stp>##V3_BDHV12</stp>
        <stp>AMZN US Equity</stp>
        <stp>EBITA</stp>
        <stp>FQ3 2010</stp>
        <stp>FQ3 2010</stp>
        <stp>[AMZ_2009-2018.xlsx]Income - Adjusted!R63C9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63" s="2"/>
      </tp>
      <tp>
        <v>1.0041</v>
        <stp/>
        <stp>##V3_BDHV12</stp>
        <stp>AMZN US Equity</stp>
        <stp>IS_DIL_EPS_CONT_OPS</stp>
        <stp>FQ4 2015</stp>
        <stp>FQ4 2015</stp>
        <stp>[AMZ_2009-2018.xlsx]Per Share!R19C30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19" s="5"/>
      </tp>
      <tp>
        <v>0.91</v>
        <stp/>
        <stp>##V3_BDHV12</stp>
        <stp>AMZN US Equity</stp>
        <stp>IS_DIL_EPS_CONT_OPS</stp>
        <stp>FQ4 2010</stp>
        <stp>FQ4 2010</stp>
        <stp>[AMZ_2009-2018.xlsx]Per Share!R19C10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19" s="5"/>
      </tp>
      <tp>
        <v>1856</v>
        <stp/>
        <stp>##V3_BDHV12</stp>
        <stp>AMZN US Equity</stp>
        <stp>CF_NET_INC</stp>
        <stp>FQ4 2017</stp>
        <stp>FQ4 2017</stp>
        <stp>[AMZ_2009-2018.xlsx]Cash Flow - Standardized!R7C38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" s="4"/>
      </tp>
      <tp>
        <v>-0.02</v>
        <stp/>
        <stp>##V3_BDHV12</stp>
        <stp>AMZN US Equity</stp>
        <stp>IS_DIL_EPS_CONT_OPS</stp>
        <stp>FQ2 2013</stp>
        <stp>FQ2 2013</stp>
        <stp>[AMZ_2009-2018.xlsx]Per Share!R19C20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19" s="5"/>
      </tp>
      <tp>
        <v>3.8780000000000001</v>
        <stp/>
        <stp>##V3_BDHV12</stp>
        <stp>AMZN US Equity</stp>
        <stp>IS_DIL_EPS_CONT_OPS</stp>
        <stp>FQ2 2018</stp>
        <stp>FQ2 2018</stp>
        <stp>[AMZ_2009-2018.xlsx]Per Share!R19C40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19" s="5"/>
      </tp>
      <tp>
        <v>749</v>
        <stp/>
        <stp>##V3_BDHV12</stp>
        <stp>AMZN US Equity</stp>
        <stp>CF_NET_INC</stp>
        <stp>FQ4 2016</stp>
        <stp>FQ4 2016</stp>
        <stp>[AMZ_2009-2018.xlsx]Cash Flow - Standardized!R7C34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" s="4"/>
      </tp>
      <tp t="s">
        <v>—</v>
        <stp/>
        <stp>##V3_BDHV12</stp>
        <stp>AMZN US Equity</stp>
        <stp>BS_INTEREST_&amp;_DIVIDENDS_PAYABLE</stp>
        <stp>FQ2 2018</stp>
        <stp>FQ2 2018</stp>
        <stp>[AMZ_2009-2018.xlsx]Bal Sheet - Standardized!R41C40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1" s="3"/>
      </tp>
      <tp>
        <v>-383</v>
        <stp/>
        <stp>##V3_BDHV12</stp>
        <stp>AMZN US Equity</stp>
        <stp>OTHER_INVESTING_ACT_DETAILED</stp>
        <stp>FQ1 2010</stp>
        <stp>FQ1 2010</stp>
        <stp>[AMZ_2009-2018.xlsx]Cash Flow - Standardized!R36C7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6" s="4"/>
      </tp>
      <tp>
        <v>-147</v>
        <stp/>
        <stp>##V3_BDHV12</stp>
        <stp>AMZN US Equity</stp>
        <stp>CF_CASH_FROM_INV_ACT</stp>
        <stp>FQ1 2009</stp>
        <stp>FQ1 2009</stp>
        <stp>[AMZ_2009-2018.xlsx]Cash Flow - Standardized!R38C3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4"/>
      </tp>
      <tp>
        <v>482</v>
        <stp/>
        <stp>##V3_BDHV12</stp>
        <stp>AMZN US Equity</stp>
        <stp>CF_NET_INC</stp>
        <stp>FQ4 2015</stp>
        <stp>FQ4 2015</stp>
        <stp>[AMZ_2009-2018.xlsx]Cash Flow - Standardized!R7C30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" s="4"/>
      </tp>
      <tp>
        <v>2737</v>
        <stp/>
        <stp>##V3_BDHV12</stp>
        <stp>AMZN US Equity</stp>
        <stp>CF_CHNG_NON_CASH_WORK_CAP</stp>
        <stp>FQ4 2010</stp>
        <stp>FQ4 2010</stp>
        <stp>[AMZ_2009-2018.xlsx]Cash Flow - Standardized!R13C10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3" s="4"/>
      </tp>
      <tp>
        <v>4146</v>
        <stp/>
        <stp>##V3_BDHV12</stp>
        <stp>AMZN US Equity</stp>
        <stp>CF_CHNG_NON_CASH_WORK_CAP</stp>
        <stp>FQ4 2013</stp>
        <stp>FQ4 2013</stp>
        <stp>[AMZ_2009-2018.xlsx]Cash Flow - Standardized!R13C22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3" s="4"/>
      </tp>
      <tp>
        <v>779</v>
        <stp/>
        <stp>##V3_BDHV12</stp>
        <stp>AMZN US Equity</stp>
        <stp>CF_CHNG_NON_CASH_WORK_CAP</stp>
        <stp>FQ3 2014</stp>
        <stp>FQ3 2014</stp>
        <stp>[AMZ_2009-2018.xlsx]Cash Flow - Standardized!R13C25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3" s="4"/>
      </tp>
      <tp>
        <v>880</v>
        <stp/>
        <stp>##V3_BDHV12</stp>
        <stp>AMZN US Equity</stp>
        <stp>CF_CASH_FROM_OPER</stp>
        <stp>FQ2 2013</stp>
        <stp>FQ2 2013</stp>
        <stp>[AMZ_2009-2018.xlsx]Cash Flow - Standardized!R19C20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9" s="4"/>
      </tp>
      <tp>
        <v>-5550</v>
        <stp/>
        <stp>##V3_BDHV12</stp>
        <stp>AMZN US Equity</stp>
        <stp>CF_CHNG_NON_CASH_WORK_CAP</stp>
        <stp>FQ1 2017</stp>
        <stp>FQ1 2017</stp>
        <stp>[AMZ_2009-2018.xlsx]Cash Flow - Standardized!R13C35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3" s="4"/>
      </tp>
      <tp>
        <v>797</v>
        <stp/>
        <stp>##V3_BDHV12</stp>
        <stp>AMZN US Equity</stp>
        <stp>CF_CASH_FROM_OPER</stp>
        <stp>FQ3 2011</stp>
        <stp>FQ3 2011</stp>
        <stp>[AMZ_2009-2018.xlsx]Cash Flow - Standardized!R19C13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9" s="4"/>
      </tp>
      <tp>
        <v>-2372</v>
        <stp/>
        <stp>##V3_BDHV12</stp>
        <stp>AMZN US Equity</stp>
        <stp>CF_CASH_FROM_OPER</stp>
        <stp>FQ1 2013</stp>
        <stp>FQ1 2013</stp>
        <stp>[AMZ_2009-2018.xlsx]Cash Flow - Standardized!R19C19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9" s="4"/>
      </tp>
      <tp>
        <v>-85</v>
        <stp/>
        <stp>##V3_BDHV12</stp>
        <stp>AMZN US Equity</stp>
        <stp>CF_CHNG_NON_CASH_WORK_CAP</stp>
        <stp>FQ2 2015</stp>
        <stp>FQ2 2015</stp>
        <stp>[AMZ_2009-2018.xlsx]Cash Flow - Standardized!R13C28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3" s="4"/>
      </tp>
      <tp>
        <v>-17</v>
        <stp/>
        <stp>##V3_BDHV12</stp>
        <stp>AMZN US Equity</stp>
        <stp>IS_OTHER_NON_OPERATING_INC_LOSS</stp>
        <stp>FQ2 2009</stp>
        <stp>FQ2 2009</stp>
        <stp>[AMZ_2009-2018.xlsx]Income - Adjusted!R24C4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4" s="2"/>
      </tp>
      <tp>
        <v>130</v>
        <stp/>
        <stp>##V3_BDHV12</stp>
        <stp>AMZN US Equity</stp>
        <stp>NI_INCLUDING_MINORITY_INT_RATIO</stp>
        <stp>FQ1 2012</stp>
        <stp>FQ1 2012</stp>
        <stp>[AMZ_2009-2018.xlsx]Income - Adjusted!R38C15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38" s="2"/>
      </tp>
      <tp>
        <v>724</v>
        <stp/>
        <stp>##V3_BDHV12</stp>
        <stp>AMZN US Equity</stp>
        <stp>NI_INCLUDING_MINORITY_INT_RATIO</stp>
        <stp>FQ1 2017</stp>
        <stp>FQ1 2017</stp>
        <stp>[AMZ_2009-2018.xlsx]Income - Adjusted!R38C35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38" s="2"/>
      </tp>
      <tp>
        <v>-15</v>
        <stp/>
        <stp>##V3_BDHV12</stp>
        <stp>AMZN US Equity</stp>
        <stp>IS_OPER_INC</stp>
        <stp>FQ2 2014</stp>
        <stp>FQ2 2014</stp>
        <stp>[AMZ_2009-2018.xlsx]Income - Adjusted!R18C24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8" s="2"/>
      </tp>
      <tp>
        <v>1.3364</v>
        <stp/>
        <stp>##V3_BDHV12</stp>
        <stp>AMZN US Equity</stp>
        <stp>EBITDA_PER_SH</stp>
        <stp>FQ4 2009</stp>
        <stp>FQ4 2009</stp>
        <stp>[AMZ_2009-2018.xlsx]Per Share!R12C6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12" s="5"/>
      </tp>
      <tp>
        <v>-437</v>
        <stp/>
        <stp>##V3_BDHV12</stp>
        <stp>AMZN US Equity</stp>
        <stp>NI_INCLUDING_MINORITY_INT_RATIO</stp>
        <stp>FQ3 2014</stp>
        <stp>FQ3 2014</stp>
        <stp>[AMZ_2009-2018.xlsx]Income - Adjusted!R38C25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38" s="2"/>
      </tp>
      <tp>
        <v>0.93300000000000005</v>
        <stp/>
        <stp>##V3_BDHV12</stp>
        <stp>AMZN US Equity</stp>
        <stp>EBITDA_PER_SH</stp>
        <stp>FQ3 2010</stp>
        <stp>FQ3 2010</stp>
        <stp>[AMZ_2009-2018.xlsx]Per Share!R12C9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12" s="5"/>
      </tp>
      <tp>
        <v>0.57999999999999996</v>
        <stp/>
        <stp>##V3_BDHV12</stp>
        <stp>AMZN US Equity</stp>
        <stp>EBITDA_PER_SH</stp>
        <stp>FQ2 2009</stp>
        <stp>FQ2 2009</stp>
        <stp>[AMZ_2009-2018.xlsx]Per Share!R12C4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12" s="5"/>
      </tp>
      <tp>
        <v>0.89259999999999995</v>
        <stp/>
        <stp>##V3_BDHV12</stp>
        <stp>AMZN US Equity</stp>
        <stp>EBITDA_PER_SH</stp>
        <stp>FQ2 2010</stp>
        <stp>FQ2 2010</stp>
        <stp>[AMZ_2009-2018.xlsx]Per Share!R12C8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12" s="5"/>
      </tp>
      <tp>
        <v>0.80320000000000003</v>
        <stp/>
        <stp>##V3_BDHV12</stp>
        <stp>AMZN US Equity</stp>
        <stp>EBITDA_PER_SH</stp>
        <stp>FQ3 2009</stp>
        <stp>FQ3 2009</stp>
        <stp>[AMZ_2009-2018.xlsx]Per Share!R12C5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12" s="5"/>
      </tp>
      <tp>
        <v>1.1528</v>
        <stp/>
        <stp>##V3_BDHV12</stp>
        <stp>AMZN US Equity</stp>
        <stp>EBITDA_PER_SH</stp>
        <stp>FQ1 2010</stp>
        <stp>FQ1 2010</stp>
        <stp>[AMZ_2009-2018.xlsx]Per Share!R12C7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12" s="5"/>
      </tp>
      <tp>
        <v>0.7762</v>
        <stp/>
        <stp>##V3_BDHV12</stp>
        <stp>AMZN US Equity</stp>
        <stp>EBITDA_PER_SH</stp>
        <stp>FQ1 2009</stp>
        <stp>FQ1 2009</stp>
        <stp>[AMZ_2009-2018.xlsx]Per Share!R12C3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12" s="5"/>
      </tp>
      <tp>
        <v>260</v>
        <stp/>
        <stp>##V3_BDHV12</stp>
        <stp>AMZN US Equity</stp>
        <stp>IS_OPER_INC</stp>
        <stp>FQ4 2011</stp>
        <stp>FQ4 2011</stp>
        <stp>[AMZ_2009-2018.xlsx]Income - Adjusted!R18C14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8" s="2"/>
      </tp>
      <tp>
        <v>1255</v>
        <stp/>
        <stp>##V3_BDHV12</stp>
        <stp>AMZN US Equity</stp>
        <stp>IS_OPER_INC</stp>
        <stp>FQ4 2016</stp>
        <stp>FQ4 2016</stp>
        <stp>[AMZ_2009-2018.xlsx]Income - Adjusted!R18C34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8" s="2"/>
      </tp>
      <tp>
        <v>14.866099999999999</v>
        <stp/>
        <stp>##V3_BDHV12</stp>
        <stp>AMZN US Equity</stp>
        <stp>CASH_ST_INVESTMENTS_PER_SH</stp>
        <stp>FQ3 2014</stp>
        <stp>FQ3 2014</stp>
        <stp>[AMZ_2009-2018.xlsx]Per Share!R25C25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25" s="5"/>
      </tp>
      <tp>
        <v>0</v>
        <stp/>
        <stp>##V3_BDHV12</stp>
        <stp>AMZN US Equity</stp>
        <stp>CF_INCR_INVEST</stp>
        <stp>FQ1 2012</stp>
        <stp>FQ1 2012</stp>
        <stp>[AMZ_2009-2018.xlsx]Cash Flow - Standardized!R31C15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1" s="4"/>
      </tp>
      <tp>
        <v>0</v>
        <stp/>
        <stp>##V3_BDHV12</stp>
        <stp>AMZN US Equity</stp>
        <stp>CF_OTHER_FINANCING_ACT_EXCL_FX</stp>
        <stp>FQ1 2017</stp>
        <stp>FQ1 2017</stp>
        <stp>[AMZ_2009-2018.xlsx]Cash Flow - Standardized!R49C35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9" s="4"/>
      </tp>
      <tp>
        <v>324</v>
        <stp/>
        <stp>##V3_BDHV12</stp>
        <stp>AMZN US Equity</stp>
        <stp>IS_SG&amp;A_EXPENSE</stp>
        <stp>FQ2 2010</stp>
        <stp>FQ2 2010</stp>
        <stp>[AMZ_2009-2018.xlsx]Income - Adjusted!R13C8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3" s="2"/>
      </tp>
      <tp>
        <v>0</v>
        <stp/>
        <stp>##V3_BDHV12</stp>
        <stp>AMZN US Equity</stp>
        <stp>CF_OTHER_FINANCING_ACT_EXCL_FX</stp>
        <stp>FQ4 2013</stp>
        <stp>FQ4 2013</stp>
        <stp>[AMZ_2009-2018.xlsx]Cash Flow - Standardized!R49C22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9" s="4"/>
      </tp>
      <tp>
        <v>0</v>
        <stp/>
        <stp>##V3_BDHV12</stp>
        <stp>AMZN US Equity</stp>
        <stp>CF_OTHER_FINANCING_ACT_EXCL_FX</stp>
        <stp>FQ3 2014</stp>
        <stp>FQ3 2014</stp>
        <stp>[AMZ_2009-2018.xlsx]Cash Flow - Standardized!R49C25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9" s="4"/>
      </tp>
      <tp>
        <v>12.7</v>
        <stp/>
        <stp>##V3_BDHV12</stp>
        <stp>AMZN US Equity</stp>
        <stp>CASH_ST_INVESTMENTS_PER_SH</stp>
        <stp>FQ1 2012</stp>
        <stp>FQ1 2012</stp>
        <stp>[AMZ_2009-2018.xlsx]Per Share!R25C15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25" s="5"/>
      </tp>
      <tp>
        <v>45.043900000000001</v>
        <stp/>
        <stp>##V3_BDHV12</stp>
        <stp>AMZN US Equity</stp>
        <stp>CASH_ST_INVESTMENTS_PER_SH</stp>
        <stp>FQ1 2017</stp>
        <stp>FQ1 2017</stp>
        <stp>[AMZ_2009-2018.xlsx]Per Share!R25C35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25" s="5"/>
      </tp>
      <tp>
        <v>0</v>
        <stp/>
        <stp>##V3_BDHV12</stp>
        <stp>AMZN US Equity</stp>
        <stp>CF_INCR_INVEST</stp>
        <stp>FQ4 2015</stp>
        <stp>FQ4 2015</stp>
        <stp>[AMZ_2009-2018.xlsx]Cash Flow - Standardized!R31C30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1" s="4"/>
      </tp>
      <tp>
        <v>0</v>
        <stp/>
        <stp>##V3_BDHV12</stp>
        <stp>AMZN US Equity</stp>
        <stp>CF_OTHER_FINANCING_ACT_EXCL_FX</stp>
        <stp>FQ4 2010</stp>
        <stp>FQ4 2010</stp>
        <stp>[AMZ_2009-2018.xlsx]Cash Flow - Standardized!R49C10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9" s="4"/>
      </tp>
      <tp>
        <v>0</v>
        <stp/>
        <stp>##V3_BDHV12</stp>
        <stp>AMZN US Equity</stp>
        <stp>CF_INCR_INVEST</stp>
        <stp>FQ4 2014</stp>
        <stp>FQ4 2014</stp>
        <stp>[AMZ_2009-2018.xlsx]Cash Flow - Standardized!R31C26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1" s="4"/>
      </tp>
      <tp>
        <v>0</v>
        <stp/>
        <stp>##V3_BDHV12</stp>
        <stp>AMZN US Equity</stp>
        <stp>CF_INCR_INVEST</stp>
        <stp>FQ3 2013</stp>
        <stp>FQ3 2013</stp>
        <stp>[AMZ_2009-2018.xlsx]Cash Flow - Standardized!R31C21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1" s="4"/>
      </tp>
      <tp>
        <v>0</v>
        <stp/>
        <stp>##V3_BDHV12</stp>
        <stp>AMZN US Equity</stp>
        <stp>CF_INCR_INVEST</stp>
        <stp>FQ2 2011</stp>
        <stp>FQ2 2011</stp>
        <stp>[AMZ_2009-2018.xlsx]Cash Flow - Standardized!R31C12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1" s="4"/>
      </tp>
      <tp>
        <v>0</v>
        <stp/>
        <stp>##V3_BDHV12</stp>
        <stp>AMZN US Equity</stp>
        <stp>CF_DECR_INVEST</stp>
        <stp>FQ2 2011</stp>
        <stp>FQ2 2011</stp>
        <stp>[AMZ_2009-2018.xlsx]Cash Flow - Standardized!R30C12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0" s="4"/>
      </tp>
      <tp>
        <v>0</v>
        <stp/>
        <stp>##V3_BDHV12</stp>
        <stp>AMZN US Equity</stp>
        <stp>CF_DECR_INVEST</stp>
        <stp>FQ4 2014</stp>
        <stp>FQ4 2014</stp>
        <stp>[AMZ_2009-2018.xlsx]Cash Flow - Standardized!R30C26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0" s="4"/>
      </tp>
      <tp>
        <v>0</v>
        <stp/>
        <stp>##V3_BDHV12</stp>
        <stp>AMZN US Equity</stp>
        <stp>CF_DECR_INVEST</stp>
        <stp>FQ3 2013</stp>
        <stp>FQ3 2013</stp>
        <stp>[AMZ_2009-2018.xlsx]Cash Flow - Standardized!R30C21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0" s="4"/>
      </tp>
      <tp>
        <v>-81</v>
        <stp/>
        <stp>##V3_BDHV12</stp>
        <stp>AMZN US Equity</stp>
        <stp>CF_DEF_INC_TAX</stp>
        <stp>FQ3 2016</stp>
        <stp>FQ3 2016</stp>
        <stp>[AMZ_2009-2018.xlsx]Cash Flow - Standardized!R11C33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1" s="4"/>
      </tp>
      <tp>
        <v>0</v>
        <stp/>
        <stp>##V3_BDHV12</stp>
        <stp>AMZN US Equity</stp>
        <stp>BS_PENSION_RSRV</stp>
        <stp>FQ2 2009</stp>
        <stp>FQ2 2009</stp>
        <stp>[AMZ_2009-2018.xlsx]Bal Sheet - Standardized!R80C4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80" s="3"/>
      </tp>
      <tp>
        <v>0</v>
        <stp/>
        <stp>##V3_BDHV12</stp>
        <stp>AMZN US Equity</stp>
        <stp>CF_DECR_INVEST</stp>
        <stp>FQ1 2012</stp>
        <stp>FQ1 2012</stp>
        <stp>[AMZ_2009-2018.xlsx]Cash Flow - Standardized!R30C15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0" s="4"/>
      </tp>
      <tp>
        <v>-2</v>
        <stp/>
        <stp>##V3_BDHV12</stp>
        <stp>AMZN US Equity</stp>
        <stp>CF_DEF_INC_TAX</stp>
        <stp>FQ1 2015</stp>
        <stp>FQ1 2015</stp>
        <stp>[AMZ_2009-2018.xlsx]Cash Flow - Standardized!R11C27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1" s="4"/>
      </tp>
      <tp>
        <v>0</v>
        <stp/>
        <stp>##V3_BDHV12</stp>
        <stp>AMZN US Equity</stp>
        <stp>CF_OTHER_FINANCING_ACT_EXCL_FX</stp>
        <stp>FQ2 2015</stp>
        <stp>FQ2 2015</stp>
        <stp>[AMZ_2009-2018.xlsx]Cash Flow - Standardized!R49C28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9" s="4"/>
      </tp>
      <tp>
        <v>0</v>
        <stp/>
        <stp>##V3_BDHV12</stp>
        <stp>AMZN US Equity</stp>
        <stp>CF_DECR_INVEST</stp>
        <stp>FQ4 2015</stp>
        <stp>FQ4 2015</stp>
        <stp>[AMZ_2009-2018.xlsx]Cash Flow - Standardized!R30C30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0" s="4"/>
      </tp>
      <tp>
        <v>376</v>
        <stp/>
        <stp>##V3_BDHV12</stp>
        <stp>AMZN US Equity</stp>
        <stp>CF_DEF_INC_TAX</stp>
        <stp>FQ2 2017</stp>
        <stp>FQ2 2017</stp>
        <stp>[AMZ_2009-2018.xlsx]Cash Flow - Standardized!R11C36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1" s="4"/>
      </tp>
      <tp>
        <v>0</v>
        <stp/>
        <stp>##V3_BDHV12</stp>
        <stp>AMZN US Equity</stp>
        <stp>BS_PENSION_RSRV</stp>
        <stp>FQ3 2010</stp>
        <stp>FQ3 2010</stp>
        <stp>[AMZ_2009-2018.xlsx]Bal Sheet - Standardized!R80C9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80" s="3"/>
      </tp>
      <tp>
        <v>80</v>
        <stp/>
        <stp>##V3_BDHV12</stp>
        <stp>AMZN US Equity</stp>
        <stp>IS_INT_INC</stp>
        <stp>FQ1 2018</stp>
        <stp>FQ1 2018</stp>
        <stp>[AMZ_2009-2018.xlsx]Income - Adjusted!R22C39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22" s="2"/>
      </tp>
      <tp>
        <v>10</v>
        <stp/>
        <stp>##V3_BDHV12</stp>
        <stp>AMZN US Equity</stp>
        <stp>IS_INT_INC</stp>
        <stp>FQ1 2013</stp>
        <stp>FQ1 2013</stp>
        <stp>[AMZ_2009-2018.xlsx]Income - Adjusted!R22C19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2" s="2"/>
      </tp>
      <tp>
        <v>-2781</v>
        <stp/>
        <stp>##V3_BDHV12</stp>
        <stp>AMZN US Equity</stp>
        <stp>CF_ACCT_RCV_UNBILLED_REV</stp>
        <stp>FQ4 2017</stp>
        <stp>FQ4 2017</stp>
        <stp>[AMZ_2009-2018.xlsx]Cash Flow - Standardized!R14C38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4" s="4"/>
      </tp>
      <tp>
        <v>0</v>
        <stp/>
        <stp>##V3_BDHV12</stp>
        <stp>AMZN US Equity</stp>
        <stp>BS_PENSION_RSRV</stp>
        <stp>FQ3 2011</stp>
        <stp>FQ3 2011</stp>
        <stp>[AMZ_2009-2018.xlsx]Bal Sheet - Standardized!R80C13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80" s="3"/>
      </tp>
      <tp>
        <v>13</v>
        <stp/>
        <stp>##V3_BDHV12</stp>
        <stp>AMZN US Equity</stp>
        <stp>IS_INT_INC</stp>
        <stp>FQ3 2015</stp>
        <stp>FQ3 2015</stp>
        <stp>[AMZ_2009-2018.xlsx]Income - Adjusted!R22C29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2" s="2"/>
      </tp>
      <tp>
        <v>0</v>
        <stp/>
        <stp>##V3_BDHV12</stp>
        <stp>AMZN US Equity</stp>
        <stp>BS_PENSION_RSRV</stp>
        <stp>FQ2 2013</stp>
        <stp>FQ2 2013</stp>
        <stp>[AMZ_2009-2018.xlsx]Bal Sheet - Standardized!R80C20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80" s="3"/>
      </tp>
      <tp>
        <v>-8</v>
        <stp/>
        <stp>##V3_BDHV12</stp>
        <stp>AMZN US Equity</stp>
        <stp>CF_NT_CSH_RCVD_PD_FOR_ACQUIS_DIV</stp>
        <stp>FQ2 2015</stp>
        <stp>FQ2 2015</stp>
        <stp>[AMZ_2009-2018.xlsx]Cash Flow - Standardized!R32C28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2" s="4"/>
      </tp>
      <tp>
        <v>-416</v>
        <stp/>
        <stp>##V3_BDHV12</stp>
        <stp>AMZN US Equity</stp>
        <stp>CF_ACCT_RCV_UNBILLED_REV</stp>
        <stp>FQ3 2012</stp>
        <stp>FQ3 2012</stp>
        <stp>[AMZ_2009-2018.xlsx]Cash Flow - Standardized!R14C17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4" s="4"/>
      </tp>
      <tp>
        <v>-45</v>
        <stp/>
        <stp>##V3_BDHV12</stp>
        <stp>AMZN US Equity</stp>
        <stp>CF_NT_CSH_RCVD_PD_FOR_ACQUIS_DIV</stp>
        <stp>FQ1 2017</stp>
        <stp>FQ1 2017</stp>
        <stp>[AMZ_2009-2018.xlsx]Cash Flow - Standardized!R32C35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2" s="4"/>
      </tp>
      <tp>
        <v>0</v>
        <stp/>
        <stp>##V3_BDHV12</stp>
        <stp>AMZN US Equity</stp>
        <stp>BS_PENSION_RSRV</stp>
        <stp>FQ1 2013</stp>
        <stp>FQ1 2013</stp>
        <stp>[AMZ_2009-2018.xlsx]Bal Sheet - Standardized!R80C19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80" s="3"/>
      </tp>
      <tp>
        <v>-271</v>
        <stp/>
        <stp>##V3_BDHV12</stp>
        <stp>AMZN US Equity</stp>
        <stp>CF_NT_CSH_RCVD_PD_FOR_ACQUIS_DIV</stp>
        <stp>FQ4 2010</stp>
        <stp>FQ4 2010</stp>
        <stp>[AMZ_2009-2018.xlsx]Cash Flow - Standardized!R32C10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2" s="4"/>
      </tp>
      <tp>
        <v>454</v>
        <stp/>
        <stp>##V3_BDHV12</stp>
        <stp>AMZN US Equity</stp>
        <stp>IS_SH_FOR_DILUTED_EPS</stp>
        <stp>FQ1 2010</stp>
        <stp>FQ1 2010</stp>
        <stp>[AMZ_2009-2018.xlsx]Per Share!R7C7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7" s="5"/>
      </tp>
      <tp t="s">
        <v>—</v>
        <stp/>
        <stp>##V3_BDHV12</stp>
        <stp>AMZN US Equity</stp>
        <stp>BS_DERIVATIVE_&amp;_HEDGING_LIABS_ST</stp>
        <stp>FQ3 2010</stp>
        <stp>FQ3 2010</stp>
        <stp>[AMZ_2009-2018.xlsx]Bal Sheet - Standardized!R49C9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9" s="3"/>
      </tp>
      <tp t="s">
        <v>—</v>
        <stp/>
        <stp>##V3_BDHV12</stp>
        <stp>AMZN US Equity</stp>
        <stp>BS_DERIVATIVE_&amp;_HEDGING_LIABS_LT</stp>
        <stp>FQ3 2010</stp>
        <stp>FQ3 2010</stp>
        <stp>[AMZ_2009-2018.xlsx]Bal Sheet - Standardized!R60C9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0" s="3"/>
      </tp>
      <tp>
        <v>-59</v>
        <stp/>
        <stp>##V3_BDHV12</stp>
        <stp>AMZN US Equity</stp>
        <stp>CF_NT_CSH_RCVD_PD_FOR_ACQUIS_DIV</stp>
        <stp>FQ4 2013</stp>
        <stp>FQ4 2013</stp>
        <stp>[AMZ_2009-2018.xlsx]Cash Flow - Standardized!R32C22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2" s="4"/>
      </tp>
      <tp>
        <v>-860</v>
        <stp/>
        <stp>##V3_BDHV12</stp>
        <stp>AMZN US Equity</stp>
        <stp>CF_NT_CSH_RCVD_PD_FOR_ACQUIS_DIV</stp>
        <stp>FQ3 2014</stp>
        <stp>FQ3 2014</stp>
        <stp>[AMZ_2009-2018.xlsx]Cash Flow - Standardized!R32C25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2" s="4"/>
      </tp>
      <tp t="s">
        <v>—</v>
        <stp/>
        <stp>##V3_BDHV12</stp>
        <stp>AMZN US Equity</stp>
        <stp>BS_DERIVATIVE_&amp;_HEDGING_LIABS_ST</stp>
        <stp>FQ2 2009</stp>
        <stp>FQ2 2009</stp>
        <stp>[AMZ_2009-2018.xlsx]Bal Sheet - Standardized!R49C4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9" s="3"/>
      </tp>
      <tp t="s">
        <v>—</v>
        <stp/>
        <stp>##V3_BDHV12</stp>
        <stp>AMZN US Equity</stp>
        <stp>BS_DERIVATIVE_&amp;_HEDGING_LIABS_LT</stp>
        <stp>FQ2 2009</stp>
        <stp>FQ2 2009</stp>
        <stp>[AMZ_2009-2018.xlsx]Bal Sheet - Standardized!R60C4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0" s="3"/>
      </tp>
      <tp>
        <v>172</v>
        <stp/>
        <stp>##V3_BDHV12</stp>
        <stp>AMZN US Equity</stp>
        <stp>BS_PURE_RETAINED_EARNINGS</stp>
        <stp>FQ4 2009</stp>
        <stp>FQ4 2009</stp>
        <stp>[AMZ_2009-2018.xlsx]Bal Sheet - Standardized!R69C6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9" s="3"/>
      </tp>
      <tp>
        <v>0</v>
        <stp/>
        <stp>##V3_BDHV12</stp>
        <stp>AMZN US Equity</stp>
        <stp>CF_DISPOSAL_OF_FIXED_PROD_ASSETS</stp>
        <stp>FQ1 2013</stp>
        <stp>FQ1 2013</stp>
        <stp>[AMZ_2009-2018.xlsx]Cash Flow - Standardized!R24C19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4" s="4"/>
      </tp>
      <tp t="s">
        <v>—</v>
        <stp/>
        <stp>##V3_BDHV12</stp>
        <stp>AMZN US Equity</stp>
        <stp>BS_CURR_PORTION_LT_DEBT</stp>
        <stp>FQ3 2011</stp>
        <stp>FQ3 2011</stp>
        <stp>[AMZ_2009-2018.xlsx]Bal Sheet - Standardized!R46C13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6" s="3"/>
      </tp>
      <tp>
        <v>691</v>
        <stp/>
        <stp>##V3_BDHV12</stp>
        <stp>AMZN US Equity</stp>
        <stp>BS_CURR_PORTION_LT_DEBT</stp>
        <stp>FQ2 2013</stp>
        <stp>FQ2 2013</stp>
        <stp>[AMZ_2009-2018.xlsx]Bal Sheet - Standardized!R46C20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6" s="3"/>
      </tp>
      <tp>
        <v>1455.3887</v>
        <stp/>
        <stp>##V3_BDHV12</stp>
        <stp>AMZN US Equity</stp>
        <stp>CF_FREE_CASH_FLOW_FIRM</stp>
        <stp>FQ3 2015</stp>
        <stp>FQ3 2015</stp>
        <stp>[AMZ_2009-2018.xlsx]Cash Flow - Standardized!R66C29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66" s="4"/>
      </tp>
      <tp>
        <v>0</v>
        <stp/>
        <stp>##V3_BDHV12</stp>
        <stp>AMZN US Equity</stp>
        <stp>CF_DISPOSAL_OF_FIXED_PROD_ASSETS</stp>
        <stp>FQ3 2011</stp>
        <stp>FQ3 2011</stp>
        <stp>[AMZ_2009-2018.xlsx]Cash Flow - Standardized!R24C13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4" s="4"/>
      </tp>
      <tp>
        <v>652</v>
        <stp/>
        <stp>##V3_BDHV12</stp>
        <stp>AMZN US Equity</stp>
        <stp>BS_CURR_PORTION_LT_DEBT</stp>
        <stp>FQ1 2013</stp>
        <stp>FQ1 2013</stp>
        <stp>[AMZ_2009-2018.xlsx]Bal Sheet - Standardized!R46C19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6" s="3"/>
      </tp>
      <tp>
        <v>445</v>
        <stp/>
        <stp>##V3_BDHV12</stp>
        <stp>AMZN US Equity</stp>
        <stp>IS_AVG_NUM_SH_FOR_EPS</stp>
        <stp>FQ1 2010</stp>
        <stp>FQ1 2010</stp>
        <stp>[AMZ_2009-2018.xlsx]Per Share!R8C7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8" s="5"/>
      </tp>
      <tp>
        <v>0</v>
        <stp/>
        <stp>##V3_BDHV12</stp>
        <stp>AMZN US Equity</stp>
        <stp>CF_DISPOSAL_OF_FIXED_PROD_ASSETS</stp>
        <stp>FQ2 2013</stp>
        <stp>FQ2 2013</stp>
        <stp>[AMZ_2009-2018.xlsx]Cash Flow - Standardized!R24C20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4" s="4"/>
      </tp>
      <tp t="s">
        <v>—</v>
        <stp/>
        <stp>##V3_BDHV12</stp>
        <stp>AMZN US Equity</stp>
        <stp>CF_TAX_BENEFIT_FRM_STOCK_OPTIONS</stp>
        <stp>FQ1 2018</stp>
        <stp>FQ1 2018</stp>
        <stp>[AMZ_2009-2018.xlsx]Cash Flow - Standardized!R64C39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4" s="4"/>
      </tp>
      <tp>
        <v>0</v>
        <stp/>
        <stp>##V3_BDHV12</stp>
        <stp>AMZN US Equity</stp>
        <stp>IS_TOT_CASH_PFD_DVD</stp>
        <stp>FQ4 2015</stp>
        <stp>FQ4 2015</stp>
        <stp>[AMZ_2009-2018.xlsx]Income - Adjusted!R41C30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1" s="2"/>
      </tp>
      <tp>
        <v>455</v>
        <stp/>
        <stp>##V3_BDHV12</stp>
        <stp>AMZN US Equity</stp>
        <stp>BS_SH_OUT</stp>
        <stp>FQ1 2013</stp>
        <stp>FQ1 2013</stp>
        <stp>[AMZ_2009-2018.xlsx]Per Share!R6C19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6" s="5"/>
      </tp>
      <tp>
        <v>454</v>
        <stp/>
        <stp>##V3_BDHV12</stp>
        <stp>AMZN US Equity</stp>
        <stp>BS_SH_OUT</stp>
        <stp>FQ4 2012</stp>
        <stp>FQ4 2012</stp>
        <stp>[AMZ_2009-2018.xlsx]Per Share!R6C18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6" s="5"/>
      </tp>
      <tp>
        <v>0</v>
        <stp/>
        <stp>##V3_BDHV12</stp>
        <stp>AMZN US Equity</stp>
        <stp>IS_TOT_CASH_PFD_DVD</stp>
        <stp>FQ1 2014</stp>
        <stp>FQ1 2014</stp>
        <stp>[AMZ_2009-2018.xlsx]Income - Adjusted!R41C23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1" s="2"/>
      </tp>
      <tp>
        <v>0</v>
        <stp/>
        <stp>##V3_BDHV12</stp>
        <stp>AMZN US Equity</stp>
        <stp>IS_TOT_CASH_PFD_DVD</stp>
        <stp>FQ2 2014</stp>
        <stp>FQ2 2014</stp>
        <stp>[AMZ_2009-2018.xlsx]Income - Adjusted!R41C24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1" s="2"/>
      </tp>
      <tp>
        <v>0</v>
        <stp/>
        <stp>##V3_BDHV12</stp>
        <stp>AMZN US Equity</stp>
        <stp>IS_TOT_CASH_PFD_DVD</stp>
        <stp>FQ3 2014</stp>
        <stp>FQ3 2014</stp>
        <stp>[AMZ_2009-2018.xlsx]Income - Adjusted!R41C25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1" s="2"/>
      </tp>
      <tp>
        <v>0</v>
        <stp/>
        <stp>##V3_BDHV12</stp>
        <stp>AMZN US Equity</stp>
        <stp>IS_TOT_CASH_PFD_DVD</stp>
        <stp>FQ4 2014</stp>
        <stp>FQ4 2014</stp>
        <stp>[AMZ_2009-2018.xlsx]Income - Adjusted!R41C26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1" s="2"/>
      </tp>
      <tp>
        <v>43</v>
        <stp/>
        <stp>##V3_BDHV12</stp>
        <stp>AMZN US Equity</stp>
        <stp>CF_CASH_PAID_FOR_TAX</stp>
        <stp>FQ2 2010</stp>
        <stp>FQ2 2010</stp>
        <stp>[AMZ_2009-2018.xlsx]Cash Flow - Standardized!R57C8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7" s="4"/>
      </tp>
      <tp>
        <v>244</v>
        <stp/>
        <stp>##V3_BDHV12</stp>
        <stp>AMZN US Equity</stp>
        <stp>EBITA</stp>
        <stp>FQ1 2009</stp>
        <stp>FQ1 2009</stp>
        <stp>[AMZ_2009-2018.xlsx]Income - Adjusted!R63C3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63" s="2"/>
      </tp>
      <tp>
        <v>10</v>
        <stp/>
        <stp>##V3_BDHV12</stp>
        <stp>AMZN US Equity</stp>
        <stp>CF_CASH_PAID_FOR_TAX</stp>
        <stp>FQ3 2009</stp>
        <stp>FQ3 2009</stp>
        <stp>[AMZ_2009-2018.xlsx]Cash Flow - Standardized!R57C5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7" s="4"/>
      </tp>
      <tp>
        <v>-194</v>
        <stp/>
        <stp>##V3_BDHV12</stp>
        <stp>AMZN US Equity</stp>
        <stp>OTHER_INVESTING_ACT_DETAILED</stp>
        <stp>FQ3 2009</stp>
        <stp>FQ3 2009</stp>
        <stp>[AMZ_2009-2018.xlsx]Cash Flow - Standardized!R36C5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6" s="4"/>
      </tp>
      <tp>
        <v>0.23</v>
        <stp/>
        <stp>##V3_BDHV12</stp>
        <stp>AMZN US Equity</stp>
        <stp>IS_DIL_EPS_CONT_OPS</stp>
        <stp>FQ1 2014</stp>
        <stp>FQ1 2014</stp>
        <stp>[AMZ_2009-2018.xlsx]Per Share!R19C23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19" s="5"/>
      </tp>
      <tp>
        <v>-258</v>
        <stp/>
        <stp>##V3_BDHV12</stp>
        <stp>AMZN US Equity</stp>
        <stp>OTHER_INVESTING_ACT_DETAILED</stp>
        <stp>FQ2 2010</stp>
        <stp>FQ2 2010</stp>
        <stp>[AMZ_2009-2018.xlsx]Cash Flow - Standardized!R36C8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6" s="4"/>
      </tp>
      <tp>
        <v>0.14000000000000001</v>
        <stp/>
        <stp>##V3_BDHV12</stp>
        <stp>AMZN US Equity</stp>
        <stp>IS_DIL_EPS_CONT_OPS</stp>
        <stp>FQ3 2011</stp>
        <stp>FQ3 2011</stp>
        <stp>[AMZ_2009-2018.xlsx]Per Share!R19C13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19" s="5"/>
      </tp>
      <tp>
        <v>0.52</v>
        <stp/>
        <stp>##V3_BDHV12</stp>
        <stp>AMZN US Equity</stp>
        <stp>IS_DIL_EPS_CONT_OPS</stp>
        <stp>FQ3 2016</stp>
        <stp>FQ3 2016</stp>
        <stp>[AMZ_2009-2018.xlsx]Per Share!R19C33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19" s="5"/>
      </tp>
      <tp>
        <v>-279</v>
        <stp/>
        <stp>##V3_BDHV12</stp>
        <stp>AMZN US Equity</stp>
        <stp>CF_CASH_FROM_INV_ACT</stp>
        <stp>FQ2 2009</stp>
        <stp>FQ2 2009</stp>
        <stp>[AMZ_2009-2018.xlsx]Cash Flow - Standardized!R38C4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8" s="4"/>
      </tp>
      <tp>
        <v>-1128</v>
        <stp/>
        <stp>##V3_BDHV12</stp>
        <stp>AMZN US Equity</stp>
        <stp>CF_CASH_FROM_INV_ACT</stp>
        <stp>FQ3 2010</stp>
        <stp>FQ3 2010</stp>
        <stp>[AMZ_2009-2018.xlsx]Cash Flow - Standardized!R38C9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8" s="4"/>
      </tp>
      <tp>
        <v>77</v>
        <stp/>
        <stp>##V3_BDHV12</stp>
        <stp>AMZN US Equity</stp>
        <stp>IS_GENERAL_AND_ADMINISTRATIVE</stp>
        <stp>FQ2 2009</stp>
        <stp>FQ2 2009</stp>
        <stp>[AMZ_2009-2018.xlsx]Income - Adjusted!R15C4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5" s="2"/>
      </tp>
      <tp>
        <v>-454</v>
        <stp/>
        <stp>##V3_BDHV12</stp>
        <stp>AMZN US Equity</stp>
        <stp>CF_CHNG_NON_CASH_WORK_CAP</stp>
        <stp>FQ2 2017</stp>
        <stp>FQ2 2017</stp>
        <stp>[AMZ_2009-2018.xlsx]Cash Flow - Standardized!R13C36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3" s="4"/>
      </tp>
      <tp>
        <v>-3387</v>
        <stp/>
        <stp>##V3_BDHV12</stp>
        <stp>AMZN US Equity</stp>
        <stp>CF_CHNG_NON_CASH_WORK_CAP</stp>
        <stp>FQ1 2015</stp>
        <stp>FQ1 2015</stp>
        <stp>[AMZ_2009-2018.xlsx]Cash Flow - Standardized!R13C27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3" s="4"/>
      </tp>
      <tp>
        <v>943</v>
        <stp/>
        <stp>##V3_BDHV12</stp>
        <stp>AMZN US Equity</stp>
        <stp>CF_CASH_FROM_OPER</stp>
        <stp>FQ3 2012</stp>
        <stp>FQ3 2012</stp>
        <stp>[AMZ_2009-2018.xlsx]Cash Flow - Standardized!R19C17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9" s="4"/>
      </tp>
      <tp>
        <v>1620</v>
        <stp/>
        <stp>##V3_BDHV12</stp>
        <stp>AMZN US Equity</stp>
        <stp>CF_CHNG_NON_CASH_WORK_CAP</stp>
        <stp>FQ3 2016</stp>
        <stp>FQ3 2016</stp>
        <stp>[AMZ_2009-2018.xlsx]Cash Flow - Standardized!R13C33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3" s="4"/>
      </tp>
      <tp>
        <v>12344</v>
        <stp/>
        <stp>##V3_BDHV12</stp>
        <stp>AMZN US Equity</stp>
        <stp>CF_CASH_FROM_OPER</stp>
        <stp>FQ4 2017</stp>
        <stp>FQ4 2017</stp>
        <stp>[AMZ_2009-2018.xlsx]Cash Flow - Standardized!R19C38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9" s="4"/>
      </tp>
      <tp>
        <v>347</v>
        <stp/>
        <stp>##V3_BDHV12</stp>
        <stp>AMZN US Equity</stp>
        <stp>IS_OPER_INC</stp>
        <stp>FQ3 2017</stp>
        <stp>FQ3 2017</stp>
        <stp>[AMZ_2009-2018.xlsx]Income - Adjusted!R18C37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8" s="2"/>
      </tp>
      <tp>
        <v>-28</v>
        <stp/>
        <stp>##V3_BDHV12</stp>
        <stp>AMZN US Equity</stp>
        <stp>IS_OPER_INC</stp>
        <stp>FQ3 2012</stp>
        <stp>FQ3 2012</stp>
        <stp>[AMZ_2009-2018.xlsx]Income - Adjusted!R18C17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8" s="2"/>
      </tp>
      <tp>
        <v>255</v>
        <stp/>
        <stp>##V3_BDHV12</stp>
        <stp>AMZN US Equity</stp>
        <stp>IS_OPER_INC</stp>
        <stp>FQ1 2015</stp>
        <stp>FQ1 2015</stp>
        <stp>[AMZ_2009-2018.xlsx]Income - Adjusted!R18C27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8" s="2"/>
      </tp>
      <tp>
        <v>7</v>
        <stp/>
        <stp>##V3_BDHV12</stp>
        <stp>AMZN US Equity</stp>
        <stp>NI_INCLUDING_MINORITY_INT_RATIO</stp>
        <stp>FQ2 2012</stp>
        <stp>FQ2 2012</stp>
        <stp>[AMZ_2009-2018.xlsx]Income - Adjusted!R38C16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38" s="2"/>
      </tp>
      <tp>
        <v>197</v>
        <stp/>
        <stp>##V3_BDHV12</stp>
        <stp>AMZN US Equity</stp>
        <stp>NI_INCLUDING_MINORITY_INT_RATIO</stp>
        <stp>FQ2 2017</stp>
        <stp>FQ2 2017</stp>
        <stp>[AMZ_2009-2018.xlsx]Income - Adjusted!R38C36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38" s="2"/>
      </tp>
      <tp>
        <v>214</v>
        <stp/>
        <stp>##V3_BDHV12</stp>
        <stp>AMZN US Equity</stp>
        <stp>NI_INCLUDING_MINORITY_INT_RATIO</stp>
        <stp>FQ4 2014</stp>
        <stp>FQ4 2014</stp>
        <stp>[AMZ_2009-2018.xlsx]Income - Adjusted!R38C26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38" s="2"/>
      </tp>
      <tp>
        <v>0</v>
        <stp/>
        <stp>##V3_BDHV12</stp>
        <stp>AMZN US Equity</stp>
        <stp>OTHER_ADJUSTMENTS</stp>
        <stp>FQ2 2018</stp>
        <stp>FQ2 2018</stp>
        <stp>[AMZ_2009-2018.xlsx]Income - Adjusted!R42C40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2" s="2"/>
      </tp>
      <tp>
        <v>0.66</v>
        <stp/>
        <stp>##V3_BDHV12</stp>
        <stp>AMZN US Equity</stp>
        <stp>IS_DIL_EPS_CONT_OPS</stp>
        <stp>FQ1 2010</stp>
        <stp>FQ1 2010</stp>
        <stp>[AMZ_2009-2018.xlsx]Per Share!R19C7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19" s="5"/>
      </tp>
      <tp>
        <v>0</v>
        <stp/>
        <stp>##V3_BDHV12</stp>
        <stp>AMZN US Equity</stp>
        <stp>CF_OTHER_FINANCING_ACT_EXCL_FX</stp>
        <stp>FQ1 2015</stp>
        <stp>FQ1 2015</stp>
        <stp>[AMZ_2009-2018.xlsx]Cash Flow - Standardized!R49C27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9" s="4"/>
      </tp>
      <tp>
        <v>10.9956</v>
        <stp/>
        <stp>##V3_BDHV12</stp>
        <stp>AMZN US Equity</stp>
        <stp>CASH_ST_INVESTMENTS_PER_SH</stp>
        <stp>FQ2 2012</stp>
        <stp>FQ2 2012</stp>
        <stp>[AMZ_2009-2018.xlsx]Per Share!R25C16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25" s="5"/>
      </tp>
      <tp>
        <v>44.689599999999999</v>
        <stp/>
        <stp>##V3_BDHV12</stp>
        <stp>AMZN US Equity</stp>
        <stp>CASH_ST_INVESTMENTS_PER_SH</stp>
        <stp>FQ2 2017</stp>
        <stp>FQ2 2017</stp>
        <stp>[AMZ_2009-2018.xlsx]Per Share!R25C36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25" s="5"/>
      </tp>
      <tp>
        <v>0</v>
        <stp/>
        <stp>##V3_BDHV12</stp>
        <stp>AMZN US Equity</stp>
        <stp>CF_INCR_INVEST</stp>
        <stp>FQ2 2012</stp>
        <stp>FQ2 2012</stp>
        <stp>[AMZ_2009-2018.xlsx]Cash Flow - Standardized!R31C16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1" s="4"/>
      </tp>
      <tp>
        <v>0</v>
        <stp/>
        <stp>##V3_BDHV12</stp>
        <stp>AMZN US Equity</stp>
        <stp>CF_OTHER_FINANCING_ACT_EXCL_FX</stp>
        <stp>FQ2 2017</stp>
        <stp>FQ2 2017</stp>
        <stp>[AMZ_2009-2018.xlsx]Cash Flow - Standardized!R49C36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9" s="4"/>
      </tp>
      <tp>
        <v>-43</v>
        <stp/>
        <stp>##V3_BDHV12</stp>
        <stp>AMZN US Equity</stp>
        <stp>CF_DEF_INC_TAX</stp>
        <stp>FQ2 2015</stp>
        <stp>FQ2 2015</stp>
        <stp>[AMZ_2009-2018.xlsx]Cash Flow - Standardized!R11C28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1" s="4"/>
      </tp>
      <tp>
        <v>0</v>
        <stp/>
        <stp>##V3_BDHV12</stp>
        <stp>AMZN US Equity</stp>
        <stp>CF_INCR_INVEST</stp>
        <stp>FQ4 2016</stp>
        <stp>FQ4 2016</stp>
        <stp>[AMZ_2009-2018.xlsx]Cash Flow - Standardized!R31C34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1" s="4"/>
      </tp>
      <tp>
        <v>0</v>
        <stp/>
        <stp>##V3_BDHV12</stp>
        <stp>AMZN US Equity</stp>
        <stp>CF_INCR_INVEST</stp>
        <stp>FQ1 2011</stp>
        <stp>FQ1 2011</stp>
        <stp>[AMZ_2009-2018.xlsx]Cash Flow - Standardized!R31C11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1" s="4"/>
      </tp>
      <tp>
        <v>0</v>
        <stp/>
        <stp>##V3_BDHV12</stp>
        <stp>AMZN US Equity</stp>
        <stp>CF_OTHER_FINANCING_ACT_EXCL_FX</stp>
        <stp>FQ3 2016</stp>
        <stp>FQ3 2016</stp>
        <stp>[AMZ_2009-2018.xlsx]Cash Flow - Standardized!R49C33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9" s="4"/>
      </tp>
      <tp>
        <v>37.453800000000001</v>
        <stp/>
        <stp>##V3_BDHV12</stp>
        <stp>AMZN US Equity</stp>
        <stp>CASH_ST_INVESTMENTS_PER_SH</stp>
        <stp>FQ4 2014</stp>
        <stp>FQ4 2014</stp>
        <stp>[AMZ_2009-2018.xlsx]Per Share!R25C26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25" s="5"/>
      </tp>
      <tp>
        <v>0</v>
        <stp/>
        <stp>##V3_BDHV12</stp>
        <stp>AMZN US Equity</stp>
        <stp>CF_DECR_INVEST</stp>
        <stp>FQ4 2016</stp>
        <stp>FQ4 2016</stp>
        <stp>[AMZ_2009-2018.xlsx]Cash Flow - Standardized!R30C34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0" s="4"/>
      </tp>
      <tp>
        <v>0</v>
        <stp/>
        <stp>##V3_BDHV12</stp>
        <stp>AMZN US Equity</stp>
        <stp>CF_DECR_INVEST</stp>
        <stp>FQ1 2011</stp>
        <stp>FQ1 2011</stp>
        <stp>[AMZ_2009-2018.xlsx]Cash Flow - Standardized!R30C11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0" s="4"/>
      </tp>
      <tp>
        <v>-22</v>
        <stp/>
        <stp>##V3_BDHV12</stp>
        <stp>AMZN US Equity</stp>
        <stp>CF_DEF_INC_TAX</stp>
        <stp>FQ1 2017</stp>
        <stp>FQ1 2017</stp>
        <stp>[AMZ_2009-2018.xlsx]Cash Flow - Standardized!R11C35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1" s="4"/>
      </tp>
      <tp>
        <v>48</v>
        <stp/>
        <stp>##V3_BDHV12</stp>
        <stp>AMZN US Equity</stp>
        <stp>CF_DEF_INC_TAX</stp>
        <stp>FQ4 2010</stp>
        <stp>FQ4 2010</stp>
        <stp>[AMZ_2009-2018.xlsx]Cash Flow - Standardized!R11C10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1" s="4"/>
      </tp>
      <tp>
        <v>0</v>
        <stp/>
        <stp>##V3_BDHV12</stp>
        <stp>AMZN US Equity</stp>
        <stp>CF_DECR_INVEST</stp>
        <stp>FQ2 2012</stp>
        <stp>FQ2 2012</stp>
        <stp>[AMZ_2009-2018.xlsx]Cash Flow - Standardized!R30C16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0" s="4"/>
      </tp>
      <tp>
        <v>-270</v>
        <stp/>
        <stp>##V3_BDHV12</stp>
        <stp>AMZN US Equity</stp>
        <stp>CF_DEF_INC_TAX</stp>
        <stp>FQ3 2014</stp>
        <stp>FQ3 2014</stp>
        <stp>[AMZ_2009-2018.xlsx]Cash Flow - Standardized!R11C25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1" s="4"/>
      </tp>
      <tp>
        <v>-109</v>
        <stp/>
        <stp>##V3_BDHV12</stp>
        <stp>AMZN US Equity</stp>
        <stp>CF_DEF_INC_TAX</stp>
        <stp>FQ4 2013</stp>
        <stp>FQ4 2013</stp>
        <stp>[AMZ_2009-2018.xlsx]Cash Flow - Standardized!R11C22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1" s="4"/>
      </tp>
      <tp>
        <v>0</v>
        <stp/>
        <stp>##V3_BDHV12</stp>
        <stp>AMZN US Equity</stp>
        <stp>BS_PENSION_RSRV</stp>
        <stp>FQ1 2009</stp>
        <stp>FQ1 2009</stp>
        <stp>[AMZ_2009-2018.xlsx]Bal Sheet - Standardized!R80C3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0" s="3"/>
      </tp>
      <tp>
        <v>-3243</v>
        <stp/>
        <stp>##V3_BDHV12</stp>
        <stp>AMZN US Equity</stp>
        <stp>CF_PURCHASE_OF_FIXED_PROD_ASSETS</stp>
        <stp>FQ2 2018</stp>
        <stp>FQ2 2018</stp>
        <stp>[AMZ_2009-2018.xlsx]Cash Flow - Standardized!R27C40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7" s="4"/>
      </tp>
      <tp t="s">
        <v>—</v>
        <stp/>
        <stp>##V3_BDHV12</stp>
        <stp>AMZN US Equity</stp>
        <stp>BS_PENSION_RSRV</stp>
        <stp>FQ3 2012</stp>
        <stp>FQ3 2012</stp>
        <stp>[AMZ_2009-2018.xlsx]Bal Sheet - Standardized!R80C17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80" s="3"/>
      </tp>
      <tp>
        <v>729</v>
        <stp/>
        <stp>##V3_BDHV12</stp>
        <stp>AMZN US Equity</stp>
        <stp>CF_ACCT_RCV_UNBILLED_REV</stp>
        <stp>FQ1 2013</stp>
        <stp>FQ1 2013</stp>
        <stp>[AMZ_2009-2018.xlsx]Cash Flow - Standardized!R14C19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4" s="4"/>
      </tp>
      <tp>
        <v>-365</v>
        <stp/>
        <stp>##V3_BDHV12</stp>
        <stp>AMZN US Equity</stp>
        <stp>CF_NT_CSH_RCVD_PD_FOR_ACQUIS_DIV</stp>
        <stp>FQ1 2015</stp>
        <stp>FQ1 2015</stp>
        <stp>[AMZ_2009-2018.xlsx]Cash Flow - Standardized!R32C27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2" s="4"/>
      </tp>
      <tp t="s">
        <v>—</v>
        <stp/>
        <stp>##V3_BDHV12</stp>
        <stp>AMZN US Equity</stp>
        <stp>BS_DERIVATIVE_&amp;_HEDGING_LIABS_ST</stp>
        <stp>FQ1 2009</stp>
        <stp>FQ1 2009</stp>
        <stp>[AMZ_2009-2018.xlsx]Bal Sheet - Standardized!R49C3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9" s="3"/>
      </tp>
      <tp t="s">
        <v>—</v>
        <stp/>
        <stp>##V3_BDHV12</stp>
        <stp>AMZN US Equity</stp>
        <stp>BS_DERIVATIVE_&amp;_HEDGING_LIABS_LT</stp>
        <stp>FQ1 2009</stp>
        <stp>FQ1 2009</stp>
        <stp>[AMZ_2009-2018.xlsx]Bal Sheet - Standardized!R60C3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0" s="3"/>
      </tp>
      <tp>
        <v>-633</v>
        <stp/>
        <stp>##V3_BDHV12</stp>
        <stp>AMZN US Equity</stp>
        <stp>CF_NT_CSH_RCVD_PD_FOR_ACQUIS_DIV</stp>
        <stp>FQ2 2017</stp>
        <stp>FQ2 2017</stp>
        <stp>[AMZ_2009-2018.xlsx]Cash Flow - Standardized!R32C36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2" s="4"/>
      </tp>
      <tp>
        <v>-211</v>
        <stp/>
        <stp>##V3_BDHV12</stp>
        <stp>AMZN US Equity</stp>
        <stp>CF_ACCT_RCV_UNBILLED_REV</stp>
        <stp>FQ2 2013</stp>
        <stp>FQ2 2013</stp>
        <stp>[AMZ_2009-2018.xlsx]Cash Flow - Standardized!R14C20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4" s="4"/>
      </tp>
      <tp>
        <v>-75</v>
        <stp/>
        <stp>##V3_BDHV12</stp>
        <stp>AMZN US Equity</stp>
        <stp>CF_ACCT_RCV_UNBILLED_REV</stp>
        <stp>FQ3 2011</stp>
        <stp>FQ3 2011</stp>
        <stp>[AMZ_2009-2018.xlsx]Cash Flow - Standardized!R14C13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4" s="4"/>
      </tp>
      <tp>
        <v>0</v>
        <stp/>
        <stp>##V3_BDHV12</stp>
        <stp>AMZN US Equity</stp>
        <stp>BS_PENSION_RSRV</stp>
        <stp>FQ4 2017</stp>
        <stp>FQ4 2017</stp>
        <stp>[AMZ_2009-2018.xlsx]Bal Sheet - Standardized!R80C38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80" s="3"/>
      </tp>
      <tp>
        <v>-84</v>
        <stp/>
        <stp>##V3_BDHV12</stp>
        <stp>AMZN US Equity</stp>
        <stp>CF_NT_CSH_RCVD_PD_FOR_ACQUIS_DIV</stp>
        <stp>FQ3 2016</stp>
        <stp>FQ3 2016</stp>
        <stp>[AMZ_2009-2018.xlsx]Cash Flow - Standardized!R32C33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2" s="4"/>
      </tp>
      <tp>
        <v>513</v>
        <stp/>
        <stp>##V3_BDHV12</stp>
        <stp>AMZN US Equity</stp>
        <stp>EBITDA</stp>
        <stp>FQ1 2010</stp>
        <stp>FQ1 2010</stp>
        <stp>[AMZ_2009-2018.xlsx]Cash Flow - Standardized!R61C7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61" s="4"/>
      </tp>
      <tp t="s">
        <v>—</v>
        <stp/>
        <stp>##V3_BDHV12</stp>
        <stp>AMZN US Equity</stp>
        <stp>BS_CURR_PORTION_LT_DEBT</stp>
        <stp>FQ3 2012</stp>
        <stp>FQ3 2012</stp>
        <stp>[AMZ_2009-2018.xlsx]Bal Sheet - Standardized!R46C17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6" s="3"/>
      </tp>
      <tp>
        <v>9061.1026000000002</v>
        <stp/>
        <stp>##V3_BDHV12</stp>
        <stp>AMZN US Equity</stp>
        <stp>CF_FREE_CASH_FLOW_FIRM</stp>
        <stp>FQ4 2017</stp>
        <stp>FQ4 2017</stp>
        <stp>[AMZ_2009-2018.xlsx]Cash Flow - Standardized!R66C38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66" s="4"/>
      </tp>
      <tp>
        <v>583</v>
        <stp/>
        <stp>##V3_BDHV12</stp>
        <stp>AMZN US Equity</stp>
        <stp>CF_DISPOSAL_OF_FIXED_PROD_ASSETS</stp>
        <stp>FQ4 2017</stp>
        <stp>FQ4 2017</stp>
        <stp>[AMZ_2009-2018.xlsx]Cash Flow - Standardized!R24C38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4" s="4"/>
      </tp>
      <tp>
        <v>0</v>
        <stp/>
        <stp>##V3_BDHV12</stp>
        <stp>AMZN US Equity</stp>
        <stp>CF_DISPOSAL_OF_FIXED_PROD_ASSETS</stp>
        <stp>FQ3 2012</stp>
        <stp>FQ3 2012</stp>
        <stp>[AMZ_2009-2018.xlsx]Cash Flow - Standardized!R24C17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4" s="4"/>
      </tp>
      <tp>
        <v>100</v>
        <stp/>
        <stp>##V3_BDHV12</stp>
        <stp>AMZN US Equity</stp>
        <stp>BS_CURR_PORTION_LT_DEBT</stp>
        <stp>FQ4 2017</stp>
        <stp>FQ4 2017</stp>
        <stp>[AMZ_2009-2018.xlsx]Bal Sheet - Standardized!R46C38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6" s="3"/>
      </tp>
      <tp>
        <v>0</v>
        <stp/>
        <stp>##V3_BDHV12</stp>
        <stp>AMZN US Equity</stp>
        <stp>CF_NET_CHG_IN_ST_DBT_&amp;_CPTL_LEAS</stp>
        <stp>FQ1 2018</stp>
        <stp>FQ1 2018</stp>
        <stp>[AMZ_2009-2018.xlsx]Cash Flow - Standardized!R43C39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3" s="4"/>
      </tp>
      <tp>
        <v>0</v>
        <stp/>
        <stp>##V3_BDHV12</stp>
        <stp>AMZN US Equity</stp>
        <stp>IS_TOT_CASH_PFD_DVD</stp>
        <stp>FQ1 2015</stp>
        <stp>FQ1 2015</stp>
        <stp>[AMZ_2009-2018.xlsx]Income - Adjusted!R41C27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1" s="2"/>
      </tp>
      <tp>
        <v>0</v>
        <stp/>
        <stp>##V3_BDHV12</stp>
        <stp>AMZN US Equity</stp>
        <stp>IS_TOT_CASH_PFD_DVD</stp>
        <stp>FQ2 2015</stp>
        <stp>FQ2 2015</stp>
        <stp>[AMZ_2009-2018.xlsx]Income - Adjusted!R41C28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1" s="2"/>
      </tp>
      <tp>
        <v>0</v>
        <stp/>
        <stp>##V3_BDHV12</stp>
        <stp>AMZN US Equity</stp>
        <stp>IS_TOT_CASH_PFD_DVD</stp>
        <stp>FQ3 2015</stp>
        <stp>FQ3 2015</stp>
        <stp>[AMZ_2009-2018.xlsx]Income - Adjusted!R41C29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1" s="2"/>
      </tp>
      <tp>
        <v>16</v>
        <stp/>
        <stp>##V3_BDHV12</stp>
        <stp>AMZN US Equity</stp>
        <stp>CF_CASH_PAID_FOR_TAX</stp>
        <stp>FQ3 2010</stp>
        <stp>FQ3 2010</stp>
        <stp>[AMZ_2009-2018.xlsx]Cash Flow - Standardized!R57C9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7" s="4"/>
      </tp>
      <tp>
        <v>23</v>
        <stp/>
        <stp>##V3_BDHV12</stp>
        <stp>AMZN US Equity</stp>
        <stp>CF_CASH_PAID_FOR_TAX</stp>
        <stp>FQ2 2009</stp>
        <stp>FQ2 2009</stp>
        <stp>[AMZ_2009-2018.xlsx]Cash Flow - Standardized!R57C4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7" s="4"/>
      </tp>
      <tp>
        <v>0.51</v>
        <stp/>
        <stp>##V3_BDHV12</stp>
        <stp>AMZN US Equity</stp>
        <stp>IS_DIL_EPS_CONT_OPS</stp>
        <stp>FQ4 2013</stp>
        <stp>FQ4 2013</stp>
        <stp>[AMZ_2009-2018.xlsx]Per Share!R19C22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19" s="5"/>
      </tp>
      <tp>
        <v>97</v>
        <stp/>
        <stp>##V3_BDHV12</stp>
        <stp>AMZN US Equity</stp>
        <stp>CF_NET_INC</stp>
        <stp>FQ4 2012</stp>
        <stp>FQ4 2012</stp>
        <stp>[AMZ_2009-2018.xlsx]Cash Flow - Standardized!R7C18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" s="4"/>
      </tp>
      <tp>
        <v>-182</v>
        <stp/>
        <stp>##V3_BDHV12</stp>
        <stp>AMZN US Equity</stp>
        <stp>OTHER_INVESTING_ACT_DETAILED</stp>
        <stp>FQ2 2009</stp>
        <stp>FQ2 2009</stp>
        <stp>[AMZ_2009-2018.xlsx]Cash Flow - Standardized!R36C4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6" s="4"/>
      </tp>
      <tp>
        <v>0.41</v>
        <stp/>
        <stp>##V3_BDHV12</stp>
        <stp>AMZN US Equity</stp>
        <stp>IS_DIL_EPS_CONT_OPS</stp>
        <stp>FQ2 2011</stp>
        <stp>FQ2 2011</stp>
        <stp>[AMZ_2009-2018.xlsx]Per Share!R19C12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19" s="5"/>
      </tp>
      <tp>
        <v>1.78</v>
        <stp/>
        <stp>##V3_BDHV12</stp>
        <stp>AMZN US Equity</stp>
        <stp>IS_DIL_EPS_CONT_OPS</stp>
        <stp>FQ2 2016</stp>
        <stp>FQ2 2016</stp>
        <stp>[AMZ_2009-2018.xlsx]Per Share!R19C32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19" s="5"/>
      </tp>
      <tp>
        <v>-771</v>
        <stp/>
        <stp>##V3_BDHV12</stp>
        <stp>AMZN US Equity</stp>
        <stp>OTHER_INVESTING_ACT_DETAILED</stp>
        <stp>FQ3 2010</stp>
        <stp>FQ3 2010</stp>
        <stp>[AMZ_2009-2018.xlsx]Cash Flow - Standardized!R36C9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6" s="4"/>
      </tp>
      <tp>
        <v>-302</v>
        <stp/>
        <stp>##V3_BDHV12</stp>
        <stp>AMZN US Equity</stp>
        <stp>CF_CASH_FROM_INV_ACT</stp>
        <stp>FQ3 2009</stp>
        <stp>FQ3 2009</stp>
        <stp>[AMZ_2009-2018.xlsx]Cash Flow - Standardized!R38C5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8" s="4"/>
      </tp>
      <tp>
        <v>416</v>
        <stp/>
        <stp>##V3_BDHV12</stp>
        <stp>AMZN US Equity</stp>
        <stp>CF_NET_INC</stp>
        <stp>FQ4 2010</stp>
        <stp>FQ4 2010</stp>
        <stp>[AMZ_2009-2018.xlsx]Cash Flow - Standardized!R7C10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" s="4"/>
      </tp>
      <tp>
        <v>-475</v>
        <stp/>
        <stp>##V3_BDHV12</stp>
        <stp>AMZN US Equity</stp>
        <stp>CF_CASH_FROM_INV_ACT</stp>
        <stp>FQ2 2010</stp>
        <stp>FQ2 2010</stp>
        <stp>[AMZ_2009-2018.xlsx]Cash Flow - Standardized!R38C8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8" s="4"/>
      </tp>
      <tp>
        <v>177</v>
        <stp/>
        <stp>##V3_BDHV12</stp>
        <stp>AMZN US Equity</stp>
        <stp>CF_NET_INC</stp>
        <stp>FQ4 2011</stp>
        <stp>FQ4 2011</stp>
        <stp>[AMZ_2009-2018.xlsx]Cash Flow - Standardized!R7C14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" s="4"/>
      </tp>
      <tp>
        <v>83</v>
        <stp/>
        <stp>##V3_BDHV12</stp>
        <stp>AMZN US Equity</stp>
        <stp>IS_GENERAL_AND_ADMINISTRATIVE</stp>
        <stp>FQ3 2009</stp>
        <stp>FQ3 2009</stp>
        <stp>[AMZ_2009-2018.xlsx]Income - Adjusted!R15C5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5" s="2"/>
      </tp>
      <tp>
        <v>-243</v>
        <stp/>
        <stp>##V3_BDHV12</stp>
        <stp>AMZN US Equity</stp>
        <stp>CF_CHNG_NON_CASH_WORK_CAP</stp>
        <stp>FQ3 2017</stp>
        <stp>FQ3 2017</stp>
        <stp>[AMZ_2009-2018.xlsx]Cash Flow - Standardized!R13C37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3" s="4"/>
      </tp>
      <tp>
        <v>-1586</v>
        <stp/>
        <stp>##V3_BDHV12</stp>
        <stp>AMZN US Equity</stp>
        <stp>CF_CASH_FROM_OPER</stp>
        <stp>FQ1 2011</stp>
        <stp>FQ1 2011</stp>
        <stp>[AMZ_2009-2018.xlsx]Cash Flow - Standardized!R19C11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9" s="4"/>
      </tp>
      <tp>
        <v>10987</v>
        <stp/>
        <stp>##V3_BDHV12</stp>
        <stp>AMZN US Equity</stp>
        <stp>CF_CASH_FROM_OPER</stp>
        <stp>FQ4 2016</stp>
        <stp>FQ4 2016</stp>
        <stp>[AMZ_2009-2018.xlsx]Cash Flow - Standardized!R19C34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9" s="4"/>
      </tp>
      <tp>
        <v>-147</v>
        <stp/>
        <stp>##V3_BDHV12</stp>
        <stp>AMZN US Equity</stp>
        <stp>CF_CHNG_NON_CASH_WORK_CAP</stp>
        <stp>FQ2 2016</stp>
        <stp>FQ2 2016</stp>
        <stp>[AMZ_2009-2018.xlsx]Cash Flow - Standardized!R13C32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3" s="4"/>
      </tp>
      <tp>
        <v>594</v>
        <stp/>
        <stp>##V3_BDHV12</stp>
        <stp>AMZN US Equity</stp>
        <stp>CF_CASH_FROM_OPER</stp>
        <stp>FQ2 2012</stp>
        <stp>FQ2 2012</stp>
        <stp>[AMZ_2009-2018.xlsx]Cash Flow - Standardized!R19C16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9" s="4"/>
      </tp>
      <tp>
        <v>-3620</v>
        <stp/>
        <stp>##V3_BDHV12</stp>
        <stp>AMZN US Equity</stp>
        <stp>CF_CHNG_NON_CASH_WORK_CAP</stp>
        <stp>FQ1 2014</stp>
        <stp>FQ1 2014</stp>
        <stp>[AMZ_2009-2018.xlsx]Cash Flow - Standardized!R13C23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3" s="4"/>
      </tp>
      <tp>
        <v>4339</v>
        <stp/>
        <stp>##V3_BDHV12</stp>
        <stp>AMZN US Equity</stp>
        <stp>CF_CHNG_NON_CASH_WORK_CAP</stp>
        <stp>FQ4 2012</stp>
        <stp>FQ4 2012</stp>
        <stp>[AMZ_2009-2018.xlsx]Cash Flow - Standardized!R13C18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3" s="4"/>
      </tp>
      <tp>
        <v>5</v>
        <stp/>
        <stp>##V3_BDHV12</stp>
        <stp>AMZN US Equity</stp>
        <stp>IS_OTHER_NON_OPERATING_INC_LOSS</stp>
        <stp>FQ4 2009</stp>
        <stp>FQ4 2009</stp>
        <stp>[AMZ_2009-2018.xlsx]Income - Adjusted!R24C6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4" s="2"/>
      </tp>
      <tp>
        <v>-57</v>
        <stp/>
        <stp>##V3_BDHV12</stp>
        <stp>AMZN US Equity</stp>
        <stp>NI_INCLUDING_MINORITY_INT_RATIO</stp>
        <stp>FQ1 2015</stp>
        <stp>FQ1 2015</stp>
        <stp>[AMZ_2009-2018.xlsx]Income - Adjusted!R38C27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38" s="2"/>
      </tp>
      <tp>
        <v>299</v>
        <stp/>
        <stp>##V3_BDHV12</stp>
        <stp>AMZN US Equity</stp>
        <stp>EARN_FOR_COMMON</stp>
        <stp>FQ1 2010</stp>
        <stp>FQ1 2010</stp>
        <stp>[AMZ_2009-2018.xlsx]Income - Adjusted!R45C7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45" s="2"/>
      </tp>
      <tp>
        <v>628</v>
        <stp/>
        <stp>##V3_BDHV12</stp>
        <stp>AMZN US Equity</stp>
        <stp>IS_OPER_INC</stp>
        <stp>FQ2 2017</stp>
        <stp>FQ2 2017</stp>
        <stp>[AMZ_2009-2018.xlsx]Income - Adjusted!R18C36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8" s="2"/>
      </tp>
      <tp>
        <v>207</v>
        <stp/>
        <stp>##V3_BDHV12</stp>
        <stp>AMZN US Equity</stp>
        <stp>IS_OPER_INC</stp>
        <stp>FQ2 2012</stp>
        <stp>FQ2 2012</stp>
        <stp>[AMZ_2009-2018.xlsx]Income - Adjusted!R18C16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8" s="2"/>
      </tp>
      <tp>
        <v>-274</v>
        <stp/>
        <stp>##V3_BDHV12</stp>
        <stp>AMZN US Equity</stp>
        <stp>NI_INCLUDING_MINORITY_INT_RATIO</stp>
        <stp>FQ3 2012</stp>
        <stp>FQ3 2012</stp>
        <stp>[AMZ_2009-2018.xlsx]Income - Adjusted!R38C17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38" s="2"/>
      </tp>
      <tp>
        <v>256</v>
        <stp/>
        <stp>##V3_BDHV12</stp>
        <stp>AMZN US Equity</stp>
        <stp>NI_INCLUDING_MINORITY_INT_RATIO</stp>
        <stp>FQ3 2017</stp>
        <stp>FQ3 2017</stp>
        <stp>[AMZ_2009-2018.xlsx]Income - Adjusted!R38C37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38" s="2"/>
      </tp>
      <tp>
        <v>591</v>
        <stp/>
        <stp>##V3_BDHV12</stp>
        <stp>AMZN US Equity</stp>
        <stp>IS_OPER_INC</stp>
        <stp>FQ4 2014</stp>
        <stp>FQ4 2014</stp>
        <stp>[AMZ_2009-2018.xlsx]Income - Adjusted!R18C26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8" s="2"/>
      </tp>
      <tp>
        <v>11.585000000000001</v>
        <stp/>
        <stp>##V3_BDHV12</stp>
        <stp>AMZN US Equity</stp>
        <stp>CASH_ST_INVESTMENTS_PER_SH</stp>
        <stp>FQ3 2012</stp>
        <stp>FQ3 2012</stp>
        <stp>[AMZ_2009-2018.xlsx]Per Share!R25C17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25" s="5"/>
      </tp>
      <tp>
        <v>50.435699999999997</v>
        <stp/>
        <stp>##V3_BDHV12</stp>
        <stp>AMZN US Equity</stp>
        <stp>CASH_ST_INVESTMENTS_PER_SH</stp>
        <stp>FQ3 2017</stp>
        <stp>FQ3 2017</stp>
        <stp>[AMZ_2009-2018.xlsx]Per Share!R25C37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25" s="5"/>
      </tp>
      <tp>
        <v>196</v>
        <stp/>
        <stp>##V3_BDHV12</stp>
        <stp>AMZN US Equity</stp>
        <stp>IS_SG&amp;A_EXPENSE</stp>
        <stp>FQ1 2009</stp>
        <stp>FQ1 2009</stp>
        <stp>[AMZ_2009-2018.xlsx]Income - Adjusted!R13C3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3" s="2"/>
      </tp>
      <tp>
        <v>-63</v>
        <stp/>
        <stp>##V3_BDHV12</stp>
        <stp>AMZN US Equity</stp>
        <stp>CF_DEF_INC_TAX</stp>
        <stp>FQ3 2015</stp>
        <stp>FQ3 2015</stp>
        <stp>[AMZ_2009-2018.xlsx]Cash Flow - Standardized!R11C29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1" s="4"/>
      </tp>
      <tp>
        <v>29.573</v>
        <stp/>
        <stp>##V3_BDHV12</stp>
        <stp>AMZN US Equity</stp>
        <stp>CASH_ST_INVESTMENTS_PER_SH</stp>
        <stp>FQ1 2015</stp>
        <stp>FQ1 2015</stp>
        <stp>[AMZ_2009-2018.xlsx]Per Share!R25C27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25" s="5"/>
      </tp>
      <tp t="s">
        <v>—</v>
        <stp/>
        <stp>##V3_BDHV12</stp>
        <stp>AMZN US Equity</stp>
        <stp>BS_INTEREST_&amp;_DIVIDENDS_PAYABLE</stp>
        <stp>FQ4 2009</stp>
        <stp>FQ4 2009</stp>
        <stp>[AMZ_2009-2018.xlsx]Bal Sheet - Standardized!R41C6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1" s="3"/>
      </tp>
      <tp>
        <v>0</v>
        <stp/>
        <stp>##V3_BDHV12</stp>
        <stp>AMZN US Equity</stp>
        <stp>CF_INCR_INVEST</stp>
        <stp>FQ3 2012</stp>
        <stp>FQ3 2012</stp>
        <stp>[AMZ_2009-2018.xlsx]Cash Flow - Standardized!R31C17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1" s="4"/>
      </tp>
      <tp>
        <v>0</v>
        <stp/>
        <stp>##V3_BDHV12</stp>
        <stp>AMZN US Equity</stp>
        <stp>CF_OTHER_FINANCING_ACT_EXCL_FX</stp>
        <stp>FQ3 2017</stp>
        <stp>FQ3 2017</stp>
        <stp>[AMZ_2009-2018.xlsx]Cash Flow - Standardized!R49C37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9" s="4"/>
      </tp>
      <tp>
        <v>0</v>
        <stp/>
        <stp>##V3_BDHV12</stp>
        <stp>AMZN US Equity</stp>
        <stp>BS_PENSION_RSRV</stp>
        <stp>FQ1 2010</stp>
        <stp>FQ1 2010</stp>
        <stp>[AMZ_2009-2018.xlsx]Bal Sheet - Standardized!R80C7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80" s="3"/>
      </tp>
      <tp>
        <v>0</v>
        <stp/>
        <stp>##V3_BDHV12</stp>
        <stp>AMZN US Equity</stp>
        <stp>CF_OTHER_FINANCING_ACT_EXCL_FX</stp>
        <stp>FQ1 2014</stp>
        <stp>FQ1 2014</stp>
        <stp>[AMZ_2009-2018.xlsx]Cash Flow - Standardized!R49C23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9" s="4"/>
      </tp>
      <tp>
        <v>0</v>
        <stp/>
        <stp>##V3_BDHV12</stp>
        <stp>AMZN US Equity</stp>
        <stp>CF_DECR_INVEST</stp>
        <stp>FQ4 2017</stp>
        <stp>FQ4 2017</stp>
        <stp>[AMZ_2009-2018.xlsx]Cash Flow - Standardized!R30C38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0" s="4"/>
      </tp>
      <tp>
        <v>0</v>
        <stp/>
        <stp>##V3_BDHV12</stp>
        <stp>AMZN US Equity</stp>
        <stp>CF_OTHER_FINANCING_ACT_EXCL_FX</stp>
        <stp>FQ2 2016</stp>
        <stp>FQ2 2016</stp>
        <stp>[AMZ_2009-2018.xlsx]Cash Flow - Standardized!R49C32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9" s="4"/>
      </tp>
      <tp>
        <v>0</v>
        <stp/>
        <stp>##V3_BDHV12</stp>
        <stp>AMZN US Equity</stp>
        <stp>CF_INCR_INVEST</stp>
        <stp>FQ4 2017</stp>
        <stp>FQ4 2017</stp>
        <stp>[AMZ_2009-2018.xlsx]Cash Flow - Standardized!R31C38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1" s="4"/>
      </tp>
      <tp>
        <v>0</v>
        <stp/>
        <stp>##V3_BDHV12</stp>
        <stp>AMZN US Equity</stp>
        <stp>CF_OTHER_FINANCING_ACT_EXCL_FX</stp>
        <stp>FQ4 2012</stp>
        <stp>FQ4 2012</stp>
        <stp>[AMZ_2009-2018.xlsx]Cash Flow - Standardized!R49C18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9" s="4"/>
      </tp>
      <tp>
        <v>11</v>
        <stp/>
        <stp>##V3_BDHV12</stp>
        <stp>AMZN US Equity</stp>
        <stp>CF_DEF_INC_TAX</stp>
        <stp>FQ1 2016</stp>
        <stp>FQ1 2016</stp>
        <stp>[AMZ_2009-2018.xlsx]Cash Flow - Standardized!R11C31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1" s="4"/>
      </tp>
      <tp>
        <v>67</v>
        <stp/>
        <stp>##V3_BDHV12</stp>
        <stp>AMZN US Equity</stp>
        <stp>CF_DEF_INC_TAX</stp>
        <stp>FQ4 2011</stp>
        <stp>FQ4 2011</stp>
        <stp>[AMZ_2009-2018.xlsx]Cash Flow - Standardized!R11C14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1" s="4"/>
      </tp>
      <tp>
        <v>43.213700000000003</v>
        <stp/>
        <stp>##V3_BDHV12</stp>
        <stp>AMZN US Equity</stp>
        <stp>CHG_PCT_PERIOD</stp>
        <stp>FQ1 2009</stp>
        <stp>FQ1 2009</stp>
        <stp>[AMZ_2009-2018.xlsx]Stock Value!R7C3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7" s="6"/>
      </tp>
      <tp>
        <v>445</v>
        <stp/>
        <stp>##V3_BDHV12</stp>
        <stp>AMZN US Equity</stp>
        <stp>IS_AVG_NUM_SH_FOR_EPS</stp>
        <stp>FQ1 2010</stp>
        <stp>FQ1 2010</stp>
        <stp>[AMZ_2009-2018.xlsx]Income - Adjusted!R49C7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49" s="2"/>
      </tp>
      <tp>
        <v>0</v>
        <stp/>
        <stp>##V3_BDHV12</stp>
        <stp>AMZN US Equity</stp>
        <stp>CF_DECR_INVEST</stp>
        <stp>FQ3 2012</stp>
        <stp>FQ3 2012</stp>
        <stp>[AMZ_2009-2018.xlsx]Cash Flow - Standardized!R30C17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0" s="4"/>
      </tp>
      <tp>
        <v>-49</v>
        <stp/>
        <stp>##V3_BDHV12</stp>
        <stp>AMZN US Equity</stp>
        <stp>CF_DEF_INC_TAX</stp>
        <stp>FQ2 2014</stp>
        <stp>FQ2 2014</stp>
        <stp>[AMZ_2009-2018.xlsx]Cash Flow - Standardized!R11C24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1" s="4"/>
      </tp>
      <tp>
        <v>0</v>
        <stp/>
        <stp>##V3_BDHV12</stp>
        <stp>AMZN US Equity</stp>
        <stp>BS_PENSION_RSRV</stp>
        <stp>FQ1 2011</stp>
        <stp>FQ1 2011</stp>
        <stp>[AMZ_2009-2018.xlsx]Bal Sheet - Standardized!R80C11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80" s="3"/>
      </tp>
      <tp>
        <v>-35</v>
        <stp/>
        <stp>##V3_BDHV12</stp>
        <stp>AMZN US Equity</stp>
        <stp>CF_NT_CSH_RCVD_PD_FOR_ACQUIS_DIV</stp>
        <stp>FQ4 2012</stp>
        <stp>FQ4 2012</stp>
        <stp>[AMZ_2009-2018.xlsx]Cash Flow - Standardized!R32C18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2" s="4"/>
      </tp>
      <tp>
        <v>0</v>
        <stp/>
        <stp>##V3_BDHV12</stp>
        <stp>AMZN US Equity</stp>
        <stp>BS_PENSION_RSRV</stp>
        <stp>FQ4 2016</stp>
        <stp>FQ4 2016</stp>
        <stp>[AMZ_2009-2018.xlsx]Bal Sheet - Standardized!R80C34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80" s="3"/>
      </tp>
      <tp>
        <v>0</v>
        <stp/>
        <stp>##V3_BDHV12</stp>
        <stp>AMZN US Equity</stp>
        <stp>BS_PENSION_RSRV</stp>
        <stp>FQ2 2012</stp>
        <stp>FQ2 2012</stp>
        <stp>[AMZ_2009-2018.xlsx]Bal Sheet - Standardized!R80C16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80" s="3"/>
      </tp>
      <tp t="s">
        <v>—</v>
        <stp/>
        <stp>##V3_BDHV12</stp>
        <stp>AMZN US Equity</stp>
        <stp>BS_DERIVATIVE_&amp;_HEDGING_LIABS_ST</stp>
        <stp>FQ1 2010</stp>
        <stp>FQ1 2010</stp>
        <stp>[AMZ_2009-2018.xlsx]Bal Sheet - Standardized!R49C7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9" s="3"/>
      </tp>
      <tp t="s">
        <v>—</v>
        <stp/>
        <stp>##V3_BDHV12</stp>
        <stp>AMZN US Equity</stp>
        <stp>BS_DERIVATIVE_&amp;_HEDGING_LIABS_LT</stp>
        <stp>FQ1 2010</stp>
        <stp>FQ1 2010</stp>
        <stp>[AMZ_2009-2018.xlsx]Bal Sheet - Standardized!R60C7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0" s="3"/>
      </tp>
      <tp>
        <v>-1178</v>
        <stp/>
        <stp>##V3_BDHV12</stp>
        <stp>AMZN US Equity</stp>
        <stp>CF_ACCT_RCV_UNBILLED_REV</stp>
        <stp>FQ4 2015</stp>
        <stp>FQ4 2015</stp>
        <stp>[AMZ_2009-2018.xlsx]Cash Flow - Standardized!R14C30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4" s="4"/>
      </tp>
      <tp>
        <v>746</v>
        <stp/>
        <stp>##V3_BDHV12</stp>
        <stp>AMZN US Equity</stp>
        <stp>CF_ACCT_RCV_UNBILLED_REV</stp>
        <stp>FQ1 2012</stp>
        <stp>FQ1 2012</stp>
        <stp>[AMZ_2009-2018.xlsx]Cash Flow - Standardized!R14C15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4" s="4"/>
      </tp>
      <tp>
        <v>-13213</v>
        <stp/>
        <stp>##V3_BDHV12</stp>
        <stp>AMZN US Equity</stp>
        <stp>CF_NT_CSH_RCVD_PD_FOR_ACQUIS_DIV</stp>
        <stp>FQ3 2017</stp>
        <stp>FQ3 2017</stp>
        <stp>[AMZ_2009-2018.xlsx]Cash Flow - Standardized!R32C37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2" s="4"/>
      </tp>
      <tp>
        <v>0</v>
        <stp/>
        <stp>##V3_BDHV12</stp>
        <stp>AMZN US Equity</stp>
        <stp>CF_NT_CSH_RCVD_PD_FOR_ACQUIS_DIV</stp>
        <stp>FQ1 2014</stp>
        <stp>FQ1 2014</stp>
        <stp>[AMZ_2009-2018.xlsx]Cash Flow - Standardized!R32C23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2" s="4"/>
      </tp>
      <tp>
        <v>-73</v>
        <stp/>
        <stp>##V3_BDHV12</stp>
        <stp>AMZN US Equity</stp>
        <stp>CF_ACCT_RCV_UNBILLED_REV</stp>
        <stp>FQ2 2011</stp>
        <stp>FQ2 2011</stp>
        <stp>[AMZ_2009-2018.xlsx]Cash Flow - Standardized!R14C12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4" s="4"/>
      </tp>
      <tp>
        <v>-14</v>
        <stp/>
        <stp>##V3_BDHV12</stp>
        <stp>AMZN US Equity</stp>
        <stp>CF_NT_CSH_RCVD_PD_FOR_ACQUIS_DIV</stp>
        <stp>FQ2 2016</stp>
        <stp>FQ2 2016</stp>
        <stp>[AMZ_2009-2018.xlsx]Cash Flow - Standardized!R32C32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2" s="4"/>
      </tp>
      <tp>
        <v>-125</v>
        <stp/>
        <stp>##V3_BDHV12</stp>
        <stp>AMZN US Equity</stp>
        <stp>CF_ACCT_RCV_UNBILLED_REV</stp>
        <stp>FQ3 2013</stp>
        <stp>FQ3 2013</stp>
        <stp>[AMZ_2009-2018.xlsx]Cash Flow - Standardized!R14C21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4" s="4"/>
      </tp>
      <tp>
        <v>-1104</v>
        <stp/>
        <stp>##V3_BDHV12</stp>
        <stp>AMZN US Equity</stp>
        <stp>CF_ACCT_RCV_UNBILLED_REV</stp>
        <stp>FQ4 2014</stp>
        <stp>FQ4 2014</stp>
        <stp>[AMZ_2009-2018.xlsx]Cash Flow - Standardized!R14C26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4" s="4"/>
      </tp>
      <tp t="s">
        <v>—</v>
        <stp/>
        <stp>##V3_BDHV12</stp>
        <stp>AMZN US Equity</stp>
        <stp>BS_CURR_PORTION_LT_DEBT</stp>
        <stp>FQ1 2011</stp>
        <stp>FQ1 2011</stp>
        <stp>[AMZ_2009-2018.xlsx]Bal Sheet - Standardized!R46C11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6" s="3"/>
      </tp>
      <tp>
        <v>1056</v>
        <stp/>
        <stp>##V3_BDHV12</stp>
        <stp>AMZN US Equity</stp>
        <stp>BS_CURR_PORTION_LT_DEBT</stp>
        <stp>FQ4 2016</stp>
        <stp>FQ4 2016</stp>
        <stp>[AMZ_2009-2018.xlsx]Bal Sheet - Standardized!R46C34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6" s="3"/>
      </tp>
      <tp t="s">
        <v>—</v>
        <stp/>
        <stp>##V3_BDHV12</stp>
        <stp>AMZN US Equity</stp>
        <stp>BS_CURR_PORTION_LT_DEBT</stp>
        <stp>FQ2 2012</stp>
        <stp>FQ2 2012</stp>
        <stp>[AMZ_2009-2018.xlsx]Bal Sheet - Standardized!R46C16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6" s="3"/>
      </tp>
      <tp>
        <v>0</v>
        <stp/>
        <stp>##V3_BDHV12</stp>
        <stp>AMZN US Equity</stp>
        <stp>CF_DISPOSAL_OF_FIXED_PROD_ASSETS</stp>
        <stp>FQ1 2011</stp>
        <stp>FQ1 2011</stp>
        <stp>[AMZ_2009-2018.xlsx]Cash Flow - Standardized!R24C11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4" s="4"/>
      </tp>
      <tp>
        <v>409</v>
        <stp/>
        <stp>##V3_BDHV12</stp>
        <stp>AMZN US Equity</stp>
        <stp>CF_DISPOSAL_OF_FIXED_PROD_ASSETS</stp>
        <stp>FQ4 2016</stp>
        <stp>FQ4 2016</stp>
        <stp>[AMZ_2009-2018.xlsx]Cash Flow - Standardized!R24C34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4" s="4"/>
      </tp>
      <tp>
        <v>0</v>
        <stp/>
        <stp>##V3_BDHV12</stp>
        <stp>AMZN US Equity</stp>
        <stp>CF_DISPOSAL_OF_FIXED_PROD_ASSETS</stp>
        <stp>FQ2 2012</stp>
        <stp>FQ2 2012</stp>
        <stp>[AMZ_2009-2018.xlsx]Cash Flow - Standardized!R24C16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4" s="4"/>
      </tp>
      <tp>
        <v>151.09</v>
        <stp/>
        <stp>##V3_BDHV12</stp>
        <stp>AMZN US Equity</stp>
        <stp>PX_HIGH</stp>
        <stp>FQ2 2010</stp>
        <stp>FQ2 2010</stp>
        <stp>[AMZ_2009-2018.xlsx]Stock Value!R9C8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9" s="6"/>
      </tp>
      <tp>
        <v>0</v>
        <stp/>
        <stp>##V3_BDHV12</stp>
        <stp>AMZN US Equity</stp>
        <stp>IS_TOT_CASH_PFD_DVD</stp>
        <stp>FQ1 2011</stp>
        <stp>FQ1 2011</stp>
        <stp>[AMZ_2009-2018.xlsx]Income - Adjusted!R41C11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1" s="2"/>
      </tp>
      <tp>
        <v>469</v>
        <stp/>
        <stp>##V3_BDHV12</stp>
        <stp>AMZN US Equity</stp>
        <stp>BS_SH_OUT</stp>
        <stp>FQ3 2015</stp>
        <stp>FQ3 2015</stp>
        <stp>[AMZ_2009-2018.xlsx]Per Share!R6C29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6" s="5"/>
      </tp>
      <tp>
        <v>0</v>
        <stp/>
        <stp>##V3_BDHV12</stp>
        <stp>AMZN US Equity</stp>
        <stp>IS_TOT_CASH_PFD_DVD</stp>
        <stp>FQ2 2011</stp>
        <stp>FQ2 2011</stp>
        <stp>[AMZ_2009-2018.xlsx]Income - Adjusted!R41C12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1" s="2"/>
      </tp>
      <tp>
        <v>0</v>
        <stp/>
        <stp>##V3_BDHV12</stp>
        <stp>AMZN US Equity</stp>
        <stp>IS_TOT_CASH_PFD_DVD</stp>
        <stp>FQ3 2011</stp>
        <stp>FQ3 2011</stp>
        <stp>[AMZ_2009-2018.xlsx]Income - Adjusted!R41C13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1" s="2"/>
      </tp>
      <tp>
        <v>0</v>
        <stp/>
        <stp>##V3_BDHV12</stp>
        <stp>AMZN US Equity</stp>
        <stp>IS_TOT_CASH_PFD_DVD</stp>
        <stp>FQ4 2011</stp>
        <stp>FQ4 2011</stp>
        <stp>[AMZ_2009-2018.xlsx]Income - Adjusted!R41C14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1" s="2"/>
      </tp>
      <tp>
        <v>251</v>
        <stp/>
        <stp>##V3_BDHV12</stp>
        <stp>AMZN US Equity</stp>
        <stp>EBITA</stp>
        <stp>FQ3 2009</stp>
        <stp>FQ3 2009</stp>
        <stp>[AMZ_2009-2018.xlsx]Income - Adjusted!R63C5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63" s="2"/>
      </tp>
      <tp>
        <v>20.938700000000001</v>
        <stp/>
        <stp>##V3_BDHV12</stp>
        <stp>AMZN US Equity</stp>
        <stp>PX_TO_FREE_CASH_FLOW</stp>
        <stp>FQ3 2009</stp>
        <stp>FQ3 2009</stp>
        <stp>[AMZ_2009-2018.xlsx]Cash Flow - Standardized!R69C5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69" s="4"/>
      </tp>
      <tp>
        <v>23.227899999999998</v>
        <stp/>
        <stp>##V3_BDHV12</stp>
        <stp>AMZN US Equity</stp>
        <stp>PX_TO_FREE_CASH_FLOW</stp>
        <stp>FQ2 2009</stp>
        <stp>FQ2 2009</stp>
        <stp>[AMZ_2009-2018.xlsx]Cash Flow - Standardized!R69C4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69" s="4"/>
      </tp>
      <tp>
        <v>0</v>
        <stp/>
        <stp>##V3_BDHV12</stp>
        <stp>AMZN US Equity</stp>
        <stp>IS_NET_ABNORMAL_ITEMS</stp>
        <stp>FQ3 2010</stp>
        <stp>FQ3 2010</stp>
        <stp>[AMZ_2009-2018.xlsx]Income - Adjusted!R46C9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6" s="2"/>
      </tp>
      <tp>
        <v>0.28000000000000003</v>
        <stp/>
        <stp>##V3_BDHV12</stp>
        <stp>AMZN US Equity</stp>
        <stp>IS_DIL_EPS_CONT_OPS</stp>
        <stp>FQ1 2012</stp>
        <stp>FQ1 2012</stp>
        <stp>[AMZ_2009-2018.xlsx]Per Share!R19C15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19" s="5"/>
      </tp>
      <tp>
        <v>1.48</v>
        <stp/>
        <stp>##V3_BDHV12</stp>
        <stp>AMZN US Equity</stp>
        <stp>IS_DIL_EPS_CONT_OPS</stp>
        <stp>FQ1 2017</stp>
        <stp>FQ1 2017</stp>
        <stp>[AMZ_2009-2018.xlsx]Per Share!R19C35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19" s="5"/>
      </tp>
      <tp>
        <v>-0.71130000000000004</v>
        <stp/>
        <stp>##V3_BDHV12</stp>
        <stp>AMZN US Equity</stp>
        <stp>IS_DIL_EPS_CONT_OPS</stp>
        <stp>FQ3 2014</stp>
        <stp>FQ3 2014</stp>
        <stp>[AMZ_2009-2018.xlsx]Per Share!R19C25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19" s="5"/>
      </tp>
      <tp>
        <v>-274</v>
        <stp/>
        <stp>##V3_BDHV12</stp>
        <stp>AMZN US Equity</stp>
        <stp>CF_NET_INC</stp>
        <stp>FQ3 2012</stp>
        <stp>FQ3 2012</stp>
        <stp>[AMZ_2009-2018.xlsx]Cash Flow - Standardized!R7C17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" s="4"/>
      </tp>
      <tp>
        <v>513</v>
        <stp/>
        <stp>##V3_BDHV12</stp>
        <stp>AMZN US Equity</stp>
        <stp>CF_NET_INC</stp>
        <stp>FQ1 2016</stp>
        <stp>FQ1 2016</stp>
        <stp>[AMZ_2009-2018.xlsx]Cash Flow - Standardized!R7C31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" s="4"/>
      </tp>
      <tp>
        <v>724</v>
        <stp/>
        <stp>##V3_BDHV12</stp>
        <stp>AMZN US Equity</stp>
        <stp>CF_NET_INC</stp>
        <stp>FQ1 2017</stp>
        <stp>FQ1 2017</stp>
        <stp>[AMZ_2009-2018.xlsx]Cash Flow - Standardized!R7C35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" s="4"/>
      </tp>
      <tp>
        <v>-1608</v>
        <stp/>
        <stp>##V3_BDHV12</stp>
        <stp>AMZN US Equity</stp>
        <stp>CF_CASH_FROM_INV_ACT</stp>
        <stp>FQ4 2009</stp>
        <stp>FQ4 2009</stp>
        <stp>[AMZ_2009-2018.xlsx]Cash Flow - Standardized!R38C6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8" s="4"/>
      </tp>
      <tp>
        <v>63</v>
        <stp/>
        <stp>##V3_BDHV12</stp>
        <stp>AMZN US Equity</stp>
        <stp>CF_NET_INC</stp>
        <stp>FQ3 2011</stp>
        <stp>FQ3 2011</stp>
        <stp>[AMZ_2009-2018.xlsx]Cash Flow - Standardized!R7C13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" s="4"/>
      </tp>
      <tp>
        <v>1629</v>
        <stp/>
        <stp>##V3_BDHV12</stp>
        <stp>AMZN US Equity</stp>
        <stp>CF_NET_INC</stp>
        <stp>FQ1 2018</stp>
        <stp>FQ1 2018</stp>
        <stp>[AMZ_2009-2018.xlsx]Cash Flow - Standardized!R7C39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" s="4"/>
      </tp>
      <tp>
        <v>3850</v>
        <stp/>
        <stp>##V3_BDHV12</stp>
        <stp>AMZN US Equity</stp>
        <stp>CF_CASH_FROM_OPER</stp>
        <stp>FQ2 2017</stp>
        <stp>FQ2 2017</stp>
        <stp>[AMZ_2009-2018.xlsx]Cash Flow - Standardized!R19C36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9" s="4"/>
      </tp>
      <tp>
        <v>-1499</v>
        <stp/>
        <stp>##V3_BDHV12</stp>
        <stp>AMZN US Equity</stp>
        <stp>CF_CASH_FROM_OPER</stp>
        <stp>FQ1 2015</stp>
        <stp>FQ1 2015</stp>
        <stp>[AMZ_2009-2018.xlsx]Cash Flow - Standardized!R19C27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9" s="4"/>
      </tp>
      <tp>
        <v>4659</v>
        <stp/>
        <stp>##V3_BDHV12</stp>
        <stp>AMZN US Equity</stp>
        <stp>CF_CASH_FROM_OPER</stp>
        <stp>FQ3 2016</stp>
        <stp>FQ3 2016</stp>
        <stp>[AMZ_2009-2018.xlsx]Cash Flow - Standardized!R19C33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9" s="4"/>
      </tp>
      <tp>
        <v>355</v>
        <stp/>
        <stp>##V3_BDHV12</stp>
        <stp>AMZN US Equity</stp>
        <stp>CF_CHNG_NON_CASH_WORK_CAP</stp>
        <stp>FQ3 2012</stp>
        <stp>FQ3 2012</stp>
        <stp>[AMZ_2009-2018.xlsx]Cash Flow - Standardized!R13C17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3" s="4"/>
      </tp>
      <tp>
        <v>-4889</v>
        <stp/>
        <stp>##V3_BDHV12</stp>
        <stp>AMZN US Equity</stp>
        <stp>CF_FREE_CASH_FLOW</stp>
        <stp>FQ1 2018</stp>
        <stp>FQ1 2018</stp>
        <stp>[AMZ_2009-2018.xlsx]Cash Flow - Standardized!R65C39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5" s="4"/>
      </tp>
      <tp>
        <v>6068</v>
        <stp/>
        <stp>##V3_BDHV12</stp>
        <stp>AMZN US Equity</stp>
        <stp>CF_CHNG_NON_CASH_WORK_CAP</stp>
        <stp>FQ4 2017</stp>
        <stp>FQ4 2017</stp>
        <stp>[AMZ_2009-2018.xlsx]Cash Flow - Standardized!R13C38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3" s="4"/>
      </tp>
      <tp>
        <v>-24</v>
        <stp/>
        <stp>##V3_BDHV12</stp>
        <stp>AMZN US Equity</stp>
        <stp>IS_OTHER_NON_OPERATING_INC_LOSS</stp>
        <stp>FQ2 2010</stp>
        <stp>FQ2 2010</stp>
        <stp>[AMZ_2009-2018.xlsx]Income - Adjusted!R24C8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4" s="2"/>
      </tp>
      <tp>
        <v>-25</v>
        <stp/>
        <stp>##V3_BDHV12</stp>
        <stp>AMZN US Equity</stp>
        <stp>IS_OPER_INC</stp>
        <stp>FQ3 2013</stp>
        <stp>FQ3 2013</stp>
        <stp>[AMZ_2009-2018.xlsx]Income - Adjusted!R18C21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8" s="2"/>
      </tp>
      <tp>
        <v>1071</v>
        <stp/>
        <stp>##V3_BDHV12</stp>
        <stp>AMZN US Equity</stp>
        <stp>IS_OPER_INC</stp>
        <stp>FQ1 2016</stp>
        <stp>FQ1 2016</stp>
        <stp>[AMZ_2009-2018.xlsx]Income - Adjusted!R18C31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8" s="2"/>
      </tp>
      <tp>
        <v>322</v>
        <stp/>
        <stp>##V3_BDHV12</stp>
        <stp>AMZN US Equity</stp>
        <stp>IS_OPER_INC</stp>
        <stp>FQ1 2011</stp>
        <stp>FQ1 2011</stp>
        <stp>[AMZ_2009-2018.xlsx]Income - Adjusted!R18C11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8" s="2"/>
      </tp>
      <tp>
        <v>2534</v>
        <stp/>
        <stp>##V3_BDHV12</stp>
        <stp>AMZN US Equity</stp>
        <stp>NI_INCLUDING_MINORITY_INT_RATIO</stp>
        <stp>FQ2 2018</stp>
        <stp>FQ2 2018</stp>
        <stp>[AMZ_2009-2018.xlsx]Income - Adjusted!R38C40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38" s="2"/>
      </tp>
      <tp>
        <v>-7</v>
        <stp/>
        <stp>##V3_BDHV12</stp>
        <stp>AMZN US Equity</stp>
        <stp>NI_INCLUDING_MINORITY_INT_RATIO</stp>
        <stp>FQ2 2013</stp>
        <stp>FQ2 2013</stp>
        <stp>[AMZ_2009-2018.xlsx]Income - Adjusted!R38C20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38" s="2"/>
      </tp>
      <tp>
        <v>482</v>
        <stp/>
        <stp>##V3_BDHV12</stp>
        <stp>AMZN US Equity</stp>
        <stp>NI_INCLUDING_MINORITY_INT_RATIO</stp>
        <stp>FQ4 2015</stp>
        <stp>FQ4 2015</stp>
        <stp>[AMZ_2009-2018.xlsx]Income - Adjusted!R38C30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38" s="2"/>
      </tp>
      <tp>
        <v>416</v>
        <stp/>
        <stp>##V3_BDHV12</stp>
        <stp>AMZN US Equity</stp>
        <stp>NI_INCLUDING_MINORITY_INT_RATIO</stp>
        <stp>FQ4 2010</stp>
        <stp>FQ4 2010</stp>
        <stp>[AMZ_2009-2018.xlsx]Income - Adjusted!R38C10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38" s="2"/>
      </tp>
      <tp>
        <v>0</v>
        <stp/>
        <stp>##V3_BDHV12</stp>
        <stp>AMZN US Equity</stp>
        <stp>CF_INCR_INVEST</stp>
        <stp>FQ1 2014</stp>
        <stp>FQ1 2014</stp>
        <stp>[AMZ_2009-2018.xlsx]Cash Flow - Standardized!R31C23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1" s="4"/>
      </tp>
      <tp>
        <v>206</v>
        <stp/>
        <stp>##V3_BDHV12</stp>
        <stp>AMZN US Equity</stp>
        <stp>IS_SG&amp;A_EXPENSE</stp>
        <stp>FQ2 2009</stp>
        <stp>FQ2 2009</stp>
        <stp>[AMZ_2009-2018.xlsx]Income - Adjusted!R13C4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3" s="2"/>
      </tp>
      <tp>
        <v>0</v>
        <stp/>
        <stp>##V3_BDHV12</stp>
        <stp>AMZN US Equity</stp>
        <stp>CF_DECR_INVEST</stp>
        <stp>FQ4 2012</stp>
        <stp>FQ4 2012</stp>
        <stp>[AMZ_2009-2018.xlsx]Cash Flow - Standardized!R30C18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0" s="4"/>
      </tp>
      <tp>
        <v>16.330400000000001</v>
        <stp/>
        <stp>##V3_BDHV12</stp>
        <stp>AMZN US Equity</stp>
        <stp>CASH_ST_INVESTMENTS_PER_SH</stp>
        <stp>FQ2 2013</stp>
        <stp>FQ2 2013</stp>
        <stp>[AMZ_2009-2018.xlsx]Per Share!R25C20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25" s="5"/>
      </tp>
      <tp>
        <v>55.5441</v>
        <stp/>
        <stp>##V3_BDHV12</stp>
        <stp>AMZN US Equity</stp>
        <stp>CASH_ST_INVESTMENTS_PER_SH</stp>
        <stp>FQ2 2018</stp>
        <stp>FQ2 2018</stp>
        <stp>[AMZ_2009-2018.xlsx]Per Share!R25C40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25" s="5"/>
      </tp>
      <tp>
        <v>0</v>
        <stp/>
        <stp>##V3_BDHV12</stp>
        <stp>AMZN US Equity</stp>
        <stp>CF_INCR_INVEST</stp>
        <stp>FQ2 2016</stp>
        <stp>FQ2 2016</stp>
        <stp>[AMZ_2009-2018.xlsx]Cash Flow - Standardized!R31C32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1" s="4"/>
      </tp>
      <tp t="s">
        <v>—</v>
        <stp/>
        <stp>##V3_BDHV12</stp>
        <stp>AMZN US Equity</stp>
        <stp>BS_INTEREST_&amp;_DIVIDENDS_PAYABLE</stp>
        <stp>FQ2 2010</stp>
        <stp>FQ2 2010</stp>
        <stp>[AMZ_2009-2018.xlsx]Bal Sheet - Standardized!R41C8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1" s="3"/>
      </tp>
      <tp>
        <v>-80</v>
        <stp/>
        <stp>##V3_BDHV12</stp>
        <stp>AMZN US Equity</stp>
        <stp>CF_DEF_INC_TAX</stp>
        <stp>FQ1 2013</stp>
        <stp>FQ1 2013</stp>
        <stp>[AMZ_2009-2018.xlsx]Cash Flow - Standardized!R11C19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1" s="4"/>
      </tp>
      <tp>
        <v>0</v>
        <stp/>
        <stp>##V3_BDHV12</stp>
        <stp>AMZN US Equity</stp>
        <stp>CF_INCR_INVEST</stp>
        <stp>FQ3 2017</stp>
        <stp>FQ3 2017</stp>
        <stp>[AMZ_2009-2018.xlsx]Cash Flow - Standardized!R31C37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1" s="4"/>
      </tp>
      <tp>
        <v>0</v>
        <stp/>
        <stp>##V3_BDHV12</stp>
        <stp>AMZN US Equity</stp>
        <stp>CF_OTHER_FINANCING_ACT_EXCL_FX</stp>
        <stp>FQ3 2012</stp>
        <stp>FQ3 2012</stp>
        <stp>[AMZ_2009-2018.xlsx]Cash Flow - Standardized!R49C17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9" s="4"/>
      </tp>
      <tp t="s">
        <v>—</v>
        <stp/>
        <stp>##V3_BDHV12</stp>
        <stp>AMZN US Equity</stp>
        <stp>BS_INTEREST_&amp;_DIVIDENDS_PAYABLE</stp>
        <stp>FQ3 2009</stp>
        <stp>FQ3 2009</stp>
        <stp>[AMZ_2009-2018.xlsx]Bal Sheet - Standardized!R41C5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1" s="3"/>
      </tp>
      <tp>
        <v>42.055199999999999</v>
        <stp/>
        <stp>##V3_BDHV12</stp>
        <stp>AMZN US Equity</stp>
        <stp>CASH_ST_INVESTMENTS_PER_SH</stp>
        <stp>FQ4 2015</stp>
        <stp>FQ4 2015</stp>
        <stp>[AMZ_2009-2018.xlsx]Per Share!R25C30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25" s="5"/>
      </tp>
      <tp>
        <v>19.427900000000001</v>
        <stp/>
        <stp>##V3_BDHV12</stp>
        <stp>AMZN US Equity</stp>
        <stp>CASH_ST_INVESTMENTS_PER_SH</stp>
        <stp>FQ4 2010</stp>
        <stp>FQ4 2010</stp>
        <stp>[AMZ_2009-2018.xlsx]Per Share!R25C10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25" s="5"/>
      </tp>
      <tp>
        <v>0</v>
        <stp/>
        <stp>##V3_BDHV12</stp>
        <stp>AMZN US Equity</stp>
        <stp>CF_DECR_INVEST</stp>
        <stp>FQ3 2017</stp>
        <stp>FQ3 2017</stp>
        <stp>[AMZ_2009-2018.xlsx]Cash Flow - Standardized!R30C37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0" s="4"/>
      </tp>
      <tp>
        <v>0</v>
        <stp/>
        <stp>##V3_BDHV12</stp>
        <stp>AMZN US Equity</stp>
        <stp>CF_INCR_INVEST</stp>
        <stp>FQ4 2012</stp>
        <stp>FQ4 2012</stp>
        <stp>[AMZ_2009-2018.xlsx]Cash Flow - Standardized!R31C18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1" s="4"/>
      </tp>
      <tp>
        <v>0</v>
        <stp/>
        <stp>##V3_BDHV12</stp>
        <stp>AMZN US Equity</stp>
        <stp>CF_OTHER_FINANCING_ACT_EXCL_FX</stp>
        <stp>FQ4 2017</stp>
        <stp>FQ4 2017</stp>
        <stp>[AMZ_2009-2018.xlsx]Cash Flow - Standardized!R49C38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9" s="4"/>
      </tp>
      <tp>
        <v>0</v>
        <stp/>
        <stp>##V3_BDHV12</stp>
        <stp>AMZN US Equity</stp>
        <stp>CF_DECR_INVEST</stp>
        <stp>FQ1 2014</stp>
        <stp>FQ1 2014</stp>
        <stp>[AMZ_2009-2018.xlsx]Cash Flow - Standardized!R30C23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0" s="4"/>
      </tp>
      <tp>
        <v>34</v>
        <stp/>
        <stp>##V3_BDHV12</stp>
        <stp>AMZN US Equity</stp>
        <stp>CF_DEF_INC_TAX</stp>
        <stp>FQ3 2011</stp>
        <stp>FQ3 2011</stp>
        <stp>[AMZ_2009-2018.xlsx]Cash Flow - Standardized!R11C13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1" s="4"/>
      </tp>
      <tp>
        <v>21</v>
        <stp/>
        <stp>##V3_BDHV12</stp>
        <stp>AMZN US Equity</stp>
        <stp>CF_DEF_INC_TAX</stp>
        <stp>FQ2 2013</stp>
        <stp>FQ2 2013</stp>
        <stp>[AMZ_2009-2018.xlsx]Cash Flow - Standardized!R11C20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1" s="4"/>
      </tp>
      <tp>
        <v>13.9161</v>
        <stp/>
        <stp>##V3_BDHV12</stp>
        <stp>AMZN US Equity</stp>
        <stp>CHG_PCT_PERIOD</stp>
        <stp>FQ2 2009</stp>
        <stp>FQ2 2009</stp>
        <stp>[AMZ_2009-2018.xlsx]Stock Value!R7C4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7" s="6"/>
      </tp>
      <tp>
        <v>0</v>
        <stp/>
        <stp>##V3_BDHV12</stp>
        <stp>AMZN US Equity</stp>
        <stp>CF_DECR_INVEST</stp>
        <stp>FQ2 2016</stp>
        <stp>FQ2 2016</stp>
        <stp>[AMZ_2009-2018.xlsx]Cash Flow - Standardized!R30C32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0" s="4"/>
      </tp>
      <tp>
        <v>-430</v>
        <stp/>
        <stp>##V3_BDHV12</stp>
        <stp>AMZN US Equity</stp>
        <stp>CF_ACCT_RCV_UNBILLED_REV</stp>
        <stp>FQ2 2015</stp>
        <stp>FQ2 2015</stp>
        <stp>[AMZ_2009-2018.xlsx]Cash Flow - Standardized!R14C28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4" s="4"/>
      </tp>
      <tp>
        <v>0</v>
        <stp/>
        <stp>##V3_BDHV12</stp>
        <stp>AMZN US Equity</stp>
        <stp>BS_PENSION_RSRV</stp>
        <stp>FQ2 2017</stp>
        <stp>FQ2 2017</stp>
        <stp>[AMZ_2009-2018.xlsx]Bal Sheet - Standardized!R80C36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80" s="3"/>
      </tp>
      <tp>
        <v>0</v>
        <stp/>
        <stp>##V3_BDHV12</stp>
        <stp>AMZN US Equity</stp>
        <stp>BS_PENSION_RSRV</stp>
        <stp>FQ1 2015</stp>
        <stp>FQ1 2015</stp>
        <stp>[AMZ_2009-2018.xlsx]Bal Sheet - Standardized!R80C27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80" s="3"/>
      </tp>
      <tp>
        <v>548.024</v>
        <stp/>
        <stp>##V3_BDHV12</stp>
        <stp>AMZN US Equity</stp>
        <stp>CF_FREE_CASH_FLOW_FIRM</stp>
        <stp>FQ3 2010</stp>
        <stp>FQ3 2010</stp>
        <stp>[AMZ_2009-2018.xlsx]Cash Flow - Standardized!R66C9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66" s="4"/>
      </tp>
      <tp>
        <v>60.333300000000001</v>
        <stp/>
        <stp>##V3_BDHV12</stp>
        <stp>AMZN US Equity</stp>
        <stp>CF_FREE_CASH_FLOW_FIRM</stp>
        <stp>FQ2 2010</stp>
        <stp>FQ2 2010</stp>
        <stp>[AMZ_2009-2018.xlsx]Cash Flow - Standardized!R66C8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66" s="4"/>
      </tp>
      <tp>
        <v>0</v>
        <stp/>
        <stp>##V3_BDHV12</stp>
        <stp>AMZN US Equity</stp>
        <stp>BS_PENSION_RSRV</stp>
        <stp>FQ3 2016</stp>
        <stp>FQ3 2016</stp>
        <stp>[AMZ_2009-2018.xlsx]Bal Sheet - Standardized!R80C33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80" s="3"/>
      </tp>
      <tp>
        <v>-81</v>
        <stp/>
        <stp>##V3_BDHV12</stp>
        <stp>AMZN US Equity</stp>
        <stp>CF_NT_CSH_RCVD_PD_FOR_ACQUIS_DIV</stp>
        <stp>FQ4 2017</stp>
        <stp>FQ4 2017</stp>
        <stp>[AMZ_2009-2018.xlsx]Cash Flow - Standardized!R32C38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2" s="4"/>
      </tp>
      <tp>
        <v>2479.5563000000002</v>
        <stp/>
        <stp>##V3_BDHV12</stp>
        <stp>AMZN US Equity</stp>
        <stp>CF_FREE_CASH_FLOW_FIRM</stp>
        <stp>FQ4 2009</stp>
        <stp>FQ4 2009</stp>
        <stp>[AMZ_2009-2018.xlsx]Cash Flow - Standardized!R66C6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66" s="4"/>
      </tp>
      <tp>
        <v>-631.33870000000002</v>
        <stp/>
        <stp>##V3_BDHV12</stp>
        <stp>AMZN US Equity</stp>
        <stp>CF_FREE_CASH_FLOW_FIRM</stp>
        <stp>FQ1 2009</stp>
        <stp>FQ1 2009</stp>
        <stp>[AMZ_2009-2018.xlsx]Cash Flow - Standardized!R66C3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6" s="4"/>
      </tp>
      <tp>
        <v>-362</v>
        <stp/>
        <stp>##V3_BDHV12</stp>
        <stp>AMZN US Equity</stp>
        <stp>CF_ACCT_RCV_UNBILLED_REV</stp>
        <stp>FQ3 2014</stp>
        <stp>FQ3 2014</stp>
        <stp>[AMZ_2009-2018.xlsx]Cash Flow - Standardized!R14C25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4" s="4"/>
      </tp>
      <tp>
        <v>-1239</v>
        <stp/>
        <stp>##V3_BDHV12</stp>
        <stp>AMZN US Equity</stp>
        <stp>CF_ACCT_RCV_UNBILLED_REV</stp>
        <stp>FQ4 2013</stp>
        <stp>FQ4 2013</stp>
        <stp>[AMZ_2009-2018.xlsx]Cash Flow - Standardized!R14C22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4" s="4"/>
      </tp>
      <tp>
        <v>-531</v>
        <stp/>
        <stp>##V3_BDHV12</stp>
        <stp>AMZN US Equity</stp>
        <stp>CF_ACCT_RCV_UNBILLED_REV</stp>
        <stp>FQ4 2010</stp>
        <stp>FQ4 2010</stp>
        <stp>[AMZ_2009-2018.xlsx]Cash Flow - Standardized!R14C10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4" s="4"/>
      </tp>
      <tp>
        <v>965</v>
        <stp/>
        <stp>##V3_BDHV12</stp>
        <stp>AMZN US Equity</stp>
        <stp>CF_ACCT_RCV_UNBILLED_REV</stp>
        <stp>FQ1 2017</stp>
        <stp>FQ1 2017</stp>
        <stp>[AMZ_2009-2018.xlsx]Cash Flow - Standardized!R14C35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4" s="4"/>
      </tp>
      <tp>
        <v>-37</v>
        <stp/>
        <stp>##V3_BDHV12</stp>
        <stp>AMZN US Equity</stp>
        <stp>CF_NT_CSH_RCVD_PD_FOR_ACQUIS_DIV</stp>
        <stp>FQ3 2012</stp>
        <stp>FQ3 2012</stp>
        <stp>[AMZ_2009-2018.xlsx]Cash Flow - Standardized!R32C17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2" s="4"/>
      </tp>
      <tp>
        <v>-553</v>
        <stp/>
        <stp>##V3_BDHV12</stp>
        <stp>AMZN US Equity</stp>
        <stp>BS_PURE_RETAINED_EARNINGS</stp>
        <stp>FQ1 2009</stp>
        <stp>FQ1 2009</stp>
        <stp>[AMZ_2009-2018.xlsx]Bal Sheet - Standardized!R69C3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9" s="3"/>
      </tp>
      <tp>
        <v>1063</v>
        <stp/>
        <stp>##V3_BDHV12</stp>
        <stp>AMZN US Equity</stp>
        <stp>BS_CURR_PORTION_LT_DEBT</stp>
        <stp>FQ2 2017</stp>
        <stp>FQ2 2017</stp>
        <stp>[AMZ_2009-2018.xlsx]Bal Sheet - Standardized!R46C36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6" s="3"/>
      </tp>
      <tp>
        <v>1377</v>
        <stp/>
        <stp>##V3_BDHV12</stp>
        <stp>AMZN US Equity</stp>
        <stp>BS_CURR_PORTION_LT_DEBT</stp>
        <stp>FQ1 2015</stp>
        <stp>FQ1 2015</stp>
        <stp>[AMZ_2009-2018.xlsx]Bal Sheet - Standardized!R46C27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6" s="3"/>
      </tp>
      <tp>
        <v>48</v>
        <stp/>
        <stp>##V3_BDHV12</stp>
        <stp>AMZN US Equity</stp>
        <stp>BS_CURR_PORTION_LT_DEBT</stp>
        <stp>FQ3 2016</stp>
        <stp>FQ3 2016</stp>
        <stp>[AMZ_2009-2018.xlsx]Bal Sheet - Standardized!R46C33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6" s="3"/>
      </tp>
      <tp>
        <v>612</v>
        <stp/>
        <stp>##V3_BDHV12</stp>
        <stp>AMZN US Equity</stp>
        <stp>CF_DISPOSAL_OF_FIXED_PROD_ASSETS</stp>
        <stp>FQ2 2017</stp>
        <stp>FQ2 2017</stp>
        <stp>[AMZ_2009-2018.xlsx]Cash Flow - Standardized!R24C36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4" s="4"/>
      </tp>
      <tp>
        <v>0</v>
        <stp/>
        <stp>##V3_BDHV12</stp>
        <stp>AMZN US Equity</stp>
        <stp>CF_DISPOSAL_OF_FIXED_PROD_ASSETS</stp>
        <stp>FQ1 2015</stp>
        <stp>FQ1 2015</stp>
        <stp>[AMZ_2009-2018.xlsx]Cash Flow - Standardized!R24C27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4" s="4"/>
      </tp>
      <tp>
        <v>0.17</v>
        <stp/>
        <stp>##V3_BDHV12</stp>
        <stp>AMZN US Equity</stp>
        <stp>IS_EARN_BEF_XO_ITEMS_PER_SH</stp>
        <stp>FQ3 2015</stp>
        <stp>FQ3 2015</stp>
        <stp>[AMZ_2009-2018.xlsx]Income - Adjusted!R51C29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51" s="2"/>
      </tp>
      <tp>
        <v>0</v>
        <stp/>
        <stp>##V3_BDHV12</stp>
        <stp>AMZN US Equity</stp>
        <stp>CF_DISPOSAL_OF_FIXED_PROD_ASSETS</stp>
        <stp>FQ3 2016</stp>
        <stp>FQ3 2016</stp>
        <stp>[AMZ_2009-2018.xlsx]Cash Flow - Standardized!R24C33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4" s="4"/>
      </tp>
      <tp>
        <v>0</v>
        <stp/>
        <stp>##V3_BDHV12</stp>
        <stp>AMZN US Equity</stp>
        <stp>OTHER_CURRENT_LIABS_SUB_DETAILED</stp>
        <stp>FQ1 2010</stp>
        <stp>FQ1 2010</stp>
        <stp>[AMZ_2009-2018.xlsx]Bal Sheet - Standardized!R47C7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7" s="3"/>
      </tp>
      <tp>
        <v>3.36</v>
        <stp/>
        <stp>##V3_BDHV12</stp>
        <stp>AMZN US Equity</stp>
        <stp>IS_EARN_BEF_XO_ITEMS_PER_SH</stp>
        <stp>FQ1 2018</stp>
        <stp>FQ1 2018</stp>
        <stp>[AMZ_2009-2018.xlsx]Income - Adjusted!R51C39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51" s="2"/>
      </tp>
      <tp>
        <v>0.18</v>
        <stp/>
        <stp>##V3_BDHV12</stp>
        <stp>AMZN US Equity</stp>
        <stp>IS_EARN_BEF_XO_ITEMS_PER_SH</stp>
        <stp>FQ1 2013</stp>
        <stp>FQ1 2013</stp>
        <stp>[AMZ_2009-2018.xlsx]Income - Adjusted!R51C19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51" s="2"/>
      </tp>
      <tp>
        <v>0</v>
        <stp/>
        <stp>##V3_BDHV12</stp>
        <stp>AMZN US Equity</stp>
        <stp>IS_TOT_CASH_PFD_DVD</stp>
        <stp>FQ4 2010</stp>
        <stp>FQ4 2010</stp>
        <stp>[AMZ_2009-2018.xlsx]Income - Adjusted!R41C10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1" s="2"/>
      </tp>
      <tp>
        <v>0</v>
        <stp/>
        <stp>##V3_BDHV12</stp>
        <stp>AMZN US Equity</stp>
        <stp>IS_TOT_CASH_PFD_DVD</stp>
        <stp>FQ2 2013</stp>
        <stp>FQ2 2013</stp>
        <stp>[AMZ_2009-2018.xlsx]Income - Adjusted!R41C20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1" s="2"/>
      </tp>
      <tp>
        <v>0</v>
        <stp/>
        <stp>##V3_BDHV12</stp>
        <stp>AMZN US Equity</stp>
        <stp>IS_TOT_CASH_PFD_DVD</stp>
        <stp>FQ3 2013</stp>
        <stp>FQ3 2013</stp>
        <stp>[AMZ_2009-2018.xlsx]Income - Adjusted!R41C21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1" s="2"/>
      </tp>
      <tp>
        <v>161.78</v>
        <stp/>
        <stp>##V3_BDHV12</stp>
        <stp>AMZN US Equity</stp>
        <stp>PX_HIGH</stp>
        <stp>FQ3 2010</stp>
        <stp>FQ3 2010</stp>
        <stp>[AMZ_2009-2018.xlsx]Stock Value!R9C9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9" s="6"/>
      </tp>
      <tp>
        <v>468</v>
        <stp/>
        <stp>##V3_BDHV12</stp>
        <stp>AMZN US Equity</stp>
        <stp>BS_SH_OUT</stp>
        <stp>FQ2 2015</stp>
        <stp>FQ2 2015</stp>
        <stp>[AMZ_2009-2018.xlsx]Per Share!R6C28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6" s="5"/>
      </tp>
      <tp>
        <v>0</v>
        <stp/>
        <stp>##V3_BDHV12</stp>
        <stp>AMZN US Equity</stp>
        <stp>IS_TOT_CASH_PFD_DVD</stp>
        <stp>FQ4 2013</stp>
        <stp>FQ4 2013</stp>
        <stp>[AMZ_2009-2018.xlsx]Income - Adjusted!R41C22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1" s="2"/>
      </tp>
      <tp>
        <v>4</v>
        <stp/>
        <stp>##V3_BDHV12</stp>
        <stp>AMZN US Equity</stp>
        <stp>CF_CASH_PAID_FOR_TAX</stp>
        <stp>FQ4 2009</stp>
        <stp>FQ4 2009</stp>
        <stp>[AMZ_2009-2018.xlsx]Cash Flow - Standardized!R57C6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7" s="4"/>
      </tp>
      <tp>
        <v>210</v>
        <stp/>
        <stp>##V3_BDHV12</stp>
        <stp>AMZN US Equity</stp>
        <stp>EBITA</stp>
        <stp>FQ2 2009</stp>
        <stp>FQ2 2009</stp>
        <stp>[AMZ_2009-2018.xlsx]Income - Adjusted!R63C4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63" s="2"/>
      </tp>
      <tp>
        <v>1.5467</v>
        <stp/>
        <stp>##V3_BDHV12</stp>
        <stp>AMZN US Equity</stp>
        <stp>IS_DIL_EPS_CONT_OPS</stp>
        <stp>FQ4 2016</stp>
        <stp>FQ4 2016</stp>
        <stp>[AMZ_2009-2018.xlsx]Per Share!R19C34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19" s="5"/>
      </tp>
      <tp>
        <v>0.38</v>
        <stp/>
        <stp>##V3_BDHV12</stp>
        <stp>AMZN US Equity</stp>
        <stp>IS_DIL_EPS_CONT_OPS</stp>
        <stp>FQ4 2011</stp>
        <stp>FQ4 2011</stp>
        <stp>[AMZ_2009-2018.xlsx]Per Share!R19C14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19" s="5"/>
      </tp>
      <tp>
        <v>0</v>
        <stp/>
        <stp>##V3_BDHV12</stp>
        <stp>AMZN US Equity</stp>
        <stp>IS_NET_ABNORMAL_ITEMS</stp>
        <stp>FQ2 2010</stp>
        <stp>FQ2 2010</stp>
        <stp>[AMZ_2009-2018.xlsx]Income - Adjusted!R46C8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6" s="2"/>
      </tp>
      <tp t="s">
        <v>—</v>
        <stp/>
        <stp>##V3_BDHV12</stp>
        <stp>AMZN US Equity</stp>
        <stp>BS_INTEREST_&amp;_DIVIDENDS_PAYABLE</stp>
        <stp>FQ1 2018</stp>
        <stp>FQ1 2018</stp>
        <stp>[AMZ_2009-2018.xlsx]Bal Sheet - Standardized!R41C39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1" s="3"/>
      </tp>
      <tp>
        <v>-0.27</v>
        <stp/>
        <stp>##V3_BDHV12</stp>
        <stp>AMZN US Equity</stp>
        <stp>IS_DIL_EPS_CONT_OPS</stp>
        <stp>FQ2 2014</stp>
        <stp>FQ2 2014</stp>
        <stp>[AMZ_2009-2018.xlsx]Per Share!R19C24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19" s="5"/>
      </tp>
      <tp>
        <v>-1472</v>
        <stp/>
        <stp>##V3_BDHV12</stp>
        <stp>AMZN US Equity</stp>
        <stp>OTHER_INVESTING_ACT_DETAILED</stp>
        <stp>FQ4 2009</stp>
        <stp>FQ4 2009</stp>
        <stp>[AMZ_2009-2018.xlsx]Cash Flow - Standardized!R36C6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6" s="4"/>
      </tp>
      <tp>
        <v>7</v>
        <stp/>
        <stp>##V3_BDHV12</stp>
        <stp>AMZN US Equity</stp>
        <stp>CF_NET_INC</stp>
        <stp>FQ2 2012</stp>
        <stp>FQ2 2012</stp>
        <stp>[AMZ_2009-2018.xlsx]Cash Flow - Standardized!R7C16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" s="4"/>
      </tp>
      <tp>
        <v>108</v>
        <stp/>
        <stp>##V3_BDHV12</stp>
        <stp>AMZN US Equity</stp>
        <stp>CF_NET_INC</stp>
        <stp>FQ1 2014</stp>
        <stp>FQ1 2014</stp>
        <stp>[AMZ_2009-2018.xlsx]Cash Flow - Standardized!R7C23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" s="4"/>
      </tp>
      <tp>
        <v>-57</v>
        <stp/>
        <stp>##V3_BDHV12</stp>
        <stp>AMZN US Equity</stp>
        <stp>CF_NET_INC</stp>
        <stp>FQ1 2015</stp>
        <stp>FQ1 2015</stp>
        <stp>[AMZ_2009-2018.xlsx]Cash Flow - Standardized!R7C27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" s="4"/>
      </tp>
      <tp>
        <v>191</v>
        <stp/>
        <stp>##V3_BDHV12</stp>
        <stp>AMZN US Equity</stp>
        <stp>CF_NET_INC</stp>
        <stp>FQ2 2011</stp>
        <stp>FQ2 2011</stp>
        <stp>[AMZ_2009-2018.xlsx]Cash Flow - Standardized!R7C12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" s="4"/>
      </tp>
      <tp>
        <v>68</v>
        <stp/>
        <stp>##V3_BDHV12</stp>
        <stp>AMZN US Equity</stp>
        <stp>IS_GENERAL_AND_ADMINISTRATIVE</stp>
        <stp>FQ1 2009</stp>
        <stp>FQ1 2009</stp>
        <stp>[AMZ_2009-2018.xlsx]Income - Adjusted!R15C3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5" s="2"/>
      </tp>
      <tp>
        <v>-2140</v>
        <stp/>
        <stp>##V3_BDHV12</stp>
        <stp>AMZN US Equity</stp>
        <stp>CF_CHNG_NON_CASH_WORK_CAP</stp>
        <stp>FQ1 2011</stp>
        <stp>FQ1 2011</stp>
        <stp>[AMZ_2009-2018.xlsx]Cash Flow - Standardized!R13C11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3" s="4"/>
      </tp>
      <tp>
        <v>3851</v>
        <stp/>
        <stp>##V3_BDHV12</stp>
        <stp>AMZN US Equity</stp>
        <stp>CF_CASH_FROM_OPER</stp>
        <stp>FQ3 2017</stp>
        <stp>FQ3 2017</stp>
        <stp>[AMZ_2009-2018.xlsx]Cash Flow - Standardized!R19C37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9" s="4"/>
      </tp>
      <tp>
        <v>7284</v>
        <stp/>
        <stp>##V3_BDHV12</stp>
        <stp>AMZN US Equity</stp>
        <stp>CF_CHNG_NON_CASH_WORK_CAP</stp>
        <stp>FQ4 2016</stp>
        <stp>FQ4 2016</stp>
        <stp>[AMZ_2009-2018.xlsx]Cash Flow - Standardized!R13C34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3" s="4"/>
      </tp>
      <tp>
        <v>-2</v>
        <stp/>
        <stp>##V3_BDHV12</stp>
        <stp>AMZN US Equity</stp>
        <stp>CF_CHNG_NON_CASH_WORK_CAP</stp>
        <stp>FQ2 2012</stp>
        <stp>FQ2 2012</stp>
        <stp>[AMZ_2009-2018.xlsx]Cash Flow - Standardized!R13C16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3" s="4"/>
      </tp>
      <tp>
        <v>3578</v>
        <stp/>
        <stp>##V3_BDHV12</stp>
        <stp>AMZN US Equity</stp>
        <stp>CF_CASH_FROM_OPER</stp>
        <stp>FQ2 2016</stp>
        <stp>FQ2 2016</stp>
        <stp>[AMZ_2009-2018.xlsx]Cash Flow - Standardized!R19C32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9" s="4"/>
      </tp>
      <tp>
        <v>-2502</v>
        <stp/>
        <stp>##V3_BDHV12</stp>
        <stp>AMZN US Equity</stp>
        <stp>CF_CASH_FROM_OPER</stp>
        <stp>FQ1 2014</stp>
        <stp>FQ1 2014</stp>
        <stp>[AMZ_2009-2018.xlsx]Cash Flow - Standardized!R19C23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9" s="4"/>
      </tp>
      <tp>
        <v>5081</v>
        <stp/>
        <stp>##V3_BDHV12</stp>
        <stp>AMZN US Equity</stp>
        <stp>CF_CASH_FROM_OPER</stp>
        <stp>FQ4 2012</stp>
        <stp>FQ4 2012</stp>
        <stp>[AMZ_2009-2018.xlsx]Cash Flow - Standardized!R19C18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9" s="4"/>
      </tp>
      <tp>
        <v>-22</v>
        <stp/>
        <stp>##V3_BDHV12</stp>
        <stp>AMZN US Equity</stp>
        <stp>IS_OTHER_NON_OPERATING_INC_LOSS</stp>
        <stp>FQ3 2010</stp>
        <stp>FQ3 2010</stp>
        <stp>[AMZ_2009-2018.xlsx]Income - Adjusted!R24C9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4" s="2"/>
      </tp>
      <tp>
        <v>201</v>
        <stp/>
        <stp>##V3_BDHV12</stp>
        <stp>AMZN US Equity</stp>
        <stp>NI_INCLUDING_MINORITY_INT_RATIO</stp>
        <stp>FQ1 2011</stp>
        <stp>FQ1 2011</stp>
        <stp>[AMZ_2009-2018.xlsx]Income - Adjusted!R38C11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38" s="2"/>
      </tp>
      <tp>
        <v>513</v>
        <stp/>
        <stp>##V3_BDHV12</stp>
        <stp>AMZN US Equity</stp>
        <stp>NI_INCLUDING_MINORITY_INT_RATIO</stp>
        <stp>FQ1 2016</stp>
        <stp>FQ1 2016</stp>
        <stp>[AMZ_2009-2018.xlsx]Income - Adjusted!R38C31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38" s="2"/>
      </tp>
      <tp>
        <v>79</v>
        <stp/>
        <stp>##V3_BDHV12</stp>
        <stp>AMZN US Equity</stp>
        <stp>IS_OPER_INC</stp>
        <stp>FQ2 2013</stp>
        <stp>FQ2 2013</stp>
        <stp>[AMZ_2009-2018.xlsx]Income - Adjusted!R18C20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8" s="2"/>
      </tp>
      <tp>
        <v>2983</v>
        <stp/>
        <stp>##V3_BDHV12</stp>
        <stp>AMZN US Equity</stp>
        <stp>IS_OPER_INC</stp>
        <stp>FQ2 2018</stp>
        <stp>FQ2 2018</stp>
        <stp>[AMZ_2009-2018.xlsx]Income - Adjusted!R18C40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8" s="2"/>
      </tp>
      <tp>
        <v>-41</v>
        <stp/>
        <stp>##V3_BDHV12</stp>
        <stp>AMZN US Equity</stp>
        <stp>NI_INCLUDING_MINORITY_INT_RATIO</stp>
        <stp>FQ3 2013</stp>
        <stp>FQ3 2013</stp>
        <stp>[AMZ_2009-2018.xlsx]Income - Adjusted!R38C21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38" s="2"/>
      </tp>
      <tp>
        <v>474</v>
        <stp/>
        <stp>##V3_BDHV12</stp>
        <stp>AMZN US Equity</stp>
        <stp>IS_OPER_INC</stp>
        <stp>FQ4 2010</stp>
        <stp>FQ4 2010</stp>
        <stp>[AMZ_2009-2018.xlsx]Income - Adjusted!R18C10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8" s="2"/>
      </tp>
      <tp>
        <v>1108</v>
        <stp/>
        <stp>##V3_BDHV12</stp>
        <stp>AMZN US Equity</stp>
        <stp>IS_OPER_INC</stp>
        <stp>FQ4 2015</stp>
        <stp>FQ4 2015</stp>
        <stp>[AMZ_2009-2018.xlsx]Income - Adjusted!R18C30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8" s="2"/>
      </tp>
      <tp>
        <v>0</v>
        <stp/>
        <stp>##V3_BDHV12</stp>
        <stp>AMZN US Equity</stp>
        <stp>OTHER_ADJUSTMENTS</stp>
        <stp>FQ1 2018</stp>
        <stp>FQ1 2018</stp>
        <stp>[AMZ_2009-2018.xlsx]Income - Adjusted!R42C39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2" s="2"/>
      </tp>
      <tp>
        <v>16.7882</v>
        <stp/>
        <stp>##V3_BDHV12</stp>
        <stp>AMZN US Equity</stp>
        <stp>CASH_ST_INVESTMENTS_PER_SH</stp>
        <stp>FQ3 2013</stp>
        <stp>FQ3 2013</stp>
        <stp>[AMZ_2009-2018.xlsx]Per Share!R25C21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25" s="5"/>
      </tp>
      <tp>
        <v>0</v>
        <stp/>
        <stp>##V3_BDHV12</stp>
        <stp>AMZN US Equity</stp>
        <stp>CF_OTHER_FINANCING_ACT_EXCL_FX</stp>
        <stp>FQ4 2016</stp>
        <stp>FQ4 2016</stp>
        <stp>[AMZ_2009-2018.xlsx]Cash Flow - Standardized!R49C34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9" s="4"/>
      </tp>
      <tp>
        <v>232</v>
        <stp/>
        <stp>##V3_BDHV12</stp>
        <stp>AMZN US Equity</stp>
        <stp>IS_SG&amp;A_EXPENSE</stp>
        <stp>FQ3 2009</stp>
        <stp>FQ3 2009</stp>
        <stp>[AMZ_2009-2018.xlsx]Income - Adjusted!R13C5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3" s="2"/>
      </tp>
      <tp>
        <v>15.2235</v>
        <stp/>
        <stp>##V3_BDHV12</stp>
        <stp>AMZN US Equity</stp>
        <stp>CASH_ST_INVESTMENTS_PER_SH</stp>
        <stp>FQ1 2011</stp>
        <stp>FQ1 2011</stp>
        <stp>[AMZ_2009-2018.xlsx]Per Share!R25C11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25" s="5"/>
      </tp>
      <tp>
        <v>33.599600000000002</v>
        <stp/>
        <stp>##V3_BDHV12</stp>
        <stp>AMZN US Equity</stp>
        <stp>CASH_ST_INVESTMENTS_PER_SH</stp>
        <stp>FQ1 2016</stp>
        <stp>FQ1 2016</stp>
        <stp>[AMZ_2009-2018.xlsx]Per Share!R25C31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25" s="5"/>
      </tp>
      <tp t="s">
        <v>—</v>
        <stp/>
        <stp>##V3_BDHV12</stp>
        <stp>AMZN US Equity</stp>
        <stp>BS_INTEREST_&amp;_DIVIDENDS_PAYABLE</stp>
        <stp>FQ3 2010</stp>
        <stp>FQ3 2010</stp>
        <stp>[AMZ_2009-2018.xlsx]Bal Sheet - Standardized!R41C9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1" s="3"/>
      </tp>
      <tp>
        <v>0</v>
        <stp/>
        <stp>##V3_BDHV12</stp>
        <stp>AMZN US Equity</stp>
        <stp>CF_INCR_INVEST</stp>
        <stp>FQ3 2016</stp>
        <stp>FQ3 2016</stp>
        <stp>[AMZ_2009-2018.xlsx]Cash Flow - Standardized!R31C33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1" s="4"/>
      </tp>
      <tp>
        <v>0</v>
        <stp/>
        <stp>##V3_BDHV12</stp>
        <stp>AMZN US Equity</stp>
        <stp>CF_OTHER_FINANCING_ACT_EXCL_FX</stp>
        <stp>FQ1 2011</stp>
        <stp>FQ1 2011</stp>
        <stp>[AMZ_2009-2018.xlsx]Cash Flow - Standardized!R49C11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9" s="4"/>
      </tp>
      <tp>
        <v>0</v>
        <stp/>
        <stp>##V3_BDHV12</stp>
        <stp>AMZN US Equity</stp>
        <stp>CF_INCR_INVEST</stp>
        <stp>FQ1 2015</stp>
        <stp>FQ1 2015</stp>
        <stp>[AMZ_2009-2018.xlsx]Cash Flow - Standardized!R31C27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1" s="4"/>
      </tp>
      <tp t="s">
        <v>—</v>
        <stp/>
        <stp>##V3_BDHV12</stp>
        <stp>AMZN US Equity</stp>
        <stp>BS_INTEREST_&amp;_DIVIDENDS_PAYABLE</stp>
        <stp>FQ2 2009</stp>
        <stp>FQ2 2009</stp>
        <stp>[AMZ_2009-2018.xlsx]Bal Sheet - Standardized!R41C4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1" s="3"/>
      </tp>
      <tp>
        <v>0</v>
        <stp/>
        <stp>##V3_BDHV12</stp>
        <stp>AMZN US Equity</stp>
        <stp>CF_INCR_INVEST</stp>
        <stp>FQ2 2017</stp>
        <stp>FQ2 2017</stp>
        <stp>[AMZ_2009-2018.xlsx]Cash Flow - Standardized!R31C36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1" s="4"/>
      </tp>
      <tp>
        <v>0</v>
        <stp/>
        <stp>##V3_BDHV12</stp>
        <stp>AMZN US Equity</stp>
        <stp>CF_OTHER_FINANCING_ACT_EXCL_FX</stp>
        <stp>FQ2 2012</stp>
        <stp>FQ2 2012</stp>
        <stp>[AMZ_2009-2018.xlsx]Cash Flow - Standardized!R49C16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9" s="4"/>
      </tp>
      <tp>
        <v>0</v>
        <stp/>
        <stp>##V3_BDHV12</stp>
        <stp>AMZN US Equity</stp>
        <stp>CF_DECR_INVEST</stp>
        <stp>FQ1 2015</stp>
        <stp>FQ1 2015</stp>
        <stp>[AMZ_2009-2018.xlsx]Cash Flow - Standardized!R30C27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0" s="4"/>
      </tp>
      <tp>
        <v>-38</v>
        <stp/>
        <stp>##V3_BDHV12</stp>
        <stp>AMZN US Equity</stp>
        <stp>CF_DEF_INC_TAX</stp>
        <stp>FQ1 2012</stp>
        <stp>FQ1 2012</stp>
        <stp>[AMZ_2009-2018.xlsx]Cash Flow - Standardized!R11C15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1" s="4"/>
      </tp>
      <tp>
        <v>0</v>
        <stp/>
        <stp>##V3_BDHV12</stp>
        <stp>AMZN US Equity</stp>
        <stp>CF_DECR_INVEST</stp>
        <stp>FQ2 2017</stp>
        <stp>FQ2 2017</stp>
        <stp>[AMZ_2009-2018.xlsx]Cash Flow - Standardized!R30C36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0" s="4"/>
      </tp>
      <tp>
        <v>190</v>
        <stp/>
        <stp>##V3_BDHV12</stp>
        <stp>AMZN US Equity</stp>
        <stp>CF_DEF_INC_TAX</stp>
        <stp>FQ4 2015</stp>
        <stp>FQ4 2015</stp>
        <stp>[AMZ_2009-2018.xlsx]Cash Flow - Standardized!R11C30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1" s="4"/>
      </tp>
      <tp>
        <v>11</v>
        <stp/>
        <stp>##V3_BDHV12</stp>
        <stp>AMZN US Equity</stp>
        <stp>CF_DEF_INC_TAX</stp>
        <stp>FQ3 2013</stp>
        <stp>FQ3 2013</stp>
        <stp>[AMZ_2009-2018.xlsx]Cash Flow - Standardized!R11C21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1" s="4"/>
      </tp>
      <tp>
        <v>185</v>
        <stp/>
        <stp>##V3_BDHV12</stp>
        <stp>AMZN US Equity</stp>
        <stp>CF_DEF_INC_TAX</stp>
        <stp>FQ4 2014</stp>
        <stp>FQ4 2014</stp>
        <stp>[AMZ_2009-2018.xlsx]Cash Flow - Standardized!R11C26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1" s="4"/>
      </tp>
      <tp>
        <v>20</v>
        <stp/>
        <stp>##V3_BDHV12</stp>
        <stp>AMZN US Equity</stp>
        <stp>CF_DEF_INC_TAX</stp>
        <stp>FQ2 2011</stp>
        <stp>FQ2 2011</stp>
        <stp>[AMZ_2009-2018.xlsx]Cash Flow - Standardized!R11C12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1" s="4"/>
      </tp>
      <tp>
        <v>0</v>
        <stp/>
        <stp>##V3_BDHV12</stp>
        <stp>AMZN US Equity</stp>
        <stp>CF_DECR_INVEST</stp>
        <stp>FQ3 2016</stp>
        <stp>FQ3 2016</stp>
        <stp>[AMZ_2009-2018.xlsx]Cash Flow - Standardized!R30C33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0" s="4"/>
      </tp>
      <tp>
        <v>11.5945</v>
        <stp/>
        <stp>##V3_BDHV12</stp>
        <stp>AMZN US Equity</stp>
        <stp>CHG_PCT_PERIOD</stp>
        <stp>FQ3 2009</stp>
        <stp>FQ3 2009</stp>
        <stp>[AMZ_2009-2018.xlsx]Stock Value!R7C5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7" s="6"/>
      </tp>
      <tp>
        <v>-2.782</v>
        <stp/>
        <stp>##V3_BDHV12</stp>
        <stp>AMZN US Equity</stp>
        <stp>FREE_CASH_FLOW_PER_SH</stp>
        <stp>FQ1 2010</stp>
        <stp>FQ1 2010</stp>
        <stp>[AMZ_2009-2018.xlsx]Cash Flow - Standardized!R68C7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68" s="4"/>
      </tp>
      <tp>
        <v>0</v>
        <stp/>
        <stp>##V3_BDHV12</stp>
        <stp>AMZN US Equity</stp>
        <stp>BS_PENSION_RSRV</stp>
        <stp>FQ3 2017</stp>
        <stp>FQ3 2017</stp>
        <stp>[AMZ_2009-2018.xlsx]Bal Sheet - Standardized!R80C37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80" s="3"/>
      </tp>
      <tp>
        <v>-588</v>
        <stp/>
        <stp>##V3_BDHV12</stp>
        <stp>AMZN US Equity</stp>
        <stp>CF_ACCT_RCV_UNBILLED_REV</stp>
        <stp>FQ3 2015</stp>
        <stp>FQ3 2015</stp>
        <stp>[AMZ_2009-2018.xlsx]Cash Flow - Standardized!R14C29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4" s="4"/>
      </tp>
      <tp>
        <v>471</v>
        <stp/>
        <stp>##V3_BDHV12</stp>
        <stp>AMZN US Equity</stp>
        <stp>BS_PURE_RETAINED_EARNINGS</stp>
        <stp>FQ1 2010</stp>
        <stp>FQ1 2010</stp>
        <stp>[AMZ_2009-2018.xlsx]Bal Sheet - Standardized!R69C7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9" s="3"/>
      </tp>
      <tp>
        <v>0</v>
        <stp/>
        <stp>##V3_BDHV12</stp>
        <stp>AMZN US Equity</stp>
        <stp>BS_PENSION_RSRV</stp>
        <stp>FQ2 2016</stp>
        <stp>FQ2 2016</stp>
        <stp>[AMZ_2009-2018.xlsx]Bal Sheet - Standardized!R80C32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80" s="3"/>
      </tp>
      <tp>
        <v>0</v>
        <stp/>
        <stp>##V3_BDHV12</stp>
        <stp>AMZN US Equity</stp>
        <stp>BS_PENSION_RSRV</stp>
        <stp>FQ1 2014</stp>
        <stp>FQ1 2014</stp>
        <stp>[AMZ_2009-2018.xlsx]Bal Sheet - Standardized!R80C23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80" s="3"/>
      </tp>
      <tp>
        <v>-1077</v>
        <stp/>
        <stp>##V3_BDHV12</stp>
        <stp>AMZN US Equity</stp>
        <stp>CF_ACCT_RCV_UNBILLED_REV</stp>
        <stp>FQ4 2011</stp>
        <stp>FQ4 2011</stp>
        <stp>[AMZ_2009-2018.xlsx]Cash Flow - Standardized!R14C14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4" s="4"/>
      </tp>
      <tp>
        <v>-3</v>
        <stp/>
        <stp>##V3_BDHV12</stp>
        <stp>AMZN US Equity</stp>
        <stp>CF_NT_CSH_RCVD_PD_FOR_ACQUIS_DIV</stp>
        <stp>FQ4 2016</stp>
        <stp>FQ4 2016</stp>
        <stp>[AMZ_2009-2018.xlsx]Cash Flow - Standardized!R32C34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2" s="4"/>
      </tp>
      <tp>
        <v>412</v>
        <stp/>
        <stp>##V3_BDHV12</stp>
        <stp>AMZN US Equity</stp>
        <stp>CF_ACCT_RCV_UNBILLED_REV</stp>
        <stp>FQ1 2016</stp>
        <stp>FQ1 2016</stp>
        <stp>[AMZ_2009-2018.xlsx]Cash Flow - Standardized!R14C31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4" s="4"/>
      </tp>
      <tp>
        <v>0</v>
        <stp/>
        <stp>##V3_BDHV12</stp>
        <stp>AMZN US Equity</stp>
        <stp>BS_PENSION_RSRV</stp>
        <stp>FQ4 2012</stp>
        <stp>FQ4 2012</stp>
        <stp>[AMZ_2009-2018.xlsx]Bal Sheet - Standardized!R80C18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80" s="3"/>
      </tp>
      <tp>
        <v>-139</v>
        <stp/>
        <stp>##V3_BDHV12</stp>
        <stp>AMZN US Equity</stp>
        <stp>CF_NT_CSH_RCVD_PD_FOR_ACQUIS_DIV</stp>
        <stp>FQ1 2011</stp>
        <stp>FQ1 2011</stp>
        <stp>[AMZ_2009-2018.xlsx]Cash Flow - Standardized!R32C11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2" s="4"/>
      </tp>
      <tp>
        <v>-299</v>
        <stp/>
        <stp>##V3_BDHV12</stp>
        <stp>AMZN US Equity</stp>
        <stp>CF_ACCT_RCV_UNBILLED_REV</stp>
        <stp>FQ2 2014</stp>
        <stp>FQ2 2014</stp>
        <stp>[AMZ_2009-2018.xlsx]Cash Flow - Standardized!R14C24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4" s="4"/>
      </tp>
      <tp>
        <v>-624</v>
        <stp/>
        <stp>##V3_BDHV12</stp>
        <stp>AMZN US Equity</stp>
        <stp>CF_NT_CSH_RCVD_PD_FOR_ACQUIS_DIV</stp>
        <stp>FQ2 2012</stp>
        <stp>FQ2 2012</stp>
        <stp>[AMZ_2009-2018.xlsx]Cash Flow - Standardized!R32C16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2" s="4"/>
      </tp>
      <tp>
        <v>1037</v>
        <stp/>
        <stp>##V3_BDHV12</stp>
        <stp>AMZN US Equity</stp>
        <stp>BS_CURR_PORTION_LT_DEBT</stp>
        <stp>FQ3 2017</stp>
        <stp>FQ3 2017</stp>
        <stp>[AMZ_2009-2018.xlsx]Bal Sheet - Standardized!R46C37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6" s="3"/>
      </tp>
      <tp>
        <v>0</v>
        <stp/>
        <stp>##V3_BDHV12</stp>
        <stp>AMZN US Equity</stp>
        <stp>OTHER_CURRENT_LIABS_SUB_DETAILED</stp>
        <stp>FQ1 2009</stp>
        <stp>FQ1 2009</stp>
        <stp>[AMZ_2009-2018.xlsx]Bal Sheet - Standardized!R47C3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7" s="3"/>
      </tp>
      <tp>
        <v>0</v>
        <stp/>
        <stp>##V3_BDHV12</stp>
        <stp>AMZN US Equity</stp>
        <stp>CF_DISPOSAL_OF_FIXED_PROD_ASSETS</stp>
        <stp>FQ4 2012</stp>
        <stp>FQ4 2012</stp>
        <stp>[AMZ_2009-2018.xlsx]Cash Flow - Standardized!R24C18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4" s="4"/>
      </tp>
      <tp t="s">
        <v>—</v>
        <stp/>
        <stp>##V3_BDHV12</stp>
        <stp>AMZN US Equity</stp>
        <stp>CF_TAX_BENEFIT_FRM_STOCK_OPTIONS</stp>
        <stp>FQ2 2018</stp>
        <stp>FQ2 2018</stp>
        <stp>[AMZ_2009-2018.xlsx]Cash Flow - Standardized!R64C40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4" s="4"/>
      </tp>
      <tp>
        <v>41</v>
        <stp/>
        <stp>##V3_BDHV12</stp>
        <stp>AMZN US Equity</stp>
        <stp>BS_CURR_PORTION_LT_DEBT</stp>
        <stp>FQ2 2016</stp>
        <stp>FQ2 2016</stp>
        <stp>[AMZ_2009-2018.xlsx]Bal Sheet - Standardized!R46C32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6" s="3"/>
      </tp>
      <tp>
        <v>4539.2564000000002</v>
        <stp/>
        <stp>##V3_BDHV12</stp>
        <stp>AMZN US Equity</stp>
        <stp>CF_FREE_CASH_FLOW_FIRM</stp>
        <stp>FQ2 2018</stp>
        <stp>FQ2 2018</stp>
        <stp>[AMZ_2009-2018.xlsx]Cash Flow - Standardized!R66C40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66" s="4"/>
      </tp>
      <tp>
        <v>784</v>
        <stp/>
        <stp>##V3_BDHV12</stp>
        <stp>AMZN US Equity</stp>
        <stp>BS_CURR_PORTION_LT_DEBT</stp>
        <stp>FQ1 2014</stp>
        <stp>FQ1 2014</stp>
        <stp>[AMZ_2009-2018.xlsx]Bal Sheet - Standardized!R46C23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6" s="3"/>
      </tp>
      <tp>
        <v>0</v>
        <stp/>
        <stp>##V3_BDHV12</stp>
        <stp>AMZN US Equity</stp>
        <stp>CF_DISPOSAL_OF_FIXED_PROD_ASSETS</stp>
        <stp>FQ3 2017</stp>
        <stp>FQ3 2017</stp>
        <stp>[AMZ_2009-2018.xlsx]Cash Flow - Standardized!R24C37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4" s="4"/>
      </tp>
      <tp>
        <v>579</v>
        <stp/>
        <stp>##V3_BDHV12</stp>
        <stp>AMZN US Equity</stp>
        <stp>BS_CURR_PORTION_LT_DEBT</stp>
        <stp>FQ4 2012</stp>
        <stp>FQ4 2012</stp>
        <stp>[AMZ_2009-2018.xlsx]Bal Sheet - Standardized!R46C18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6" s="3"/>
      </tp>
      <tp>
        <v>0.21</v>
        <stp/>
        <stp>##V3_BDHV12</stp>
        <stp>AMZN US Equity</stp>
        <stp>IS_EARN_BEF_XO_ITEMS_PER_SH</stp>
        <stp>FQ4 2012</stp>
        <stp>FQ4 2012</stp>
        <stp>[AMZ_2009-2018.xlsx]Income - Adjusted!R51C18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51" s="2"/>
      </tp>
      <tp>
        <v>3.85</v>
        <stp/>
        <stp>##V3_BDHV12</stp>
        <stp>AMZN US Equity</stp>
        <stp>IS_EARN_BEF_XO_ITEMS_PER_SH</stp>
        <stp>FQ4 2017</stp>
        <stp>FQ4 2017</stp>
        <stp>[AMZ_2009-2018.xlsx]Income - Adjusted!R51C38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51" s="2"/>
      </tp>
      <tp>
        <v>0</v>
        <stp/>
        <stp>##V3_BDHV12</stp>
        <stp>AMZN US Equity</stp>
        <stp>CF_DISPOSAL_OF_FIXED_PROD_ASSETS</stp>
        <stp>FQ2 2016</stp>
        <stp>FQ2 2016</stp>
        <stp>[AMZ_2009-2018.xlsx]Cash Flow - Standardized!R24C32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4" s="4"/>
      </tp>
      <tp>
        <v>0.2</v>
        <stp/>
        <stp>##V3_BDHV12</stp>
        <stp>AMZN US Equity</stp>
        <stp>IS_EARN_BEF_XO_ITEMS_PER_SH</stp>
        <stp>FQ2 2015</stp>
        <stp>FQ2 2015</stp>
        <stp>[AMZ_2009-2018.xlsx]Income - Adjusted!R51C28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51" s="2"/>
      </tp>
      <tp>
        <v>0</v>
        <stp/>
        <stp>##V3_BDHV12</stp>
        <stp>AMZN US Equity</stp>
        <stp>CF_DISPOSAL_OF_FIXED_PROD_ASSETS</stp>
        <stp>FQ1 2014</stp>
        <stp>FQ1 2014</stp>
        <stp>[AMZ_2009-2018.xlsx]Cash Flow - Standardized!R24C23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4" s="4"/>
      </tp>
      <tp>
        <v>135.80000000000001</v>
        <stp/>
        <stp>##V3_BDHV12</stp>
        <stp>AMZN US Equity</stp>
        <stp>PX_OPEN</stp>
        <stp>FQ2 2010</stp>
        <stp>FQ2 2010</stp>
        <stp>[AMZ_2009-2018.xlsx]Stock Value!R8C8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8" s="6"/>
      </tp>
      <tp>
        <v>0</v>
        <stp/>
        <stp>##V3_BDHV12</stp>
        <stp>AMZN US Equity</stp>
        <stp>IS_TOT_CASH_PFD_DVD</stp>
        <stp>FQ1 2013</stp>
        <stp>FQ1 2013</stp>
        <stp>[AMZ_2009-2018.xlsx]Income - Adjusted!R41C19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1" s="2"/>
      </tp>
      <tp>
        <v>92</v>
        <stp/>
        <stp>##V3_BDHV12</stp>
        <stp>AMZN US Equity</stp>
        <stp>CF_NET_INC</stp>
        <stp>FQ2 2015</stp>
        <stp>FQ2 2015</stp>
        <stp>[AMZ_2009-2018.xlsx]Cash Flow - Standardized!R7C28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" s="4"/>
      </tp>
      <tp>
        <v>82</v>
        <stp/>
        <stp>##V3_BDHV12</stp>
        <stp>AMZN US Equity</stp>
        <stp>CF_NET_INC</stp>
        <stp>FQ1 2013</stp>
        <stp>FQ1 2013</stp>
        <stp>[AMZ_2009-2018.xlsx]Cash Flow - Standardized!R7C19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" s="4"/>
      </tp>
      <tp>
        <v>-0.1212</v>
        <stp/>
        <stp>##V3_BDHV12</stp>
        <stp>AMZN US Equity</stp>
        <stp>IS_DIL_EPS_CONT_OPS</stp>
        <stp>FQ1 2015</stp>
        <stp>FQ1 2015</stp>
        <stp>[AMZ_2009-2018.xlsx]Per Share!R19C27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19" s="5"/>
      </tp>
      <tp>
        <v>-0.28539999999999999</v>
        <stp/>
        <stp>##V3_BDHV12</stp>
        <stp>AMZN US Equity</stp>
        <stp>IS_DIL_EPS_CONT_OPS</stp>
        <stp>FQ3 2012</stp>
        <stp>FQ3 2012</stp>
        <stp>[AMZ_2009-2018.xlsx]Per Share!R19C17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19" s="5"/>
      </tp>
      <tp>
        <v>0.52</v>
        <stp/>
        <stp>##V3_BDHV12</stp>
        <stp>AMZN US Equity</stp>
        <stp>IS_DIL_EPS_CONT_OPS</stp>
        <stp>FQ3 2017</stp>
        <stp>FQ3 2017</stp>
        <stp>[AMZ_2009-2018.xlsx]Per Share!R19C37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19" s="5"/>
      </tp>
      <tp>
        <v>130</v>
        <stp/>
        <stp>##V3_BDHV12</stp>
        <stp>AMZN US Equity</stp>
        <stp>CF_NET_INC</stp>
        <stp>FQ1 2012</stp>
        <stp>FQ1 2012</stp>
        <stp>[AMZ_2009-2018.xlsx]Cash Flow - Standardized!R7C15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" s="4"/>
      </tp>
      <tp>
        <v>252</v>
        <stp/>
        <stp>##V3_BDHV12</stp>
        <stp>AMZN US Equity</stp>
        <stp>CF_NET_INC</stp>
        <stp>FQ3 2016</stp>
        <stp>FQ3 2016</stp>
        <stp>[AMZ_2009-2018.xlsx]Cash Flow - Standardized!R7C33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" s="4"/>
      </tp>
      <tp>
        <v>0</v>
        <stp/>
        <stp>##V3_BDHV12</stp>
        <stp>AMZN US Equity</stp>
        <stp>IS_NET_ABNORMAL_ITEMS</stp>
        <stp>FQ1 2010</stp>
        <stp>FQ1 2010</stp>
        <stp>[AMZ_2009-2018.xlsx]Income - Adjusted!R46C7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6" s="2"/>
      </tp>
      <tp>
        <v>256</v>
        <stp/>
        <stp>##V3_BDHV12</stp>
        <stp>AMZN US Equity</stp>
        <stp>CF_NET_INC</stp>
        <stp>FQ3 2017</stp>
        <stp>FQ3 2017</stp>
        <stp>[AMZ_2009-2018.xlsx]Cash Flow - Standardized!R7C37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" s="4"/>
      </tp>
      <tp>
        <v>-126</v>
        <stp/>
        <stp>##V3_BDHV12</stp>
        <stp>AMZN US Equity</stp>
        <stp>CF_NET_INC</stp>
        <stp>FQ2 2014</stp>
        <stp>FQ2 2014</stp>
        <stp>[AMZ_2009-2018.xlsx]Cash Flow - Standardized!R7C24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" s="4"/>
      </tp>
      <tp>
        <v>201</v>
        <stp/>
        <stp>##V3_BDHV12</stp>
        <stp>AMZN US Equity</stp>
        <stp>CF_NET_INC</stp>
        <stp>FQ1 2011</stp>
        <stp>FQ1 2011</stp>
        <stp>[AMZ_2009-2018.xlsx]Cash Flow - Standardized!R7C11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" s="4"/>
      </tp>
      <tp>
        <v>-7</v>
        <stp/>
        <stp>##V3_BDHV12</stp>
        <stp>AMZN US Equity</stp>
        <stp>CF_NET_INC</stp>
        <stp>FQ2 2013</stp>
        <stp>FQ2 2013</stp>
        <stp>[AMZ_2009-2018.xlsx]Cash Flow - Standardized!R7C20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" s="4"/>
      </tp>
      <tp>
        <v>117</v>
        <stp/>
        <stp>##V3_BDHV12</stp>
        <stp>AMZN US Equity</stp>
        <stp>IS_GENERAL_AND_ADMINISTRATIVE</stp>
        <stp>FQ3 2010</stp>
        <stp>FQ3 2010</stp>
        <stp>[AMZ_2009-2018.xlsx]Income - Adjusted!R15C9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5" s="2"/>
      </tp>
      <tp>
        <v>862</v>
        <stp/>
        <stp>##V3_BDHV12</stp>
        <stp>AMZN US Equity</stp>
        <stp>CF_CASH_FROM_OPER</stp>
        <stp>FQ2 2014</stp>
        <stp>FQ2 2014</stp>
        <stp>[AMZ_2009-2018.xlsx]Cash Flow - Standardized!R19C24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9" s="4"/>
      </tp>
      <tp>
        <v>4300</v>
        <stp/>
        <stp>##V3_BDHV12</stp>
        <stp>AMZN US Equity</stp>
        <stp>CF_CHNG_NON_CASH_WORK_CAP</stp>
        <stp>FQ4 2014</stp>
        <stp>FQ4 2014</stp>
        <stp>[AMZ_2009-2018.xlsx]Cash Flow - Standardized!R13C26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3" s="4"/>
      </tp>
      <tp>
        <v>286</v>
        <stp/>
        <stp>##V3_BDHV12</stp>
        <stp>AMZN US Equity</stp>
        <stp>CF_CHNG_NON_CASH_WORK_CAP</stp>
        <stp>FQ3 2013</stp>
        <stp>FQ3 2013</stp>
        <stp>[AMZ_2009-2018.xlsx]Cash Flow - Standardized!R13C21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3" s="4"/>
      </tp>
      <tp>
        <v>-164</v>
        <stp/>
        <stp>##V3_BDHV12</stp>
        <stp>AMZN US Equity</stp>
        <stp>CF_CHNG_NON_CASH_WORK_CAP</stp>
        <stp>FQ2 2011</stp>
        <stp>FQ2 2011</stp>
        <stp>[AMZ_2009-2018.xlsx]Cash Flow - Standardized!R13C12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3" s="4"/>
      </tp>
      <tp>
        <v>4269</v>
        <stp/>
        <stp>##V3_BDHV12</stp>
        <stp>AMZN US Equity</stp>
        <stp>CF_CASH_FROM_OPER</stp>
        <stp>FQ4 2011</stp>
        <stp>FQ4 2011</stp>
        <stp>[AMZ_2009-2018.xlsx]Cash Flow - Standardized!R19C14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9" s="4"/>
      </tp>
      <tp>
        <v>5574</v>
        <stp/>
        <stp>##V3_BDHV12</stp>
        <stp>AMZN US Equity</stp>
        <stp>CF_CHNG_NON_CASH_WORK_CAP</stp>
        <stp>FQ4 2015</stp>
        <stp>FQ4 2015</stp>
        <stp>[AMZ_2009-2018.xlsx]Cash Flow - Standardized!R13C30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3" s="4"/>
      </tp>
      <tp>
        <v>-1953</v>
        <stp/>
        <stp>##V3_BDHV12</stp>
        <stp>AMZN US Equity</stp>
        <stp>CF_CASH_FROM_OPER</stp>
        <stp>FQ1 2016</stp>
        <stp>FQ1 2016</stp>
        <stp>[AMZ_2009-2018.xlsx]Cash Flow - Standardized!R19C31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9" s="4"/>
      </tp>
      <tp>
        <v>-3166</v>
        <stp/>
        <stp>##V3_BDHV12</stp>
        <stp>AMZN US Equity</stp>
        <stp>CF_CHNG_NON_CASH_WORK_CAP</stp>
        <stp>FQ1 2012</stp>
        <stp>FQ1 2012</stp>
        <stp>[AMZ_2009-2018.xlsx]Cash Flow - Standardized!R13C15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3" s="4"/>
      </tp>
      <tp>
        <v>2610</v>
        <stp/>
        <stp>##V3_BDHV12</stp>
        <stp>AMZN US Equity</stp>
        <stp>CF_CASH_FROM_OPER</stp>
        <stp>FQ3 2015</stp>
        <stp>FQ3 2015</stp>
        <stp>[AMZ_2009-2018.xlsx]Cash Flow - Standardized!R19C29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9" s="4"/>
      </tp>
      <tp>
        <v>-2</v>
        <stp/>
        <stp>##V3_BDHV12</stp>
        <stp>AMZN US Equity</stp>
        <stp>IS_OTHER_NON_OPERATING_INC_LOSS</stp>
        <stp>FQ1 2009</stp>
        <stp>FQ1 2009</stp>
        <stp>[AMZ_2009-2018.xlsx]Income - Adjusted!R24C3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4" s="2"/>
      </tp>
      <tp>
        <v>575</v>
        <stp/>
        <stp>##V3_BDHV12</stp>
        <stp>AMZN US Equity</stp>
        <stp>IS_OPER_INC</stp>
        <stp>FQ3 2016</stp>
        <stp>FQ3 2016</stp>
        <stp>[AMZ_2009-2018.xlsx]Income - Adjusted!R18C33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8" s="2"/>
      </tp>
      <tp>
        <v>79</v>
        <stp/>
        <stp>##V3_BDHV12</stp>
        <stp>AMZN US Equity</stp>
        <stp>IS_OPER_INC</stp>
        <stp>FQ3 2011</stp>
        <stp>FQ3 2011</stp>
        <stp>[AMZ_2009-2018.xlsx]Income - Adjusted!R18C13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8" s="2"/>
      </tp>
      <tp>
        <v>146</v>
        <stp/>
        <stp>##V3_BDHV12</stp>
        <stp>AMZN US Equity</stp>
        <stp>IS_OPER_INC</stp>
        <stp>FQ1 2014</stp>
        <stp>FQ1 2014</stp>
        <stp>[AMZ_2009-2018.xlsx]Income - Adjusted!R18C23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8" s="2"/>
      </tp>
      <tp>
        <v>191</v>
        <stp/>
        <stp>##V3_BDHV12</stp>
        <stp>AMZN US Equity</stp>
        <stp>NI_INCLUDING_MINORITY_INT_RATIO</stp>
        <stp>FQ2 2011</stp>
        <stp>FQ2 2011</stp>
        <stp>[AMZ_2009-2018.xlsx]Income - Adjusted!R38C12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38" s="2"/>
      </tp>
      <tp>
        <v>857</v>
        <stp/>
        <stp>##V3_BDHV12</stp>
        <stp>AMZN US Equity</stp>
        <stp>NI_INCLUDING_MINORITY_INT_RATIO</stp>
        <stp>FQ2 2016</stp>
        <stp>FQ2 2016</stp>
        <stp>[AMZ_2009-2018.xlsx]Income - Adjusted!R38C32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38" s="2"/>
      </tp>
      <tp>
        <v>239</v>
        <stp/>
        <stp>##V3_BDHV12</stp>
        <stp>AMZN US Equity</stp>
        <stp>NI_INCLUDING_MINORITY_INT_RATIO</stp>
        <stp>FQ4 2013</stp>
        <stp>FQ4 2013</stp>
        <stp>[AMZ_2009-2018.xlsx]Income - Adjusted!R38C22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38" s="2"/>
      </tp>
      <tp>
        <v>0</v>
        <stp/>
        <stp>##V3_BDHV12</stp>
        <stp>AMZN US Equity</stp>
        <stp>CF_OTHER_FINANCING_ACT_EXCL_FX</stp>
        <stp>FQ2 2011</stp>
        <stp>FQ2 2011</stp>
        <stp>[AMZ_2009-2018.xlsx]Cash Flow - Standardized!R49C12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9" s="4"/>
      </tp>
      <tp>
        <v>374</v>
        <stp/>
        <stp>##V3_BDHV12</stp>
        <stp>AMZN US Equity</stp>
        <stp>IS_SG&amp;A_EXPENSE</stp>
        <stp>FQ4 2009</stp>
        <stp>FQ4 2009</stp>
        <stp>[AMZ_2009-2018.xlsx]Income - Adjusted!R13C6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3" s="2"/>
      </tp>
      <tp>
        <v>0</v>
        <stp/>
        <stp>##V3_BDHV12</stp>
        <stp>AMZN US Equity</stp>
        <stp>CF_OTHER_FINANCING_ACT_EXCL_FX</stp>
        <stp>FQ4 2014</stp>
        <stp>FQ4 2014</stp>
        <stp>[AMZ_2009-2018.xlsx]Cash Flow - Standardized!R49C26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9" s="4"/>
      </tp>
      <tp>
        <v>0</v>
        <stp/>
        <stp>##V3_BDHV12</stp>
        <stp>AMZN US Equity</stp>
        <stp>CF_OTHER_FINANCING_ACT_EXCL_FX</stp>
        <stp>FQ3 2013</stp>
        <stp>FQ3 2013</stp>
        <stp>[AMZ_2009-2018.xlsx]Cash Flow - Standardized!R49C21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9" s="4"/>
      </tp>
      <tp>
        <v>13.9978</v>
        <stp/>
        <stp>##V3_BDHV12</stp>
        <stp>AMZN US Equity</stp>
        <stp>CASH_ST_INVESTMENTS_PER_SH</stp>
        <stp>FQ2 2011</stp>
        <stp>FQ2 2011</stp>
        <stp>[AMZ_2009-2018.xlsx]Per Share!R25C12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25" s="5"/>
      </tp>
      <tp>
        <v>34.894500000000001</v>
        <stp/>
        <stp>##V3_BDHV12</stp>
        <stp>AMZN US Equity</stp>
        <stp>CASH_ST_INVESTMENTS_PER_SH</stp>
        <stp>FQ2 2016</stp>
        <stp>FQ2 2016</stp>
        <stp>[AMZ_2009-2018.xlsx]Per Share!R25C32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25" s="5"/>
      </tp>
      <tp t="s">
        <v>—</v>
        <stp/>
        <stp>##V3_BDHV12</stp>
        <stp>AMZN US Equity</stp>
        <stp>BS_INTEREST_&amp;_DIVIDENDS_PAYABLE</stp>
        <stp>FQ1 2009</stp>
        <stp>FQ1 2009</stp>
        <stp>[AMZ_2009-2018.xlsx]Bal Sheet - Standardized!R41C3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3"/>
      </tp>
      <tp>
        <v>0</v>
        <stp/>
        <stp>##V3_BDHV12</stp>
        <stp>AMZN US Equity</stp>
        <stp>CF_INCR_INVEST</stp>
        <stp>FQ1 2017</stp>
        <stp>FQ1 2017</stp>
        <stp>[AMZ_2009-2018.xlsx]Cash Flow - Standardized!R31C35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1" s="4"/>
      </tp>
      <tp>
        <v>0</v>
        <stp/>
        <stp>##V3_BDHV12</stp>
        <stp>AMZN US Equity</stp>
        <stp>CF_OTHER_FINANCING_ACT_EXCL_FX</stp>
        <stp>FQ1 2012</stp>
        <stp>FQ1 2012</stp>
        <stp>[AMZ_2009-2018.xlsx]Cash Flow - Standardized!R49C15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9" s="4"/>
      </tp>
      <tp>
        <v>0</v>
        <stp/>
        <stp>##V3_BDHV12</stp>
        <stp>AMZN US Equity</stp>
        <stp>CF_INCR_INVEST</stp>
        <stp>FQ4 2010</stp>
        <stp>FQ4 2010</stp>
        <stp>[AMZ_2009-2018.xlsx]Cash Flow - Standardized!R31C10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1" s="4"/>
      </tp>
      <tp>
        <v>-93</v>
        <stp/>
        <stp>##V3_BDHV12</stp>
        <stp>AMZN US Equity</stp>
        <stp>CF_OTHER_FINANCING_ACT_EXCL_FX</stp>
        <stp>FQ4 2015</stp>
        <stp>FQ4 2015</stp>
        <stp>[AMZ_2009-2018.xlsx]Cash Flow - Standardized!R49C30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9" s="4"/>
      </tp>
      <tp>
        <v>0</v>
        <stp/>
        <stp>##V3_BDHV12</stp>
        <stp>AMZN US Equity</stp>
        <stp>CF_DECR_INVEST</stp>
        <stp>FQ2 2015</stp>
        <stp>FQ2 2015</stp>
        <stp>[AMZ_2009-2018.xlsx]Cash Flow - Standardized!R30C28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0" s="4"/>
      </tp>
      <tp>
        <v>0</v>
        <stp/>
        <stp>##V3_BDHV12</stp>
        <stp>AMZN US Equity</stp>
        <stp>CF_INCR_INVEST</stp>
        <stp>FQ4 2013</stp>
        <stp>FQ4 2013</stp>
        <stp>[AMZ_2009-2018.xlsx]Cash Flow - Standardized!R31C22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1" s="4"/>
      </tp>
      <tp>
        <v>0</v>
        <stp/>
        <stp>##V3_BDHV12</stp>
        <stp>AMZN US Equity</stp>
        <stp>CF_INCR_INVEST</stp>
        <stp>FQ3 2014</stp>
        <stp>FQ3 2014</stp>
        <stp>[AMZ_2009-2018.xlsx]Cash Flow - Standardized!R31C25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1" s="4"/>
      </tp>
      <tp>
        <v>27.117599999999999</v>
        <stp/>
        <stp>##V3_BDHV12</stp>
        <stp>AMZN US Equity</stp>
        <stp>CASH_ST_INVESTMENTS_PER_SH</stp>
        <stp>FQ4 2013</stp>
        <stp>FQ4 2013</stp>
        <stp>[AMZ_2009-2018.xlsx]Per Share!R25C22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25" s="5"/>
      </tp>
      <tp>
        <v>44.087400000000002</v>
        <stp/>
        <stp>##V3_BDHV12</stp>
        <stp>AMZN US Equity</stp>
        <stp>CHG_PCT_PERIOD</stp>
        <stp>FQ4 2009</stp>
        <stp>FQ4 2009</stp>
        <stp>[AMZ_2009-2018.xlsx]Stock Value!R7C6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7" s="6"/>
      </tp>
      <tp>
        <v>0</v>
        <stp/>
        <stp>##V3_BDHV12</stp>
        <stp>AMZN US Equity</stp>
        <stp>CF_DECR_INVEST</stp>
        <stp>FQ1 2017</stp>
        <stp>FQ1 2017</stp>
        <stp>[AMZ_2009-2018.xlsx]Cash Flow - Standardized!R30C35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0" s="4"/>
      </tp>
      <tp>
        <v>0</v>
        <stp/>
        <stp>##V3_BDHV12</stp>
        <stp>AMZN US Equity</stp>
        <stp>CF_DECR_INVEST</stp>
        <stp>FQ4 2013</stp>
        <stp>FQ4 2013</stp>
        <stp>[AMZ_2009-2018.xlsx]Cash Flow - Standardized!R30C22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0" s="4"/>
      </tp>
      <tp>
        <v>0</v>
        <stp/>
        <stp>##V3_BDHV12</stp>
        <stp>AMZN US Equity</stp>
        <stp>CF_DECR_INVEST</stp>
        <stp>FQ3 2014</stp>
        <stp>FQ3 2014</stp>
        <stp>[AMZ_2009-2018.xlsx]Cash Flow - Standardized!R30C25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0" s="4"/>
      </tp>
      <tp>
        <v>-43</v>
        <stp/>
        <stp>##V3_BDHV12</stp>
        <stp>AMZN US Equity</stp>
        <stp>CF_DEF_INC_TAX</stp>
        <stp>FQ2 2012</stp>
        <stp>FQ2 2012</stp>
        <stp>[AMZ_2009-2018.xlsx]Cash Flow - Standardized!R11C16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1" s="4"/>
      </tp>
      <tp>
        <v>0</v>
        <stp/>
        <stp>##V3_BDHV12</stp>
        <stp>AMZN US Equity</stp>
        <stp>CF_INCR_INVEST</stp>
        <stp>FQ2 2015</stp>
        <stp>FQ2 2015</stp>
        <stp>[AMZ_2009-2018.xlsx]Cash Flow - Standardized!R31C28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1" s="4"/>
      </tp>
      <tp>
        <v>0</v>
        <stp/>
        <stp>##V3_BDHV12</stp>
        <stp>AMZN US Equity</stp>
        <stp>CF_DECR_INVEST</stp>
        <stp>FQ4 2010</stp>
        <stp>FQ4 2010</stp>
        <stp>[AMZ_2009-2018.xlsx]Cash Flow - Standardized!R30C10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0" s="4"/>
      </tp>
      <tp>
        <v>-282</v>
        <stp/>
        <stp>##V3_BDHV12</stp>
        <stp>AMZN US Equity</stp>
        <stp>CF_DEF_INC_TAX</stp>
        <stp>FQ4 2016</stp>
        <stp>FQ4 2016</stp>
        <stp>[AMZ_2009-2018.xlsx]Cash Flow - Standardized!R11C34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1" s="4"/>
      </tp>
      <tp>
        <v>15</v>
        <stp/>
        <stp>##V3_BDHV12</stp>
        <stp>AMZN US Equity</stp>
        <stp>CF_DEF_INC_TAX</stp>
        <stp>FQ1 2011</stp>
        <stp>FQ1 2011</stp>
        <stp>[AMZ_2009-2018.xlsx]Cash Flow - Standardized!R11C11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1" s="4"/>
      </tp>
      <tp>
        <v>0</v>
        <stp/>
        <stp>##V3_BDHV12</stp>
        <stp>AMZN US Equity</stp>
        <stp>BS_PENSION_RSRV</stp>
        <stp>FQ2 2014</stp>
        <stp>FQ2 2014</stp>
        <stp>[AMZ_2009-2018.xlsx]Bal Sheet - Standardized!R80C24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80" s="3"/>
      </tp>
      <tp>
        <v>0</v>
        <stp/>
        <stp>##V3_BDHV12</stp>
        <stp>AMZN US Equity</stp>
        <stp>BS_PENSION_RSRV</stp>
        <stp>FQ4 2011</stp>
        <stp>FQ4 2011</stp>
        <stp>[AMZ_2009-2018.xlsx]Bal Sheet - Standardized!R80C14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80" s="3"/>
      </tp>
      <tp>
        <v>-1024</v>
        <stp/>
        <stp>##V3_BDHV12</stp>
        <stp>AMZN US Equity</stp>
        <stp>CF_ACCT_RCV_UNBILLED_REV</stp>
        <stp>FQ4 2012</stp>
        <stp>FQ4 2012</stp>
        <stp>[AMZ_2009-2018.xlsx]Cash Flow - Standardized!R14C18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4" s="4"/>
      </tp>
      <tp>
        <v>0</v>
        <stp/>
        <stp>##V3_BDHV12</stp>
        <stp>AMZN US Equity</stp>
        <stp>BS_PENSION_RSRV</stp>
        <stp>FQ1 2016</stp>
        <stp>FQ1 2016</stp>
        <stp>[AMZ_2009-2018.xlsx]Bal Sheet - Standardized!R80C31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80" s="3"/>
      </tp>
      <tp>
        <v>-53</v>
        <stp/>
        <stp>##V3_BDHV12</stp>
        <stp>AMZN US Equity</stp>
        <stp>CF_NT_CSH_RCVD_PD_FOR_ACQUIS_DIV</stp>
        <stp>FQ4 2014</stp>
        <stp>FQ4 2014</stp>
        <stp>[AMZ_2009-2018.xlsx]Cash Flow - Standardized!R32C26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2" s="4"/>
      </tp>
      <tp>
        <v>-1</v>
        <stp/>
        <stp>##V3_BDHV12</stp>
        <stp>AMZN US Equity</stp>
        <stp>CF_NT_CSH_RCVD_PD_FOR_ACQUIS_DIV</stp>
        <stp>FQ3 2013</stp>
        <stp>FQ3 2013</stp>
        <stp>[AMZ_2009-2018.xlsx]Cash Flow - Standardized!R32C21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2" s="4"/>
      </tp>
      <tp>
        <v>-1184</v>
        <stp/>
        <stp>##V3_BDHV12</stp>
        <stp>AMZN US Equity</stp>
        <stp>CF_ACCT_RCV_UNBILLED_REV</stp>
        <stp>FQ2 2016</stp>
        <stp>FQ2 2016</stp>
        <stp>[AMZ_2009-2018.xlsx]Cash Flow - Standardized!R14C32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4" s="4"/>
      </tp>
      <tp>
        <v>-469</v>
        <stp/>
        <stp>##V3_BDHV12</stp>
        <stp>AMZN US Equity</stp>
        <stp>CF_NT_CSH_RCVD_PD_FOR_ACQUIS_DIV</stp>
        <stp>FQ2 2011</stp>
        <stp>FQ2 2011</stp>
        <stp>[AMZ_2009-2018.xlsx]Cash Flow - Standardized!R32C12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2" s="4"/>
      </tp>
      <tp>
        <v>727</v>
        <stp/>
        <stp>##V3_BDHV12</stp>
        <stp>AMZN US Equity</stp>
        <stp>CF_ACCT_RCV_UNBILLED_REV</stp>
        <stp>FQ1 2014</stp>
        <stp>FQ1 2014</stp>
        <stp>[AMZ_2009-2018.xlsx]Cash Flow - Standardized!R14C23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4" s="4"/>
      </tp>
      <tp>
        <v>-3098</v>
        <stp/>
        <stp>##V3_BDHV12</stp>
        <stp>AMZN US Equity</stp>
        <stp>CF_PURCHASE_OF_FIXED_PROD_ASSETS</stp>
        <stp>FQ1 2018</stp>
        <stp>FQ1 2018</stp>
        <stp>[AMZ_2009-2018.xlsx]Cash Flow - Standardized!R27C39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7" s="4"/>
      </tp>
      <tp>
        <v>-212</v>
        <stp/>
        <stp>##V3_BDHV12</stp>
        <stp>AMZN US Equity</stp>
        <stp>BS_PURE_RETAINED_EARNINGS</stp>
        <stp>FQ3 2009</stp>
        <stp>FQ3 2009</stp>
        <stp>[AMZ_2009-2018.xlsx]Bal Sheet - Standardized!R69C5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9" s="3"/>
      </tp>
      <tp>
        <v>0</v>
        <stp/>
        <stp>##V3_BDHV12</stp>
        <stp>AMZN US Equity</stp>
        <stp>BS_PENSION_RSRV</stp>
        <stp>FQ3 2015</stp>
        <stp>FQ3 2015</stp>
        <stp>[AMZ_2009-2018.xlsx]Bal Sheet - Standardized!R80C29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80" s="3"/>
      </tp>
      <tp>
        <v>-1758</v>
        <stp/>
        <stp>##V3_BDHV12</stp>
        <stp>AMZN US Equity</stp>
        <stp>CF_ACCT_RCV_UNBILLED_REV</stp>
        <stp>FQ3 2017</stp>
        <stp>FQ3 2017</stp>
        <stp>[AMZ_2009-2018.xlsx]Cash Flow - Standardized!R14C37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4" s="4"/>
      </tp>
      <tp>
        <v>-50</v>
        <stp/>
        <stp>##V3_BDHV12</stp>
        <stp>AMZN US Equity</stp>
        <stp>CF_NT_CSH_RCVD_PD_FOR_ACQUIS_DIV</stp>
        <stp>FQ1 2012</stp>
        <stp>FQ1 2012</stp>
        <stp>[AMZ_2009-2018.xlsx]Cash Flow - Standardized!R32C15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2" s="4"/>
      </tp>
      <tp>
        <v>-317</v>
        <stp/>
        <stp>##V3_BDHV12</stp>
        <stp>AMZN US Equity</stp>
        <stp>CF_NT_CSH_RCVD_PD_FOR_ACQUIS_DIV</stp>
        <stp>FQ4 2015</stp>
        <stp>FQ4 2015</stp>
        <stp>[AMZ_2009-2018.xlsx]Cash Flow - Standardized!R32C30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2" s="4"/>
      </tp>
      <tp>
        <v>678</v>
        <stp/>
        <stp>##V3_BDHV12</stp>
        <stp>AMZN US Equity</stp>
        <stp>BS_PURE_RETAINED_EARNINGS</stp>
        <stp>FQ2 2010</stp>
        <stp>FQ2 2010</stp>
        <stp>[AMZ_2009-2018.xlsx]Bal Sheet - Standardized!R69C8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9" s="3"/>
      </tp>
      <tp>
        <v>860</v>
        <stp/>
        <stp>##V3_BDHV12</stp>
        <stp>AMZN US Equity</stp>
        <stp>BS_CURR_PORTION_LT_DEBT</stp>
        <stp>FQ2 2014</stp>
        <stp>FQ2 2014</stp>
        <stp>[AMZ_2009-2018.xlsx]Bal Sheet - Standardized!R46C24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6" s="3"/>
      </tp>
      <tp>
        <v>0</v>
        <stp/>
        <stp>##V3_BDHV12</stp>
        <stp>AMZN US Equity</stp>
        <stp>OTHER_CURRENT_LIABS_SUB_DETAILED</stp>
        <stp>FQ3 2010</stp>
        <stp>FQ3 2010</stp>
        <stp>[AMZ_2009-2018.xlsx]Bal Sheet - Standardized!R47C9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7" s="3"/>
      </tp>
      <tp>
        <v>0</v>
        <stp/>
        <stp>##V3_BDHV12</stp>
        <stp>AMZN US Equity</stp>
        <stp>CF_DISPOSAL_OF_FIXED_PROD_ASSETS</stp>
        <stp>FQ3 2015</stp>
        <stp>FQ3 2015</stp>
        <stp>[AMZ_2009-2018.xlsx]Cash Flow - Standardized!R24C29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4" s="4"/>
      </tp>
      <tp>
        <v>147</v>
        <stp/>
        <stp>##V3_BDHV12</stp>
        <stp>AMZN US Equity</stp>
        <stp>BS_CURR_PORTION_LT_DEBT</stp>
        <stp>FQ4 2011</stp>
        <stp>FQ4 2011</stp>
        <stp>[AMZ_2009-2018.xlsx]Bal Sheet - Standardized!R46C14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6" s="3"/>
      </tp>
      <tp>
        <v>0</v>
        <stp/>
        <stp>##V3_BDHV12</stp>
        <stp>AMZN US Equity</stp>
        <stp>OTHER_CURRENT_LIABS_SUB_DETAILED</stp>
        <stp>FQ2 2009</stp>
        <stp>FQ2 2009</stp>
        <stp>[AMZ_2009-2018.xlsx]Bal Sheet - Standardized!R47C4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7" s="3"/>
      </tp>
      <tp>
        <v>90</v>
        <stp/>
        <stp>##V3_BDHV12</stp>
        <stp>AMZN US Equity</stp>
        <stp>BS_CURR_PORTION_LT_DEBT</stp>
        <stp>FQ1 2016</stp>
        <stp>FQ1 2016</stp>
        <stp>[AMZ_2009-2018.xlsx]Bal Sheet - Standardized!R46C31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6" s="3"/>
      </tp>
      <tp>
        <v>0</v>
        <stp/>
        <stp>##V3_BDHV12</stp>
        <stp>AMZN US Equity</stp>
        <stp>CF_DISPOSAL_OF_FIXED_PROD_ASSETS</stp>
        <stp>FQ2 2014</stp>
        <stp>FQ2 2014</stp>
        <stp>[AMZ_2009-2018.xlsx]Cash Flow - Standardized!R24C24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4" s="4"/>
      </tp>
      <tp>
        <v>1117</v>
        <stp/>
        <stp>##V3_BDHV12</stp>
        <stp>AMZN US Equity</stp>
        <stp>BS_CURR_PORTION_LT_DEBT</stp>
        <stp>FQ3 2015</stp>
        <stp>FQ3 2015</stp>
        <stp>[AMZ_2009-2018.xlsx]Bal Sheet - Standardized!R46C29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6" s="3"/>
      </tp>
      <tp>
        <v>0</v>
        <stp/>
        <stp>##V3_BDHV12</stp>
        <stp>AMZN US Equity</stp>
        <stp>CF_DISPOSAL_OF_FIXED_PROD_ASSETS</stp>
        <stp>FQ4 2011</stp>
        <stp>FQ4 2011</stp>
        <stp>[AMZ_2009-2018.xlsx]Cash Flow - Standardized!R24C14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4" s="4"/>
      </tp>
      <tp>
        <v>0</v>
        <stp/>
        <stp>##V3_BDHV12</stp>
        <stp>AMZN US Equity</stp>
        <stp>CF_DISPOSAL_OF_FIXED_PROD_ASSETS</stp>
        <stp>FQ1 2016</stp>
        <stp>FQ1 2016</stp>
        <stp>[AMZ_2009-2018.xlsx]Cash Flow - Standardized!R24C31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4" s="4"/>
      </tp>
      <tp>
        <v>484</v>
        <stp/>
        <stp>##V3_BDHV12</stp>
        <stp>AMZN US Equity</stp>
        <stp>BS_SH_OUT</stp>
        <stp>FQ4 2017</stp>
        <stp>FQ4 2017</stp>
        <stp>[AMZ_2009-2018.xlsx]Per Share!R6C38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6" s="5"/>
      </tp>
      <tp>
        <v>0</v>
        <stp/>
        <stp>##V3_BDHV12</stp>
        <stp>AMZN US Equity</stp>
        <stp>IS_TOT_CASH_PFD_DVD</stp>
        <stp>FQ1 2012</stp>
        <stp>FQ1 2012</stp>
        <stp>[AMZ_2009-2018.xlsx]Income - Adjusted!R41C15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1" s="2"/>
      </tp>
      <tp>
        <v>0</v>
        <stp/>
        <stp>##V3_BDHV12</stp>
        <stp>AMZN US Equity</stp>
        <stp>IS_TOT_CASH_PFD_DVD</stp>
        <stp>FQ2 2012</stp>
        <stp>FQ2 2012</stp>
        <stp>[AMZ_2009-2018.xlsx]Income - Adjusted!R41C16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1" s="2"/>
      </tp>
      <tp>
        <v>0</v>
        <stp/>
        <stp>##V3_BDHV12</stp>
        <stp>AMZN US Equity</stp>
        <stp>IS_TOT_CASH_PFD_DVD</stp>
        <stp>FQ3 2012</stp>
        <stp>FQ3 2012</stp>
        <stp>[AMZ_2009-2018.xlsx]Income - Adjusted!R41C17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1" s="2"/>
      </tp>
      <tp>
        <v>108.9</v>
        <stp/>
        <stp>##V3_BDHV12</stp>
        <stp>AMZN US Equity</stp>
        <stp>PX_OPEN</stp>
        <stp>FQ3 2010</stp>
        <stp>FQ3 2010</stp>
        <stp>[AMZ_2009-2018.xlsx]Stock Value!R8C9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8" s="6"/>
      </tp>
      <tp>
        <v>0</v>
        <stp/>
        <stp>##V3_BDHV12</stp>
        <stp>AMZN US Equity</stp>
        <stp>IS_TOT_CASH_PFD_DVD</stp>
        <stp>FQ4 2012</stp>
        <stp>FQ4 2012</stp>
        <stp>[AMZ_2009-2018.xlsx]Income - Adjusted!R41C18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1" s="2"/>
      </tp>
      <tp>
        <v>480</v>
        <stp/>
        <stp>##V3_BDHV12</stp>
        <stp>AMZN US Equity</stp>
        <stp>EBITA</stp>
        <stp>FQ4 2009</stp>
        <stp>FQ4 2009</stp>
        <stp>[AMZ_2009-2018.xlsx]Income - Adjusted!R63C6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63" s="2"/>
      </tp>
      <tp>
        <v>0</v>
        <stp/>
        <stp>##V3_BDHV12</stp>
        <stp>AMZN US Equity</stp>
        <stp>CF_NET_CHG_IN_ST_DBT_&amp;_CPTL_LEAS</stp>
        <stp>FQ2 2018</stp>
        <stp>FQ2 2018</stp>
        <stp>[AMZ_2009-2018.xlsx]Cash Flow - Standardized!R43C40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3" s="4"/>
      </tp>
      <tp>
        <v>0.45</v>
        <stp/>
        <stp>##V3_BDHV12</stp>
        <stp>AMZN US Equity</stp>
        <stp>IS_DIL_EPS_CONT_OPS</stp>
        <stp>FQ4 2014</stp>
        <stp>FQ4 2014</stp>
        <stp>[AMZ_2009-2018.xlsx]Per Share!R19C26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19" s="5"/>
      </tp>
      <tp>
        <v>79</v>
        <stp/>
        <stp>##V3_BDHV12</stp>
        <stp>AMZN US Equity</stp>
        <stp>CF_NET_INC</stp>
        <stp>FQ3 2015</stp>
        <stp>FQ3 2015</stp>
        <stp>[AMZ_2009-2018.xlsx]Cash Flow - Standardized!R7C29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" s="4"/>
      </tp>
      <tp>
        <v>0.15190000000000001</v>
        <stp/>
        <stp>##V3_BDHV12</stp>
        <stp>AMZN US Equity</stp>
        <stp>IS_DIL_EPS_CONT_OPS</stp>
        <stp>FQ2 2012</stp>
        <stp>FQ2 2012</stp>
        <stp>[AMZ_2009-2018.xlsx]Per Share!R19C16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19" s="5"/>
      </tp>
      <tp>
        <v>0.4</v>
        <stp/>
        <stp>##V3_BDHV12</stp>
        <stp>AMZN US Equity</stp>
        <stp>IS_DIL_EPS_CONT_OPS</stp>
        <stp>FQ2 2017</stp>
        <stp>FQ2 2017</stp>
        <stp>[AMZ_2009-2018.xlsx]Per Share!R19C36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19" s="5"/>
      </tp>
      <tp>
        <v>857</v>
        <stp/>
        <stp>##V3_BDHV12</stp>
        <stp>AMZN US Equity</stp>
        <stp>CF_NET_INC</stp>
        <stp>FQ2 2016</stp>
        <stp>FQ2 2016</stp>
        <stp>[AMZ_2009-2018.xlsx]Cash Flow - Standardized!R7C32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" s="4"/>
      </tp>
      <tp>
        <v>197</v>
        <stp/>
        <stp>##V3_BDHV12</stp>
        <stp>AMZN US Equity</stp>
        <stp>CF_NET_INC</stp>
        <stp>FQ2 2017</stp>
        <stp>FQ2 2017</stp>
        <stp>[AMZ_2009-2018.xlsx]Cash Flow - Standardized!R7C36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" s="4"/>
      </tp>
      <tp>
        <v>-437</v>
        <stp/>
        <stp>##V3_BDHV12</stp>
        <stp>AMZN US Equity</stp>
        <stp>CF_NET_INC</stp>
        <stp>FQ3 2014</stp>
        <stp>FQ3 2014</stp>
        <stp>[AMZ_2009-2018.xlsx]Cash Flow - Standardized!R7C25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" s="4"/>
      </tp>
      <tp>
        <v>-41</v>
        <stp/>
        <stp>##V3_BDHV12</stp>
        <stp>AMZN US Equity</stp>
        <stp>CF_NET_INC</stp>
        <stp>FQ3 2013</stp>
        <stp>FQ3 2013</stp>
        <stp>[AMZ_2009-2018.xlsx]Cash Flow - Standardized!R7C21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" s="4"/>
      </tp>
      <tp>
        <v>113</v>
        <stp/>
        <stp>##V3_BDHV12</stp>
        <stp>AMZN US Equity</stp>
        <stp>IS_GENERAL_AND_ADMINISTRATIVE</stp>
        <stp>FQ2 2010</stp>
        <stp>FQ2 2010</stp>
        <stp>[AMZ_2009-2018.xlsx]Income - Adjusted!R15C8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5" s="2"/>
      </tp>
      <tp>
        <v>5578</v>
        <stp/>
        <stp>##V3_BDHV12</stp>
        <stp>AMZN US Equity</stp>
        <stp>CF_CASH_FROM_OPER</stp>
        <stp>FQ4 2013</stp>
        <stp>FQ4 2013</stp>
        <stp>[AMZ_2009-2018.xlsx]Cash Flow - Standardized!R19C22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9" s="4"/>
      </tp>
      <tp>
        <v>1766</v>
        <stp/>
        <stp>##V3_BDHV12</stp>
        <stp>AMZN US Equity</stp>
        <stp>CF_CASH_FROM_OPER</stp>
        <stp>FQ3 2014</stp>
        <stp>FQ3 2014</stp>
        <stp>[AMZ_2009-2018.xlsx]Cash Flow - Standardized!R19C25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9" s="4"/>
      </tp>
      <tp>
        <v>3480</v>
        <stp/>
        <stp>##V3_BDHV12</stp>
        <stp>AMZN US Equity</stp>
        <stp>CF_CASH_FROM_OPER</stp>
        <stp>FQ4 2010</stp>
        <stp>FQ4 2010</stp>
        <stp>[AMZ_2009-2018.xlsx]Cash Flow - Standardized!R19C10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9" s="4"/>
      </tp>
      <tp>
        <v>285</v>
        <stp/>
        <stp>##V3_BDHV12</stp>
        <stp>AMZN US Equity</stp>
        <stp>CF_CHNG_NON_CASH_WORK_CAP</stp>
        <stp>FQ3 2011</stp>
        <stp>FQ3 2011</stp>
        <stp>[AMZ_2009-2018.xlsx]Cash Flow - Standardized!R13C13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3" s="4"/>
      </tp>
      <tp>
        <v>-1619</v>
        <stp/>
        <stp>##V3_BDHV12</stp>
        <stp>AMZN US Equity</stp>
        <stp>CF_CASH_FROM_OPER</stp>
        <stp>FQ1 2017</stp>
        <stp>FQ1 2017</stp>
        <stp>[AMZ_2009-2018.xlsx]Cash Flow - Standardized!R19C35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9" s="4"/>
      </tp>
      <tp>
        <v>-262</v>
        <stp/>
        <stp>##V3_BDHV12</stp>
        <stp>AMZN US Equity</stp>
        <stp>CF_CHNG_NON_CASH_WORK_CAP</stp>
        <stp>FQ2 2013</stp>
        <stp>FQ2 2013</stp>
        <stp>[AMZ_2009-2018.xlsx]Cash Flow - Standardized!R13C20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3" s="4"/>
      </tp>
      <tp>
        <v>-3402</v>
        <stp/>
        <stp>##V3_BDHV12</stp>
        <stp>AMZN US Equity</stp>
        <stp>CF_CHNG_NON_CASH_WORK_CAP</stp>
        <stp>FQ1 2013</stp>
        <stp>FQ1 2013</stp>
        <stp>[AMZ_2009-2018.xlsx]Cash Flow - Standardized!R13C19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3" s="4"/>
      </tp>
      <tp>
        <v>1997</v>
        <stp/>
        <stp>##V3_BDHV12</stp>
        <stp>AMZN US Equity</stp>
        <stp>CF_CASH_FROM_OPER</stp>
        <stp>FQ2 2015</stp>
        <stp>FQ2 2015</stp>
        <stp>[AMZ_2009-2018.xlsx]Cash Flow - Standardized!R19C28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9" s="4"/>
      </tp>
      <tp>
        <v>108</v>
        <stp/>
        <stp>##V3_BDHV12</stp>
        <stp>AMZN US Equity</stp>
        <stp>NI_INCLUDING_MINORITY_INT_RATIO</stp>
        <stp>FQ1 2014</stp>
        <stp>FQ1 2014</stp>
        <stp>[AMZ_2009-2018.xlsx]Income - Adjusted!R38C23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38" s="2"/>
      </tp>
      <tp>
        <v>1285</v>
        <stp/>
        <stp>##V3_BDHV12</stp>
        <stp>AMZN US Equity</stp>
        <stp>IS_OPER_INC</stp>
        <stp>FQ2 2016</stp>
        <stp>FQ2 2016</stp>
        <stp>[AMZ_2009-2018.xlsx]Income - Adjusted!R18C32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8" s="2"/>
      </tp>
      <tp>
        <v>201</v>
        <stp/>
        <stp>##V3_BDHV12</stp>
        <stp>AMZN US Equity</stp>
        <stp>IS_OPER_INC</stp>
        <stp>FQ2 2011</stp>
        <stp>FQ2 2011</stp>
        <stp>[AMZ_2009-2018.xlsx]Income - Adjusted!R18C12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8" s="2"/>
      </tp>
      <tp>
        <v>63</v>
        <stp/>
        <stp>##V3_BDHV12</stp>
        <stp>AMZN US Equity</stp>
        <stp>NI_INCLUDING_MINORITY_INT_RATIO</stp>
        <stp>FQ3 2011</stp>
        <stp>FQ3 2011</stp>
        <stp>[AMZ_2009-2018.xlsx]Income - Adjusted!R38C13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38" s="2"/>
      </tp>
      <tp>
        <v>252</v>
        <stp/>
        <stp>##V3_BDHV12</stp>
        <stp>AMZN US Equity</stp>
        <stp>NI_INCLUDING_MINORITY_INT_RATIO</stp>
        <stp>FQ3 2016</stp>
        <stp>FQ3 2016</stp>
        <stp>[AMZ_2009-2018.xlsx]Income - Adjusted!R38C33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38" s="2"/>
      </tp>
      <tp>
        <v>-4</v>
        <stp/>
        <stp>##V3_BDHV12</stp>
        <stp>AMZN US Equity</stp>
        <stp>IS_NET_INTEREST_EXPENSE</stp>
        <stp>FQ1 2010</stp>
        <stp>FQ1 2010</stp>
        <stp>[AMZ_2009-2018.xlsx]Income - Adjusted!R20C7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0" s="2"/>
      </tp>
      <tp>
        <v>510</v>
        <stp/>
        <stp>##V3_BDHV12</stp>
        <stp>AMZN US Equity</stp>
        <stp>IS_OPER_INC</stp>
        <stp>FQ4 2013</stp>
        <stp>FQ4 2013</stp>
        <stp>[AMZ_2009-2018.xlsx]Income - Adjusted!R18C22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8" s="2"/>
      </tp>
      <tp>
        <v>0</v>
        <stp/>
        <stp>##V3_BDHV12</stp>
        <stp>AMZN US Equity</stp>
        <stp>CF_OTHER_FINANCING_ACT_EXCL_FX</stp>
        <stp>FQ2 2013</stp>
        <stp>FQ2 2013</stp>
        <stp>[AMZ_2009-2018.xlsx]Cash Flow - Standardized!R49C20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9" s="4"/>
      </tp>
      <tp>
        <v>13.9033</v>
        <stp/>
        <stp>##V3_BDHV12</stp>
        <stp>AMZN US Equity</stp>
        <stp>CASH_ST_INVESTMENTS_PER_SH</stp>
        <stp>FQ3 2011</stp>
        <stp>FQ3 2011</stp>
        <stp>[AMZ_2009-2018.xlsx]Per Share!R25C13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25" s="5"/>
      </tp>
      <tp>
        <v>38.625300000000003</v>
        <stp/>
        <stp>##V3_BDHV12</stp>
        <stp>AMZN US Equity</stp>
        <stp>CASH_ST_INVESTMENTS_PER_SH</stp>
        <stp>FQ3 2016</stp>
        <stp>FQ3 2016</stp>
        <stp>[AMZ_2009-2018.xlsx]Per Share!R25C33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25" s="5"/>
      </tp>
      <tp>
        <v>0</v>
        <stp/>
        <stp>##V3_BDHV12</stp>
        <stp>AMZN US Equity</stp>
        <stp>CF_INCR_INVEST</stp>
        <stp>FQ1 2016</stp>
        <stp>FQ1 2016</stp>
        <stp>[AMZ_2009-2018.xlsx]Cash Flow - Standardized!R31C31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1" s="4"/>
      </tp>
      <tp>
        <v>0</v>
        <stp/>
        <stp>##V3_BDHV12</stp>
        <stp>AMZN US Equity</stp>
        <stp>CF_OTHER_FINANCING_ACT_EXCL_FX</stp>
        <stp>FQ3 2011</stp>
        <stp>FQ3 2011</stp>
        <stp>[AMZ_2009-2018.xlsx]Cash Flow - Standardized!R49C13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9" s="4"/>
      </tp>
      <tp>
        <v>-308</v>
        <stp/>
        <stp>##V3_BDHV12</stp>
        <stp>AMZN US Equity</stp>
        <stp>CF_DEF_INC_TAX</stp>
        <stp>FQ4 2017</stp>
        <stp>FQ4 2017</stp>
        <stp>[AMZ_2009-2018.xlsx]Cash Flow - Standardized!R11C38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1" s="4"/>
      </tp>
      <tp>
        <v>18.839099999999998</v>
        <stp/>
        <stp>##V3_BDHV12</stp>
        <stp>AMZN US Equity</stp>
        <stp>CASH_ST_INVESTMENTS_PER_SH</stp>
        <stp>FQ1 2014</stp>
        <stp>FQ1 2014</stp>
        <stp>[AMZ_2009-2018.xlsx]Per Share!R25C23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25" s="5"/>
      </tp>
      <tp>
        <v>0</v>
        <stp/>
        <stp>##V3_BDHV12</stp>
        <stp>AMZN US Equity</stp>
        <stp>CF_INCR_INVEST</stp>
        <stp>FQ4 2011</stp>
        <stp>FQ4 2011</stp>
        <stp>[AMZ_2009-2018.xlsx]Cash Flow - Standardized!R31C14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1" s="4"/>
      </tp>
      <tp>
        <v>0</v>
        <stp/>
        <stp>##V3_BDHV12</stp>
        <stp>AMZN US Equity</stp>
        <stp>CF_INCR_INVEST</stp>
        <stp>FQ2 2014</stp>
        <stp>FQ2 2014</stp>
        <stp>[AMZ_2009-2018.xlsx]Cash Flow - Standardized!R31C24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1" s="4"/>
      </tp>
      <tp>
        <v>0</v>
        <stp/>
        <stp>##V3_BDHV12</stp>
        <stp>AMZN US Equity</stp>
        <stp>CF_DECR_INVEST</stp>
        <stp>FQ3 2015</stp>
        <stp>FQ3 2015</stp>
        <stp>[AMZ_2009-2018.xlsx]Cash Flow - Standardized!R30C29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0" s="4"/>
      </tp>
      <tp>
        <v>0</v>
        <stp/>
        <stp>##V3_BDHV12</stp>
        <stp>AMZN US Equity</stp>
        <stp>CF_OTHER_FINANCING_ACT_EXCL_FX</stp>
        <stp>FQ1 2013</stp>
        <stp>FQ1 2013</stp>
        <stp>[AMZ_2009-2018.xlsx]Cash Flow - Standardized!R49C19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9" s="4"/>
      </tp>
      <tp>
        <v>0</v>
        <stp/>
        <stp>##V3_BDHV12</stp>
        <stp>AMZN US Equity</stp>
        <stp>CF_INCR_INVEST</stp>
        <stp>FQ3 2015</stp>
        <stp>FQ3 2015</stp>
        <stp>[AMZ_2009-2018.xlsx]Cash Flow - Standardized!R31C29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1" s="4"/>
      </tp>
      <tp>
        <v>0</v>
        <stp/>
        <stp>##V3_BDHV12</stp>
        <stp>AMZN US Equity</stp>
        <stp>CF_DECR_INVEST</stp>
        <stp>FQ2 2014</stp>
        <stp>FQ2 2014</stp>
        <stp>[AMZ_2009-2018.xlsx]Cash Flow - Standardized!R30C24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0" s="4"/>
      </tp>
      <tp>
        <v>-36</v>
        <stp/>
        <stp>##V3_BDHV12</stp>
        <stp>AMZN US Equity</stp>
        <stp>CF_DEF_INC_TAX</stp>
        <stp>FQ3 2012</stp>
        <stp>FQ3 2012</stp>
        <stp>[AMZ_2009-2018.xlsx]Cash Flow - Standardized!R11C17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1" s="4"/>
      </tp>
      <tp>
        <v>0</v>
        <stp/>
        <stp>##V3_BDHV12</stp>
        <stp>AMZN US Equity</stp>
        <stp>CF_DECR_INVEST</stp>
        <stp>FQ1 2016</stp>
        <stp>FQ1 2016</stp>
        <stp>[AMZ_2009-2018.xlsx]Cash Flow - Standardized!R30C31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0" s="4"/>
      </tp>
      <tp>
        <v>0.92920000000000003</v>
        <stp/>
        <stp>##V3_BDHV12</stp>
        <stp>AMZN US Equity</stp>
        <stp>CHG_PCT_PERIOD</stp>
        <stp>FQ1 2010</stp>
        <stp>FQ1 2010</stp>
        <stp>[AMZ_2009-2018.xlsx]Stock Value!R7C7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7" s="6"/>
      </tp>
      <tp>
        <v>0</v>
        <stp/>
        <stp>##V3_BDHV12</stp>
        <stp>AMZN US Equity</stp>
        <stp>CF_DECR_INVEST</stp>
        <stp>FQ4 2011</stp>
        <stp>FQ4 2011</stp>
        <stp>[AMZ_2009-2018.xlsx]Cash Flow - Standardized!R30C14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0" s="4"/>
      </tp>
      <tp t="s">
        <v>—</v>
        <stp/>
        <stp>##V3_BDHV12</stp>
        <stp>AMZN US Equity</stp>
        <stp>BS_INTEREST_&amp;_DIVIDENDS_PAYABLE</stp>
        <stp>FQ1 2010</stp>
        <stp>FQ1 2010</stp>
        <stp>[AMZ_2009-2018.xlsx]Bal Sheet - Standardized!R41C7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1" s="3"/>
      </tp>
      <tp>
        <v>0</v>
        <stp/>
        <stp>##V3_BDHV12</stp>
        <stp>AMZN US Equity</stp>
        <stp>BS_PENSION_RSRV</stp>
        <stp>FQ4 2009</stp>
        <stp>FQ4 2009</stp>
        <stp>[AMZ_2009-2018.xlsx]Bal Sheet - Standardized!R80C6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80" s="3"/>
      </tp>
      <tp>
        <v>0</v>
        <stp/>
        <stp>##V3_BDHV12</stp>
        <stp>AMZN US Equity</stp>
        <stp>BS_PENSION_RSRV</stp>
        <stp>FQ4 2010</stp>
        <stp>FQ4 2010</stp>
        <stp>[AMZ_2009-2018.xlsx]Bal Sheet - Standardized!R80C10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80" s="3"/>
      </tp>
      <tp>
        <v>-103</v>
        <stp/>
        <stp>##V3_BDHV12</stp>
        <stp>AMZN US Equity</stp>
        <stp>CF_NT_CSH_RCVD_PD_FOR_ACQUIS_DIV</stp>
        <stp>FQ1 2013</stp>
        <stp>FQ1 2013</stp>
        <stp>[AMZ_2009-2018.xlsx]Cash Flow - Standardized!R32C19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2" s="4"/>
      </tp>
      <tp>
        <v>0</v>
        <stp/>
        <stp>##V3_BDHV12</stp>
        <stp>AMZN US Equity</stp>
        <stp>BS_PENSION_RSRV</stp>
        <stp>FQ4 2013</stp>
        <stp>FQ4 2013</stp>
        <stp>[AMZ_2009-2018.xlsx]Bal Sheet - Standardized!R80C22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80" s="3"/>
      </tp>
      <tp>
        <v>0</v>
        <stp/>
        <stp>##V3_BDHV12</stp>
        <stp>AMZN US Equity</stp>
        <stp>BS_PENSION_RSRV</stp>
        <stp>FQ3 2014</stp>
        <stp>FQ3 2014</stp>
        <stp>[AMZ_2009-2018.xlsx]Bal Sheet - Standardized!R80C25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80" s="3"/>
      </tp>
      <tp>
        <v>0</v>
        <stp/>
        <stp>##V3_BDHV12</stp>
        <stp>AMZN US Equity</stp>
        <stp>BS_PENSION_RSRV</stp>
        <stp>FQ1 2017</stp>
        <stp>FQ1 2017</stp>
        <stp>[AMZ_2009-2018.xlsx]Bal Sheet - Standardized!R80C35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80" s="3"/>
      </tp>
      <tp>
        <v>-671</v>
        <stp/>
        <stp>##V3_BDHV12</stp>
        <stp>AMZN US Equity</stp>
        <stp>CF_ACCT_RCV_UNBILLED_REV</stp>
        <stp>FQ3 2016</stp>
        <stp>FQ3 2016</stp>
        <stp>[AMZ_2009-2018.xlsx]Cash Flow - Standardized!R14C33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4" s="4"/>
      </tp>
      <tp>
        <v>-48</v>
        <stp/>
        <stp>##V3_BDHV12</stp>
        <stp>AMZN US Equity</stp>
        <stp>CF_NT_CSH_RCVD_PD_FOR_ACQUIS_DIV</stp>
        <stp>FQ3 2011</stp>
        <stp>FQ3 2011</stp>
        <stp>[AMZ_2009-2018.xlsx]Cash Flow - Standardized!R32C13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2" s="4"/>
      </tp>
      <tp>
        <v>-148</v>
        <stp/>
        <stp>##V3_BDHV12</stp>
        <stp>AMZN US Equity</stp>
        <stp>CF_NT_CSH_RCVD_PD_FOR_ACQUIS_DIV</stp>
        <stp>FQ2 2013</stp>
        <stp>FQ2 2013</stp>
        <stp>[AMZ_2009-2018.xlsx]Cash Flow - Standardized!R32C20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2" s="4"/>
      </tp>
      <tp t="s">
        <v>—</v>
        <stp/>
        <stp>##V3_BDHV12</stp>
        <stp>AMZN US Equity</stp>
        <stp>BS_DERIVATIVE_&amp;_HEDGING_LIABS_ST</stp>
        <stp>FQ4 2009</stp>
        <stp>FQ4 2009</stp>
        <stp>[AMZ_2009-2018.xlsx]Bal Sheet - Standardized!R49C6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9" s="3"/>
      </tp>
      <tp t="s">
        <v>—</v>
        <stp/>
        <stp>##V3_BDHV12</stp>
        <stp>AMZN US Equity</stp>
        <stp>BS_DERIVATIVE_&amp;_HEDGING_LIABS_LT</stp>
        <stp>FQ4 2009</stp>
        <stp>FQ4 2009</stp>
        <stp>[AMZ_2009-2018.xlsx]Bal Sheet - Standardized!R60C6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0" s="3"/>
      </tp>
      <tp>
        <v>-411</v>
        <stp/>
        <stp>##V3_BDHV12</stp>
        <stp>AMZN US Equity</stp>
        <stp>BS_PURE_RETAINED_EARNINGS</stp>
        <stp>FQ2 2009</stp>
        <stp>FQ2 2009</stp>
        <stp>[AMZ_2009-2018.xlsx]Bal Sheet - Standardized!R69C4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9" s="3"/>
      </tp>
      <tp>
        <v>-1221</v>
        <stp/>
        <stp>##V3_BDHV12</stp>
        <stp>AMZN US Equity</stp>
        <stp>CF_ACCT_RCV_UNBILLED_REV</stp>
        <stp>FQ2 2017</stp>
        <stp>FQ2 2017</stp>
        <stp>[AMZ_2009-2018.xlsx]Cash Flow - Standardized!R14C36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4" s="4"/>
      </tp>
      <tp>
        <v>0</v>
        <stp/>
        <stp>##V3_BDHV12</stp>
        <stp>AMZN US Equity</stp>
        <stp>BS_PENSION_RSRV</stp>
        <stp>FQ2 2015</stp>
        <stp>FQ2 2015</stp>
        <stp>[AMZ_2009-2018.xlsx]Bal Sheet - Standardized!R80C28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80" s="3"/>
      </tp>
      <tp>
        <v>441</v>
        <stp/>
        <stp>##V3_BDHV12</stp>
        <stp>AMZN US Equity</stp>
        <stp>CF_ACCT_RCV_UNBILLED_REV</stp>
        <stp>FQ1 2015</stp>
        <stp>FQ1 2015</stp>
        <stp>[AMZ_2009-2018.xlsx]Cash Flow - Standardized!R14C27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4" s="4"/>
      </tp>
      <tp>
        <v>908</v>
        <stp/>
        <stp>##V3_BDHV12</stp>
        <stp>AMZN US Equity</stp>
        <stp>BS_PURE_RETAINED_EARNINGS</stp>
        <stp>FQ3 2010</stp>
        <stp>FQ3 2010</stp>
        <stp>[AMZ_2009-2018.xlsx]Bal Sheet - Standardized!R69C9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9" s="3"/>
      </tp>
      <tp t="s">
        <v>—</v>
        <stp/>
        <stp>##V3_BDHV12</stp>
        <stp>AMZN US Equity</stp>
        <stp>BS_CURR_PORTION_LT_DEBT</stp>
        <stp>FQ4 2010</stp>
        <stp>FQ4 2010</stp>
        <stp>[AMZ_2009-2018.xlsx]Bal Sheet - Standardized!R46C10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6" s="3"/>
      </tp>
      <tp>
        <v>864</v>
        <stp/>
        <stp>##V3_BDHV12</stp>
        <stp>AMZN US Equity</stp>
        <stp>BS_CURR_PORTION_LT_DEBT</stp>
        <stp>FQ3 2014</stp>
        <stp>FQ3 2014</stp>
        <stp>[AMZ_2009-2018.xlsx]Bal Sheet - Standardized!R46C25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6" s="3"/>
      </tp>
      <tp>
        <v>753</v>
        <stp/>
        <stp>##V3_BDHV12</stp>
        <stp>AMZN US Equity</stp>
        <stp>BS_CURR_PORTION_LT_DEBT</stp>
        <stp>FQ4 2013</stp>
        <stp>FQ4 2013</stp>
        <stp>[AMZ_2009-2018.xlsx]Bal Sheet - Standardized!R46C22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6" s="3"/>
      </tp>
      <tp>
        <v>0</v>
        <stp/>
        <stp>##V3_BDHV12</stp>
        <stp>AMZN US Equity</stp>
        <stp>OTHER_CURRENT_LIABS_SUB_DETAILED</stp>
        <stp>FQ2 2010</stp>
        <stp>FQ2 2010</stp>
        <stp>[AMZ_2009-2018.xlsx]Bal Sheet - Standardized!R47C8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7" s="3"/>
      </tp>
      <tp>
        <v>1049</v>
        <stp/>
        <stp>##V3_BDHV12</stp>
        <stp>AMZN US Equity</stp>
        <stp>BS_CURR_PORTION_LT_DEBT</stp>
        <stp>FQ1 2017</stp>
        <stp>FQ1 2017</stp>
        <stp>[AMZ_2009-2018.xlsx]Bal Sheet - Standardized!R46C35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6" s="3"/>
      </tp>
      <tp>
        <v>0</v>
        <stp/>
        <stp>##V3_BDHV12</stp>
        <stp>AMZN US Equity</stp>
        <stp>CF_DISPOSAL_OF_FIXED_PROD_ASSETS</stp>
        <stp>FQ2 2015</stp>
        <stp>FQ2 2015</stp>
        <stp>[AMZ_2009-2018.xlsx]Cash Flow - Standardized!R24C28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4" s="4"/>
      </tp>
      <tp>
        <v>0</v>
        <stp/>
        <stp>##V3_BDHV12</stp>
        <stp>AMZN US Equity</stp>
        <stp>OTHER_CURRENT_LIABS_SUB_DETAILED</stp>
        <stp>FQ3 2009</stp>
        <stp>FQ3 2009</stp>
        <stp>[AMZ_2009-2018.xlsx]Bal Sheet - Standardized!R47C5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7" s="3"/>
      </tp>
      <tp>
        <v>-3031.4059000000002</v>
        <stp/>
        <stp>##V3_BDHV12</stp>
        <stp>AMZN US Equity</stp>
        <stp>CF_FREE_CASH_FLOW_FIRM</stp>
        <stp>FQ1 2013</stp>
        <stp>FQ1 2013</stp>
        <stp>[AMZ_2009-2018.xlsx]Cash Flow - Standardized!R66C19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66" s="4"/>
      </tp>
      <tp>
        <v>3067.8813</v>
        <stp/>
        <stp>##V3_BDHV12</stp>
        <stp>AMZN US Equity</stp>
        <stp>CF_FREE_CASH_FLOW_FIRM</stp>
        <stp>FQ4 2012</stp>
        <stp>FQ4 2012</stp>
        <stp>[AMZ_2009-2018.xlsx]Cash Flow - Standardized!R66C18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66" s="4"/>
      </tp>
      <tp>
        <v>0</v>
        <stp/>
        <stp>##V3_BDHV12</stp>
        <stp>AMZN US Equity</stp>
        <stp>CF_DISPOSAL_OF_FIXED_PROD_ASSETS</stp>
        <stp>FQ4 2010</stp>
        <stp>FQ4 2010</stp>
        <stp>[AMZ_2009-2018.xlsx]Cash Flow - Standardized!R24C10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4" s="4"/>
      </tp>
      <tp>
        <v>0</v>
        <stp/>
        <stp>##V3_BDHV12</stp>
        <stp>AMZN US Equity</stp>
        <stp>CF_DISPOSAL_OF_FIXED_PROD_ASSETS</stp>
        <stp>FQ3 2014</stp>
        <stp>FQ3 2014</stp>
        <stp>[AMZ_2009-2018.xlsx]Cash Flow - Standardized!R24C25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4" s="4"/>
      </tp>
      <tp>
        <v>0</v>
        <stp/>
        <stp>##V3_BDHV12</stp>
        <stp>AMZN US Equity</stp>
        <stp>CF_DISPOSAL_OF_FIXED_PROD_ASSETS</stp>
        <stp>FQ4 2013</stp>
        <stp>FQ4 2013</stp>
        <stp>[AMZ_2009-2018.xlsx]Cash Flow - Standardized!R24C22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4" s="4"/>
      </tp>
      <tp>
        <v>287</v>
        <stp/>
        <stp>##V3_BDHV12</stp>
        <stp>AMZN US Equity</stp>
        <stp>CF_DISPOSAL_OF_FIXED_PROD_ASSETS</stp>
        <stp>FQ1 2017</stp>
        <stp>FQ1 2017</stp>
        <stp>[AMZ_2009-2018.xlsx]Cash Flow - Standardized!R24C35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4" s="4"/>
      </tp>
      <tp>
        <v>1259</v>
        <stp/>
        <stp>##V3_BDHV12</stp>
        <stp>AMZN US Equity</stp>
        <stp>BS_CURR_PORTION_LT_DEBT</stp>
        <stp>FQ2 2015</stp>
        <stp>FQ2 2015</stp>
        <stp>[AMZ_2009-2018.xlsx]Bal Sheet - Standardized!R46C28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6" s="3"/>
      </tp>
      <tp>
        <v>0</v>
        <stp/>
        <stp>##V3_BDHV12</stp>
        <stp>AMZN US Equity</stp>
        <stp>IS_TOT_CASH_PFD_DVD</stp>
        <stp>FQ2 2018</stp>
        <stp>FQ2 2018</stp>
        <stp>[AMZ_2009-2018.xlsx]Income - Adjusted!R41C40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1" s="2"/>
      </tp>
      <tp>
        <v>92.5</v>
        <stp/>
        <stp>##V3_BDHV12</stp>
        <stp>AMZN US Equity</stp>
        <stp>PX_OPEN</stp>
        <stp>FQ4 2009</stp>
        <stp>FQ4 2009</stp>
        <stp>[AMZ_2009-2018.xlsx]Stock Value!R8C6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8" s="6"/>
      </tp>
      <tp>
        <v>88.56</v>
        <stp/>
        <stp>##V3_BDHV12</stp>
        <stp>AMZN US Equity</stp>
        <stp>PX_HIGH</stp>
        <stp>FQ2 2009</stp>
        <stp>FQ2 2009</stp>
        <stp>[AMZ_2009-2018.xlsx]Stock Value!R9C4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9" s="6"/>
      </tp>
      <tp>
        <v>482</v>
        <stp/>
        <stp>##V3_BDHV12</stp>
        <stp>AMZN US Equity</stp>
        <stp>BS_SH_OUT</stp>
        <stp>FQ3 2017</stp>
        <stp>FQ3 2017</stp>
        <stp>[AMZ_2009-2018.xlsx]Per Share!R6C37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6" s="5"/>
      </tp>
      <tp>
        <v>462</v>
        <stp/>
        <stp>##V3_BDHV12</stp>
        <stp>AMZN US Equity</stp>
        <stp>BS_SH_OUT</stp>
        <stp>FQ2 2014</stp>
        <stp>FQ2 2014</stp>
        <stp>[AMZ_2009-2018.xlsx]Per Share!R6C24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6" s="5"/>
      </tp>
      <tp>
        <v>452</v>
        <stp/>
        <stp>##V3_BDHV12</stp>
        <stp>AMZN US Equity</stp>
        <stp>BS_SH_OUT</stp>
        <stp>FQ1 2011</stp>
        <stp>FQ1 2011</stp>
        <stp>[AMZ_2009-2018.xlsx]Per Share!R6C11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6" s="5"/>
      </tp>
      <tp>
        <v>451</v>
        <stp/>
        <stp>##V3_BDHV12</stp>
        <stp>AMZN US Equity</stp>
        <stp>BS_SH_OUT</stp>
        <stp>FQ4 2010</stp>
        <stp>FQ4 2010</stp>
        <stp>[AMZ_2009-2018.xlsx]Per Share!R6C10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6" s="5"/>
      </tp>
      <tp>
        <v>0</v>
        <stp/>
        <stp>##V3_BDHV12</stp>
        <stp>AMZN US Equity</stp>
        <stp>CF_NET_CHG_IN_ST_DBT_&amp;_CPTL_LEAS</stp>
        <stp>FQ2 2012</stp>
        <stp>FQ2 2012</stp>
        <stp>[AMZ_2009-2018.xlsx]Cash Flow - Standardized!R43C16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3" s="4"/>
      </tp>
      <tp>
        <v>0</v>
        <stp/>
        <stp>##V3_BDHV12</stp>
        <stp>AMZN US Equity</stp>
        <stp>CF_NET_CHG_IN_ST_DBT_&amp;_CPTL_LEAS</stp>
        <stp>FQ4 2016</stp>
        <stp>FQ4 2016</stp>
        <stp>[AMZ_2009-2018.xlsx]Cash Flow - Standardized!R43C34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3" s="4"/>
      </tp>
      <tp>
        <v>0</v>
        <stp/>
        <stp>##V3_BDHV12</stp>
        <stp>AMZN US Equity</stp>
        <stp>CF_NET_CHG_IN_ST_DBT_&amp;_CPTL_LEAS</stp>
        <stp>FQ1 2011</stp>
        <stp>FQ1 2011</stp>
        <stp>[AMZ_2009-2018.xlsx]Cash Flow - Standardized!R43C11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3" s="4"/>
      </tp>
      <tp t="s">
        <v>—</v>
        <stp/>
        <stp>##V3_BDHV12</stp>
        <stp>AMZN US Equity</stp>
        <stp>BS_INTEREST_&amp;_DIVIDENDS_PAYABLE</stp>
        <stp>FQ3 2017</stp>
        <stp>FQ3 2017</stp>
        <stp>[AMZ_2009-2018.xlsx]Bal Sheet - Standardized!R41C37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1" s="3"/>
      </tp>
      <tp>
        <v>0.18</v>
        <stp/>
        <stp>##V3_BDHV12</stp>
        <stp>AMZN US Equity</stp>
        <stp>IS_DIL_EPS_CONT_OPS</stp>
        <stp>FQ1 2013</stp>
        <stp>FQ1 2013</stp>
        <stp>[AMZ_2009-2018.xlsx]Per Share!R19C19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19" s="5"/>
      </tp>
      <tp>
        <v>3.27</v>
        <stp/>
        <stp>##V3_BDHV12</stp>
        <stp>AMZN US Equity</stp>
        <stp>IS_DIL_EPS_CONT_OPS</stp>
        <stp>FQ1 2018</stp>
        <stp>FQ1 2018</stp>
        <stp>[AMZ_2009-2018.xlsx]Per Share!R19C39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19" s="5"/>
      </tp>
      <tp t="s">
        <v>—</v>
        <stp/>
        <stp>##V3_BDHV12</stp>
        <stp>AMZN US Equity</stp>
        <stp>BS_INTEREST_&amp;_DIVIDENDS_PAYABLE</stp>
        <stp>FQ1 2014</stp>
        <stp>FQ1 2014</stp>
        <stp>[AMZ_2009-2018.xlsx]Bal Sheet - Standardized!R41C23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1" s="3"/>
      </tp>
      <tp t="s">
        <v>—</v>
        <stp/>
        <stp>##V3_BDHV12</stp>
        <stp>AMZN US Equity</stp>
        <stp>BS_INTEREST_&amp;_DIVIDENDS_PAYABLE</stp>
        <stp>FQ2 2016</stp>
        <stp>FQ2 2016</stp>
        <stp>[AMZ_2009-2018.xlsx]Bal Sheet - Standardized!R41C32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1" s="3"/>
      </tp>
      <tp>
        <v>0.17</v>
        <stp/>
        <stp>##V3_BDHV12</stp>
        <stp>AMZN US Equity</stp>
        <stp>IS_DIL_EPS_CONT_OPS</stp>
        <stp>FQ3 2015</stp>
        <stp>FQ3 2015</stp>
        <stp>[AMZ_2009-2018.xlsx]Per Share!R19C29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19" s="5"/>
      </tp>
      <tp t="s">
        <v>—</v>
        <stp/>
        <stp>##V3_BDHV12</stp>
        <stp>AMZN US Equity</stp>
        <stp>BS_INTEREST_&amp;_DIVIDENDS_PAYABLE</stp>
        <stp>FQ4 2012</stp>
        <stp>FQ4 2012</stp>
        <stp>[AMZ_2009-2018.xlsx]Bal Sheet - Standardized!R41C18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1" s="3"/>
      </tp>
      <tp>
        <v>97</v>
        <stp/>
        <stp>##V3_BDHV12</stp>
        <stp>AMZN US Equity</stp>
        <stp>IS_GENERAL_AND_ADMINISTRATIVE</stp>
        <stp>FQ1 2010</stp>
        <stp>FQ1 2010</stp>
        <stp>[AMZ_2009-2018.xlsx]Income - Adjusted!R15C7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5" s="2"/>
      </tp>
      <tp>
        <v>-1791</v>
        <stp/>
        <stp>##V3_BDHV12</stp>
        <stp>AMZN US Equity</stp>
        <stp>CF_CASH_FROM_OPER</stp>
        <stp>FQ1 2018</stp>
        <stp>FQ1 2018</stp>
        <stp>[AMZ_2009-2018.xlsx]Cash Flow - Standardized!R19C39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9" s="4"/>
      </tp>
      <tp>
        <v>-2370</v>
        <stp/>
        <stp>##V3_BDHV12</stp>
        <stp>AMZN US Equity</stp>
        <stp>CF_FREE_CASH_FLOW</stp>
        <stp>FQ1 2015</stp>
        <stp>FQ1 2015</stp>
        <stp>[AMZ_2009-2018.xlsx]Cash Flow - Standardized!R65C27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5" s="4"/>
      </tp>
      <tp>
        <v>737</v>
        <stp/>
        <stp>##V3_BDHV12</stp>
        <stp>AMZN US Equity</stp>
        <stp>CF_FREE_CASH_FLOW</stp>
        <stp>FQ2 2017</stp>
        <stp>FQ2 2017</stp>
        <stp>[AMZ_2009-2018.xlsx]Cash Flow - Standardized!R65C36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5" s="4"/>
      </tp>
      <tp>
        <v>2818</v>
        <stp/>
        <stp>##V3_BDHV12</stp>
        <stp>AMZN US Equity</stp>
        <stp>CF_FREE_CASH_FLOW</stp>
        <stp>FQ3 2016</stp>
        <stp>FQ3 2016</stp>
        <stp>[AMZ_2009-2018.xlsx]Cash Flow - Standardized!R65C33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5" s="4"/>
      </tp>
      <tp>
        <v>0</v>
        <stp/>
        <stp>##V3_BDHV12</stp>
        <stp>AMZN US Equity</stp>
        <stp>OTHER_ADJUSTMENTS</stp>
        <stp>FQ4 2014</stp>
        <stp>FQ4 2014</stp>
        <stp>[AMZ_2009-2018.xlsx]Income - Adjusted!R42C26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2" s="2"/>
      </tp>
      <tp>
        <v>198.35</v>
        <stp/>
        <stp>##V3_BDHV12</stp>
        <stp>AMZN US Equity</stp>
        <stp>EARN_FOR_COMMON</stp>
        <stp>FQ3 2009</stp>
        <stp>FQ3 2009</stp>
        <stp>[AMZ_2009-2018.xlsx]Income - Adjusted!R45C5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45" s="2"/>
      </tp>
      <tp>
        <v>0</v>
        <stp/>
        <stp>##V3_BDHV12</stp>
        <stp>AMZN US Equity</stp>
        <stp>OTHER_ADJUSTMENTS</stp>
        <stp>FQ2 2014</stp>
        <stp>FQ2 2014</stp>
        <stp>[AMZ_2009-2018.xlsx]Income - Adjusted!R42C24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2" s="2"/>
      </tp>
      <tp>
        <v>0</v>
        <stp/>
        <stp>##V3_BDHV12</stp>
        <stp>AMZN US Equity</stp>
        <stp>OTHER_ADJUSTMENTS</stp>
        <stp>FQ3 2014</stp>
        <stp>FQ3 2014</stp>
        <stp>[AMZ_2009-2018.xlsx]Income - Adjusted!R42C25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2" s="2"/>
      </tp>
      <tp>
        <v>0</v>
        <stp/>
        <stp>##V3_BDHV12</stp>
        <stp>AMZN US Equity</stp>
        <stp>OTHER_ADJUSTMENTS</stp>
        <stp>FQ1 2014</stp>
        <stp>FQ1 2014</stp>
        <stp>[AMZ_2009-2018.xlsx]Income - Adjusted!R42C23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2" s="2"/>
      </tp>
      <tp>
        <v>0</v>
        <stp/>
        <stp>##V3_BDHV12</stp>
        <stp>AMZN US Equity</stp>
        <stp>OTHER_ADJUSTMENTS</stp>
        <stp>FQ4 2015</stp>
        <stp>FQ4 2015</stp>
        <stp>[AMZ_2009-2018.xlsx]Income - Adjusted!R42C30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2" s="2"/>
      </tp>
      <tp>
        <v>-3</v>
        <stp/>
        <stp>##V3_BDHV12</stp>
        <stp>AMZN US Equity</stp>
        <stp>IS_NET_INTEREST_EXPENSE</stp>
        <stp>FQ2 2010</stp>
        <stp>FQ2 2010</stp>
        <stp>[AMZ_2009-2018.xlsx]Income - Adjusted!R20C8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0" s="2"/>
      </tp>
      <tp>
        <v>0.39240000000000003</v>
        <stp/>
        <stp>##V3_BDHV12</stp>
        <stp>AMZN US Equity</stp>
        <stp>IS_DIL_EPS_CONT_OPS</stp>
        <stp>FQ2 2009</stp>
        <stp>FQ2 2009</stp>
        <stp>[AMZ_2009-2018.xlsx]Per Share!R19C4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19" s="5"/>
      </tp>
      <tp>
        <v>1532</v>
        <stp/>
        <stp>##V3_BDHV12</stp>
        <stp>AMZN US Equity</stp>
        <stp>BS_ACCRUAL</stp>
        <stp>FQ1 2010</stp>
        <stp>FQ1 2010</stp>
        <stp>[AMZ_2009-2018.xlsx]Bal Sheet - Standardized!R42C7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2" s="3"/>
      </tp>
      <tp t="s">
        <v>—</v>
        <stp/>
        <stp>##V3_BDHV12</stp>
        <stp>AMZN US Equity</stp>
        <stp>INVTRY_IN_PROGRESS</stp>
        <stp>FQ1 2010</stp>
        <stp>FQ1 2010</stp>
        <stp>[AMZ_2009-2018.xlsx]Bal Sheet - Standardized!R15C7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5" s="3"/>
      </tp>
      <tp>
        <v>432</v>
        <stp/>
        <stp>##V3_BDHV12</stp>
        <stp>AMZN US Equity</stp>
        <stp>IS_AVG_NUM_SH_FOR_EPS</stp>
        <stp>FQ3 2009</stp>
        <stp>FQ3 2009</stp>
        <stp>[AMZ_2009-2018.xlsx]Income - Adjusted!R49C5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49" s="2"/>
      </tp>
      <tp>
        <v>-19.525700000000001</v>
        <stp/>
        <stp>##V3_BDHV12</stp>
        <stp>AMZN US Equity</stp>
        <stp>CHG_PCT_PERIOD</stp>
        <stp>FQ2 2010</stp>
        <stp>FQ2 2010</stp>
        <stp>[AMZ_2009-2018.xlsx]Stock Value!R7C8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7" s="6"/>
      </tp>
      <tp>
        <v>1100</v>
        <stp/>
        <stp>##V3_BDHV12</stp>
        <stp>AMZN US Equity</stp>
        <stp>OTHER_NONCURRENT_LIABS_DETAILED</stp>
        <stp>FQ1 2010</stp>
        <stp>FQ1 2010</stp>
        <stp>[AMZ_2009-2018.xlsx]Bal Sheet - Standardized!R61C7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1" s="3"/>
      </tp>
      <tp>
        <v>-55</v>
        <stp/>
        <stp>##V3_BDHV12</stp>
        <stp>AMZN US Equity</stp>
        <stp>CHG_IN_FXD_&amp;_INTANG_AST_DETAILED</stp>
        <stp>FQ1 2009</stp>
        <stp>FQ1 2009</stp>
        <stp>[AMZ_2009-2018.xlsx]Cash Flow - Standardized!R22C3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4"/>
      </tp>
      <tp>
        <v>5</v>
        <stp/>
        <stp>##V3_BDHV12</stp>
        <stp>AMZN US Equity</stp>
        <stp>BS_COMMON_STOCK</stp>
        <stp>FQ4 2009</stp>
        <stp>FQ4 2009</stp>
        <stp>[AMZ_2009-2018.xlsx]Bal Sheet - Standardized!R66C6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6" s="3"/>
      </tp>
      <tp>
        <v>0</v>
        <stp/>
        <stp>##V3_BDHV12</stp>
        <stp>AMZN US Equity</stp>
        <stp>BS_PENSION_RSRV</stp>
        <stp>FQ1 2018</stp>
        <stp>FQ1 2018</stp>
        <stp>[AMZ_2009-2018.xlsx]Bal Sheet - Standardized!R80C39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80" s="3"/>
      </tp>
      <tp>
        <v>-1232.7456</v>
        <stp/>
        <stp>##V3_BDHV12</stp>
        <stp>AMZN US Equity</stp>
        <stp>CF_FREE_CASH_FLOW_FIRM</stp>
        <stp>FQ1 2010</stp>
        <stp>FQ1 2010</stp>
        <stp>[AMZ_2009-2018.xlsx]Cash Flow - Standardized!R66C7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66" s="4"/>
      </tp>
      <tp>
        <v>94</v>
        <stp/>
        <stp>##V3_BDHV12</stp>
        <stp>AMZN US Equity</stp>
        <stp>IS_INT_INC</stp>
        <stp>FQ2 2018</stp>
        <stp>FQ2 2018</stp>
        <stp>[AMZ_2009-2018.xlsx]Income - Adjusted!R22C40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22" s="2"/>
      </tp>
      <tp>
        <v>9</v>
        <stp/>
        <stp>##V3_BDHV12</stp>
        <stp>AMZN US Equity</stp>
        <stp>IS_INT_INC</stp>
        <stp>FQ2 2013</stp>
        <stp>FQ2 2013</stp>
        <stp>[AMZ_2009-2018.xlsx]Income - Adjusted!R22C20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2" s="2"/>
      </tp>
      <tp>
        <v>14</v>
        <stp/>
        <stp>##V3_BDHV12</stp>
        <stp>AMZN US Equity</stp>
        <stp>IS_INT_INC</stp>
        <stp>FQ4 2010</stp>
        <stp>FQ4 2010</stp>
        <stp>[AMZ_2009-2018.xlsx]Income - Adjusted!R22C10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2" s="2"/>
      </tp>
      <tp>
        <v>13</v>
        <stp/>
        <stp>##V3_BDHV12</stp>
        <stp>AMZN US Equity</stp>
        <stp>IS_INT_INC</stp>
        <stp>FQ4 2015</stp>
        <stp>FQ4 2015</stp>
        <stp>[AMZ_2009-2018.xlsx]Income - Adjusted!R22C30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22" s="2"/>
      </tp>
      <tp>
        <v>-1195</v>
        <stp/>
        <stp>##V3_BDHV12</stp>
        <stp>AMZN US Equity</stp>
        <stp>CF_PURCHASE_OF_FIXED_PROD_ASSETS</stp>
        <stp>FQ3 2015</stp>
        <stp>FQ3 2015</stp>
        <stp>[AMZ_2009-2018.xlsx]Cash Flow - Standardized!R27C29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7" s="4"/>
      </tp>
      <tp>
        <v>-1290</v>
        <stp/>
        <stp>##V3_BDHV12</stp>
        <stp>AMZN US Equity</stp>
        <stp>CF_PURCHASE_OF_FIXED_PROD_ASSETS</stp>
        <stp>FQ2 2014</stp>
        <stp>FQ2 2014</stp>
        <stp>[AMZ_2009-2018.xlsx]Cash Flow - Standardized!R27C24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7" s="4"/>
      </tp>
      <tp>
        <v>-1179</v>
        <stp/>
        <stp>##V3_BDHV12</stp>
        <stp>AMZN US Equity</stp>
        <stp>CF_PURCHASE_OF_FIXED_PROD_ASSETS</stp>
        <stp>FQ1 2016</stp>
        <stp>FQ1 2016</stp>
        <stp>[AMZ_2009-2018.xlsx]Cash Flow - Standardized!R27C31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7" s="4"/>
      </tp>
      <tp>
        <v>-550</v>
        <stp/>
        <stp>##V3_BDHV12</stp>
        <stp>AMZN US Equity</stp>
        <stp>CF_PURCHASE_OF_FIXED_PROD_ASSETS</stp>
        <stp>FQ4 2011</stp>
        <stp>FQ4 2011</stp>
        <stp>[AMZ_2009-2018.xlsx]Cash Flow - Standardized!R27C14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7" s="4"/>
      </tp>
      <tp>
        <v>0</v>
        <stp/>
        <stp>##V3_BDHV12</stp>
        <stp>AMZN US Equity</stp>
        <stp>CF_TAX_BENEFIT_FRM_STOCK_OPTIONS</stp>
        <stp>FQ1 2013</stp>
        <stp>FQ1 2013</stp>
        <stp>[AMZ_2009-2018.xlsx]Cash Flow - Standardized!R64C19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4" s="4"/>
      </tp>
      <tp>
        <v>53</v>
        <stp/>
        <stp>##V3_BDHV12</stp>
        <stp>AMZN US Equity</stp>
        <stp>BS_CURR_PORTION_LT_DEBT</stp>
        <stp>FQ1 2018</stp>
        <stp>FQ1 2018</stp>
        <stp>[AMZ_2009-2018.xlsx]Bal Sheet - Standardized!R46C39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6" s="3"/>
      </tp>
      <tp>
        <v>2880.9654</v>
        <stp/>
        <stp>##V3_BDHV12</stp>
        <stp>AMZN US Equity</stp>
        <stp>CF_FREE_CASH_FLOW_FIRM</stp>
        <stp>FQ3 2016</stp>
        <stp>FQ3 2016</stp>
        <stp>[AMZ_2009-2018.xlsx]Cash Flow - Standardized!R66C33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66" s="4"/>
      </tp>
      <tp>
        <v>234.31809999999999</v>
        <stp/>
        <stp>##V3_BDHV12</stp>
        <stp>AMZN US Equity</stp>
        <stp>CF_FREE_CASH_FLOW_FIRM</stp>
        <stp>FQ3 2012</stp>
        <stp>FQ3 2012</stp>
        <stp>[AMZ_2009-2018.xlsx]Cash Flow - Standardized!R66C17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66" s="4"/>
      </tp>
      <tp>
        <v>3732.6995999999999</v>
        <stp/>
        <stp>##V3_BDHV12</stp>
        <stp>AMZN US Equity</stp>
        <stp>CF_FREE_CASH_FLOW_FIRM</stp>
        <stp>FQ4 2011</stp>
        <stp>FQ4 2011</stp>
        <stp>[AMZ_2009-2018.xlsx]Cash Flow - Standardized!R66C14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66" s="4"/>
      </tp>
      <tp>
        <v>7562.4615999999996</v>
        <stp/>
        <stp>##V3_BDHV12</stp>
        <stp>AMZN US Equity</stp>
        <stp>CF_FREE_CASH_FLOW_FIRM</stp>
        <stp>FQ4 2015</stp>
        <stp>FQ4 2015</stp>
        <stp>[AMZ_2009-2018.xlsx]Cash Flow - Standardized!R66C30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66" s="4"/>
      </tp>
      <tp>
        <v>0</v>
        <stp/>
        <stp>##V3_BDHV12</stp>
        <stp>AMZN US Equity</stp>
        <stp>CF_TAX_BENEFIT_FRM_STOCK_OPTIONS</stp>
        <stp>FQ3 2011</stp>
        <stp>FQ3 2011</stp>
        <stp>[AMZ_2009-2018.xlsx]Cash Flow - Standardized!R64C13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4" s="4"/>
      </tp>
      <tp>
        <v>29</v>
        <stp/>
        <stp>##V3_BDHV12</stp>
        <stp>AMZN US Equity</stp>
        <stp>BS_DEFERRED_TAX_ASSETS_LT</stp>
        <stp>FQ2 2010</stp>
        <stp>FQ2 2010</stp>
        <stp>[AMZ_2009-2018.xlsx]Bal Sheet - Standardized!R31C8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1" s="3"/>
      </tp>
      <tp>
        <v>265</v>
        <stp/>
        <stp>##V3_BDHV12</stp>
        <stp>AMZN US Equity</stp>
        <stp>BS_DEFERRED_TAX_ASSETS_ST</stp>
        <stp>FQ2 2010</stp>
        <stp>FQ2 2010</stp>
        <stp>[AMZ_2009-2018.xlsx]Bal Sheet - Standardized!R20C8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0" s="3"/>
      </tp>
      <tp>
        <v>371</v>
        <stp/>
        <stp>##V3_BDHV12</stp>
        <stp>AMZN US Equity</stp>
        <stp>CF_DISPOSAL_OF_FIXED_PROD_ASSETS</stp>
        <stp>FQ1 2018</stp>
        <stp>FQ1 2018</stp>
        <stp>[AMZ_2009-2018.xlsx]Cash Flow - Standardized!R24C39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4" s="4"/>
      </tp>
      <tp>
        <v>0</v>
        <stp/>
        <stp>##V3_BDHV12</stp>
        <stp>AMZN US Equity</stp>
        <stp>CF_TAX_BENEFIT_FRM_STOCK_OPTIONS</stp>
        <stp>FQ2 2013</stp>
        <stp>FQ2 2013</stp>
        <stp>[AMZ_2009-2018.xlsx]Cash Flow - Standardized!R64C20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4" s="4"/>
      </tp>
      <tp>
        <v>-0.95</v>
        <stp/>
        <stp>##V3_BDHV12</stp>
        <stp>AMZN US Equity</stp>
        <stp>IS_EARN_BEF_XO_ITEMS_PER_SH</stp>
        <stp>FQ3 2014</stp>
        <stp>FQ3 2014</stp>
        <stp>[AMZ_2009-2018.xlsx]Income - Adjusted!R51C25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51" s="2"/>
      </tp>
      <tp>
        <v>80</v>
        <stp/>
        <stp>##V3_BDHV12</stp>
        <stp>AMZN US Equity</stp>
        <stp>BS_DEFERRED_TAX_ASSETS_ST</stp>
        <stp>FQ3 2009</stp>
        <stp>FQ3 2009</stp>
        <stp>[AMZ_2009-2018.xlsx]Bal Sheet - Standardized!R20C5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0" s="3"/>
      </tp>
      <tp>
        <v>206</v>
        <stp/>
        <stp>##V3_BDHV12</stp>
        <stp>AMZN US Equity</stp>
        <stp>BS_DEFERRED_TAX_ASSETS_LT</stp>
        <stp>FQ3 2009</stp>
        <stp>FQ3 2009</stp>
        <stp>[AMZ_2009-2018.xlsx]Bal Sheet - Standardized!R31C5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1" s="3"/>
      </tp>
      <tp>
        <v>1.52</v>
        <stp/>
        <stp>##V3_BDHV12</stp>
        <stp>AMZN US Equity</stp>
        <stp>IS_EARN_BEF_XO_ITEMS_PER_SH</stp>
        <stp>FQ1 2017</stp>
        <stp>FQ1 2017</stp>
        <stp>[AMZ_2009-2018.xlsx]Income - Adjusted!R51C35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51" s="2"/>
      </tp>
      <tp>
        <v>0.28999999999999998</v>
        <stp/>
        <stp>##V3_BDHV12</stp>
        <stp>AMZN US Equity</stp>
        <stp>IS_EARN_BEF_XO_ITEMS_PER_SH</stp>
        <stp>FQ1 2012</stp>
        <stp>FQ1 2012</stp>
        <stp>[AMZ_2009-2018.xlsx]Income - Adjusted!R51C15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51" s="2"/>
      </tp>
      <tp>
        <v>94.5</v>
        <stp/>
        <stp>##V3_BDHV12</stp>
        <stp>AMZN US Equity</stp>
        <stp>PX_HIGH</stp>
        <stp>FQ3 2009</stp>
        <stp>FQ3 2009</stp>
        <stp>[AMZ_2009-2018.xlsx]Stock Value!R9C5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9" s="6"/>
      </tp>
      <tp>
        <v>463</v>
        <stp/>
        <stp>##V3_BDHV12</stp>
        <stp>AMZN US Equity</stp>
        <stp>BS_SH_OUT</stp>
        <stp>FQ3 2014</stp>
        <stp>FQ3 2014</stp>
        <stp>[AMZ_2009-2018.xlsx]Per Share!R6C25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6" s="5"/>
      </tp>
      <tp>
        <v>480</v>
        <stp/>
        <stp>##V3_BDHV12</stp>
        <stp>AMZN US Equity</stp>
        <stp>BS_SH_OUT</stp>
        <stp>FQ2 2017</stp>
        <stp>FQ2 2017</stp>
        <stp>[AMZ_2009-2018.xlsx]Per Share!R6C36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6" s="5"/>
      </tp>
      <tp>
        <v>484</v>
        <stp/>
        <stp>##V3_BDHV12</stp>
        <stp>AMZN US Equity</stp>
        <stp>BS_SH_OUT</stp>
        <stp>FQ1 2018</stp>
        <stp>FQ1 2018</stp>
        <stp>[AMZ_2009-2018.xlsx]Per Share!R6C39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6" s="5"/>
      </tp>
      <tp>
        <v>459</v>
        <stp/>
        <stp>##V3_BDHV12</stp>
        <stp>AMZN US Equity</stp>
        <stp>BS_SH_OUT</stp>
        <stp>FQ4 2013</stp>
        <stp>FQ4 2013</stp>
        <stp>[AMZ_2009-2018.xlsx]Per Share!R6C22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6" s="5"/>
      </tp>
      <tp>
        <v>0</v>
        <stp/>
        <stp>##V3_BDHV12</stp>
        <stp>AMZN US Equity</stp>
        <stp>CF_NET_CHG_IN_ST_DBT_&amp;_CPTL_LEAS</stp>
        <stp>FQ3 2012</stp>
        <stp>FQ3 2012</stp>
        <stp>[AMZ_2009-2018.xlsx]Cash Flow - Standardized!R43C17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3" s="4"/>
      </tp>
      <tp>
        <v>136.25</v>
        <stp/>
        <stp>##V3_BDHV12</stp>
        <stp>AMZN US Equity</stp>
        <stp>PX_OPEN</stp>
        <stp>FQ1 2010</stp>
        <stp>FQ1 2010</stp>
        <stp>[AMZ_2009-2018.xlsx]Stock Value!R8C7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8" s="6"/>
      </tp>
      <tp>
        <v>0</v>
        <stp/>
        <stp>##V3_BDHV12</stp>
        <stp>AMZN US Equity</stp>
        <stp>CF_NET_CHG_IN_ST_DBT_&amp;_CPTL_LEAS</stp>
        <stp>FQ4 2017</stp>
        <stp>FQ4 2017</stp>
        <stp>[AMZ_2009-2018.xlsx]Cash Flow - Standardized!R43C38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3" s="4"/>
      </tp>
      <tp>
        <v>2.1593</v>
        <stp/>
        <stp>##V3_BDHV12</stp>
        <stp>AMZN US Equity</stp>
        <stp>IS_DIL_EPS_CONT_OPS</stp>
        <stp>FQ4 2017</stp>
        <stp>FQ4 2017</stp>
        <stp>[AMZ_2009-2018.xlsx]Per Share!R19C38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19" s="5"/>
      </tp>
      <tp>
        <v>0.26419999999999999</v>
        <stp/>
        <stp>##V3_BDHV12</stp>
        <stp>AMZN US Equity</stp>
        <stp>IS_DIL_EPS_CONT_OPS</stp>
        <stp>FQ4 2012</stp>
        <stp>FQ4 2012</stp>
        <stp>[AMZ_2009-2018.xlsx]Per Share!R19C18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19" s="5"/>
      </tp>
      <tp t="s">
        <v>—</v>
        <stp/>
        <stp>##V3_BDHV12</stp>
        <stp>AMZN US Equity</stp>
        <stp>BS_INTEREST_&amp;_DIVIDENDS_PAYABLE</stp>
        <stp>FQ1 2015</stp>
        <stp>FQ1 2015</stp>
        <stp>[AMZ_2009-2018.xlsx]Bal Sheet - Standardized!R41C27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1" s="3"/>
      </tp>
      <tp t="s">
        <v>—</v>
        <stp/>
        <stp>##V3_BDHV12</stp>
        <stp>AMZN US Equity</stp>
        <stp>BS_INTEREST_&amp;_DIVIDENDS_PAYABLE</stp>
        <stp>FQ2 2017</stp>
        <stp>FQ2 2017</stp>
        <stp>[AMZ_2009-2018.xlsx]Bal Sheet - Standardized!R41C36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1" s="3"/>
      </tp>
      <tp>
        <v>0.19139999999999999</v>
        <stp/>
        <stp>##V3_BDHV12</stp>
        <stp>AMZN US Equity</stp>
        <stp>IS_DIL_EPS_CONT_OPS</stp>
        <stp>FQ2 2015</stp>
        <stp>FQ2 2015</stp>
        <stp>[AMZ_2009-2018.xlsx]Per Share!R19C28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19" s="5"/>
      </tp>
      <tp t="s">
        <v>—</v>
        <stp/>
        <stp>##V3_BDHV12</stp>
        <stp>AMZN US Equity</stp>
        <stp>BS_INTEREST_&amp;_DIVIDENDS_PAYABLE</stp>
        <stp>FQ3 2016</stp>
        <stp>FQ3 2016</stp>
        <stp>[AMZ_2009-2018.xlsx]Bal Sheet - Standardized!R41C33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1" s="3"/>
      </tp>
      <tp>
        <v>3056</v>
        <stp/>
        <stp>##V3_BDHV12</stp>
        <stp>AMZN US Equity</stp>
        <stp>CF_FREE_CASH_FLOW</stp>
        <stp>FQ4 2012</stp>
        <stp>FQ4 2012</stp>
        <stp>[AMZ_2009-2018.xlsx]Cash Flow - Standardized!R65C18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5" s="4"/>
      </tp>
      <tp>
        <v>1192</v>
        <stp/>
        <stp>##V3_BDHV12</stp>
        <stp>AMZN US Equity</stp>
        <stp>CF_FREE_CASH_FLOW</stp>
        <stp>FQ3 2017</stp>
        <stp>FQ3 2017</stp>
        <stp>[AMZ_2009-2018.xlsx]Cash Flow - Standardized!R65C37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5" s="4"/>
      </tp>
      <tp>
        <v>-3582</v>
        <stp/>
        <stp>##V3_BDHV12</stp>
        <stp>AMZN US Equity</stp>
        <stp>CF_FREE_CASH_FLOW</stp>
        <stp>FQ1 2014</stp>
        <stp>FQ1 2014</stp>
        <stp>[AMZ_2009-2018.xlsx]Cash Flow - Standardized!R65C23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5" s="4"/>
      </tp>
      <tp>
        <v>1867</v>
        <stp/>
        <stp>##V3_BDHV12</stp>
        <stp>AMZN US Equity</stp>
        <stp>CF_FREE_CASH_FLOW</stp>
        <stp>FQ2 2016</stp>
        <stp>FQ2 2016</stp>
        <stp>[AMZ_2009-2018.xlsx]Cash Flow - Standardized!R65C32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5" s="4"/>
      </tp>
      <tp t="s">
        <v>—</v>
        <stp/>
        <stp>##V3_BDHV12</stp>
        <stp>AMZN US Equity</stp>
        <stp>INVTRY_IN_PROGRESS</stp>
        <stp>FQ1 2009</stp>
        <stp>FQ1 2009</stp>
        <stp>[AMZ_2009-2018.xlsx]Bal Sheet - Standardized!R15C3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3"/>
      </tp>
      <tp>
        <v>173.85</v>
        <stp/>
        <stp>##V3_BDHV12</stp>
        <stp>AMZN US Equity</stp>
        <stp>EARN_FOR_COMMON</stp>
        <stp>FQ2 2009</stp>
        <stp>FQ2 2009</stp>
        <stp>[AMZ_2009-2018.xlsx]Income - Adjusted!R45C4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45" s="2"/>
      </tp>
      <tp>
        <v>0</v>
        <stp/>
        <stp>##V3_BDHV12</stp>
        <stp>AMZN US Equity</stp>
        <stp>OTHER_ADJUSTMENTS</stp>
        <stp>FQ1 2015</stp>
        <stp>FQ1 2015</stp>
        <stp>[AMZ_2009-2018.xlsx]Income - Adjusted!R42C27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2" s="2"/>
      </tp>
      <tp>
        <v>971</v>
        <stp/>
        <stp>##V3_BDHV12</stp>
        <stp>AMZN US Equity</stp>
        <stp>BS_ACCRUAL</stp>
        <stp>FQ1 2009</stp>
        <stp>FQ1 2009</stp>
        <stp>[AMZ_2009-2018.xlsx]Bal Sheet - Standardized!R42C3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2" s="3"/>
      </tp>
      <tp>
        <v>-2</v>
        <stp/>
        <stp>##V3_BDHV12</stp>
        <stp>AMZN US Equity</stp>
        <stp>IS_NET_INTEREST_EXPENSE</stp>
        <stp>FQ3 2010</stp>
        <stp>FQ3 2010</stp>
        <stp>[AMZ_2009-2018.xlsx]Income - Adjusted!R20C9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0" s="2"/>
      </tp>
      <tp>
        <v>0.44850000000000001</v>
        <stp/>
        <stp>##V3_BDHV12</stp>
        <stp>AMZN US Equity</stp>
        <stp>IS_DIL_EPS_CONT_OPS</stp>
        <stp>FQ3 2009</stp>
        <stp>FQ3 2009</stp>
        <stp>[AMZ_2009-2018.xlsx]Per Share!R19C5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19" s="5"/>
      </tp>
      <tp>
        <v>0</v>
        <stp/>
        <stp>##V3_BDHV12</stp>
        <stp>AMZN US Equity</stp>
        <stp>OTHER_ADJUSTMENTS</stp>
        <stp>FQ2 2015</stp>
        <stp>FQ2 2015</stp>
        <stp>[AMZ_2009-2018.xlsx]Income - Adjusted!R42C28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2" s="2"/>
      </tp>
      <tp>
        <v>0</v>
        <stp/>
        <stp>##V3_BDHV12</stp>
        <stp>AMZN US Equity</stp>
        <stp>OTHER_ADJUSTMENTS</stp>
        <stp>FQ3 2015</stp>
        <stp>FQ3 2015</stp>
        <stp>[AMZ_2009-2018.xlsx]Income - Adjusted!R42C29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2" s="2"/>
      </tp>
      <tp>
        <v>-139</v>
        <stp/>
        <stp>##V3_BDHV12</stp>
        <stp>AMZN US Equity</stp>
        <stp>CF_DEF_INC_TAX</stp>
        <stp>FQ2 2018</stp>
        <stp>FQ2 2018</stp>
        <stp>[AMZ_2009-2018.xlsx]Cash Flow - Standardized!R11C40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1" s="4"/>
      </tp>
      <tp>
        <v>0</v>
        <stp/>
        <stp>##V3_BDHV12</stp>
        <stp>AMZN US Equity</stp>
        <stp>CF_INCR_INVEST</stp>
        <stp>FQ1 2018</stp>
        <stp>FQ1 2018</stp>
        <stp>[AMZ_2009-2018.xlsx]Cash Flow - Standardized!R31C39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1" s="4"/>
      </tp>
      <tp>
        <v>0</v>
        <stp/>
        <stp>##V3_BDHV12</stp>
        <stp>AMZN US Equity</stp>
        <stp>CF_DECR_INVEST</stp>
        <stp>FQ1 2018</stp>
        <stp>FQ1 2018</stp>
        <stp>[AMZ_2009-2018.xlsx]Cash Flow - Standardized!R30C39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0" s="4"/>
      </tp>
      <tp>
        <v>431</v>
        <stp/>
        <stp>##V3_BDHV12</stp>
        <stp>AMZN US Equity</stp>
        <stp>IS_AVG_NUM_SH_FOR_EPS</stp>
        <stp>FQ2 2009</stp>
        <stp>FQ2 2009</stp>
        <stp>[AMZ_2009-2018.xlsx]Income - Adjusted!R49C4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49" s="2"/>
      </tp>
      <tp>
        <v>43.748899999999999</v>
        <stp/>
        <stp>##V3_BDHV12</stp>
        <stp>AMZN US Equity</stp>
        <stp>CHG_PCT_PERIOD</stp>
        <stp>FQ3 2010</stp>
        <stp>FQ3 2010</stp>
        <stp>[AMZ_2009-2018.xlsx]Stock Value!R7C9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7" s="6"/>
      </tp>
      <tp>
        <v>-140</v>
        <stp/>
        <stp>##V3_BDHV12</stp>
        <stp>AMZN US Equity</stp>
        <stp>CHG_IN_FXD_&amp;_INTANG_AST_DETAILED</stp>
        <stp>FQ1 2010</stp>
        <stp>FQ1 2010</stp>
        <stp>[AMZ_2009-2018.xlsx]Cash Flow - Standardized!R22C7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2" s="4"/>
      </tp>
      <tp>
        <v>578</v>
        <stp/>
        <stp>##V3_BDHV12</stp>
        <stp>AMZN US Equity</stp>
        <stp>OTHER_NONCURRENT_LIABS_DETAILED</stp>
        <stp>FQ1 2009</stp>
        <stp>FQ1 2009</stp>
        <stp>[AMZ_2009-2018.xlsx]Bal Sheet - Standardized!R61C3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1" s="3"/>
      </tp>
      <tp>
        <v>1.2054</v>
        <stp/>
        <stp>##V3_BDHV12</stp>
        <stp>AMZN US Equity</stp>
        <stp>FREE_CASH_FLOW_PER_SH</stp>
        <stp>FQ3 2010</stp>
        <stp>FQ3 2010</stp>
        <stp>[AMZ_2009-2018.xlsx]Cash Flow - Standardized!R68C9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68" s="4"/>
      </tp>
      <tp>
        <v>0.1208</v>
        <stp/>
        <stp>##V3_BDHV12</stp>
        <stp>AMZN US Equity</stp>
        <stp>FREE_CASH_FLOW_PER_SH</stp>
        <stp>FQ2 2010</stp>
        <stp>FQ2 2010</stp>
        <stp>[AMZ_2009-2018.xlsx]Cash Flow - Standardized!R68C8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68" s="4"/>
      </tp>
      <tp>
        <v>-1.4918</v>
        <stp/>
        <stp>##V3_BDHV12</stp>
        <stp>AMZN US Equity</stp>
        <stp>FREE_CASH_FLOW_PER_SH</stp>
        <stp>FQ1 2009</stp>
        <stp>FQ1 2009</stp>
        <stp>[AMZ_2009-2018.xlsx]Cash Flow - Standardized!R68C3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68" s="4"/>
      </tp>
      <tp>
        <v>5.6204999999999998</v>
        <stp/>
        <stp>##V3_BDHV12</stp>
        <stp>AMZN US Equity</stp>
        <stp>FREE_CASH_FLOW_PER_SH</stp>
        <stp>FQ4 2009</stp>
        <stp>FQ4 2009</stp>
        <stp>[AMZ_2009-2018.xlsx]Cash Flow - Standardized!R68C6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68" s="4"/>
      </tp>
      <tp>
        <v>21</v>
        <stp/>
        <stp>##V3_BDHV12</stp>
        <stp>AMZN US Equity</stp>
        <stp>IS_INT_INC</stp>
        <stp>FQ1 2016</stp>
        <stp>FQ1 2016</stp>
        <stp>[AMZ_2009-2018.xlsx]Income - Adjusted!R22C31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22" s="2"/>
      </tp>
      <tp>
        <v>15</v>
        <stp/>
        <stp>##V3_BDHV12</stp>
        <stp>AMZN US Equity</stp>
        <stp>IS_INT_INC</stp>
        <stp>FQ1 2011</stp>
        <stp>FQ1 2011</stp>
        <stp>[AMZ_2009-2018.xlsx]Income - Adjusted!R22C11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2" s="2"/>
      </tp>
      <tp>
        <v>440</v>
        <stp/>
        <stp>##V3_BDHV12</stp>
        <stp>AMZN US Equity</stp>
        <stp>IS_SH_FOR_DILUTED_EPS</stp>
        <stp>FQ2 2009</stp>
        <stp>FQ2 2009</stp>
        <stp>[AMZ_2009-2018.xlsx]Per Share!R7C4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7" s="5"/>
      </tp>
      <tp>
        <v>441</v>
        <stp/>
        <stp>##V3_BDHV12</stp>
        <stp>AMZN US Equity</stp>
        <stp>IS_SH_FOR_DILUTED_EPS</stp>
        <stp>FQ3 2009</stp>
        <stp>FQ3 2009</stp>
        <stp>[AMZ_2009-2018.xlsx]Per Share!R7C5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7" s="5"/>
      </tp>
      <tp>
        <v>9</v>
        <stp/>
        <stp>##V3_BDHV12</stp>
        <stp>AMZN US Equity</stp>
        <stp>IS_INT_INC</stp>
        <stp>FQ3 2013</stp>
        <stp>FQ3 2013</stp>
        <stp>[AMZ_2009-2018.xlsx]Income - Adjusted!R22C21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2" s="2"/>
      </tp>
      <tp>
        <v>-1213</v>
        <stp/>
        <stp>##V3_BDHV12</stp>
        <stp>AMZN US Equity</stp>
        <stp>CF_PURCHASE_OF_FIXED_PROD_ASSETS</stp>
        <stp>FQ2 2015</stp>
        <stp>FQ2 2015</stp>
        <stp>[AMZ_2009-2018.xlsx]Cash Flow - Standardized!R27C28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7" s="4"/>
      </tp>
      <tp>
        <v>-2148</v>
        <stp/>
        <stp>##V3_BDHV12</stp>
        <stp>AMZN US Equity</stp>
        <stp>CF_PURCHASE_OF_FIXED_PROD_ASSETS</stp>
        <stp>FQ1 2017</stp>
        <stp>FQ1 2017</stp>
        <stp>[AMZ_2009-2018.xlsx]Cash Flow - Standardized!R27C35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7" s="4"/>
      </tp>
      <tp>
        <v>-1378</v>
        <stp/>
        <stp>##V3_BDHV12</stp>
        <stp>AMZN US Equity</stp>
        <stp>CF_PURCHASE_OF_FIXED_PROD_ASSETS</stp>
        <stp>FQ3 2014</stp>
        <stp>FQ3 2014</stp>
        <stp>[AMZ_2009-2018.xlsx]Cash Flow - Standardized!R27C25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7" s="4"/>
      </tp>
      <tp>
        <v>-880</v>
        <stp/>
        <stp>##V3_BDHV12</stp>
        <stp>AMZN US Equity</stp>
        <stp>CF_PURCHASE_OF_FIXED_PROD_ASSETS</stp>
        <stp>FQ4 2013</stp>
        <stp>FQ4 2013</stp>
        <stp>[AMZ_2009-2018.xlsx]Cash Flow - Standardized!R27C22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7" s="4"/>
      </tp>
      <tp>
        <v>-328</v>
        <stp/>
        <stp>##V3_BDHV12</stp>
        <stp>AMZN US Equity</stp>
        <stp>CF_PURCHASE_OF_FIXED_PROD_ASSETS</stp>
        <stp>FQ4 2010</stp>
        <stp>FQ4 2010</stp>
        <stp>[AMZ_2009-2018.xlsx]Cash Flow - Standardized!R27C10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7" s="4"/>
      </tp>
      <tp>
        <v>432</v>
        <stp/>
        <stp>##V3_BDHV12</stp>
        <stp>AMZN US Equity</stp>
        <stp>IS_AVG_NUM_SH_FOR_EPS</stp>
        <stp>FQ3 2009</stp>
        <stp>FQ3 2009</stp>
        <stp>[AMZ_2009-2018.xlsx]Per Share!R8C5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8" s="5"/>
      </tp>
      <tp>
        <v>431</v>
        <stp/>
        <stp>##V3_BDHV12</stp>
        <stp>AMZN US Equity</stp>
        <stp>IS_AVG_NUM_SH_FOR_EPS</stp>
        <stp>FQ2 2009</stp>
        <stp>FQ2 2009</stp>
        <stp>[AMZ_2009-2018.xlsx]Per Share!R8C4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8" s="5"/>
      </tp>
      <tp>
        <v>1952.7946999999999</v>
        <stp/>
        <stp>##V3_BDHV12</stp>
        <stp>AMZN US Equity</stp>
        <stp>CF_FREE_CASH_FLOW_FIRM</stp>
        <stp>FQ2 2016</stp>
        <stp>FQ2 2016</stp>
        <stp>[AMZ_2009-2018.xlsx]Cash Flow - Standardized!R66C32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66" s="4"/>
      </tp>
      <tp>
        <v>-57.678100000000001</v>
        <stp/>
        <stp>##V3_BDHV12</stp>
        <stp>AMZN US Equity</stp>
        <stp>CF_FREE_CASH_FLOW_FIRM</stp>
        <stp>FQ2 2012</stp>
        <stp>FQ2 2012</stp>
        <stp>[AMZ_2009-2018.xlsx]Cash Flow - Standardized!R66C16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66" s="4"/>
      </tp>
      <tp>
        <v>0</v>
        <stp/>
        <stp>##V3_BDHV12</stp>
        <stp>AMZN US Equity</stp>
        <stp>CF_TAX_BENEFIT_FRM_STOCK_OPTIONS</stp>
        <stp>FQ3 2013</stp>
        <stp>FQ3 2013</stp>
        <stp>[AMZ_2009-2018.xlsx]Cash Flow - Standardized!R64C21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4" s="4"/>
      </tp>
      <tp>
        <v>115</v>
        <stp/>
        <stp>##V3_BDHV12</stp>
        <stp>AMZN US Equity</stp>
        <stp>CF_TAX_BENEFIT_FRM_STOCK_OPTIONS</stp>
        <stp>FQ4 2014</stp>
        <stp>FQ4 2014</stp>
        <stp>[AMZ_2009-2018.xlsx]Cash Flow - Standardized!R64C26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4" s="4"/>
      </tp>
      <tp>
        <v>43</v>
        <stp/>
        <stp>##V3_BDHV12</stp>
        <stp>AMZN US Equity</stp>
        <stp>BS_DEFERRED_TAX_ASSETS_LT</stp>
        <stp>FQ3 2010</stp>
        <stp>FQ3 2010</stp>
        <stp>[AMZ_2009-2018.xlsx]Bal Sheet - Standardized!R31C9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1" s="3"/>
      </tp>
      <tp>
        <v>200</v>
        <stp/>
        <stp>##V3_BDHV12</stp>
        <stp>AMZN US Equity</stp>
        <stp>BS_DEFERRED_TAX_ASSETS_ST</stp>
        <stp>FQ3 2010</stp>
        <stp>FQ3 2010</stp>
        <stp>[AMZ_2009-2018.xlsx]Bal Sheet - Standardized!R20C9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0" s="3"/>
      </tp>
      <tp>
        <v>15</v>
        <stp/>
        <stp>##V3_BDHV12</stp>
        <stp>AMZN US Equity</stp>
        <stp>CF_TAX_BENEFIT_FRM_STOCK_OPTIONS</stp>
        <stp>FQ2 2011</stp>
        <stp>FQ2 2011</stp>
        <stp>[AMZ_2009-2018.xlsx]Cash Flow - Standardized!R64C12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4" s="4"/>
      </tp>
      <tp>
        <v>0.39</v>
        <stp/>
        <stp>##V3_BDHV12</stp>
        <stp>AMZN US Equity</stp>
        <stp>IS_EARN_BEF_XO_ITEMS_PER_SH</stp>
        <stp>FQ4 2011</stp>
        <stp>FQ4 2011</stp>
        <stp>[AMZ_2009-2018.xlsx]Income - Adjusted!R51C14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51" s="2"/>
      </tp>
      <tp>
        <v>1.5699999999999998</v>
        <stp/>
        <stp>##V3_BDHV12</stp>
        <stp>AMZN US Equity</stp>
        <stp>IS_EARN_BEF_XO_ITEMS_PER_SH</stp>
        <stp>FQ4 2016</stp>
        <stp>FQ4 2016</stp>
        <stp>[AMZ_2009-2018.xlsx]Income - Adjusted!R51C34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51" s="2"/>
      </tp>
      <tp>
        <v>183</v>
        <stp/>
        <stp>##V3_BDHV12</stp>
        <stp>AMZN US Equity</stp>
        <stp>BS_DEFERRED_TAX_ASSETS_ST</stp>
        <stp>FQ2 2009</stp>
        <stp>FQ2 2009</stp>
        <stp>[AMZ_2009-2018.xlsx]Bal Sheet - Standardized!R20C4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0" s="3"/>
      </tp>
      <tp>
        <v>118</v>
        <stp/>
        <stp>##V3_BDHV12</stp>
        <stp>AMZN US Equity</stp>
        <stp>BS_DEFERRED_TAX_ASSETS_LT</stp>
        <stp>FQ2 2009</stp>
        <stp>FQ2 2009</stp>
        <stp>[AMZ_2009-2018.xlsx]Bal Sheet - Standardized!R31C4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1" s="3"/>
      </tp>
      <tp>
        <v>-0.27</v>
        <stp/>
        <stp>##V3_BDHV12</stp>
        <stp>AMZN US Equity</stp>
        <stp>IS_EARN_BEF_XO_ITEMS_PER_SH</stp>
        <stp>FQ2 2014</stp>
        <stp>FQ2 2014</stp>
        <stp>[AMZ_2009-2018.xlsx]Income - Adjusted!R51C24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51" s="2"/>
      </tp>
      <tp>
        <v>40</v>
        <stp/>
        <stp>##V3_BDHV12</stp>
        <stp>AMZN US Equity</stp>
        <stp>CF_TAX_BENEFIT_FRM_STOCK_OPTIONS</stp>
        <stp>FQ1 2012</stp>
        <stp>FQ1 2012</stp>
        <stp>[AMZ_2009-2018.xlsx]Cash Flow - Standardized!R64C15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4" s="4"/>
      </tp>
      <tp>
        <v>93</v>
        <stp/>
        <stp>##V3_BDHV12</stp>
        <stp>AMZN US Equity</stp>
        <stp>CF_TAX_BENEFIT_FRM_STOCK_OPTIONS</stp>
        <stp>FQ4 2015</stp>
        <stp>FQ4 2015</stp>
        <stp>[AMZ_2009-2018.xlsx]Cash Flow - Standardized!R64C30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4" s="4"/>
      </tp>
      <tp>
        <v>455</v>
        <stp/>
        <stp>##V3_BDHV12</stp>
        <stp>AMZN US Equity</stp>
        <stp>BS_SH_OUT</stp>
        <stp>FQ3 2011</stp>
        <stp>FQ3 2011</stp>
        <stp>[AMZ_2009-2018.xlsx]Per Share!R6C13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6" s="5"/>
      </tp>
      <tp>
        <v>458</v>
        <stp/>
        <stp>##V3_BDHV12</stp>
        <stp>AMZN US Equity</stp>
        <stp>BS_SH_OUT</stp>
        <stp>FQ3 2013</stp>
        <stp>FQ3 2013</stp>
        <stp>[AMZ_2009-2018.xlsx]Per Share!R6C21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6" s="5"/>
      </tp>
      <tp>
        <v>478</v>
        <stp/>
        <stp>##V3_BDHV12</stp>
        <stp>AMZN US Equity</stp>
        <stp>BS_SH_OUT</stp>
        <stp>FQ1 2017</stp>
        <stp>FQ1 2017</stp>
        <stp>[AMZ_2009-2018.xlsx]Per Share!R6C35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6" s="5"/>
      </tp>
      <tp>
        <v>466</v>
        <stp/>
        <stp>##V3_BDHV12</stp>
        <stp>AMZN US Equity</stp>
        <stp>BS_SH_OUT</stp>
        <stp>FQ1 2015</stp>
        <stp>FQ1 2015</stp>
        <stp>[AMZ_2009-2018.xlsx]Per Share!R6C27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6" s="5"/>
      </tp>
      <tp>
        <v>477</v>
        <stp/>
        <stp>##V3_BDHV12</stp>
        <stp>AMZN US Equity</stp>
        <stp>BS_SH_OUT</stp>
        <stp>FQ4 2016</stp>
        <stp>FQ4 2016</stp>
        <stp>[AMZ_2009-2018.xlsx]Per Share!R6C34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6" s="5"/>
      </tp>
      <tp>
        <v>465</v>
        <stp/>
        <stp>##V3_BDHV12</stp>
        <stp>AMZN US Equity</stp>
        <stp>BS_SH_OUT</stp>
        <stp>FQ4 2014</stp>
        <stp>FQ4 2014</stp>
        <stp>[AMZ_2009-2018.xlsx]Per Share!R6C26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6" s="5"/>
      </tp>
      <tp>
        <v>0</v>
        <stp/>
        <stp>##V3_BDHV12</stp>
        <stp>AMZN US Equity</stp>
        <stp>CF_NET_CHG_IN_ST_DBT_&amp;_CPTL_LEAS</stp>
        <stp>FQ2 2013</stp>
        <stp>FQ2 2013</stp>
        <stp>[AMZ_2009-2018.xlsx]Cash Flow - Standardized!R43C20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3" s="4"/>
      </tp>
      <tp>
        <v>0</v>
        <stp/>
        <stp>##V3_BDHV12</stp>
        <stp>AMZN US Equity</stp>
        <stp>CF_NET_CHG_IN_ST_DBT_&amp;_CPTL_LEAS</stp>
        <stp>FQ3 2011</stp>
        <stp>FQ3 2011</stp>
        <stp>[AMZ_2009-2018.xlsx]Cash Flow - Standardized!R43C13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3" s="4"/>
      </tp>
      <tp>
        <v>73.015000000000001</v>
        <stp/>
        <stp>##V3_BDHV12</stp>
        <stp>AMZN US Equity</stp>
        <stp>PX_OPEN</stp>
        <stp>FQ2 2009</stp>
        <stp>FQ2 2009</stp>
        <stp>[AMZ_2009-2018.xlsx]Stock Value!R8C4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8" s="6"/>
      </tp>
      <tp>
        <v>145.91</v>
        <stp/>
        <stp>##V3_BDHV12</stp>
        <stp>AMZN US Equity</stp>
        <stp>PX_HIGH</stp>
        <stp>FQ4 2009</stp>
        <stp>FQ4 2009</stp>
        <stp>[AMZ_2009-2018.xlsx]Stock Value!R9C6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9" s="6"/>
      </tp>
      <tp>
        <v>0</v>
        <stp/>
        <stp>##V3_BDHV12</stp>
        <stp>AMZN US Equity</stp>
        <stp>CF_NET_CHG_IN_ST_DBT_&amp;_CPTL_LEAS</stp>
        <stp>FQ1 2013</stp>
        <stp>FQ1 2013</stp>
        <stp>[AMZ_2009-2018.xlsx]Cash Flow - Standardized!R43C19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3" s="4"/>
      </tp>
      <tp t="s">
        <v>—</v>
        <stp/>
        <stp>##V3_BDHV12</stp>
        <stp>AMZN US Equity</stp>
        <stp>BS_INTEREST_&amp;_DIVIDENDS_PAYABLE</stp>
        <stp>FQ1 2017</stp>
        <stp>FQ1 2017</stp>
        <stp>[AMZ_2009-2018.xlsx]Bal Sheet - Standardized!R41C35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1" s="3"/>
      </tp>
      <tp t="s">
        <v>—</v>
        <stp/>
        <stp>##V3_BDHV12</stp>
        <stp>AMZN US Equity</stp>
        <stp>BS_INTEREST_&amp;_DIVIDENDS_PAYABLE</stp>
        <stp>FQ4 2010</stp>
        <stp>FQ4 2010</stp>
        <stp>[AMZ_2009-2018.xlsx]Bal Sheet - Standardized!R41C10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1" s="3"/>
      </tp>
      <tp t="s">
        <v>—</v>
        <stp/>
        <stp>##V3_BDHV12</stp>
        <stp>AMZN US Equity</stp>
        <stp>BS_INTEREST_&amp;_DIVIDENDS_PAYABLE</stp>
        <stp>FQ3 2014</stp>
        <stp>FQ3 2014</stp>
        <stp>[AMZ_2009-2018.xlsx]Bal Sheet - Standardized!R41C25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1" s="3"/>
      </tp>
      <tp t="s">
        <v>—</v>
        <stp/>
        <stp>##V3_BDHV12</stp>
        <stp>AMZN US Equity</stp>
        <stp>BS_INTEREST_&amp;_DIVIDENDS_PAYABLE</stp>
        <stp>FQ4 2013</stp>
        <stp>FQ4 2013</stp>
        <stp>[AMZ_2009-2018.xlsx]Bal Sheet - Standardized!R41C22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1" s="3"/>
      </tp>
      <tp t="s">
        <v>—</v>
        <stp/>
        <stp>##V3_BDHV12</stp>
        <stp>AMZN US Equity</stp>
        <stp>BS_INTEREST_&amp;_DIVIDENDS_PAYABLE</stp>
        <stp>FQ2 2015</stp>
        <stp>FQ2 2015</stp>
        <stp>[AMZ_2009-2018.xlsx]Bal Sheet - Standardized!R41C28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1" s="3"/>
      </tp>
      <tp>
        <v>1415</v>
        <stp/>
        <stp>##V3_BDHV12</stp>
        <stp>AMZN US Equity</stp>
        <stp>CF_FREE_CASH_FLOW</stp>
        <stp>FQ3 2015</stp>
        <stp>FQ3 2015</stp>
        <stp>[AMZ_2009-2018.xlsx]Cash Flow - Standardized!R65C29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5" s="4"/>
      </tp>
      <tp>
        <v>-239</v>
        <stp/>
        <stp>##V3_BDHV12</stp>
        <stp>AMZN US Equity</stp>
        <stp>CF_CHNG_NON_CASH_WORK_CAP</stp>
        <stp>FQ2 2018</stp>
        <stp>FQ2 2018</stp>
        <stp>[AMZ_2009-2018.xlsx]Cash Flow - Standardized!R13C40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3" s="4"/>
      </tp>
      <tp>
        <v>-428</v>
        <stp/>
        <stp>##V3_BDHV12</stp>
        <stp>AMZN US Equity</stp>
        <stp>CF_FREE_CASH_FLOW</stp>
        <stp>FQ2 2014</stp>
        <stp>FQ2 2014</stp>
        <stp>[AMZ_2009-2018.xlsx]Cash Flow - Standardized!R65C24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5" s="4"/>
      </tp>
      <tp>
        <v>-3132</v>
        <stp/>
        <stp>##V3_BDHV12</stp>
        <stp>AMZN US Equity</stp>
        <stp>CF_FREE_CASH_FLOW</stp>
        <stp>FQ1 2016</stp>
        <stp>FQ1 2016</stp>
        <stp>[AMZ_2009-2018.xlsx]Cash Flow - Standardized!R65C31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5" s="4"/>
      </tp>
      <tp>
        <v>3719</v>
        <stp/>
        <stp>##V3_BDHV12</stp>
        <stp>AMZN US Equity</stp>
        <stp>CF_FREE_CASH_FLOW</stp>
        <stp>FQ4 2011</stp>
        <stp>FQ4 2011</stp>
        <stp>[AMZ_2009-2018.xlsx]Cash Flow - Standardized!R65C14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5" s="4"/>
      </tp>
      <tp t="s">
        <v>—</v>
        <stp/>
        <stp>##V3_BDHV12</stp>
        <stp>AMZN US Equity</stp>
        <stp>INVTRY_IN_PROGRESS</stp>
        <stp>FQ3 2010</stp>
        <stp>FQ3 2010</stp>
        <stp>[AMZ_2009-2018.xlsx]Bal Sheet - Standardized!R15C9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5" s="3"/>
      </tp>
      <tp>
        <v>0</v>
        <stp/>
        <stp>##V3_BDHV12</stp>
        <stp>AMZN US Equity</stp>
        <stp>OTHER_ADJUSTMENTS</stp>
        <stp>FQ2 2017</stp>
        <stp>FQ2 2017</stp>
        <stp>[AMZ_2009-2018.xlsx]Income - Adjusted!R42C36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2" s="2"/>
      </tp>
      <tp>
        <v>0</v>
        <stp/>
        <stp>##V3_BDHV12</stp>
        <stp>AMZN US Equity</stp>
        <stp>OTHER_ADJUSTMENTS</stp>
        <stp>FQ3 2017</stp>
        <stp>FQ3 2017</stp>
        <stp>[AMZ_2009-2018.xlsx]Income - Adjusted!R42C37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2" s="2"/>
      </tp>
      <tp>
        <v>1128</v>
        <stp/>
        <stp>##V3_BDHV12</stp>
        <stp>AMZN US Equity</stp>
        <stp>BS_ACCRUAL</stp>
        <stp>FQ2 2009</stp>
        <stp>FQ2 2009</stp>
        <stp>[AMZ_2009-2018.xlsx]Bal Sheet - Standardized!R42C4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2" s="3"/>
      </tp>
      <tp>
        <v>0</v>
        <stp/>
        <stp>##V3_BDHV12</stp>
        <stp>AMZN US Equity</stp>
        <stp>OTHER_ADJUSTMENTS</stp>
        <stp>FQ1 2017</stp>
        <stp>FQ1 2017</stp>
        <stp>[AMZ_2009-2018.xlsx]Income - Adjusted!R42C35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2" s="2"/>
      </tp>
      <tp t="s">
        <v>—</v>
        <stp/>
        <stp>##V3_BDHV12</stp>
        <stp>AMZN US Equity</stp>
        <stp>INVTRY_IN_PROGRESS</stp>
        <stp>FQ2 2009</stp>
        <stp>FQ2 2009</stp>
        <stp>[AMZ_2009-2018.xlsx]Bal Sheet - Standardized!R15C4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5" s="3"/>
      </tp>
      <tp>
        <v>1761</v>
        <stp/>
        <stp>##V3_BDHV12</stp>
        <stp>AMZN US Equity</stp>
        <stp>BS_ACCRUAL</stp>
        <stp>FQ3 2010</stp>
        <stp>FQ3 2010</stp>
        <stp>[AMZ_2009-2018.xlsx]Bal Sheet - Standardized!R42C9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2" s="3"/>
      </tp>
      <tp>
        <v>0</v>
        <stp/>
        <stp>##V3_BDHV12</stp>
        <stp>AMZN US Equity</stp>
        <stp>IS_NET_INTEREST_EXPENSE</stp>
        <stp>FQ1 2009</stp>
        <stp>FQ1 2009</stp>
        <stp>[AMZ_2009-2018.xlsx]Income - Adjusted!R20C3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0" s="2"/>
      </tp>
      <tp>
        <v>0.85140000000000005</v>
        <stp/>
        <stp>##V3_BDHV12</stp>
        <stp>AMZN US Equity</stp>
        <stp>IS_DIL_EPS_CONT_OPS</stp>
        <stp>FQ4 2009</stp>
        <stp>FQ4 2009</stp>
        <stp>[AMZ_2009-2018.xlsx]Per Share!R19C6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19" s="5"/>
      </tp>
      <tp>
        <v>0</v>
        <stp/>
        <stp>##V3_BDHV12</stp>
        <stp>AMZN US Equity</stp>
        <stp>OTHER_ADJUSTMENTS</stp>
        <stp>FQ4 2017</stp>
        <stp>FQ4 2017</stp>
        <stp>[AMZ_2009-2018.xlsx]Income - Adjusted!R42C38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2" s="2"/>
      </tp>
      <tp>
        <v>384</v>
        <stp/>
        <stp>##V3_BDHV12</stp>
        <stp>AMZN US Equity</stp>
        <stp>CF_NET_INC</stp>
        <stp>FQ4 2009</stp>
        <stp>FQ4 2009</stp>
        <stp>[AMZ_2009-2018.xlsx]Cash Flow - Standardized!R7C6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" s="4"/>
      </tp>
      <tp>
        <v>177</v>
        <stp/>
        <stp>##V3_BDHV12</stp>
        <stp>AMZN US Equity</stp>
        <stp>CF_NET_INC</stp>
        <stp>FQ1 2009</stp>
        <stp>FQ1 2009</stp>
        <stp>[AMZ_2009-2018.xlsx]Cash Flow - Standardized!R7C3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4"/>
      </tp>
      <tp>
        <v>142</v>
        <stp/>
        <stp>##V3_BDHV12</stp>
        <stp>AMZN US Equity</stp>
        <stp>CF_NET_INC</stp>
        <stp>FQ2 2009</stp>
        <stp>FQ2 2009</stp>
        <stp>[AMZ_2009-2018.xlsx]Cash Flow - Standardized!R7C4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" s="4"/>
      </tp>
      <tp>
        <v>199</v>
        <stp/>
        <stp>##V3_BDHV12</stp>
        <stp>AMZN US Equity</stp>
        <stp>CF_NET_INC</stp>
        <stp>FQ3 2009</stp>
        <stp>FQ3 2009</stp>
        <stp>[AMZ_2009-2018.xlsx]Cash Flow - Standardized!R7C5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" s="4"/>
      </tp>
      <tp>
        <v>299</v>
        <stp/>
        <stp>##V3_BDHV12</stp>
        <stp>AMZN US Equity</stp>
        <stp>CF_NET_INC</stp>
        <stp>FQ1 2010</stp>
        <stp>FQ1 2010</stp>
        <stp>[AMZ_2009-2018.xlsx]Cash Flow - Standardized!R7C7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" s="4"/>
      </tp>
      <tp>
        <v>0</v>
        <stp/>
        <stp>##V3_BDHV12</stp>
        <stp>AMZN US Equity</stp>
        <stp>CF_OTHER_FINANCING_ACT_EXCL_FX</stp>
        <stp>FQ2 2018</stp>
        <stp>FQ2 2018</stp>
        <stp>[AMZ_2009-2018.xlsx]Cash Flow - Standardized!R49C40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9" s="4"/>
      </tp>
      <tp>
        <v>207</v>
        <stp/>
        <stp>##V3_BDHV12</stp>
        <stp>AMZN US Equity</stp>
        <stp>CF_NET_INC</stp>
        <stp>FQ2 2010</stp>
        <stp>FQ2 2010</stp>
        <stp>[AMZ_2009-2018.xlsx]Cash Flow - Standardized!R7C8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" s="4"/>
      </tp>
      <tp>
        <v>231</v>
        <stp/>
        <stp>##V3_BDHV12</stp>
        <stp>AMZN US Equity</stp>
        <stp>CF_NET_INC</stp>
        <stp>FQ3 2010</stp>
        <stp>FQ3 2010</stp>
        <stp>[AMZ_2009-2018.xlsx]Cash Flow - Standardized!R7C9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" s="4"/>
      </tp>
      <tp>
        <v>674</v>
        <stp/>
        <stp>##V3_BDHV12</stp>
        <stp>AMZN US Equity</stp>
        <stp>OTHER_NONCURRENT_LIABS_DETAILED</stp>
        <stp>FQ2 2009</stp>
        <stp>FQ2 2009</stp>
        <stp>[AMZ_2009-2018.xlsx]Bal Sheet - Standardized!R61C4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1" s="3"/>
      </tp>
      <tp>
        <v>1226</v>
        <stp/>
        <stp>##V3_BDHV12</stp>
        <stp>AMZN US Equity</stp>
        <stp>OTHER_NONCURRENT_LIABS_DETAILED</stp>
        <stp>FQ3 2010</stp>
        <stp>FQ3 2010</stp>
        <stp>[AMZ_2009-2018.xlsx]Bal Sheet - Standardized!R61C9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1" s="3"/>
      </tp>
      <tp>
        <v>-196</v>
        <stp/>
        <stp>##V3_BDHV12</stp>
        <stp>AMZN US Equity</stp>
        <stp>CHG_IN_FXD_&amp;_INTANG_AST_DETAILED</stp>
        <stp>FQ2 2010</stp>
        <stp>FQ2 2010</stp>
        <stp>[AMZ_2009-2018.xlsx]Cash Flow - Standardized!R22C8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2" s="4"/>
      </tp>
      <tp>
        <v>262</v>
        <stp/>
        <stp>##V3_BDHV12</stp>
        <stp>AMZN US Equity</stp>
        <stp>BS_TOTAL_CAPITAL_LEASES</stp>
        <stp>FQ4 2009</stp>
        <stp>FQ4 2009</stp>
        <stp>[AMZ_2009-2018.xlsx]Bal Sheet - Standardized!R82C6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82" s="3"/>
      </tp>
      <tp>
        <v>-103</v>
        <stp/>
        <stp>##V3_BDHV12</stp>
        <stp>AMZN US Equity</stp>
        <stp>CHG_IN_FXD_&amp;_INTANG_AST_DETAILED</stp>
        <stp>FQ3 2009</stp>
        <stp>FQ3 2009</stp>
        <stp>[AMZ_2009-2018.xlsx]Cash Flow - Standardized!R22C5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2" s="4"/>
      </tp>
      <tp>
        <v>-866</v>
        <stp/>
        <stp>##V3_BDHV12</stp>
        <stp>AMZN US Equity</stp>
        <stp>CF_NT_CSH_RCVD_PD_FOR_ACQUIS_DIV</stp>
        <stp>FQ2 2018</stp>
        <stp>FQ2 2018</stp>
        <stp>[AMZ_2009-2018.xlsx]Cash Flow - Standardized!R32C40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2" s="4"/>
      </tp>
      <tp>
        <v>59726.879999999997</v>
        <stp/>
        <stp>##V3_BDHV12</stp>
        <stp>AMZN US Equity</stp>
        <stp>HISTORICAL_MARKET_CAP</stp>
        <stp>FQ4 2009</stp>
        <stp>FQ4 2009</stp>
        <stp>[AMZ_2009-2018.xlsx]Stock Value!R12C6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2" s="6"/>
      </tp>
      <tp>
        <v>31505.759999999998</v>
        <stp/>
        <stp>##V3_BDHV12</stp>
        <stp>AMZN US Equity</stp>
        <stp>HISTORICAL_MARKET_CAP</stp>
        <stp>FQ1 2009</stp>
        <stp>FQ1 2009</stp>
        <stp>[AMZ_2009-2018.xlsx]Stock Value!R12C3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6"/>
      </tp>
      <tp>
        <v>24</v>
        <stp/>
        <stp>##V3_BDHV12</stp>
        <stp>AMZN US Equity</stp>
        <stp>IS_INT_INC</stp>
        <stp>FQ2 2016</stp>
        <stp>FQ2 2016</stp>
        <stp>[AMZ_2009-2018.xlsx]Income - Adjusted!R22C32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22" s="2"/>
      </tp>
      <tp>
        <v>16</v>
        <stp/>
        <stp>##V3_BDHV12</stp>
        <stp>AMZN US Equity</stp>
        <stp>IS_INT_INC</stp>
        <stp>FQ2 2011</stp>
        <stp>FQ2 2011</stp>
        <stp>[AMZ_2009-2018.xlsx]Income - Adjusted!R22C12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2" s="2"/>
      </tp>
      <tp>
        <v>10</v>
        <stp/>
        <stp>##V3_BDHV12</stp>
        <stp>AMZN US Equity</stp>
        <stp>IS_INT_INC</stp>
        <stp>FQ4 2013</stp>
        <stp>FQ4 2013</stp>
        <stp>[AMZ_2009-2018.xlsx]Income - Adjusted!R22C22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2" s="2"/>
      </tp>
      <tp>
        <v>36141.120000000003</v>
        <stp/>
        <stp>##V3_BDHV12</stp>
        <stp>AMZN US Equity</stp>
        <stp>HISTORICAL_MARKET_CAP</stp>
        <stp>FQ2 2009</stp>
        <stp>FQ2 2009</stp>
        <stp>[AMZ_2009-2018.xlsx]Stock Value!R12C4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2" s="6"/>
      </tp>
      <tp>
        <v>40424.879999999997</v>
        <stp/>
        <stp>##V3_BDHV12</stp>
        <stp>AMZN US Equity</stp>
        <stp>HISTORICAL_MARKET_CAP</stp>
        <stp>FQ3 2009</stp>
        <stp>FQ3 2009</stp>
        <stp>[AMZ_2009-2018.xlsx]Stock Value!R12C5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2" s="6"/>
      </tp>
      <tp>
        <v>60553.42</v>
        <stp/>
        <stp>##V3_BDHV12</stp>
        <stp>AMZN US Equity</stp>
        <stp>HISTORICAL_MARKET_CAP</stp>
        <stp>FQ1 2010</stp>
        <stp>FQ1 2010</stp>
        <stp>[AMZ_2009-2018.xlsx]Stock Value!R12C7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2" s="6"/>
      </tp>
      <tp>
        <v>-871</v>
        <stp/>
        <stp>##V3_BDHV12</stp>
        <stp>AMZN US Equity</stp>
        <stp>CF_PURCHASE_OF_FIXED_PROD_ASSETS</stp>
        <stp>FQ1 2015</stp>
        <stp>FQ1 2015</stp>
        <stp>[AMZ_2009-2018.xlsx]Cash Flow - Standardized!R27C27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7" s="4"/>
      </tp>
      <tp>
        <v>-3113</v>
        <stp/>
        <stp>##V3_BDHV12</stp>
        <stp>AMZN US Equity</stp>
        <stp>CF_PURCHASE_OF_FIXED_PROD_ASSETS</stp>
        <stp>FQ2 2017</stp>
        <stp>FQ2 2017</stp>
        <stp>[AMZ_2009-2018.xlsx]Cash Flow - Standardized!R27C36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7" s="4"/>
      </tp>
      <tp>
        <v>48948.480000000003</v>
        <stp/>
        <stp>##V3_BDHV12</stp>
        <stp>AMZN US Equity</stp>
        <stp>HISTORICAL_MARKET_CAP</stp>
        <stp>FQ2 2010</stp>
        <stp>FQ2 2010</stp>
        <stp>[AMZ_2009-2018.xlsx]Stock Value!R12C8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2" s="6"/>
      </tp>
      <tp>
        <v>70519.94</v>
        <stp/>
        <stp>##V3_BDHV12</stp>
        <stp>AMZN US Equity</stp>
        <stp>HISTORICAL_MARKET_CAP</stp>
        <stp>FQ3 2010</stp>
        <stp>FQ3 2010</stp>
        <stp>[AMZ_2009-2018.xlsx]Stock Value!R12C9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2" s="6"/>
      </tp>
      <tp>
        <v>-1841</v>
        <stp/>
        <stp>##V3_BDHV12</stp>
        <stp>AMZN US Equity</stp>
        <stp>CF_PURCHASE_OF_FIXED_PROD_ASSETS</stp>
        <stp>FQ3 2016</stp>
        <stp>FQ3 2016</stp>
        <stp>[AMZ_2009-2018.xlsx]Cash Flow - Standardized!R27C33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7" s="4"/>
      </tp>
      <tp>
        <v>-3067.6278000000002</v>
        <stp/>
        <stp>##V3_BDHV12</stp>
        <stp>AMZN US Equity</stp>
        <stp>CF_FREE_CASH_FLOW_FIRM</stp>
        <stp>FQ1 2016</stp>
        <stp>FQ1 2016</stp>
        <stp>[AMZ_2009-2018.xlsx]Cash Flow - Standardized!R66C31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66" s="4"/>
      </tp>
      <tp>
        <v>-3565.55</v>
        <stp/>
        <stp>##V3_BDHV12</stp>
        <stp>AMZN US Equity</stp>
        <stp>CF_FREE_CASH_FLOW_FIRM</stp>
        <stp>FQ1 2014</stp>
        <stp>FQ1 2014</stp>
        <stp>[AMZ_2009-2018.xlsx]Cash Flow - Standardized!R66C23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66" s="4"/>
      </tp>
      <tp>
        <v>-2813.75</v>
        <stp/>
        <stp>##V3_BDHV12</stp>
        <stp>AMZN US Equity</stp>
        <stp>CF_FREE_CASH_FLOW_FIRM</stp>
        <stp>FQ1 2012</stp>
        <stp>FQ1 2012</stp>
        <stp>[AMZ_2009-2018.xlsx]Cash Flow - Standardized!R66C15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66" s="4"/>
      </tp>
      <tp t="s">
        <v>—</v>
        <stp/>
        <stp>##V3_BDHV12</stp>
        <stp>AMZN US Equity</stp>
        <stp>CF_TAX_BENEFIT_FRM_STOCK_OPTIONS</stp>
        <stp>FQ4 2016</stp>
        <stp>FQ4 2016</stp>
        <stp>[AMZ_2009-2018.xlsx]Cash Flow - Standardized!R64C34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4" s="4"/>
      </tp>
      <tp>
        <v>192</v>
        <stp/>
        <stp>##V3_BDHV12</stp>
        <stp>AMZN US Equity</stp>
        <stp>BS_DEFERRED_TAX_ASSETS_ST</stp>
        <stp>FQ1 2009</stp>
        <stp>FQ1 2009</stp>
        <stp>[AMZ_2009-2018.xlsx]Bal Sheet - Standardized!R20C3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0" s="3"/>
      </tp>
      <tp>
        <v>118</v>
        <stp/>
        <stp>##V3_BDHV12</stp>
        <stp>AMZN US Equity</stp>
        <stp>BS_DEFERRED_TAX_ASSETS_LT</stp>
        <stp>FQ1 2009</stp>
        <stp>FQ1 2009</stp>
        <stp>[AMZ_2009-2018.xlsx]Bal Sheet - Standardized!R31C3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3"/>
      </tp>
      <tp>
        <v>347</v>
        <stp/>
        <stp>##V3_BDHV12</stp>
        <stp>AMZN US Equity</stp>
        <stp>EBITDA</stp>
        <stp>FQ3 2009</stp>
        <stp>FQ3 2009</stp>
        <stp>[AMZ_2009-2018.xlsx]Cash Flow - Standardized!R61C5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61" s="4"/>
      </tp>
      <tp>
        <v>250</v>
        <stp/>
        <stp>##V3_BDHV12</stp>
        <stp>AMZN US Equity</stp>
        <stp>EBITDA</stp>
        <stp>FQ2 2009</stp>
        <stp>FQ2 2009</stp>
        <stp>[AMZ_2009-2018.xlsx]Cash Flow - Standardized!R61C4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61" s="4"/>
      </tp>
      <tp>
        <v>46</v>
        <stp/>
        <stp>##V3_BDHV12</stp>
        <stp>AMZN US Equity</stp>
        <stp>CF_TAX_BENEFIT_FRM_STOCK_OPTIONS</stp>
        <stp>FQ1 2011</stp>
        <stp>FQ1 2011</stp>
        <stp>[AMZ_2009-2018.xlsx]Cash Flow - Standardized!R64C11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4" s="4"/>
      </tp>
      <tp>
        <v>0.53</v>
        <stp/>
        <stp>##V3_BDHV12</stp>
        <stp>AMZN US Equity</stp>
        <stp>IS_EARN_BEF_XO_ITEMS_PER_SH</stp>
        <stp>FQ3 2017</stp>
        <stp>FQ3 2017</stp>
        <stp>[AMZ_2009-2018.xlsx]Income - Adjusted!R51C37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51" s="2"/>
      </tp>
      <tp>
        <v>-0.6</v>
        <stp/>
        <stp>##V3_BDHV12</stp>
        <stp>AMZN US Equity</stp>
        <stp>IS_EARN_BEF_XO_ITEMS_PER_SH</stp>
        <stp>FQ3 2012</stp>
        <stp>FQ3 2012</stp>
        <stp>[AMZ_2009-2018.xlsx]Income - Adjusted!R51C17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51" s="2"/>
      </tp>
      <tp>
        <v>-0.12</v>
        <stp/>
        <stp>##V3_BDHV12</stp>
        <stp>AMZN US Equity</stp>
        <stp>IS_EARN_BEF_XO_ITEMS_PER_SH</stp>
        <stp>FQ1 2015</stp>
        <stp>FQ1 2015</stp>
        <stp>[AMZ_2009-2018.xlsx]Income - Adjusted!R51C27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51" s="2"/>
      </tp>
      <tp>
        <v>85</v>
        <stp/>
        <stp>##V3_BDHV12</stp>
        <stp>AMZN US Equity</stp>
        <stp>CF_TAX_BENEFIT_FRM_STOCK_OPTIONS</stp>
        <stp>FQ2 2012</stp>
        <stp>FQ2 2012</stp>
        <stp>[AMZ_2009-2018.xlsx]Cash Flow - Standardized!R64C16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4" s="4"/>
      </tp>
      <tp>
        <v>0</v>
        <stp/>
        <stp>##V3_BDHV12</stp>
        <stp>AMZN US Equity</stp>
        <stp>CF_NET_CHG_IN_ST_DBT_&amp;_CPTL_LEAS</stp>
        <stp>FQ1 2012</stp>
        <stp>FQ1 2012</stp>
        <stp>[AMZ_2009-2018.xlsx]Cash Flow - Standardized!R43C15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3" s="4"/>
      </tp>
      <tp>
        <v>457</v>
        <stp/>
        <stp>##V3_BDHV12</stp>
        <stp>AMZN US Equity</stp>
        <stp>BS_SH_OUT</stp>
        <stp>FQ2 2013</stp>
        <stp>FQ2 2013</stp>
        <stp>[AMZ_2009-2018.xlsx]Per Share!R6C20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6" s="5"/>
      </tp>
      <tp>
        <v>454</v>
        <stp/>
        <stp>##V3_BDHV12</stp>
        <stp>AMZN US Equity</stp>
        <stp>BS_SH_OUT</stp>
        <stp>FQ2 2011</stp>
        <stp>FQ2 2011</stp>
        <stp>[AMZ_2009-2018.xlsx]Per Share!R6C12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6" s="5"/>
      </tp>
      <tp t="s">
        <v>—</v>
        <stp/>
        <stp>##V3_BDHV12</stp>
        <stp>AMZN US Equity</stp>
        <stp>CF_NET_CHG_IN_ST_DBT_&amp;_CPTL_LEAS</stp>
        <stp>FQ4 2015</stp>
        <stp>FQ4 2015</stp>
        <stp>[AMZ_2009-2018.xlsx]Cash Flow - Standardized!R43C30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3" s="4"/>
      </tp>
      <tp>
        <v>138.19</v>
        <stp/>
        <stp>##V3_BDHV12</stp>
        <stp>AMZN US Equity</stp>
        <stp>PX_HIGH</stp>
        <stp>FQ1 2010</stp>
        <stp>FQ1 2010</stp>
        <stp>[AMZ_2009-2018.xlsx]Stock Value!R9C7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9" s="6"/>
      </tp>
      <tp>
        <v>0</v>
        <stp/>
        <stp>##V3_BDHV12</stp>
        <stp>AMZN US Equity</stp>
        <stp>CF_NET_CHG_IN_ST_DBT_&amp;_CPTL_LEAS</stp>
        <stp>FQ2 2011</stp>
        <stp>FQ2 2011</stp>
        <stp>[AMZ_2009-2018.xlsx]Cash Flow - Standardized!R43C12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3" s="4"/>
      </tp>
      <tp>
        <v>0</v>
        <stp/>
        <stp>##V3_BDHV12</stp>
        <stp>AMZN US Equity</stp>
        <stp>CF_NET_CHG_IN_ST_DBT_&amp;_CPTL_LEAS</stp>
        <stp>FQ3 2013</stp>
        <stp>FQ3 2013</stp>
        <stp>[AMZ_2009-2018.xlsx]Cash Flow - Standardized!R43C21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3" s="4"/>
      </tp>
      <tp>
        <v>0</v>
        <stp/>
        <stp>##V3_BDHV12</stp>
        <stp>AMZN US Equity</stp>
        <stp>CF_NET_CHG_IN_ST_DBT_&amp;_CPTL_LEAS</stp>
        <stp>FQ4 2014</stp>
        <stp>FQ4 2014</stp>
        <stp>[AMZ_2009-2018.xlsx]Cash Flow - Standardized!R43C26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3" s="4"/>
      </tp>
      <tp>
        <v>84.42</v>
        <stp/>
        <stp>##V3_BDHV12</stp>
        <stp>AMZN US Equity</stp>
        <stp>PX_OPEN</stp>
        <stp>FQ3 2009</stp>
        <stp>FQ3 2009</stp>
        <stp>[AMZ_2009-2018.xlsx]Stock Value!R8C5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8" s="6"/>
      </tp>
      <tp t="s">
        <v>—</v>
        <stp/>
        <stp>##V3_BDHV12</stp>
        <stp>AMZN US Equity</stp>
        <stp>BS_INTEREST_&amp;_DIVIDENDS_PAYABLE</stp>
        <stp>FQ2 2014</stp>
        <stp>FQ2 2014</stp>
        <stp>[AMZ_2009-2018.xlsx]Bal Sheet - Standardized!R41C24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1" s="3"/>
      </tp>
      <tp>
        <v>0.65</v>
        <stp/>
        <stp>##V3_BDHV12</stp>
        <stp>AMZN US Equity</stp>
        <stp>IS_NET_ABNORMAL_ITEMS</stp>
        <stp>FQ4 2009</stp>
        <stp>FQ4 2009</stp>
        <stp>[AMZ_2009-2018.xlsx]Income - Adjusted!R46C6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6" s="2"/>
      </tp>
      <tp t="s">
        <v>—</v>
        <stp/>
        <stp>##V3_BDHV12</stp>
        <stp>AMZN US Equity</stp>
        <stp>BS_INTEREST_&amp;_DIVIDENDS_PAYABLE</stp>
        <stp>FQ1 2016</stp>
        <stp>FQ1 2016</stp>
        <stp>[AMZ_2009-2018.xlsx]Bal Sheet - Standardized!R41C31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1" s="3"/>
      </tp>
      <tp t="s">
        <v>—</v>
        <stp/>
        <stp>##V3_BDHV12</stp>
        <stp>AMZN US Equity</stp>
        <stp>BS_INTEREST_&amp;_DIVIDENDS_PAYABLE</stp>
        <stp>FQ4 2011</stp>
        <stp>FQ4 2011</stp>
        <stp>[AMZ_2009-2018.xlsx]Bal Sheet - Standardized!R41C14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1" s="3"/>
      </tp>
      <tp t="s">
        <v>—</v>
        <stp/>
        <stp>##V3_BDHV12</stp>
        <stp>AMZN US Equity</stp>
        <stp>BS_INTEREST_&amp;_DIVIDENDS_PAYABLE</stp>
        <stp>FQ3 2015</stp>
        <stp>FQ3 2015</stp>
        <stp>[AMZ_2009-2018.xlsx]Bal Sheet - Standardized!R41C29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1" s="3"/>
      </tp>
      <tp>
        <v>784</v>
        <stp/>
        <stp>##V3_BDHV12</stp>
        <stp>AMZN US Equity</stp>
        <stp>CF_FREE_CASH_FLOW</stp>
        <stp>FQ2 2015</stp>
        <stp>FQ2 2015</stp>
        <stp>[AMZ_2009-2018.xlsx]Cash Flow - Standardized!R65C28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5" s="4"/>
      </tp>
      <tp>
        <v>-3767</v>
        <stp/>
        <stp>##V3_BDHV12</stp>
        <stp>AMZN US Equity</stp>
        <stp>CF_FREE_CASH_FLOW</stp>
        <stp>FQ1 2017</stp>
        <stp>FQ1 2017</stp>
        <stp>[AMZ_2009-2018.xlsx]Cash Flow - Standardized!R65C35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5" s="4"/>
      </tp>
      <tp>
        <v>4698</v>
        <stp/>
        <stp>##V3_BDHV12</stp>
        <stp>AMZN US Equity</stp>
        <stp>CF_FREE_CASH_FLOW</stp>
        <stp>FQ4 2013</stp>
        <stp>FQ4 2013</stp>
        <stp>[AMZ_2009-2018.xlsx]Cash Flow - Standardized!R65C22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5" s="4"/>
      </tp>
      <tp>
        <v>388</v>
        <stp/>
        <stp>##V3_BDHV12</stp>
        <stp>AMZN US Equity</stp>
        <stp>CF_FREE_CASH_FLOW</stp>
        <stp>FQ3 2014</stp>
        <stp>FQ3 2014</stp>
        <stp>[AMZ_2009-2018.xlsx]Cash Flow - Standardized!R65C25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5" s="4"/>
      </tp>
      <tp>
        <v>3152</v>
        <stp/>
        <stp>##V3_BDHV12</stp>
        <stp>AMZN US Equity</stp>
        <stp>CF_FREE_CASH_FLOW</stp>
        <stp>FQ4 2010</stp>
        <stp>FQ4 2010</stp>
        <stp>[AMZ_2009-2018.xlsx]Cash Flow - Standardized!R65C10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5" s="4"/>
      </tp>
      <tp>
        <v>-3</v>
        <stp/>
        <stp>##V3_BDHV12</stp>
        <stp>AMZN US Equity</stp>
        <stp>IS_OTHER_NON_OPERATING_INC_LOSS</stp>
        <stp>FQ1 2010</stp>
        <stp>FQ1 2010</stp>
        <stp>[AMZ_2009-2018.xlsx]Income - Adjusted!R24C7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4" s="2"/>
      </tp>
      <tp t="s">
        <v>—</v>
        <stp/>
        <stp>##V3_BDHV12</stp>
        <stp>AMZN US Equity</stp>
        <stp>INVTRY_IN_PROGRESS</stp>
        <stp>FQ2 2010</stp>
        <stp>FQ2 2010</stp>
        <stp>[AMZ_2009-2018.xlsx]Bal Sheet - Standardized!R15C8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5" s="3"/>
      </tp>
      <tp>
        <v>384.65</v>
        <stp/>
        <stp>##V3_BDHV12</stp>
        <stp>AMZN US Equity</stp>
        <stp>EARN_FOR_COMMON</stp>
        <stp>FQ4 2009</stp>
        <stp>FQ4 2009</stp>
        <stp>[AMZ_2009-2018.xlsx]Income - Adjusted!R45C6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45" s="2"/>
      </tp>
      <tp>
        <v>1183</v>
        <stp/>
        <stp>##V3_BDHV12</stp>
        <stp>AMZN US Equity</stp>
        <stp>BS_ACCRUAL</stp>
        <stp>FQ3 2009</stp>
        <stp>FQ3 2009</stp>
        <stp>[AMZ_2009-2018.xlsx]Bal Sheet - Standardized!R42C5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2" s="3"/>
      </tp>
      <tp>
        <v>0</v>
        <stp/>
        <stp>##V3_BDHV12</stp>
        <stp>AMZN US Equity</stp>
        <stp>OTHER_ADJUSTMENTS</stp>
        <stp>FQ4 2016</stp>
        <stp>FQ4 2016</stp>
        <stp>[AMZ_2009-2018.xlsx]Income - Adjusted!R42C34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2" s="2"/>
      </tp>
      <tp t="s">
        <v>—</v>
        <stp/>
        <stp>##V3_BDHV12</stp>
        <stp>AMZN US Equity</stp>
        <stp>INVTRY_IN_PROGRESS</stp>
        <stp>FQ3 2009</stp>
        <stp>FQ3 2009</stp>
        <stp>[AMZ_2009-2018.xlsx]Bal Sheet - Standardized!R15C5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5" s="3"/>
      </tp>
      <tp>
        <v>0</v>
        <stp/>
        <stp>##V3_BDHV12</stp>
        <stp>AMZN US Equity</stp>
        <stp>OTHER_ADJUSTMENTS</stp>
        <stp>FQ2 2016</stp>
        <stp>FQ2 2016</stp>
        <stp>[AMZ_2009-2018.xlsx]Income - Adjusted!R42C32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2" s="2"/>
      </tp>
      <tp>
        <v>0</v>
        <stp/>
        <stp>##V3_BDHV12</stp>
        <stp>AMZN US Equity</stp>
        <stp>OTHER_ADJUSTMENTS</stp>
        <stp>FQ3 2016</stp>
        <stp>FQ3 2016</stp>
        <stp>[AMZ_2009-2018.xlsx]Income - Adjusted!R42C33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2" s="2"/>
      </tp>
      <tp>
        <v>1705</v>
        <stp/>
        <stp>##V3_BDHV12</stp>
        <stp>AMZN US Equity</stp>
        <stp>BS_ACCRUAL</stp>
        <stp>FQ2 2010</stp>
        <stp>FQ2 2010</stp>
        <stp>[AMZ_2009-2018.xlsx]Bal Sheet - Standardized!R42C8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2" s="3"/>
      </tp>
      <tp>
        <v>0</v>
        <stp/>
        <stp>##V3_BDHV12</stp>
        <stp>AMZN US Equity</stp>
        <stp>OTHER_ADJUSTMENTS</stp>
        <stp>FQ1 2016</stp>
        <stp>FQ1 2016</stp>
        <stp>[AMZ_2009-2018.xlsx]Income - Adjusted!R42C31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2" s="2"/>
      </tp>
      <tp>
        <v>440</v>
        <stp/>
        <stp>##V3_BDHV12</stp>
        <stp>AMZN US Equity</stp>
        <stp>IS_AVG_NUM_SH_FOR_EPS</stp>
        <stp>FQ4 2009</stp>
        <stp>FQ4 2009</stp>
        <stp>[AMZ_2009-2018.xlsx]Income - Adjusted!R49C6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49" s="2"/>
      </tp>
      <tp>
        <v>734</v>
        <stp/>
        <stp>##V3_BDHV12</stp>
        <stp>AMZN US Equity</stp>
        <stp>OTHER_NONCURRENT_LIABS_DETAILED</stp>
        <stp>FQ3 2009</stp>
        <stp>FQ3 2009</stp>
        <stp>[AMZ_2009-2018.xlsx]Bal Sheet - Standardized!R61C5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1" s="3"/>
      </tp>
      <tp>
        <v>1158</v>
        <stp/>
        <stp>##V3_BDHV12</stp>
        <stp>AMZN US Equity</stp>
        <stp>OTHER_NONCURRENT_LIABS_DETAILED</stp>
        <stp>FQ2 2010</stp>
        <stp>FQ2 2010</stp>
        <stp>[AMZ_2009-2018.xlsx]Bal Sheet - Standardized!R61C8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1" s="3"/>
      </tp>
      <tp>
        <v>-315</v>
        <stp/>
        <stp>##V3_BDHV12</stp>
        <stp>AMZN US Equity</stp>
        <stp>CHG_IN_FXD_&amp;_INTANG_AST_DETAILED</stp>
        <stp>FQ3 2010</stp>
        <stp>FQ3 2010</stp>
        <stp>[AMZ_2009-2018.xlsx]Cash Flow - Standardized!R22C9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2" s="4"/>
      </tp>
      <tp>
        <v>-78</v>
        <stp/>
        <stp>##V3_BDHV12</stp>
        <stp>AMZN US Equity</stp>
        <stp>CHG_IN_FXD_&amp;_INTANG_AST_DETAILED</stp>
        <stp>FQ2 2009</stp>
        <stp>FQ2 2009</stp>
        <stp>[AMZ_2009-2018.xlsx]Cash Flow - Standardized!R22C4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2" s="4"/>
      </tp>
      <tp>
        <v>11</v>
        <stp/>
        <stp>##V3_BDHV12</stp>
        <stp>AMZN US Equity</stp>
        <stp>IS_INT_INC</stp>
        <stp>FQ1 2014</stp>
        <stp>FQ1 2014</stp>
        <stp>[AMZ_2009-2018.xlsx]Income - Adjusted!R22C23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2" s="2"/>
      </tp>
      <tp>
        <v>-2025</v>
        <stp/>
        <stp>##V3_BDHV12</stp>
        <stp>AMZN US Equity</stp>
        <stp>CF_PURCHASE_OF_FIXED_PROD_ASSETS</stp>
        <stp>FQ4 2012</stp>
        <stp>FQ4 2012</stp>
        <stp>[AMZ_2009-2018.xlsx]Cash Flow - Standardized!R27C18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7" s="4"/>
      </tp>
      <tp>
        <v>26</v>
        <stp/>
        <stp>##V3_BDHV12</stp>
        <stp>AMZN US Equity</stp>
        <stp>IS_INT_INC</stp>
        <stp>FQ3 2016</stp>
        <stp>FQ3 2016</stp>
        <stp>[AMZ_2009-2018.xlsx]Income - Adjusted!R22C33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22" s="2"/>
      </tp>
      <tp>
        <v>16</v>
        <stp/>
        <stp>##V3_BDHV12</stp>
        <stp>AMZN US Equity</stp>
        <stp>IS_INT_INC</stp>
        <stp>FQ3 2011</stp>
        <stp>FQ3 2011</stp>
        <stp>[AMZ_2009-2018.xlsx]Income - Adjusted!R22C13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2" s="2"/>
      </tp>
      <tp>
        <v>-2659</v>
        <stp/>
        <stp>##V3_BDHV12</stp>
        <stp>AMZN US Equity</stp>
        <stp>CF_PURCHASE_OF_FIXED_PROD_ASSETS</stp>
        <stp>FQ3 2017</stp>
        <stp>FQ3 2017</stp>
        <stp>[AMZ_2009-2018.xlsx]Cash Flow - Standardized!R27C37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7" s="4"/>
      </tp>
      <tp>
        <v>1029</v>
        <stp/>
        <stp>##V3_BDHV12</stp>
        <stp>AMZN US Equity</stp>
        <stp>CF_ACCT_RCV_UNBILLED_REV</stp>
        <stp>FQ1 2018</stp>
        <stp>FQ1 2018</stp>
        <stp>[AMZ_2009-2018.xlsx]Cash Flow - Standardized!R14C39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4" s="4"/>
      </tp>
      <tp>
        <v>-1080</v>
        <stp/>
        <stp>##V3_BDHV12</stp>
        <stp>AMZN US Equity</stp>
        <stp>CF_PURCHASE_OF_FIXED_PROD_ASSETS</stp>
        <stp>FQ1 2014</stp>
        <stp>FQ1 2014</stp>
        <stp>[AMZ_2009-2018.xlsx]Cash Flow - Standardized!R27C23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7" s="4"/>
      </tp>
      <tp>
        <v>-1711</v>
        <stp/>
        <stp>##V3_BDHV12</stp>
        <stp>AMZN US Equity</stp>
        <stp>CF_PURCHASE_OF_FIXED_PROD_ASSETS</stp>
        <stp>FQ2 2016</stp>
        <stp>FQ2 2016</stp>
        <stp>[AMZ_2009-2018.xlsx]Cash Flow - Standardized!R27C32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7" s="4"/>
      </tp>
      <tp>
        <v>16</v>
        <stp/>
        <stp>##V3_BDHV12</stp>
        <stp>AMZN US Equity</stp>
        <stp>BS_DEFERRED_TAX_ASSETS_LT</stp>
        <stp>FQ1 2010</stp>
        <stp>FQ1 2010</stp>
        <stp>[AMZ_2009-2018.xlsx]Bal Sheet - Standardized!R31C7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1" s="3"/>
      </tp>
      <tp>
        <v>266</v>
        <stp/>
        <stp>##V3_BDHV12</stp>
        <stp>AMZN US Equity</stp>
        <stp>BS_DEFERRED_TAX_ASSETS_ST</stp>
        <stp>FQ1 2010</stp>
        <stp>FQ1 2010</stp>
        <stp>[AMZ_2009-2018.xlsx]Bal Sheet - Standardized!R20C7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0" s="3"/>
      </tp>
      <tp t="s">
        <v>—</v>
        <stp/>
        <stp>##V3_BDHV12</stp>
        <stp>AMZN US Equity</stp>
        <stp>CF_TAX_BENEFIT_FRM_STOCK_OPTIONS</stp>
        <stp>FQ4 2017</stp>
        <stp>FQ4 2017</stp>
        <stp>[AMZ_2009-2018.xlsx]Cash Flow - Standardized!R64C38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4" s="4"/>
      </tp>
      <tp>
        <v>0.46</v>
        <stp/>
        <stp>##V3_BDHV12</stp>
        <stp>AMZN US Equity</stp>
        <stp>IS_EARN_BEF_XO_ITEMS_PER_SH</stp>
        <stp>FQ4 2014</stp>
        <stp>FQ4 2014</stp>
        <stp>[AMZ_2009-2018.xlsx]Income - Adjusted!R51C26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51" s="2"/>
      </tp>
      <tp>
        <v>0.41</v>
        <stp/>
        <stp>##V3_BDHV12</stp>
        <stp>AMZN US Equity</stp>
        <stp>IS_EARN_BEF_XO_ITEMS_PER_SH</stp>
        <stp>FQ2 2017</stp>
        <stp>FQ2 2017</stp>
        <stp>[AMZ_2009-2018.xlsx]Income - Adjusted!R51C36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51" s="2"/>
      </tp>
      <tp>
        <v>0.02</v>
        <stp/>
        <stp>##V3_BDHV12</stp>
        <stp>AMZN US Equity</stp>
        <stp>IS_EARN_BEF_XO_ITEMS_PER_SH</stp>
        <stp>FQ2 2012</stp>
        <stp>FQ2 2012</stp>
        <stp>[AMZ_2009-2018.xlsx]Income - Adjusted!R51C16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51" s="2"/>
      </tp>
      <tp>
        <v>66</v>
        <stp/>
        <stp>##V3_BDHV12</stp>
        <stp>AMZN US Equity</stp>
        <stp>CF_TAX_BENEFIT_FRM_STOCK_OPTIONS</stp>
        <stp>FQ3 2012</stp>
        <stp>FQ3 2012</stp>
        <stp>[AMZ_2009-2018.xlsx]Cash Flow - Standardized!R64C17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4" s="4"/>
      </tp>
      <tp>
        <v>452</v>
        <stp/>
        <stp>##V3_BDHV12</stp>
        <stp>AMZN US Equity</stp>
        <stp>BS_SH_OUT</stp>
        <stp>FQ2 2012</stp>
        <stp>FQ2 2012</stp>
        <stp>[AMZ_2009-2018.xlsx]Per Share!R6C16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6" s="5"/>
      </tp>
      <tp>
        <v>474</v>
        <stp/>
        <stp>##V3_BDHV12</stp>
        <stp>AMZN US Equity</stp>
        <stp>BS_SH_OUT</stp>
        <stp>FQ2 2016</stp>
        <stp>FQ2 2016</stp>
        <stp>[AMZ_2009-2018.xlsx]Per Share!R6C32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6" s="5"/>
      </tp>
      <tp>
        <v>0</v>
        <stp/>
        <stp>##V3_BDHV12</stp>
        <stp>AMZN US Equity</stp>
        <stp>CF_NET_CHG_IN_ST_DBT_&amp;_CPTL_LEAS</stp>
        <stp>FQ1 2017</stp>
        <stp>FQ1 2017</stp>
        <stp>[AMZ_2009-2018.xlsx]Cash Flow - Standardized!R43C35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3" s="4"/>
      </tp>
      <tp>
        <v>0</v>
        <stp/>
        <stp>##V3_BDHV12</stp>
        <stp>AMZN US Equity</stp>
        <stp>CF_NET_CHG_IN_ST_DBT_&amp;_CPTL_LEAS</stp>
        <stp>FQ3 2014</stp>
        <stp>FQ3 2014</stp>
        <stp>[AMZ_2009-2018.xlsx]Cash Flow - Standardized!R43C25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3" s="4"/>
      </tp>
      <tp>
        <v>0</v>
        <stp/>
        <stp>##V3_BDHV12</stp>
        <stp>AMZN US Equity</stp>
        <stp>CF_NET_CHG_IN_ST_DBT_&amp;_CPTL_LEAS</stp>
        <stp>FQ4 2013</stp>
        <stp>FQ4 2013</stp>
        <stp>[AMZ_2009-2018.xlsx]Cash Flow - Standardized!R43C22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3" s="4"/>
      </tp>
      <tp>
        <v>0</v>
        <stp/>
        <stp>##V3_BDHV12</stp>
        <stp>AMZN US Equity</stp>
        <stp>CF_NET_CHG_IN_ST_DBT_&amp;_CPTL_LEAS</stp>
        <stp>FQ4 2010</stp>
        <stp>FQ4 2010</stp>
        <stp>[AMZ_2009-2018.xlsx]Cash Flow - Standardized!R43C10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3" s="4"/>
      </tp>
      <tp>
        <v>0</v>
        <stp/>
        <stp>##V3_BDHV12</stp>
        <stp>AMZN US Equity</stp>
        <stp>CF_NET_CHG_IN_ST_DBT_&amp;_CPTL_LEAS</stp>
        <stp>FQ2 2015</stp>
        <stp>FQ2 2015</stp>
        <stp>[AMZ_2009-2018.xlsx]Cash Flow - Standardized!R43C28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3" s="4"/>
      </tp>
      <tp t="s">
        <v>—</v>
        <stp/>
        <stp>##V3_BDHV12</stp>
        <stp>AMZN US Equity</stp>
        <stp>BS_INTEREST_&amp;_DIVIDENDS_PAYABLE</stp>
        <stp>FQ3 2011</stp>
        <stp>FQ3 2011</stp>
        <stp>[AMZ_2009-2018.xlsx]Bal Sheet - Standardized!R41C13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1" s="3"/>
      </tp>
      <tp t="s">
        <v>—</v>
        <stp/>
        <stp>##V3_BDHV12</stp>
        <stp>AMZN US Equity</stp>
        <stp>BS_INTEREST_&amp;_DIVIDENDS_PAYABLE</stp>
        <stp>FQ2 2013</stp>
        <stp>FQ2 2013</stp>
        <stp>[AMZ_2009-2018.xlsx]Bal Sheet - Standardized!R41C20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1" s="3"/>
      </tp>
      <tp>
        <v>-0.65</v>
        <stp/>
        <stp>##V3_BDHV12</stp>
        <stp>AMZN US Equity</stp>
        <stp>IS_NET_ABNORMAL_ITEMS</stp>
        <stp>FQ3 2009</stp>
        <stp>FQ3 2009</stp>
        <stp>[AMZ_2009-2018.xlsx]Income - Adjusted!R46C5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6" s="2"/>
      </tp>
      <tp t="s">
        <v>—</v>
        <stp/>
        <stp>##V3_BDHV12</stp>
        <stp>AMZN US Equity</stp>
        <stp>BS_INTEREST_&amp;_DIVIDENDS_PAYABLE</stp>
        <stp>FQ1 2013</stp>
        <stp>FQ1 2013</stp>
        <stp>[AMZ_2009-2018.xlsx]Bal Sheet - Standardized!R41C19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1" s="3"/>
      </tp>
      <tp>
        <v>25.3566</v>
        <stp/>
        <stp>##V3_BDHV12</stp>
        <stp>AMZN US Equity</stp>
        <stp>PX_TO_FREE_CASH_FLOW</stp>
        <stp>FQ1 2010</stp>
        <stp>FQ1 2010</stp>
        <stp>[AMZ_2009-2018.xlsx]Cash Flow - Standardized!R69C7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69" s="4"/>
      </tp>
      <tp>
        <v>-10</v>
        <stp/>
        <stp>##V3_BDHV12</stp>
        <stp>AMZN US Equity</stp>
        <stp>CF_FREE_CASH_FLOW</stp>
        <stp>FQ2 2011</stp>
        <stp>FQ2 2011</stp>
        <stp>[AMZ_2009-2018.xlsx]Cash Flow - Standardized!R65C12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5" s="4"/>
      </tp>
      <tp>
        <v>5571</v>
        <stp/>
        <stp>##V3_BDHV12</stp>
        <stp>AMZN US Equity</stp>
        <stp>CF_FREE_CASH_FLOW</stp>
        <stp>FQ4 2014</stp>
        <stp>FQ4 2014</stp>
        <stp>[AMZ_2009-2018.xlsx]Cash Flow - Standardized!R65C26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5" s="4"/>
      </tp>
      <tp>
        <v>350</v>
        <stp/>
        <stp>##V3_BDHV12</stp>
        <stp>AMZN US Equity</stp>
        <stp>CF_FREE_CASH_FLOW</stp>
        <stp>FQ3 2013</stp>
        <stp>FQ3 2013</stp>
        <stp>[AMZ_2009-2018.xlsx]Cash Flow - Standardized!R65C21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5" s="4"/>
      </tp>
      <tp>
        <v>7449</v>
        <stp/>
        <stp>##V3_BDHV12</stp>
        <stp>AMZN US Equity</stp>
        <stp>CF_CASH_FROM_OPER</stp>
        <stp>FQ2 2018</stp>
        <stp>FQ2 2018</stp>
        <stp>[AMZ_2009-2018.xlsx]Cash Flow - Standardized!R19C40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9" s="4"/>
      </tp>
      <tp>
        <v>-2824</v>
        <stp/>
        <stp>##V3_BDHV12</stp>
        <stp>AMZN US Equity</stp>
        <stp>CF_FREE_CASH_FLOW</stp>
        <stp>FQ1 2012</stp>
        <stp>FQ1 2012</stp>
        <stp>[AMZ_2009-2018.xlsx]Cash Flow - Standardized!R65C15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5" s="4"/>
      </tp>
      <tp>
        <v>7503</v>
        <stp/>
        <stp>##V3_BDHV12</stp>
        <stp>AMZN US Equity</stp>
        <stp>CF_FREE_CASH_FLOW</stp>
        <stp>FQ4 2015</stp>
        <stp>FQ4 2015</stp>
        <stp>[AMZ_2009-2018.xlsx]Cash Flow - Standardized!R65C30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5" s="4"/>
      </tp>
      <tp t="s">
        <v>—</v>
        <stp/>
        <stp>##V3_BDHV12</stp>
        <stp>AMZN US Equity</stp>
        <stp>INVTRY_IN_PROGRESS</stp>
        <stp>FQ4 2009</stp>
        <stp>FQ4 2009</stp>
        <stp>[AMZ_2009-2018.xlsx]Bal Sheet - Standardized!R15C6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5" s="3"/>
      </tp>
      <tp>
        <v>406</v>
        <stp/>
        <stp>##V3_BDHV12</stp>
        <stp>AMZN US Equity</stp>
        <stp>IS_OPER_INC</stp>
        <stp>FQ3 2015</stp>
        <stp>FQ3 2015</stp>
        <stp>[AMZ_2009-2018.xlsx]Income - Adjusted!R18C29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8" s="2"/>
      </tp>
      <tp>
        <v>207</v>
        <stp/>
        <stp>##V3_BDHV12</stp>
        <stp>AMZN US Equity</stp>
        <stp>EARN_FOR_COMMON</stp>
        <stp>FQ2 2010</stp>
        <stp>FQ2 2010</stp>
        <stp>[AMZ_2009-2018.xlsx]Income - Adjusted!R45C8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45" s="2"/>
      </tp>
      <tp>
        <v>181</v>
        <stp/>
        <stp>##V3_BDHV12</stp>
        <stp>AMZN US Equity</stp>
        <stp>IS_OPER_INC</stp>
        <stp>FQ1 2013</stp>
        <stp>FQ1 2013</stp>
        <stp>[AMZ_2009-2018.xlsx]Income - Adjusted!R18C19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8" s="2"/>
      </tp>
      <tp>
        <v>1927</v>
        <stp/>
        <stp>##V3_BDHV12</stp>
        <stp>AMZN US Equity</stp>
        <stp>IS_OPER_INC</stp>
        <stp>FQ1 2018</stp>
        <stp>FQ1 2018</stp>
        <stp>[AMZ_2009-2018.xlsx]Income - Adjusted!R18C39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8" s="2"/>
      </tp>
      <tp>
        <v>92</v>
        <stp/>
        <stp>##V3_BDHV12</stp>
        <stp>AMZN US Equity</stp>
        <stp>NI_INCLUDING_MINORITY_INT_RATIO</stp>
        <stp>FQ2 2015</stp>
        <stp>FQ2 2015</stp>
        <stp>[AMZ_2009-2018.xlsx]Income - Adjusted!R38C28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38" s="2"/>
      </tp>
      <tp>
        <v>1856</v>
        <stp/>
        <stp>##V3_BDHV12</stp>
        <stp>AMZN US Equity</stp>
        <stp>NI_INCLUDING_MINORITY_INT_RATIO</stp>
        <stp>FQ4 2017</stp>
        <stp>FQ4 2017</stp>
        <stp>[AMZ_2009-2018.xlsx]Income - Adjusted!R38C38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38" s="2"/>
      </tp>
      <tp>
        <v>97</v>
        <stp/>
        <stp>##V3_BDHV12</stp>
        <stp>AMZN US Equity</stp>
        <stp>NI_INCLUDING_MINORITY_INT_RATIO</stp>
        <stp>FQ4 2012</stp>
        <stp>FQ4 2012</stp>
        <stp>[AMZ_2009-2018.xlsx]Income - Adjusted!R38C18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38" s="2"/>
      </tp>
      <tp>
        <v>1618</v>
        <stp/>
        <stp>##V3_BDHV12</stp>
        <stp>AMZN US Equity</stp>
        <stp>BS_ACCRUAL</stp>
        <stp>FQ4 2009</stp>
        <stp>FQ4 2009</stp>
        <stp>[AMZ_2009-2018.xlsx]Bal Sheet - Standardized!R42C6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2" s="3"/>
      </tp>
      <tp>
        <v>0</v>
        <stp/>
        <stp>##V3_BDHV12</stp>
        <stp>AMZN US Equity</stp>
        <stp>IS_NET_INTEREST_EXPENSE</stp>
        <stp>FQ3 2009</stp>
        <stp>FQ3 2009</stp>
        <stp>[AMZ_2009-2018.xlsx]Income - Adjusted!R20C5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0" s="2"/>
      </tp>
      <tp>
        <v>0.51</v>
        <stp/>
        <stp>##V3_BDHV12</stp>
        <stp>AMZN US Equity</stp>
        <stp>IS_DIL_EPS_CONT_OPS</stp>
        <stp>FQ3 2010</stp>
        <stp>FQ3 2010</stp>
        <stp>[AMZ_2009-2018.xlsx]Per Share!R19C9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19" s="5"/>
      </tp>
      <tp>
        <v>0</v>
        <stp/>
        <stp>##V3_BDHV12</stp>
        <stp>AMZN US Equity</stp>
        <stp>OTHER_ADJUSTMENTS</stp>
        <stp>FQ1 2013</stp>
        <stp>FQ1 2013</stp>
        <stp>[AMZ_2009-2018.xlsx]Income - Adjusted!R42C19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2" s="2"/>
      </tp>
      <tp>
        <v>29.916699999999999</v>
        <stp/>
        <stp>##V3_BDHV12</stp>
        <stp>AMZN US Equity</stp>
        <stp>CASH_ST_INVESTMENTS_PER_SH</stp>
        <stp>FQ2 2015</stp>
        <stp>FQ2 2015</stp>
        <stp>[AMZ_2009-2018.xlsx]Per Share!R25C28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25" s="5"/>
      </tp>
      <tp>
        <v>64.020700000000005</v>
        <stp/>
        <stp>##V3_BDHV12</stp>
        <stp>AMZN US Equity</stp>
        <stp>CASH_ST_INVESTMENTS_PER_SH</stp>
        <stp>FQ4 2017</stp>
        <stp>FQ4 2017</stp>
        <stp>[AMZ_2009-2018.xlsx]Per Share!R25C38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25" s="5"/>
      </tp>
      <tp>
        <v>25.215900000000001</v>
        <stp/>
        <stp>##V3_BDHV12</stp>
        <stp>AMZN US Equity</stp>
        <stp>CASH_ST_INVESTMENTS_PER_SH</stp>
        <stp>FQ4 2012</stp>
        <stp>FQ4 2012</stp>
        <stp>[AMZ_2009-2018.xlsx]Per Share!R25C18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25" s="5"/>
      </tp>
      <tp>
        <v>447</v>
        <stp/>
        <stp>##V3_BDHV12</stp>
        <stp>AMZN US Equity</stp>
        <stp>IS_AVG_NUM_SH_FOR_EPS</stp>
        <stp>FQ2 2010</stp>
        <stp>FQ2 2010</stp>
        <stp>[AMZ_2009-2018.xlsx]Income - Adjusted!R49C8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49" s="2"/>
      </tp>
      <tp>
        <v>5</v>
        <stp/>
        <stp>##V3_BDHV12</stp>
        <stp>AMZN US Equity</stp>
        <stp>BS_COMMON_STOCK</stp>
        <stp>FQ1 2010</stp>
        <stp>FQ1 2010</stp>
        <stp>[AMZ_2009-2018.xlsx]Bal Sheet - Standardized!R66C7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6" s="3"/>
      </tp>
      <tp>
        <v>952</v>
        <stp/>
        <stp>##V3_BDHV12</stp>
        <stp>AMZN US Equity</stp>
        <stp>OTHER_NONCURRENT_LIABS_DETAILED</stp>
        <stp>FQ4 2009</stp>
        <stp>FQ4 2009</stp>
        <stp>[AMZ_2009-2018.xlsx]Bal Sheet - Standardized!R61C6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1" s="3"/>
      </tp>
      <tp t="s">
        <v>—</v>
        <stp/>
        <stp>##V3_BDHV12</stp>
        <stp>AMZN US Equity</stp>
        <stp>BS_TOTAL_CAPITAL_LEASES</stp>
        <stp>FQ3 2010</stp>
        <stp>FQ3 2010</stp>
        <stp>[AMZ_2009-2018.xlsx]Bal Sheet - Standardized!R82C9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82" s="3"/>
      </tp>
      <tp t="s">
        <v>—</v>
        <stp/>
        <stp>##V3_BDHV12</stp>
        <stp>AMZN US Equity</stp>
        <stp>BS_TOTAL_CAPITAL_LEASES</stp>
        <stp>FQ2 2009</stp>
        <stp>FQ2 2009</stp>
        <stp>[AMZ_2009-2018.xlsx]Bal Sheet - Standardized!R82C4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82" s="3"/>
      </tp>
      <tp>
        <v>11</v>
        <stp/>
        <stp>##V3_BDHV12</stp>
        <stp>AMZN US Equity</stp>
        <stp>IS_INT_INC</stp>
        <stp>FQ2 2014</stp>
        <stp>FQ2 2014</stp>
        <stp>[AMZ_2009-2018.xlsx]Income - Adjusted!R22C24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2" s="2"/>
      </tp>
      <tp>
        <v>-3619</v>
        <stp/>
        <stp>##V3_BDHV12</stp>
        <stp>AMZN US Equity</stp>
        <stp>CF_PURCHASE_OF_FIXED_PROD_ASSETS</stp>
        <stp>FQ4 2017</stp>
        <stp>FQ4 2017</stp>
        <stp>[AMZ_2009-2018.xlsx]Cash Flow - Standardized!R27C38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7" s="4"/>
      </tp>
      <tp>
        <v>14</v>
        <stp/>
        <stp>##V3_BDHV12</stp>
        <stp>AMZN US Equity</stp>
        <stp>IS_INT_INC</stp>
        <stp>FQ4 2011</stp>
        <stp>FQ4 2011</stp>
        <stp>[AMZ_2009-2018.xlsx]Income - Adjusted!R22C14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2" s="2"/>
      </tp>
      <tp>
        <v>30</v>
        <stp/>
        <stp>##V3_BDHV12</stp>
        <stp>AMZN US Equity</stp>
        <stp>IS_INT_INC</stp>
        <stp>FQ4 2016</stp>
        <stp>FQ4 2016</stp>
        <stp>[AMZ_2009-2018.xlsx]Income - Adjusted!R22C34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22" s="2"/>
      </tp>
      <tp>
        <v>0</v>
        <stp/>
        <stp>##V3_BDHV12</stp>
        <stp>AMZN US Equity</stp>
        <stp>BS_PENSION_RSRV</stp>
        <stp>FQ2 2018</stp>
        <stp>FQ2 2018</stp>
        <stp>[AMZ_2009-2018.xlsx]Bal Sheet - Standardized!R80C40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80" s="3"/>
      </tp>
      <tp>
        <v>-716</v>
        <stp/>
        <stp>##V3_BDHV12</stp>
        <stp>AMZN US Equity</stp>
        <stp>CF_PURCHASE_OF_FIXED_PROD_ASSETS</stp>
        <stp>FQ3 2012</stp>
        <stp>FQ3 2012</stp>
        <stp>[AMZ_2009-2018.xlsx]Cash Flow - Standardized!R27C17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7" s="4"/>
      </tp>
      <tp>
        <v>294</v>
        <stp/>
        <stp>##V3_BDHV12</stp>
        <stp>AMZN US Equity</stp>
        <stp>CF_DISPOSAL_OF_FIXED_PROD_ASSETS</stp>
        <stp>FQ2 2018</stp>
        <stp>FQ2 2018</stp>
        <stp>[AMZ_2009-2018.xlsx]Cash Flow - Standardized!R24C40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4" s="4"/>
      </tp>
      <tp>
        <v>239</v>
        <stp/>
        <stp>##V3_BDHV12</stp>
        <stp>AMZN US Equity</stp>
        <stp>CF_TAX_BENEFIT_FRM_STOCK_OPTIONS</stp>
        <stp>FQ4 2012</stp>
        <stp>FQ4 2012</stp>
        <stp>[AMZ_2009-2018.xlsx]Cash Flow - Standardized!R64C18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4" s="4"/>
      </tp>
      <tp>
        <v>-4608.4310999999998</v>
        <stp/>
        <stp>##V3_BDHV12</stp>
        <stp>AMZN US Equity</stp>
        <stp>CF_FREE_CASH_FLOW_FIRM</stp>
        <stp>FQ1 2018</stp>
        <stp>FQ1 2018</stp>
        <stp>[AMZ_2009-2018.xlsx]Cash Flow - Standardized!R66C39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66" s="4"/>
      </tp>
      <tp t="s">
        <v>—</v>
        <stp/>
        <stp>##V3_BDHV12</stp>
        <stp>AMZN US Equity</stp>
        <stp>CF_FREE_CASH_FLOW_FIRM</stp>
        <stp>FQ3 2014</stp>
        <stp>FQ3 2014</stp>
        <stp>[AMZ_2009-2018.xlsx]Cash Flow - Standardized!R66C25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66" s="4"/>
      </tp>
      <tp>
        <v>779.72820000000002</v>
        <stp/>
        <stp>##V3_BDHV12</stp>
        <stp>AMZN US Equity</stp>
        <stp>CF_FREE_CASH_FLOW_FIRM</stp>
        <stp>FQ2 2017</stp>
        <stp>FQ2 2017</stp>
        <stp>[AMZ_2009-2018.xlsx]Cash Flow - Standardized!R66C36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66" s="4"/>
      </tp>
      <tp>
        <v>4721.5210999999999</v>
        <stp/>
        <stp>##V3_BDHV12</stp>
        <stp>AMZN US Equity</stp>
        <stp>CF_FREE_CASH_FLOW_FIRM</stp>
        <stp>FQ4 2013</stp>
        <stp>FQ4 2013</stp>
        <stp>[AMZ_2009-2018.xlsx]Cash Flow - Standardized!R66C22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66" s="4"/>
      </tp>
      <tp>
        <v>31</v>
        <stp/>
        <stp>##V3_BDHV12</stp>
        <stp>AMZN US Equity</stp>
        <stp>BS_CURR_PORTION_LT_DEBT</stp>
        <stp>FQ2 2018</stp>
        <stp>FQ2 2018</stp>
        <stp>[AMZ_2009-2018.xlsx]Bal Sheet - Standardized!R46C40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6" s="3"/>
      </tp>
      <tp t="s">
        <v>—</v>
        <stp/>
        <stp>##V3_BDHV12</stp>
        <stp>AMZN US Equity</stp>
        <stp>CF_TAX_BENEFIT_FRM_STOCK_OPTIONS</stp>
        <stp>FQ3 2017</stp>
        <stp>FQ3 2017</stp>
        <stp>[AMZ_2009-2018.xlsx]Cash Flow - Standardized!R64C37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4" s="4"/>
      </tp>
      <tp>
        <v>-0.09</v>
        <stp/>
        <stp>##V3_BDHV12</stp>
        <stp>AMZN US Equity</stp>
        <stp>IS_EARN_BEF_XO_ITEMS_PER_SH</stp>
        <stp>FQ3 2013</stp>
        <stp>FQ3 2013</stp>
        <stp>[AMZ_2009-2018.xlsx]Income - Adjusted!R51C21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51" s="2"/>
      </tp>
      <tp>
        <v>121</v>
        <stp/>
        <stp>##V3_BDHV12</stp>
        <stp>AMZN US Equity</stp>
        <stp>CF_TAX_BENEFIT_FRM_STOCK_OPTIONS</stp>
        <stp>FQ1 2014</stp>
        <stp>FQ1 2014</stp>
        <stp>[AMZ_2009-2018.xlsx]Cash Flow - Standardized!R64C23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4" s="4"/>
      </tp>
      <tp>
        <v>1.0900000000000001</v>
        <stp/>
        <stp>##V3_BDHV12</stp>
        <stp>AMZN US Equity</stp>
        <stp>IS_EARN_BEF_XO_ITEMS_PER_SH</stp>
        <stp>FQ1 2016</stp>
        <stp>FQ1 2016</stp>
        <stp>[AMZ_2009-2018.xlsx]Income - Adjusted!R51C31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51" s="2"/>
      </tp>
      <tp>
        <v>0.44</v>
        <stp/>
        <stp>##V3_BDHV12</stp>
        <stp>AMZN US Equity</stp>
        <stp>IS_EARN_BEF_XO_ITEMS_PER_SH</stp>
        <stp>FQ1 2011</stp>
        <stp>FQ1 2011</stp>
        <stp>[AMZ_2009-2018.xlsx]Income - Adjusted!R51C11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51" s="2"/>
      </tp>
      <tp t="s">
        <v>—</v>
        <stp/>
        <stp>##V3_BDHV12</stp>
        <stp>AMZN US Equity</stp>
        <stp>CF_TAX_BENEFIT_FRM_STOCK_OPTIONS</stp>
        <stp>FQ2 2016</stp>
        <stp>FQ2 2016</stp>
        <stp>[AMZ_2009-2018.xlsx]Cash Flow - Standardized!R64C32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4" s="4"/>
      </tp>
      <tp>
        <v>0</v>
        <stp/>
        <stp>##V3_BDHV12</stp>
        <stp>AMZN US Equity</stp>
        <stp>CF_NET_CHG_IN_ST_DBT_&amp;_CPTL_LEAS</stp>
        <stp>FQ1 2016</stp>
        <stp>FQ1 2016</stp>
        <stp>[AMZ_2009-2018.xlsx]Cash Flow - Standardized!R43C31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3" s="4"/>
      </tp>
      <tp>
        <v>453</v>
        <stp/>
        <stp>##V3_BDHV12</stp>
        <stp>AMZN US Equity</stp>
        <stp>BS_SH_OUT</stp>
        <stp>FQ3 2012</stp>
        <stp>FQ3 2012</stp>
        <stp>[AMZ_2009-2018.xlsx]Per Share!R6C17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6" s="5"/>
      </tp>
      <tp>
        <v>475</v>
        <stp/>
        <stp>##V3_BDHV12</stp>
        <stp>AMZN US Equity</stp>
        <stp>BS_SH_OUT</stp>
        <stp>FQ3 2016</stp>
        <stp>FQ3 2016</stp>
        <stp>[AMZ_2009-2018.xlsx]Per Share!R6C33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6" s="5"/>
      </tp>
      <tp>
        <v>471</v>
        <stp/>
        <stp>##V3_BDHV12</stp>
        <stp>AMZN US Equity</stp>
        <stp>BS_SH_OUT</stp>
        <stp>FQ4 2015</stp>
        <stp>FQ4 2015</stp>
        <stp>[AMZ_2009-2018.xlsx]Per Share!R6C30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6" s="5"/>
      </tp>
      <tp>
        <v>455</v>
        <stp/>
        <stp>##V3_BDHV12</stp>
        <stp>AMZN US Equity</stp>
        <stp>BS_SH_OUT</stp>
        <stp>FQ4 2011</stp>
        <stp>FQ4 2011</stp>
        <stp>[AMZ_2009-2018.xlsx]Per Share!R6C14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6" s="5"/>
      </tp>
      <tp>
        <v>0</v>
        <stp/>
        <stp>##V3_BDHV12</stp>
        <stp>AMZN US Equity</stp>
        <stp>CF_NET_CHG_IN_ST_DBT_&amp;_CPTL_LEAS</stp>
        <stp>FQ4 2011</stp>
        <stp>FQ4 2011</stp>
        <stp>[AMZ_2009-2018.xlsx]Cash Flow - Standardized!R43C14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3" s="4"/>
      </tp>
      <tp>
        <v>51.35</v>
        <stp/>
        <stp>##V3_BDHV12</stp>
        <stp>AMZN US Equity</stp>
        <stp>PX_OPEN</stp>
        <stp>FQ1 2009</stp>
        <stp>FQ1 2009</stp>
        <stp>[AMZ_2009-2018.xlsx]Stock Value!R8C3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8" s="6"/>
      </tp>
      <tp>
        <v>0</v>
        <stp/>
        <stp>##V3_BDHV12</stp>
        <stp>AMZN US Equity</stp>
        <stp>CF_NET_CHG_IN_ST_DBT_&amp;_CPTL_LEAS</stp>
        <stp>FQ2 2014</stp>
        <stp>FQ2 2014</stp>
        <stp>[AMZ_2009-2018.xlsx]Cash Flow - Standardized!R43C24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3" s="4"/>
      </tp>
      <tp>
        <v>0</v>
        <stp/>
        <stp>##V3_BDHV12</stp>
        <stp>AMZN US Equity</stp>
        <stp>CF_NET_CHG_IN_ST_DBT_&amp;_CPTL_LEAS</stp>
        <stp>FQ3 2015</stp>
        <stp>FQ3 2015</stp>
        <stp>[AMZ_2009-2018.xlsx]Cash Flow - Standardized!R43C29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3" s="4"/>
      </tp>
      <tp t="s">
        <v>—</v>
        <stp/>
        <stp>##V3_BDHV12</stp>
        <stp>AMZN US Equity</stp>
        <stp>BS_INTEREST_&amp;_DIVIDENDS_PAYABLE</stp>
        <stp>FQ3 2013</stp>
        <stp>FQ3 2013</stp>
        <stp>[AMZ_2009-2018.xlsx]Bal Sheet - Standardized!R41C21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1" s="3"/>
      </tp>
      <tp>
        <v>0</v>
        <stp/>
        <stp>##V3_BDHV12</stp>
        <stp>AMZN US Equity</stp>
        <stp>BS_INTEREST_&amp;_DIVIDENDS_PAYABLE</stp>
        <stp>FQ4 2014</stp>
        <stp>FQ4 2014</stp>
        <stp>[AMZ_2009-2018.xlsx]Bal Sheet - Standardized!R41C26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1" s="3"/>
      </tp>
      <tp t="s">
        <v>—</v>
        <stp/>
        <stp>##V3_BDHV12</stp>
        <stp>AMZN US Equity</stp>
        <stp>BS_INTEREST_&amp;_DIVIDENDS_PAYABLE</stp>
        <stp>FQ2 2011</stp>
        <stp>FQ2 2011</stp>
        <stp>[AMZ_2009-2018.xlsx]Bal Sheet - Standardized!R41C12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1" s="3"/>
      </tp>
      <tp t="s">
        <v>—</v>
        <stp/>
        <stp>##V3_BDHV12</stp>
        <stp>AMZN US Equity</stp>
        <stp>BS_INTEREST_&amp;_DIVIDENDS_PAYABLE</stp>
        <stp>FQ1 2012</stp>
        <stp>FQ1 2012</stp>
        <stp>[AMZ_2009-2018.xlsx]Bal Sheet - Standardized!R41C15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1" s="3"/>
      </tp>
      <tp>
        <v>31.85</v>
        <stp/>
        <stp>##V3_BDHV12</stp>
        <stp>AMZN US Equity</stp>
        <stp>IS_NET_ABNORMAL_ITEMS</stp>
        <stp>FQ2 2009</stp>
        <stp>FQ2 2009</stp>
        <stp>[AMZ_2009-2018.xlsx]Income - Adjusted!R46C4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6" s="2"/>
      </tp>
      <tp t="s">
        <v>—</v>
        <stp/>
        <stp>##V3_BDHV12</stp>
        <stp>AMZN US Equity</stp>
        <stp>BS_INTEREST_&amp;_DIVIDENDS_PAYABLE</stp>
        <stp>FQ4 2015</stp>
        <stp>FQ4 2015</stp>
        <stp>[AMZ_2009-2018.xlsx]Bal Sheet - Standardized!R41C30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1" s="3"/>
      </tp>
      <tp>
        <v>-3042</v>
        <stp/>
        <stp>##V3_BDHV12</stp>
        <stp>AMZN US Equity</stp>
        <stp>CF_FREE_CASH_FLOW</stp>
        <stp>FQ1 2013</stp>
        <stp>FQ1 2013</stp>
        <stp>[AMZ_2009-2018.xlsx]Cash Flow - Standardized!R65C19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5" s="4"/>
      </tp>
      <tp>
        <v>25</v>
        <stp/>
        <stp>##V3_BDHV12</stp>
        <stp>AMZN US Equity</stp>
        <stp>CF_FREE_CASH_FLOW</stp>
        <stp>FQ2 2013</stp>
        <stp>FQ2 2013</stp>
        <stp>[AMZ_2009-2018.xlsx]Cash Flow - Standardized!R65C20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5" s="4"/>
      </tp>
      <tp>
        <v>268</v>
        <stp/>
        <stp>##V3_BDHV12</stp>
        <stp>AMZN US Equity</stp>
        <stp>CF_FREE_CASH_FLOW</stp>
        <stp>FQ3 2011</stp>
        <stp>FQ3 2011</stp>
        <stp>[AMZ_2009-2018.xlsx]Cash Flow - Standardized!R65C13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5" s="4"/>
      </tp>
      <tp>
        <v>0</v>
        <stp/>
        <stp>##V3_BDHV12</stp>
        <stp>AMZN US Equity</stp>
        <stp>OTHER_ADJUSTMENTS</stp>
        <stp>FQ2 2012</stp>
        <stp>FQ2 2012</stp>
        <stp>[AMZ_2009-2018.xlsx]Income - Adjusted!R42C16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2" s="2"/>
      </tp>
      <tp>
        <v>1629</v>
        <stp/>
        <stp>##V3_BDHV12</stp>
        <stp>AMZN US Equity</stp>
        <stp>NI_INCLUDING_MINORITY_INT_RATIO</stp>
        <stp>FQ1 2018</stp>
        <stp>FQ1 2018</stp>
        <stp>[AMZ_2009-2018.xlsx]Income - Adjusted!R38C39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38" s="2"/>
      </tp>
      <tp>
        <v>82</v>
        <stp/>
        <stp>##V3_BDHV12</stp>
        <stp>AMZN US Equity</stp>
        <stp>NI_INCLUDING_MINORITY_INT_RATIO</stp>
        <stp>FQ1 2013</stp>
        <stp>FQ1 2013</stp>
        <stp>[AMZ_2009-2018.xlsx]Income - Adjusted!R38C19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38" s="2"/>
      </tp>
      <tp>
        <v>231</v>
        <stp/>
        <stp>##V3_BDHV12</stp>
        <stp>AMZN US Equity</stp>
        <stp>EARN_FOR_COMMON</stp>
        <stp>FQ3 2010</stp>
        <stp>FQ3 2010</stp>
        <stp>[AMZ_2009-2018.xlsx]Income - Adjusted!R45C9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45" s="2"/>
      </tp>
      <tp>
        <v>464</v>
        <stp/>
        <stp>##V3_BDHV12</stp>
        <stp>AMZN US Equity</stp>
        <stp>IS_OPER_INC</stp>
        <stp>FQ2 2015</stp>
        <stp>FQ2 2015</stp>
        <stp>[AMZ_2009-2018.xlsx]Income - Adjusted!R18C28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8" s="2"/>
      </tp>
      <tp>
        <v>0</v>
        <stp/>
        <stp>##V3_BDHV12</stp>
        <stp>AMZN US Equity</stp>
        <stp>OTHER_ADJUSTMENTS</stp>
        <stp>FQ3 2012</stp>
        <stp>FQ3 2012</stp>
        <stp>[AMZ_2009-2018.xlsx]Income - Adjusted!R42C17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2" s="2"/>
      </tp>
      <tp>
        <v>79</v>
        <stp/>
        <stp>##V3_BDHV12</stp>
        <stp>AMZN US Equity</stp>
        <stp>NI_INCLUDING_MINORITY_INT_RATIO</stp>
        <stp>FQ3 2015</stp>
        <stp>FQ3 2015</stp>
        <stp>[AMZ_2009-2018.xlsx]Income - Adjusted!R38C29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38" s="2"/>
      </tp>
      <tp>
        <v>0</v>
        <stp/>
        <stp>##V3_BDHV12</stp>
        <stp>AMZN US Equity</stp>
        <stp>OTHER_ADJUSTMENTS</stp>
        <stp>FQ1 2012</stp>
        <stp>FQ1 2012</stp>
        <stp>[AMZ_2009-2018.xlsx]Income - Adjusted!R42C15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2" s="2"/>
      </tp>
      <tp>
        <v>-1</v>
        <stp/>
        <stp>##V3_BDHV12</stp>
        <stp>AMZN US Equity</stp>
        <stp>IS_NET_INTEREST_EXPENSE</stp>
        <stp>FQ2 2009</stp>
        <stp>FQ2 2009</stp>
        <stp>[AMZ_2009-2018.xlsx]Income - Adjusted!R20C4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0" s="2"/>
      </tp>
      <tp>
        <v>405</v>
        <stp/>
        <stp>##V3_BDHV12</stp>
        <stp>AMZN US Equity</stp>
        <stp>IS_OPER_INC</stp>
        <stp>FQ4 2012</stp>
        <stp>FQ4 2012</stp>
        <stp>[AMZ_2009-2018.xlsx]Income - Adjusted!R18C18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8" s="2"/>
      </tp>
      <tp>
        <v>2127</v>
        <stp/>
        <stp>##V3_BDHV12</stp>
        <stp>AMZN US Equity</stp>
        <stp>IS_OPER_INC</stp>
        <stp>FQ4 2017</stp>
        <stp>FQ4 2017</stp>
        <stp>[AMZ_2009-2018.xlsx]Income - Adjusted!R18C38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8" s="2"/>
      </tp>
      <tp>
        <v>0.45</v>
        <stp/>
        <stp>##V3_BDHV12</stp>
        <stp>AMZN US Equity</stp>
        <stp>IS_DIL_EPS_CONT_OPS</stp>
        <stp>FQ2 2010</stp>
        <stp>FQ2 2010</stp>
        <stp>[AMZ_2009-2018.xlsx]Per Share!R19C8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19" s="5"/>
      </tp>
      <tp>
        <v>0</v>
        <stp/>
        <stp>##V3_BDHV12</stp>
        <stp>AMZN US Equity</stp>
        <stp>OTHER_ADJUSTMENTS</stp>
        <stp>FQ4 2012</stp>
        <stp>FQ4 2012</stp>
        <stp>[AMZ_2009-2018.xlsx]Income - Adjusted!R42C18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2" s="2"/>
      </tp>
      <tp>
        <v>30.763300000000001</v>
        <stp/>
        <stp>##V3_BDHV12</stp>
        <stp>AMZN US Equity</stp>
        <stp>CASH_ST_INVESTMENTS_PER_SH</stp>
        <stp>FQ3 2015</stp>
        <stp>FQ3 2015</stp>
        <stp>[AMZ_2009-2018.xlsx]Per Share!R25C29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25" s="5"/>
      </tp>
      <tp>
        <v>17.351600000000001</v>
        <stp/>
        <stp>##V3_BDHV12</stp>
        <stp>AMZN US Equity</stp>
        <stp>CASH_ST_INVESTMENTS_PER_SH</stp>
        <stp>FQ1 2013</stp>
        <stp>FQ1 2013</stp>
        <stp>[AMZ_2009-2018.xlsx]Per Share!R25C19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25" s="5"/>
      </tp>
      <tp>
        <v>51.5764</v>
        <stp/>
        <stp>##V3_BDHV12</stp>
        <stp>AMZN US Equity</stp>
        <stp>CASH_ST_INVESTMENTS_PER_SH</stp>
        <stp>FQ1 2018</stp>
        <stp>FQ1 2018</stp>
        <stp>[AMZ_2009-2018.xlsx]Per Share!R25C39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25" s="5"/>
      </tp>
      <tp>
        <v>0</v>
        <stp/>
        <stp>##V3_BDHV12</stp>
        <stp>AMZN US Equity</stp>
        <stp>CF_DECR_INVEST</stp>
        <stp>FQ2 2018</stp>
        <stp>FQ2 2018</stp>
        <stp>[AMZ_2009-2018.xlsx]Cash Flow - Standardized!R30C40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0" s="4"/>
      </tp>
      <tp>
        <v>448</v>
        <stp/>
        <stp>##V3_BDHV12</stp>
        <stp>AMZN US Equity</stp>
        <stp>IS_AVG_NUM_SH_FOR_EPS</stp>
        <stp>FQ3 2010</stp>
        <stp>FQ3 2010</stp>
        <stp>[AMZ_2009-2018.xlsx]Income - Adjusted!R49C9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49" s="2"/>
      </tp>
      <tp>
        <v>0</v>
        <stp/>
        <stp>##V3_BDHV12</stp>
        <stp>AMZN US Equity</stp>
        <stp>CF_INCR_INVEST</stp>
        <stp>FQ2 2018</stp>
        <stp>FQ2 2018</stp>
        <stp>[AMZ_2009-2018.xlsx]Cash Flow - Standardized!R31C40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1" s="4"/>
      </tp>
      <tp>
        <v>141</v>
        <stp/>
        <stp>##V3_BDHV12</stp>
        <stp>AMZN US Equity</stp>
        <stp>CF_DEF_INC_TAX</stp>
        <stp>FQ1 2018</stp>
        <stp>FQ1 2018</stp>
        <stp>[AMZ_2009-2018.xlsx]Cash Flow - Standardized!R11C39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1" s="4"/>
      </tp>
      <tp>
        <v>-137</v>
        <stp/>
        <stp>##V3_BDHV12</stp>
        <stp>AMZN US Equity</stp>
        <stp>CHG_IN_FXD_&amp;_INTANG_AST_DETAILED</stp>
        <stp>FQ4 2009</stp>
        <stp>FQ4 2009</stp>
        <stp>[AMZ_2009-2018.xlsx]Cash Flow - Standardized!R22C6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2" s="4"/>
      </tp>
      <tp t="s">
        <v>—</v>
        <stp/>
        <stp>##V3_BDHV12</stp>
        <stp>AMZN US Equity</stp>
        <stp>BS_TOTAL_CAPITAL_LEASES</stp>
        <stp>FQ2 2010</stp>
        <stp>FQ2 2010</stp>
        <stp>[AMZ_2009-2018.xlsx]Bal Sheet - Standardized!R82C8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82" s="3"/>
      </tp>
      <tp>
        <v>4</v>
        <stp/>
        <stp>##V3_BDHV12</stp>
        <stp>AMZN US Equity</stp>
        <stp>BS_COMMON_STOCK</stp>
        <stp>FQ1 2009</stp>
        <stp>FQ1 2009</stp>
        <stp>[AMZ_2009-2018.xlsx]Bal Sheet - Standardized!R66C3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6" s="3"/>
      </tp>
      <tp t="s">
        <v>—</v>
        <stp/>
        <stp>##V3_BDHV12</stp>
        <stp>AMZN US Equity</stp>
        <stp>BS_TOTAL_CAPITAL_LEASES</stp>
        <stp>FQ3 2009</stp>
        <stp>FQ3 2009</stp>
        <stp>[AMZ_2009-2018.xlsx]Bal Sheet - Standardized!R82C5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82" s="3"/>
      </tp>
      <tp>
        <v>0.90490000000000004</v>
        <stp/>
        <stp>##V3_BDHV12</stp>
        <stp>AMZN US Equity</stp>
        <stp>FREE_CASH_FLOW_PER_SH</stp>
        <stp>FQ2 2009</stp>
        <stp>FQ2 2009</stp>
        <stp>[AMZ_2009-2018.xlsx]Cash Flow - Standardized!R68C4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68" s="4"/>
      </tp>
      <tp>
        <v>1.6111</v>
        <stp/>
        <stp>##V3_BDHV12</stp>
        <stp>AMZN US Equity</stp>
        <stp>FREE_CASH_FLOW_PER_SH</stp>
        <stp>FQ3 2009</stp>
        <stp>FQ3 2009</stp>
        <stp>[AMZ_2009-2018.xlsx]Cash Flow - Standardized!R68C5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68" s="4"/>
      </tp>
      <tp>
        <v>39</v>
        <stp/>
        <stp>##V3_BDHV12</stp>
        <stp>AMZN US Equity</stp>
        <stp>IS_INT_INC</stp>
        <stp>FQ1 2017</stp>
        <stp>FQ1 2017</stp>
        <stp>[AMZ_2009-2018.xlsx]Income - Adjusted!R22C35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22" s="2"/>
      </tp>
      <tp>
        <v>12</v>
        <stp/>
        <stp>##V3_BDHV12</stp>
        <stp>AMZN US Equity</stp>
        <stp>IS_INT_INC</stp>
        <stp>FQ1 2012</stp>
        <stp>FQ1 2012</stp>
        <stp>[AMZ_2009-2018.xlsx]Income - Adjusted!R22C15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2" s="2"/>
      </tp>
      <tp>
        <v>450</v>
        <stp/>
        <stp>##V3_BDHV12</stp>
        <stp>AMZN US Equity</stp>
        <stp>IS_SH_FOR_DILUTED_EPS</stp>
        <stp>FQ4 2009</stp>
        <stp>FQ4 2009</stp>
        <stp>[AMZ_2009-2018.xlsx]Per Share!R7C6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7" s="5"/>
      </tp>
      <tp>
        <v>437</v>
        <stp/>
        <stp>##V3_BDHV12</stp>
        <stp>AMZN US Equity</stp>
        <stp>IS_SH_FOR_DILUTED_EPS</stp>
        <stp>FQ1 2009</stp>
        <stp>FQ1 2009</stp>
        <stp>[AMZ_2009-2018.xlsx]Per Share!R7C3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7" s="5"/>
      </tp>
      <tp>
        <v>9</v>
        <stp/>
        <stp>##V3_BDHV12</stp>
        <stp>AMZN US Equity</stp>
        <stp>IS_INT_INC</stp>
        <stp>FQ3 2014</stp>
        <stp>FQ3 2014</stp>
        <stp>[AMZ_2009-2018.xlsx]Income - Adjusted!R22C25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2" s="2"/>
      </tp>
      <tp>
        <v>-2414</v>
        <stp/>
        <stp>##V3_BDHV12</stp>
        <stp>AMZN US Equity</stp>
        <stp>CF_PURCHASE_OF_FIXED_PROD_ASSETS</stp>
        <stp>FQ4 2016</stp>
        <stp>FQ4 2016</stp>
        <stp>[AMZ_2009-2018.xlsx]Cash Flow - Standardized!R27C34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7" s="4"/>
      </tp>
      <tp>
        <v>456</v>
        <stp/>
        <stp>##V3_BDHV12</stp>
        <stp>AMZN US Equity</stp>
        <stp>IS_SH_FOR_DILUTED_EPS</stp>
        <stp>FQ3 2010</stp>
        <stp>FQ3 2010</stp>
        <stp>[AMZ_2009-2018.xlsx]Per Share!R7C9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7" s="5"/>
      </tp>
      <tp>
        <v>455</v>
        <stp/>
        <stp>##V3_BDHV12</stp>
        <stp>AMZN US Equity</stp>
        <stp>IS_SH_FOR_DILUTED_EPS</stp>
        <stp>FQ2 2010</stp>
        <stp>FQ2 2010</stp>
        <stp>[AMZ_2009-2018.xlsx]Per Share!R7C8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7" s="5"/>
      </tp>
      <tp>
        <v>-298</v>
        <stp/>
        <stp>##V3_BDHV12</stp>
        <stp>AMZN US Equity</stp>
        <stp>CF_PURCHASE_OF_FIXED_PROD_ASSETS</stp>
        <stp>FQ1 2011</stp>
        <stp>FQ1 2011</stp>
        <stp>[AMZ_2009-2018.xlsx]Cash Flow - Standardized!R27C11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7" s="4"/>
      </tp>
      <tp>
        <v>-657</v>
        <stp/>
        <stp>##V3_BDHV12</stp>
        <stp>AMZN US Equity</stp>
        <stp>CF_PURCHASE_OF_FIXED_PROD_ASSETS</stp>
        <stp>FQ2 2012</stp>
        <stp>FQ2 2012</stp>
        <stp>[AMZ_2009-2018.xlsx]Cash Flow - Standardized!R27C16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7" s="4"/>
      </tp>
      <tp>
        <v>440</v>
        <stp/>
        <stp>##V3_BDHV12</stp>
        <stp>AMZN US Equity</stp>
        <stp>IS_AVG_NUM_SH_FOR_EPS</stp>
        <stp>FQ4 2009</stp>
        <stp>FQ4 2009</stp>
        <stp>[AMZ_2009-2018.xlsx]Per Share!R8C6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8" s="5"/>
      </tp>
      <tp>
        <v>429</v>
        <stp/>
        <stp>##V3_BDHV12</stp>
        <stp>AMZN US Equity</stp>
        <stp>IS_AVG_NUM_SH_FOR_EPS</stp>
        <stp>FQ1 2009</stp>
        <stp>FQ1 2009</stp>
        <stp>[AMZ_2009-2018.xlsx]Per Share!R8C3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8" s="5"/>
      </tp>
      <tp>
        <v>-1875.4788000000001</v>
        <stp/>
        <stp>##V3_BDHV12</stp>
        <stp>AMZN US Equity</stp>
        <stp>CF_FREE_CASH_FLOW_FIRM</stp>
        <stp>FQ1 2011</stp>
        <stp>FQ1 2011</stp>
        <stp>[AMZ_2009-2018.xlsx]Cash Flow - Standardized!R66C11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66" s="4"/>
      </tp>
      <tp>
        <v>1378.1519000000001</v>
        <stp/>
        <stp>##V3_BDHV12</stp>
        <stp>AMZN US Equity</stp>
        <stp>CF_FREE_CASH_FLOW_FIRM</stp>
        <stp>FQ3 2017</stp>
        <stp>FQ3 2017</stp>
        <stp>[AMZ_2009-2018.xlsx]Cash Flow - Standardized!R66C37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66" s="4"/>
      </tp>
      <tp>
        <v>-413</v>
        <stp/>
        <stp>##V3_BDHV12</stp>
        <stp>AMZN US Equity</stp>
        <stp>CF_FREE_CASH_FLOW_FIRM</stp>
        <stp>FQ2 2014</stp>
        <stp>FQ2 2014</stp>
        <stp>[AMZ_2009-2018.xlsx]Cash Flow - Standardized!R66C24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66" s="4"/>
      </tp>
      <tp>
        <v>3161.1738999999998</v>
        <stp/>
        <stp>##V3_BDHV12</stp>
        <stp>AMZN US Equity</stp>
        <stp>CF_FREE_CASH_FLOW_FIRM</stp>
        <stp>FQ4 2010</stp>
        <stp>FQ4 2010</stp>
        <stp>[AMZ_2009-2018.xlsx]Cash Flow - Standardized!R66C10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66" s="4"/>
      </tp>
      <tp>
        <v>22</v>
        <stp/>
        <stp>##V3_BDHV12</stp>
        <stp>AMZN US Equity</stp>
        <stp>CF_TAX_BENEFIT_FRM_STOCK_OPTIONS</stp>
        <stp>FQ1 2015</stp>
        <stp>FQ1 2015</stp>
        <stp>[AMZ_2009-2018.xlsx]Cash Flow - Standardized!R64C27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4" s="4"/>
      </tp>
      <tp>
        <v>447</v>
        <stp/>
        <stp>##V3_BDHV12</stp>
        <stp>AMZN US Equity</stp>
        <stp>IS_AVG_NUM_SH_FOR_EPS</stp>
        <stp>FQ2 2010</stp>
        <stp>FQ2 2010</stp>
        <stp>[AMZ_2009-2018.xlsx]Per Share!R8C8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8" s="5"/>
      </tp>
      <tp>
        <v>448</v>
        <stp/>
        <stp>##V3_BDHV12</stp>
        <stp>AMZN US Equity</stp>
        <stp>IS_AVG_NUM_SH_FOR_EPS</stp>
        <stp>FQ3 2010</stp>
        <stp>FQ3 2010</stp>
        <stp>[AMZ_2009-2018.xlsx]Per Share!R8C9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8" s="5"/>
      </tp>
      <tp>
        <v>0.93</v>
        <stp/>
        <stp>##V3_BDHV12</stp>
        <stp>AMZN US Equity</stp>
        <stp>IS_EARN_BEF_XO_ITEMS_PER_SH</stp>
        <stp>FQ4 2010</stp>
        <stp>FQ4 2010</stp>
        <stp>[AMZ_2009-2018.xlsx]Income - Adjusted!R51C10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51" s="2"/>
      </tp>
      <tp>
        <v>1.03</v>
        <stp/>
        <stp>##V3_BDHV12</stp>
        <stp>AMZN US Equity</stp>
        <stp>IS_EARN_BEF_XO_ITEMS_PER_SH</stp>
        <stp>FQ4 2015</stp>
        <stp>FQ4 2015</stp>
        <stp>[AMZ_2009-2018.xlsx]Income - Adjusted!R51C30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51" s="2"/>
      </tp>
      <tp t="s">
        <v>—</v>
        <stp/>
        <stp>##V3_BDHV12</stp>
        <stp>AMZN US Equity</stp>
        <stp>CF_TAX_BENEFIT_FRM_STOCK_OPTIONS</stp>
        <stp>FQ2 2017</stp>
        <stp>FQ2 2017</stp>
        <stp>[AMZ_2009-2018.xlsx]Cash Flow - Standardized!R64C36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4" s="4"/>
      </tp>
      <tp>
        <v>5.21</v>
        <stp/>
        <stp>##V3_BDHV12</stp>
        <stp>AMZN US Equity</stp>
        <stp>IS_EARN_BEF_XO_ITEMS_PER_SH</stp>
        <stp>FQ2 2018</stp>
        <stp>FQ2 2018</stp>
        <stp>[AMZ_2009-2018.xlsx]Income - Adjusted!R51C40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51" s="2"/>
      </tp>
      <tp>
        <v>-0.02</v>
        <stp/>
        <stp>##V3_BDHV12</stp>
        <stp>AMZN US Equity</stp>
        <stp>IS_EARN_BEF_XO_ITEMS_PER_SH</stp>
        <stp>FQ2 2013</stp>
        <stp>FQ2 2013</stp>
        <stp>[AMZ_2009-2018.xlsx]Income - Adjusted!R51C20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51" s="2"/>
      </tp>
      <tp t="s">
        <v>—</v>
        <stp/>
        <stp>##V3_BDHV12</stp>
        <stp>AMZN US Equity</stp>
        <stp>CF_TAX_BENEFIT_FRM_STOCK_OPTIONS</stp>
        <stp>FQ3 2016</stp>
        <stp>FQ3 2016</stp>
        <stp>[AMZ_2009-2018.xlsx]Cash Flow - Standardized!R64C33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4" s="4"/>
      </tp>
      <tp>
        <v>0</v>
        <stp/>
        <stp>##V3_BDHV12</stp>
        <stp>AMZN US Equity</stp>
        <stp>CF_NET_CHG_IN_ST_DBT_&amp;_CPTL_LEAS</stp>
        <stp>FQ1 2014</stp>
        <stp>FQ1 2014</stp>
        <stp>[AMZ_2009-2018.xlsx]Cash Flow - Standardized!R43C23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3" s="4"/>
      </tp>
      <tp>
        <v>0</v>
        <stp/>
        <stp>##V3_BDHV12</stp>
        <stp>AMZN US Equity</stp>
        <stp>CF_NET_CHG_IN_ST_DBT_&amp;_CPTL_LEAS</stp>
        <stp>FQ2 2016</stp>
        <stp>FQ2 2016</stp>
        <stp>[AMZ_2009-2018.xlsx]Cash Flow - Standardized!R43C32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3" s="4"/>
      </tp>
      <tp>
        <v>0</v>
        <stp/>
        <stp>##V3_BDHV12</stp>
        <stp>AMZN US Equity</stp>
        <stp>CF_NET_CHG_IN_ST_DBT_&amp;_CPTL_LEAS</stp>
        <stp>FQ3 2017</stp>
        <stp>FQ3 2017</stp>
        <stp>[AMZ_2009-2018.xlsx]Cash Flow - Standardized!R43C37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3" s="4"/>
      </tp>
      <tp>
        <v>0</v>
        <stp/>
        <stp>##V3_BDHV12</stp>
        <stp>AMZN US Equity</stp>
        <stp>CF_NET_CHG_IN_ST_DBT_&amp;_CPTL_LEAS</stp>
        <stp>FQ4 2012</stp>
        <stp>FQ4 2012</stp>
        <stp>[AMZ_2009-2018.xlsx]Cash Flow - Standardized!R43C18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3" s="4"/>
      </tp>
      <tp t="s">
        <v>—</v>
        <stp/>
        <stp>##V3_BDHV12</stp>
        <stp>AMZN US Equity</stp>
        <stp>BS_INTEREST_&amp;_DIVIDENDS_PAYABLE</stp>
        <stp>FQ4 2016</stp>
        <stp>FQ4 2016</stp>
        <stp>[AMZ_2009-2018.xlsx]Bal Sheet - Standardized!R41C34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1" s="3"/>
      </tp>
      <tp>
        <v>-1.3</v>
        <stp/>
        <stp>##V3_BDHV12</stp>
        <stp>AMZN US Equity</stp>
        <stp>IS_NET_ABNORMAL_ITEMS</stp>
        <stp>FQ1 2009</stp>
        <stp>FQ1 2009</stp>
        <stp>[AMZ_2009-2018.xlsx]Income - Adjusted!R46C3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6" s="2"/>
      </tp>
      <tp t="s">
        <v>—</v>
        <stp/>
        <stp>##V3_BDHV12</stp>
        <stp>AMZN US Equity</stp>
        <stp>BS_INTEREST_&amp;_DIVIDENDS_PAYABLE</stp>
        <stp>FQ1 2011</stp>
        <stp>FQ1 2011</stp>
        <stp>[AMZ_2009-2018.xlsx]Bal Sheet - Standardized!R41C11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1" s="3"/>
      </tp>
      <tp t="s">
        <v>—</v>
        <stp/>
        <stp>##V3_BDHV12</stp>
        <stp>AMZN US Equity</stp>
        <stp>BS_INTEREST_&amp;_DIVIDENDS_PAYABLE</stp>
        <stp>FQ2 2012</stp>
        <stp>FQ2 2012</stp>
        <stp>[AMZ_2009-2018.xlsx]Bal Sheet - Standardized!R41C16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1" s="3"/>
      </tp>
      <tp>
        <v>-8286</v>
        <stp/>
        <stp>##V3_BDHV12</stp>
        <stp>AMZN US Equity</stp>
        <stp>CF_CHNG_NON_CASH_WORK_CAP</stp>
        <stp>FQ1 2018</stp>
        <stp>FQ1 2018</stp>
        <stp>[AMZ_2009-2018.xlsx]Cash Flow - Standardized!R13C39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3" s="4"/>
      </tp>
      <tp>
        <v>8725</v>
        <stp/>
        <stp>##V3_BDHV12</stp>
        <stp>AMZN US Equity</stp>
        <stp>CF_FREE_CASH_FLOW</stp>
        <stp>FQ4 2017</stp>
        <stp>FQ4 2017</stp>
        <stp>[AMZ_2009-2018.xlsx]Cash Flow - Standardized!R65C38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5" s="4"/>
      </tp>
      <tp>
        <v>227</v>
        <stp/>
        <stp>##V3_BDHV12</stp>
        <stp>AMZN US Equity</stp>
        <stp>CF_FREE_CASH_FLOW</stp>
        <stp>FQ3 2012</stp>
        <stp>FQ3 2012</stp>
        <stp>[AMZ_2009-2018.xlsx]Cash Flow - Standardized!R65C17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5" s="4"/>
      </tp>
      <tp>
        <v>175.7</v>
        <stp/>
        <stp>##V3_BDHV12</stp>
        <stp>AMZN US Equity</stp>
        <stp>EARN_FOR_COMMON</stp>
        <stp>FQ1 2009</stp>
        <stp>FQ1 2009</stp>
        <stp>[AMZ_2009-2018.xlsx]Income - Adjusted!R45C3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45" s="2"/>
      </tp>
      <tp>
        <v>0</v>
        <stp/>
        <stp>##V3_BDHV12</stp>
        <stp>AMZN US Equity</stp>
        <stp>OTHER_ADJUSTMENTS</stp>
        <stp>FQ4 2011</stp>
        <stp>FQ4 2011</stp>
        <stp>[AMZ_2009-2018.xlsx]Income - Adjusted!R42C14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2" s="2"/>
      </tp>
      <tp>
        <v>0</v>
        <stp/>
        <stp>##V3_BDHV12</stp>
        <stp>AMZN US Equity</stp>
        <stp>OTHER_ADJUSTMENTS</stp>
        <stp>FQ2 2011</stp>
        <stp>FQ2 2011</stp>
        <stp>[AMZ_2009-2018.xlsx]Income - Adjusted!R42C12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2" s="2"/>
      </tp>
      <tp>
        <v>0</v>
        <stp/>
        <stp>##V3_BDHV12</stp>
        <stp>AMZN US Equity</stp>
        <stp>OTHER_ADJUSTMENTS</stp>
        <stp>FQ3 2011</stp>
        <stp>FQ3 2011</stp>
        <stp>[AMZ_2009-2018.xlsx]Income - Adjusted!R42C13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2" s="2"/>
      </tp>
      <tp>
        <v>0</v>
        <stp/>
        <stp>##V3_BDHV12</stp>
        <stp>AMZN US Equity</stp>
        <stp>OTHER_ADJUSTMENTS</stp>
        <stp>FQ1 2011</stp>
        <stp>FQ1 2011</stp>
        <stp>[AMZ_2009-2018.xlsx]Income - Adjusted!R42C11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2" s="2"/>
      </tp>
      <tp>
        <v>298</v>
        <stp/>
        <stp>##V3_BDHV12</stp>
        <stp>AMZN US Equity</stp>
        <stp>IS_SG&amp;A_EXPENSE</stp>
        <stp>FQ1 2010</stp>
        <stp>FQ1 2010</stp>
        <stp>[AMZ_2009-2018.xlsx]Income - Adjusted!R13C7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3" s="2"/>
      </tp>
      <tp>
        <v>0</v>
        <stp/>
        <stp>##V3_BDHV12</stp>
        <stp>AMZN US Equity</stp>
        <stp>CF_OTHER_FINANCING_ACT_EXCL_FX</stp>
        <stp>FQ1 2018</stp>
        <stp>FQ1 2018</stp>
        <stp>[AMZ_2009-2018.xlsx]Cash Flow - Standardized!R49C39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9" s="4"/>
      </tp>
      <tp>
        <v>5.9241000000000001</v>
        <stp/>
        <stp>##V3_BDHV12</stp>
        <stp>AMZN US Equity</stp>
        <stp>EBITDA_MARGIN</stp>
        <stp>FQ1 2015</stp>
        <stp>FQ1 2015</stp>
        <stp>[AMZ_2009-2018.xlsx]Cash Flow - Standardized!R62C27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62" s="4"/>
      </tp>
      <tp>
        <v>5.4695</v>
        <stp/>
        <stp>##V3_BDHV12</stp>
        <stp>AMZN US Equity</stp>
        <stp>EBITDA_MARGIN</stp>
        <stp>FQ1 2014</stp>
        <stp>FQ1 2014</stp>
        <stp>[AMZ_2009-2018.xlsx]Cash Flow - Standardized!R62C23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62" s="4"/>
      </tp>
      <tp>
        <v>8.5798000000000005</v>
        <stp/>
        <stp>##V3_BDHV12</stp>
        <stp>AMZN US Equity</stp>
        <stp>EBITDA_MARGIN</stp>
        <stp>FQ1 2016</stp>
        <stp>FQ1 2016</stp>
        <stp>[AMZ_2009-2018.xlsx]Cash Flow - Standardized!R62C31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62" s="4"/>
      </tp>
      <tp>
        <v>9.0093999999999994</v>
        <stp/>
        <stp>##V3_BDHV12</stp>
        <stp>AMZN US Equity</stp>
        <stp>EBITDA_MARGIN</stp>
        <stp>FQ1 2017</stp>
        <stp>FQ1 2017</stp>
        <stp>[AMZ_2009-2018.xlsx]Cash Flow - Standardized!R62C35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62" s="4"/>
      </tp>
      <tp>
        <v>4.0267999999999997</v>
        <stp/>
        <stp>##V3_BDHV12</stp>
        <stp>AMZN US Equity</stp>
        <stp>EBITDA_MARGIN</stp>
        <stp>FQ1 2012</stp>
        <stp>FQ1 2012</stp>
        <stp>[AMZ_2009-2018.xlsx]Cash Flow - Standardized!R62C15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62" s="4"/>
      </tp>
      <tp>
        <v>4.7923</v>
        <stp/>
        <stp>##V3_BDHV12</stp>
        <stp>AMZN US Equity</stp>
        <stp>EBITDA_MARGIN</stp>
        <stp>FQ1 2013</stp>
        <stp>FQ1 2013</stp>
        <stp>[AMZ_2009-2018.xlsx]Cash Flow - Standardized!R62C19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62" s="4"/>
      </tp>
      <tp>
        <v>5.3749000000000002</v>
        <stp/>
        <stp>##V3_BDHV12</stp>
        <stp>AMZN US Equity</stp>
        <stp>EBITDA_MARGIN</stp>
        <stp>FQ1 2011</stp>
        <stp>FQ1 2011</stp>
        <stp>[AMZ_2009-2018.xlsx]Cash Flow - Standardized!R62C11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62" s="4"/>
      </tp>
      <tp>
        <v>9.1839999999999993</v>
        <stp/>
        <stp>##V3_BDHV12</stp>
        <stp>AMZN US Equity</stp>
        <stp>EBITDA_MARGIN</stp>
        <stp>FQ1 2018</stp>
        <stp>FQ1 2018</stp>
        <stp>[AMZ_2009-2018.xlsx]Cash Flow - Standardized!R62C39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62" s="4"/>
      </tp>
      <tp>
        <v>9.0716000000000001</v>
        <stp/>
        <stp>##V3_BDHV12</stp>
        <stp>AMZN US Equity</stp>
        <stp>EBITDA_MARGIN</stp>
        <stp>FQ3 2016</stp>
        <stp>FQ3 2016</stp>
        <stp>[AMZ_2009-2018.xlsx]Cash Flow - Standardized!R62C33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62" s="4"/>
      </tp>
      <tp>
        <v>8.3844999999999992</v>
        <stp/>
        <stp>##V3_BDHV12</stp>
        <stp>AMZN US Equity</stp>
        <stp>EBITDA_MARGIN</stp>
        <stp>FQ3 2017</stp>
        <stp>FQ3 2017</stp>
        <stp>[AMZ_2009-2018.xlsx]Cash Flow - Standardized!R62C37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62" s="4"/>
      </tp>
      <tp>
        <v>7.5793999999999997</v>
        <stp/>
        <stp>##V3_BDHV12</stp>
        <stp>AMZN US Equity</stp>
        <stp>EBITDA_MARGIN</stp>
        <stp>FQ3 2015</stp>
        <stp>FQ3 2015</stp>
        <stp>[AMZ_2009-2018.xlsx]Cash Flow - Standardized!R62C29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62" s="4"/>
      </tp>
      <tp>
        <v>5.1920000000000002</v>
        <stp/>
        <stp>##V3_BDHV12</stp>
        <stp>AMZN US Equity</stp>
        <stp>EBITDA_MARGIN</stp>
        <stp>FQ3 2014</stp>
        <stp>FQ3 2014</stp>
        <stp>[AMZ_2009-2018.xlsx]Cash Flow - Standardized!R62C25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62" s="4"/>
      </tp>
      <tp>
        <v>5.1215999999999999</v>
        <stp/>
        <stp>##V3_BDHV12</stp>
        <stp>AMZN US Equity</stp>
        <stp>EBITDA_MARGIN</stp>
        <stp>FQ3 2013</stp>
        <stp>FQ3 2013</stp>
        <stp>[AMZ_2009-2018.xlsx]Cash Flow - Standardized!R62C21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62" s="4"/>
      </tp>
      <tp>
        <v>4.5190000000000001</v>
        <stp/>
        <stp>##V3_BDHV12</stp>
        <stp>AMZN US Equity</stp>
        <stp>EBITDA_MARGIN</stp>
        <stp>FQ3 2011</stp>
        <stp>FQ3 2011</stp>
        <stp>[AMZ_2009-2018.xlsx]Cash Flow - Standardized!R62C13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62" s="4"/>
      </tp>
      <tp>
        <v>4.1672000000000002</v>
        <stp/>
        <stp>##V3_BDHV12</stp>
        <stp>AMZN US Equity</stp>
        <stp>EBITDA_MARGIN</stp>
        <stp>FQ3 2012</stp>
        <stp>FQ3 2012</stp>
        <stp>[AMZ_2009-2018.xlsx]Cash Flow - Standardized!R62C17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62" s="4"/>
      </tp>
      <tp>
        <v>8.6008999999999993</v>
        <stp/>
        <stp>##V3_BDHV12</stp>
        <stp>AMZN US Equity</stp>
        <stp>EBITDA_MARGIN</stp>
        <stp>FQ2 2017</stp>
        <stp>FQ2 2017</stp>
        <stp>[AMZ_2009-2018.xlsx]Cash Flow - Standardized!R62C36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62" s="4"/>
      </tp>
      <tp>
        <v>9.0825999999999993</v>
        <stp/>
        <stp>##V3_BDHV12</stp>
        <stp>AMZN US Equity</stp>
        <stp>EBITDA_MARGIN</stp>
        <stp>FQ2 2016</stp>
        <stp>FQ2 2016</stp>
        <stp>[AMZ_2009-2018.xlsx]Cash Flow - Standardized!R62C32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62" s="4"/>
      </tp>
      <tp>
        <v>5.5430999999999999</v>
        <stp/>
        <stp>##V3_BDHV12</stp>
        <stp>AMZN US Equity</stp>
        <stp>EBITDA_MARGIN</stp>
        <stp>FQ2 2014</stp>
        <stp>FQ2 2014</stp>
        <stp>[AMZ_2009-2018.xlsx]Cash Flow - Standardized!R62C24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62" s="4"/>
      </tp>
      <tp>
        <v>6.5984999999999996</v>
        <stp/>
        <stp>##V3_BDHV12</stp>
        <stp>AMZN US Equity</stp>
        <stp>EBITDA_MARGIN</stp>
        <stp>FQ2 2015</stp>
        <stp>FQ2 2015</stp>
        <stp>[AMZ_2009-2018.xlsx]Cash Flow - Standardized!R62C28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62" s="4"/>
      </tp>
      <tp>
        <v>5.0425000000000004</v>
        <stp/>
        <stp>##V3_BDHV12</stp>
        <stp>AMZN US Equity</stp>
        <stp>EBITDA_MARGIN</stp>
        <stp>FQ2 2011</stp>
        <stp>FQ2 2011</stp>
        <stp>[AMZ_2009-2018.xlsx]Cash Flow - Standardized!R62C12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62" s="4"/>
      </tp>
      <tp>
        <v>4.95</v>
        <stp/>
        <stp>##V3_BDHV12</stp>
        <stp>AMZN US Equity</stp>
        <stp>EBITDA_MARGIN</stp>
        <stp>FQ2 2013</stp>
        <stp>FQ2 2013</stp>
        <stp>[AMZ_2009-2018.xlsx]Cash Flow - Standardized!R62C20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62" s="4"/>
      </tp>
      <tp>
        <v>4.0808999999999997</v>
        <stp/>
        <stp>##V3_BDHV12</stp>
        <stp>AMZN US Equity</stp>
        <stp>EBITDA_MARGIN</stp>
        <stp>FQ2 2012</stp>
        <stp>FQ2 2012</stp>
        <stp>[AMZ_2009-2018.xlsx]Cash Flow - Standardized!R62C16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62" s="4"/>
      </tp>
      <tp>
        <v>10.1357</v>
        <stp/>
        <stp>##V3_BDHV12</stp>
        <stp>AMZN US Equity</stp>
        <stp>EBITDA_MARGIN</stp>
        <stp>FQ2 2018</stp>
        <stp>FQ2 2018</stp>
        <stp>[AMZ_2009-2018.xlsx]Cash Flow - Standardized!R62C40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62" s="4"/>
      </tp>
      <tp>
        <v>429</v>
        <stp/>
        <stp>##V3_BDHV12</stp>
        <stp>AMZN US Equity</stp>
        <stp>IS_AVG_NUM_SH_FOR_EPS</stp>
        <stp>FQ1 2009</stp>
        <stp>FQ1 2009</stp>
        <stp>[AMZ_2009-2018.xlsx]Income - Adjusted!R49C3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49" s="2"/>
      </tp>
      <tp>
        <v>4.6387999999999998</v>
        <stp/>
        <stp>##V3_BDHV12</stp>
        <stp>AMZN US Equity</stp>
        <stp>EBITDA_MARGIN</stp>
        <stp>FQ4 2012</stp>
        <stp>FQ4 2012</stp>
        <stp>[AMZ_2009-2018.xlsx]Cash Flow - Standardized!R62C18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62" s="4"/>
      </tp>
      <tp>
        <v>4.0456000000000003</v>
        <stp/>
        <stp>##V3_BDHV12</stp>
        <stp>AMZN US Equity</stp>
        <stp>EBITDA_MARGIN</stp>
        <stp>FQ4 2011</stp>
        <stp>FQ4 2011</stp>
        <stp>[AMZ_2009-2018.xlsx]Cash Flow - Standardized!R62C14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62" s="4"/>
      </tp>
      <tp>
        <v>5.3697999999999997</v>
        <stp/>
        <stp>##V3_BDHV12</stp>
        <stp>AMZN US Equity</stp>
        <stp>EBITDA_MARGIN</stp>
        <stp>FQ4 2013</stp>
        <stp>FQ4 2013</stp>
        <stp>[AMZ_2009-2018.xlsx]Cash Flow - Standardized!R62C22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62" s="4"/>
      </tp>
      <tp>
        <v>5.7710999999999997</v>
        <stp/>
        <stp>##V3_BDHV12</stp>
        <stp>AMZN US Equity</stp>
        <stp>EBITDA_MARGIN</stp>
        <stp>FQ4 2010</stp>
        <stp>FQ4 2010</stp>
        <stp>[AMZ_2009-2018.xlsx]Cash Flow - Standardized!R62C10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62" s="4"/>
      </tp>
      <tp>
        <v>7.9565000000000001</v>
        <stp/>
        <stp>##V3_BDHV12</stp>
        <stp>AMZN US Equity</stp>
        <stp>EBITDA_MARGIN</stp>
        <stp>FQ4 2015</stp>
        <stp>FQ4 2015</stp>
        <stp>[AMZ_2009-2018.xlsx]Cash Flow - Standardized!R62C30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62" s="4"/>
      </tp>
      <tp>
        <v>5.5321999999999996</v>
        <stp/>
        <stp>##V3_BDHV12</stp>
        <stp>AMZN US Equity</stp>
        <stp>EBITDA_MARGIN</stp>
        <stp>FQ4 2014</stp>
        <stp>FQ4 2014</stp>
        <stp>[AMZ_2009-2018.xlsx]Cash Flow - Standardized!R62C26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62" s="4"/>
      </tp>
      <tp>
        <v>8.7622</v>
        <stp/>
        <stp>##V3_BDHV12</stp>
        <stp>AMZN US Equity</stp>
        <stp>EBITDA_MARGIN</stp>
        <stp>FQ4 2017</stp>
        <stp>FQ4 2017</stp>
        <stp>[AMZ_2009-2018.xlsx]Cash Flow - Standardized!R62C38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62" s="4"/>
      </tp>
      <tp>
        <v>9.0472000000000001</v>
        <stp/>
        <stp>##V3_BDHV12</stp>
        <stp>AMZN US Equity</stp>
        <stp>EBITDA_MARGIN</stp>
        <stp>FQ4 2016</stp>
        <stp>FQ4 2016</stp>
        <stp>[AMZ_2009-2018.xlsx]Cash Flow - Standardized!R62C34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62" s="4"/>
      </tp>
      <tp t="s">
        <v>—</v>
        <stp/>
        <stp>##V3_BDHV12</stp>
        <stp>AMZN US Equity</stp>
        <stp>BS_TOTAL_CAPITAL_LEASES</stp>
        <stp>FQ1 2010</stp>
        <stp>FQ1 2010</stp>
        <stp>[AMZ_2009-2018.xlsx]Bal Sheet - Standardized!R82C7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82" s="3"/>
      </tp>
      <tp>
        <v>4</v>
        <stp/>
        <stp>##V3_BDHV12</stp>
        <stp>AMZN US Equity</stp>
        <stp>BS_COMMON_STOCK</stp>
        <stp>FQ2 2009</stp>
        <stp>FQ2 2009</stp>
        <stp>[AMZ_2009-2018.xlsx]Bal Sheet - Standardized!R66C4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6" s="3"/>
      </tp>
      <tp>
        <v>5</v>
        <stp/>
        <stp>##V3_BDHV12</stp>
        <stp>AMZN US Equity</stp>
        <stp>BS_COMMON_STOCK</stp>
        <stp>FQ3 2010</stp>
        <stp>FQ3 2010</stp>
        <stp>[AMZ_2009-2018.xlsx]Bal Sheet - Standardized!R66C9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6" s="3"/>
      </tp>
      <tp>
        <v>44</v>
        <stp/>
        <stp>##V3_BDHV12</stp>
        <stp>AMZN US Equity</stp>
        <stp>IS_INT_INC</stp>
        <stp>FQ2 2017</stp>
        <stp>FQ2 2017</stp>
        <stp>[AMZ_2009-2018.xlsx]Income - Adjusted!R22C36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22" s="2"/>
      </tp>
      <tp>
        <v>10</v>
        <stp/>
        <stp>##V3_BDHV12</stp>
        <stp>AMZN US Equity</stp>
        <stp>IS_INT_INC</stp>
        <stp>FQ2 2012</stp>
        <stp>FQ2 2012</stp>
        <stp>[AMZ_2009-2018.xlsx]Income - Adjusted!R22C16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2" s="2"/>
      </tp>
      <tp>
        <v>8</v>
        <stp/>
        <stp>##V3_BDHV12</stp>
        <stp>AMZN US Equity</stp>
        <stp>IS_INT_INC</stp>
        <stp>FQ4 2014</stp>
        <stp>FQ4 2014</stp>
        <stp>[AMZ_2009-2018.xlsx]Income - Adjusted!R22C26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2" s="2"/>
      </tp>
      <tp>
        <v>-433</v>
        <stp/>
        <stp>##V3_BDHV12</stp>
        <stp>AMZN US Equity</stp>
        <stp>CF_PURCHASE_OF_FIXED_PROD_ASSETS</stp>
        <stp>FQ2 2011</stp>
        <stp>FQ2 2011</stp>
        <stp>[AMZ_2009-2018.xlsx]Cash Flow - Standardized!R27C12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7" s="4"/>
      </tp>
      <tp>
        <v>-1038</v>
        <stp/>
        <stp>##V3_BDHV12</stp>
        <stp>AMZN US Equity</stp>
        <stp>CF_PURCHASE_OF_FIXED_PROD_ASSETS</stp>
        <stp>FQ3 2013</stp>
        <stp>FQ3 2013</stp>
        <stp>[AMZ_2009-2018.xlsx]Cash Flow - Standardized!R27C21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7" s="4"/>
      </tp>
      <tp>
        <v>-1144</v>
        <stp/>
        <stp>##V3_BDHV12</stp>
        <stp>AMZN US Equity</stp>
        <stp>CF_PURCHASE_OF_FIXED_PROD_ASSETS</stp>
        <stp>FQ4 2014</stp>
        <stp>FQ4 2014</stp>
        <stp>[AMZ_2009-2018.xlsx]Cash Flow - Standardized!R27C26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7" s="4"/>
      </tp>
      <tp>
        <v>-13</v>
        <stp/>
        <stp>##V3_BDHV12</stp>
        <stp>AMZN US Equity</stp>
        <stp>CF_NT_CSH_RCVD_PD_FOR_ACQUIS_DIV</stp>
        <stp>FQ1 2018</stp>
        <stp>FQ1 2018</stp>
        <stp>[AMZ_2009-2018.xlsx]Cash Flow - Standardized!R32C39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2" s="4"/>
      </tp>
      <tp>
        <v>-386</v>
        <stp/>
        <stp>##V3_BDHV12</stp>
        <stp>AMZN US Equity</stp>
        <stp>CF_PURCHASE_OF_FIXED_PROD_ASSETS</stp>
        <stp>FQ1 2012</stp>
        <stp>FQ1 2012</stp>
        <stp>[AMZ_2009-2018.xlsx]Cash Flow - Standardized!R27C15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7" s="4"/>
      </tp>
      <tp>
        <v>-1309</v>
        <stp/>
        <stp>##V3_BDHV12</stp>
        <stp>AMZN US Equity</stp>
        <stp>CF_PURCHASE_OF_FIXED_PROD_ASSETS</stp>
        <stp>FQ4 2015</stp>
        <stp>FQ4 2015</stp>
        <stp>[AMZ_2009-2018.xlsx]Cash Flow - Standardized!R27C30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7" s="4"/>
      </tp>
      <tp>
        <v>399</v>
        <stp/>
        <stp>##V3_BDHV12</stp>
        <stp>AMZN US Equity</stp>
        <stp>EBITDA</stp>
        <stp>FQ2 2010</stp>
        <stp>FQ2 2010</stp>
        <stp>[AMZ_2009-2018.xlsx]Cash Flow - Standardized!R61C8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61" s="4"/>
      </tp>
      <tp>
        <v>418</v>
        <stp/>
        <stp>##V3_BDHV12</stp>
        <stp>AMZN US Equity</stp>
        <stp>EBITDA</stp>
        <stp>FQ3 2010</stp>
        <stp>FQ3 2010</stp>
        <stp>[AMZ_2009-2018.xlsx]Cash Flow - Standardized!R61C9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61" s="4"/>
      </tp>
      <tp>
        <v>1.7332999999999998</v>
        <stp/>
        <stp>##V3_BDHV12</stp>
        <stp>AMZN US Equity</stp>
        <stp>CF_FREE_CASH_FLOW_FIRM</stp>
        <stp>FQ2 2011</stp>
        <stp>FQ2 2011</stp>
        <stp>[AMZ_2009-2018.xlsx]Cash Flow - Standardized!R66C12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66" s="4"/>
      </tp>
      <tp>
        <v>32.764699999999998</v>
        <stp/>
        <stp>##V3_BDHV12</stp>
        <stp>AMZN US Equity</stp>
        <stp>CF_FREE_CASH_FLOW_FIRM</stp>
        <stp>FQ2 2013</stp>
        <stp>FQ2 2013</stp>
        <stp>[AMZ_2009-2018.xlsx]Cash Flow - Standardized!R66C20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66" s="4"/>
      </tp>
      <tp>
        <v>95</v>
        <stp/>
        <stp>##V3_BDHV12</stp>
        <stp>AMZN US Equity</stp>
        <stp>CF_TAX_BENEFIT_FRM_STOCK_OPTIONS</stp>
        <stp>FQ2 2015</stp>
        <stp>FQ2 2015</stp>
        <stp>[AMZ_2009-2018.xlsx]Cash Flow - Standardized!R64C28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4" s="4"/>
      </tp>
      <tp t="s">
        <v>—</v>
        <stp/>
        <stp>##V3_BDHV12</stp>
        <stp>AMZN US Equity</stp>
        <stp>CF_TAX_BENEFIT_FRM_STOCK_OPTIONS</stp>
        <stp>FQ1 2017</stp>
        <stp>FQ1 2017</stp>
        <stp>[AMZ_2009-2018.xlsx]Cash Flow - Standardized!R64C35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4" s="4"/>
      </tp>
      <tp>
        <v>333</v>
        <stp/>
        <stp>##V3_BDHV12</stp>
        <stp>AMZN US Equity</stp>
        <stp>EBITDA</stp>
        <stp>FQ1 2009</stp>
        <stp>FQ1 2009</stp>
        <stp>[AMZ_2009-2018.xlsx]Cash Flow - Standardized!R61C3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1" s="4"/>
      </tp>
      <tp>
        <v>588</v>
        <stp/>
        <stp>##V3_BDHV12</stp>
        <stp>AMZN US Equity</stp>
        <stp>EBITDA</stp>
        <stp>FQ4 2009</stp>
        <stp>FQ4 2009</stp>
        <stp>[AMZ_2009-2018.xlsx]Cash Flow - Standardized!R61C6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61" s="4"/>
      </tp>
      <tp>
        <v>23</v>
        <stp/>
        <stp>##V3_BDHV12</stp>
        <stp>AMZN US Equity</stp>
        <stp>CF_TAX_BENEFIT_FRM_STOCK_OPTIONS</stp>
        <stp>FQ4 2010</stp>
        <stp>FQ4 2010</stp>
        <stp>[AMZ_2009-2018.xlsx]Cash Flow - Standardized!R64C10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4" s="4"/>
      </tp>
      <tp>
        <v>0</v>
        <stp/>
        <stp>##V3_BDHV12</stp>
        <stp>AMZN US Equity</stp>
        <stp>CF_TAX_BENEFIT_FRM_STOCK_OPTIONS</stp>
        <stp>FQ3 2014</stp>
        <stp>FQ3 2014</stp>
        <stp>[AMZ_2009-2018.xlsx]Cash Flow - Standardized!R64C25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4" s="4"/>
      </tp>
      <tp>
        <v>78</v>
        <stp/>
        <stp>##V3_BDHV12</stp>
        <stp>AMZN US Equity</stp>
        <stp>CF_TAX_BENEFIT_FRM_STOCK_OPTIONS</stp>
        <stp>FQ4 2013</stp>
        <stp>FQ4 2013</stp>
        <stp>[AMZ_2009-2018.xlsx]Cash Flow - Standardized!R64C22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4" s="4"/>
      </tp>
      <tp>
        <v>0.53</v>
        <stp/>
        <stp>##V3_BDHV12</stp>
        <stp>AMZN US Equity</stp>
        <stp>IS_EARN_BEF_XO_ITEMS_PER_SH</stp>
        <stp>FQ3 2016</stp>
        <stp>FQ3 2016</stp>
        <stp>[AMZ_2009-2018.xlsx]Income - Adjusted!R51C33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51" s="2"/>
      </tp>
      <tp>
        <v>0.14000000000000001</v>
        <stp/>
        <stp>##V3_BDHV12</stp>
        <stp>AMZN US Equity</stp>
        <stp>IS_EARN_BEF_XO_ITEMS_PER_SH</stp>
        <stp>FQ3 2011</stp>
        <stp>FQ3 2011</stp>
        <stp>[AMZ_2009-2018.xlsx]Income - Adjusted!R51C13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51" s="2"/>
      </tp>
      <tp>
        <v>0.23</v>
        <stp/>
        <stp>##V3_BDHV12</stp>
        <stp>AMZN US Equity</stp>
        <stp>IS_EARN_BEF_XO_ITEMS_PER_SH</stp>
        <stp>FQ1 2014</stp>
        <stp>FQ1 2014</stp>
        <stp>[AMZ_2009-2018.xlsx]Income - Adjusted!R51C23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51" s="2"/>
      </tp>
      <tp>
        <v>450</v>
        <stp/>
        <stp>##V3_BDHV12</stp>
        <stp>AMZN US Equity</stp>
        <stp>BS_SH_OUT</stp>
        <stp>FQ1 2012</stp>
        <stp>FQ1 2012</stp>
        <stp>[AMZ_2009-2018.xlsx]Per Share!R6C15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6" s="5"/>
      </tp>
      <tp>
        <v>472</v>
        <stp/>
        <stp>##V3_BDHV12</stp>
        <stp>AMZN US Equity</stp>
        <stp>BS_SH_OUT</stp>
        <stp>FQ1 2016</stp>
        <stp>FQ1 2016</stp>
        <stp>[AMZ_2009-2018.xlsx]Per Share!R6C31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6" s="5"/>
      </tp>
      <tp>
        <v>460</v>
        <stp/>
        <stp>##V3_BDHV12</stp>
        <stp>AMZN US Equity</stp>
        <stp>BS_SH_OUT</stp>
        <stp>FQ1 2014</stp>
        <stp>FQ1 2014</stp>
        <stp>[AMZ_2009-2018.xlsx]Per Share!R6C23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6" s="5"/>
      </tp>
      <tp>
        <v>75.61</v>
        <stp/>
        <stp>##V3_BDHV12</stp>
        <stp>AMZN US Equity</stp>
        <stp>PX_HIGH</stp>
        <stp>FQ1 2009</stp>
        <stp>FQ1 2009</stp>
        <stp>[AMZ_2009-2018.xlsx]Stock Value!R9C3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9" s="6"/>
      </tp>
      <tp>
        <v>0</v>
        <stp/>
        <stp>##V3_BDHV12</stp>
        <stp>AMZN US Equity</stp>
        <stp>CF_NET_CHG_IN_ST_DBT_&amp;_CPTL_LEAS</stp>
        <stp>FQ3 2016</stp>
        <stp>FQ3 2016</stp>
        <stp>[AMZ_2009-2018.xlsx]Cash Flow - Standardized!R43C33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3" s="4"/>
      </tp>
      <tp>
        <v>0</v>
        <stp/>
        <stp>##V3_BDHV12</stp>
        <stp>AMZN US Equity</stp>
        <stp>CF_NET_CHG_IN_ST_DBT_&amp;_CPTL_LEAS</stp>
        <stp>FQ1 2015</stp>
        <stp>FQ1 2015</stp>
        <stp>[AMZ_2009-2018.xlsx]Cash Flow - Standardized!R43C27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3" s="4"/>
      </tp>
      <tp>
        <v>0</v>
        <stp/>
        <stp>##V3_BDHV12</stp>
        <stp>AMZN US Equity</stp>
        <stp>CF_NET_CHG_IN_ST_DBT_&amp;_CPTL_LEAS</stp>
        <stp>FQ2 2017</stp>
        <stp>FQ2 2017</stp>
        <stp>[AMZ_2009-2018.xlsx]Cash Flow - Standardized!R43C36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3" s="4"/>
      </tp>
      <tp>
        <v>0</v>
        <stp/>
        <stp>##V3_BDHV12</stp>
        <stp>AMZN US Equity</stp>
        <stp>IS_TOT_CASH_PFD_DVD</stp>
        <stp>FQ1 2018</stp>
        <stp>FQ1 2018</stp>
        <stp>[AMZ_2009-2018.xlsx]Income - Adjusted!R41C39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1" s="2"/>
      </tp>
      <tp t="s">
        <v>—</v>
        <stp/>
        <stp>##V3_BDHV12</stp>
        <stp>AMZN US Equity</stp>
        <stp>EBITA</stp>
        <stp>FQ1 2010</stp>
        <stp>FQ1 2010</stp>
        <stp>[AMZ_2009-2018.xlsx]Income - Adjusted!R63C7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63" s="2"/>
      </tp>
      <tp t="s">
        <v>—</v>
        <stp/>
        <stp>##V3_BDHV12</stp>
        <stp>AMZN US Equity</stp>
        <stp>BS_INTEREST_&amp;_DIVIDENDS_PAYABLE</stp>
        <stp>FQ3 2012</stp>
        <stp>FQ3 2012</stp>
        <stp>[AMZ_2009-2018.xlsx]Bal Sheet - Standardized!R41C17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1" s="3"/>
      </tp>
      <tp t="s">
        <v>—</v>
        <stp/>
        <stp>##V3_BDHV12</stp>
        <stp>AMZN US Equity</stp>
        <stp>BS_INTEREST_&amp;_DIVIDENDS_PAYABLE</stp>
        <stp>FQ4 2017</stp>
        <stp>FQ4 2017</stp>
        <stp>[AMZ_2009-2018.xlsx]Bal Sheet - Standardized!R41C38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1" s="3"/>
      </tp>
      <tp>
        <v>8573</v>
        <stp/>
        <stp>##V3_BDHV12</stp>
        <stp>AMZN US Equity</stp>
        <stp>CF_FREE_CASH_FLOW</stp>
        <stp>FQ4 2016</stp>
        <stp>FQ4 2016</stp>
        <stp>[AMZ_2009-2018.xlsx]Cash Flow - Standardized!R65C34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5" s="4"/>
      </tp>
      <tp>
        <v>-1884</v>
        <stp/>
        <stp>##V3_BDHV12</stp>
        <stp>AMZN US Equity</stp>
        <stp>CF_FREE_CASH_FLOW</stp>
        <stp>FQ1 2011</stp>
        <stp>FQ1 2011</stp>
        <stp>[AMZ_2009-2018.xlsx]Cash Flow - Standardized!R65C11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5" s="4"/>
      </tp>
      <tp>
        <v>-63</v>
        <stp/>
        <stp>##V3_BDHV12</stp>
        <stp>AMZN US Equity</stp>
        <stp>CF_FREE_CASH_FLOW</stp>
        <stp>FQ2 2012</stp>
        <stp>FQ2 2012</stp>
        <stp>[AMZ_2009-2018.xlsx]Cash Flow - Standardized!R65C16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5" s="4"/>
      </tp>
      <tp>
        <v>0</v>
        <stp/>
        <stp>##V3_BDHV12</stp>
        <stp>AMZN US Equity</stp>
        <stp>OTHER_ADJUSTMENTS</stp>
        <stp>FQ4 2013</stp>
        <stp>FQ4 2013</stp>
        <stp>[AMZ_2009-2018.xlsx]Income - Adjusted!R42C22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2" s="2"/>
      </tp>
      <tp>
        <v>0</v>
        <stp/>
        <stp>##V3_BDHV12</stp>
        <stp>AMZN US Equity</stp>
        <stp>OTHER_ADJUSTMENTS</stp>
        <stp>FQ2 2013</stp>
        <stp>FQ2 2013</stp>
        <stp>[AMZ_2009-2018.xlsx]Income - Adjusted!R42C20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2" s="2"/>
      </tp>
      <tp>
        <v>0</v>
        <stp/>
        <stp>##V3_BDHV12</stp>
        <stp>AMZN US Equity</stp>
        <stp>OTHER_ADJUSTMENTS</stp>
        <stp>FQ4 2010</stp>
        <stp>FQ4 2010</stp>
        <stp>[AMZ_2009-2018.xlsx]Income - Adjusted!R42C10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2" s="2"/>
      </tp>
      <tp>
        <v>-1</v>
        <stp/>
        <stp>##V3_BDHV12</stp>
        <stp>AMZN US Equity</stp>
        <stp>IS_NET_INTEREST_EXPENSE</stp>
        <stp>FQ4 2009</stp>
        <stp>FQ4 2009</stp>
        <stp>[AMZ_2009-2018.xlsx]Income - Adjusted!R20C6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0" s="2"/>
      </tp>
      <tp>
        <v>0</v>
        <stp/>
        <stp>##V3_BDHV12</stp>
        <stp>AMZN US Equity</stp>
        <stp>OTHER_ADJUSTMENTS</stp>
        <stp>FQ3 2013</stp>
        <stp>FQ3 2013</stp>
        <stp>[AMZ_2009-2018.xlsx]Income - Adjusted!R42C21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2" s="2"/>
      </tp>
      <tp>
        <v>0.40699999999999997</v>
        <stp/>
        <stp>##V3_BDHV12</stp>
        <stp>AMZN US Equity</stp>
        <stp>IS_DIL_EPS_CONT_OPS</stp>
        <stp>FQ1 2009</stp>
        <stp>FQ1 2009</stp>
        <stp>[AMZ_2009-2018.xlsx]Per Share!R19C3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19" s="5"/>
      </tp>
      <tp>
        <v>4</v>
        <stp/>
        <stp>##V3_BDHV12</stp>
        <stp>AMZN US Equity</stp>
        <stp>BS_COMMON_STOCK</stp>
        <stp>FQ3 2009</stp>
        <stp>FQ3 2009</stp>
        <stp>[AMZ_2009-2018.xlsx]Bal Sheet - Standardized!R66C5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6" s="3"/>
      </tp>
      <tp t="s">
        <v>—</v>
        <stp/>
        <stp>##V3_BDHV12</stp>
        <stp>AMZN US Equity</stp>
        <stp>BS_TOTAL_CAPITAL_LEASES</stp>
        <stp>FQ1 2009</stp>
        <stp>FQ1 2009</stp>
        <stp>[AMZ_2009-2018.xlsx]Bal Sheet - Standardized!R82C3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2" s="3"/>
      </tp>
      <tp>
        <v>5</v>
        <stp/>
        <stp>##V3_BDHV12</stp>
        <stp>AMZN US Equity</stp>
        <stp>BS_COMMON_STOCK</stp>
        <stp>FQ2 2010</stp>
        <stp>FQ2 2010</stp>
        <stp>[AMZ_2009-2018.xlsx]Bal Sheet - Standardized!R66C8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6" s="3"/>
      </tp>
      <tp>
        <v>11</v>
        <stp/>
        <stp>##V3_BDHV12</stp>
        <stp>AMZN US Equity</stp>
        <stp>IS_INT_INC</stp>
        <stp>FQ1 2015</stp>
        <stp>FQ1 2015</stp>
        <stp>[AMZ_2009-2018.xlsx]Income - Adjusted!R22C27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2" s="2"/>
      </tp>
      <tp>
        <v>-670</v>
        <stp/>
        <stp>##V3_BDHV12</stp>
        <stp>AMZN US Equity</stp>
        <stp>CF_PURCHASE_OF_FIXED_PROD_ASSETS</stp>
        <stp>FQ1 2013</stp>
        <stp>FQ1 2013</stp>
        <stp>[AMZ_2009-2018.xlsx]Cash Flow - Standardized!R27C19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7" s="4"/>
      </tp>
      <tp>
        <v>54</v>
        <stp/>
        <stp>##V3_BDHV12</stp>
        <stp>AMZN US Equity</stp>
        <stp>IS_INT_INC</stp>
        <stp>FQ3 2017</stp>
        <stp>FQ3 2017</stp>
        <stp>[AMZ_2009-2018.xlsx]Income - Adjusted!R22C37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22" s="2"/>
      </tp>
      <tp>
        <v>10</v>
        <stp/>
        <stp>##V3_BDHV12</stp>
        <stp>AMZN US Equity</stp>
        <stp>IS_INT_INC</stp>
        <stp>FQ3 2012</stp>
        <stp>FQ3 2012</stp>
        <stp>[AMZ_2009-2018.xlsx]Income - Adjusted!R22C17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2" s="2"/>
      </tp>
      <tp>
        <v>-1364</v>
        <stp/>
        <stp>##V3_BDHV12</stp>
        <stp>AMZN US Equity</stp>
        <stp>CF_ACCT_RCV_UNBILLED_REV</stp>
        <stp>FQ2 2018</stp>
        <stp>FQ2 2018</stp>
        <stp>[AMZ_2009-2018.xlsx]Cash Flow - Standardized!R14C40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4" s="4"/>
      </tp>
      <tp>
        <v>-855</v>
        <stp/>
        <stp>##V3_BDHV12</stp>
        <stp>AMZN US Equity</stp>
        <stp>CF_PURCHASE_OF_FIXED_PROD_ASSETS</stp>
        <stp>FQ2 2013</stp>
        <stp>FQ2 2013</stp>
        <stp>[AMZ_2009-2018.xlsx]Cash Flow - Standardized!R27C20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7" s="4"/>
      </tp>
      <tp>
        <v>-529</v>
        <stp/>
        <stp>##V3_BDHV12</stp>
        <stp>AMZN US Equity</stp>
        <stp>CF_PURCHASE_OF_FIXED_PROD_ASSETS</stp>
        <stp>FQ3 2011</stp>
        <stp>FQ3 2011</stp>
        <stp>[AMZ_2009-2018.xlsx]Cash Flow - Standardized!R27C13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7" s="4"/>
      </tp>
      <tp>
        <v>-3661.4007999999999</v>
        <stp/>
        <stp>##V3_BDHV12</stp>
        <stp>AMZN US Equity</stp>
        <stp>CF_FREE_CASH_FLOW_FIRM</stp>
        <stp>FQ1 2017</stp>
        <stp>FQ1 2017</stp>
        <stp>[AMZ_2009-2018.xlsx]Cash Flow - Standardized!R66C35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66" s="4"/>
      </tp>
      <tp>
        <v>-2643.8094999999998</v>
        <stp/>
        <stp>##V3_BDHV12</stp>
        <stp>AMZN US Equity</stp>
        <stp>CF_FREE_CASH_FLOW_FIRM</stp>
        <stp>FQ1 2015</stp>
        <stp>FQ1 2015</stp>
        <stp>[AMZ_2009-2018.xlsx]Cash Flow - Standardized!R66C27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66" s="4"/>
      </tp>
      <tp>
        <v>369.74489999999997</v>
        <stp/>
        <stp>##V3_BDHV12</stp>
        <stp>AMZN US Equity</stp>
        <stp>CF_FREE_CASH_FLOW_FIRM</stp>
        <stp>FQ3 2013</stp>
        <stp>FQ3 2013</stp>
        <stp>[AMZ_2009-2018.xlsx]Cash Flow - Standardized!R66C21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66" s="4"/>
      </tp>
      <tp>
        <v>276.23849999999999</v>
        <stp/>
        <stp>##V3_BDHV12</stp>
        <stp>AMZN US Equity</stp>
        <stp>CF_FREE_CASH_FLOW_FIRM</stp>
        <stp>FQ3 2011</stp>
        <stp>FQ3 2011</stp>
        <stp>[AMZ_2009-2018.xlsx]Cash Flow - Standardized!R66C13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66" s="4"/>
      </tp>
      <tp>
        <v>8658.777</v>
        <stp/>
        <stp>##V3_BDHV12</stp>
        <stp>AMZN US Equity</stp>
        <stp>CF_FREE_CASH_FLOW_FIRM</stp>
        <stp>FQ4 2016</stp>
        <stp>FQ4 2016</stp>
        <stp>[AMZ_2009-2018.xlsx]Cash Flow - Standardized!R66C34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66" s="4"/>
      </tp>
      <tp>
        <v>5609.6387000000004</v>
        <stp/>
        <stp>##V3_BDHV12</stp>
        <stp>AMZN US Equity</stp>
        <stp>CF_FREE_CASH_FLOW_FIRM</stp>
        <stp>FQ4 2014</stp>
        <stp>FQ4 2014</stp>
        <stp>[AMZ_2009-2018.xlsx]Cash Flow - Standardized!R66C26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66" s="4"/>
      </tp>
      <tp>
        <v>95</v>
        <stp/>
        <stp>##V3_BDHV12</stp>
        <stp>AMZN US Equity</stp>
        <stp>CF_TAX_BENEFIT_FRM_STOCK_OPTIONS</stp>
        <stp>FQ3 2015</stp>
        <stp>FQ3 2015</stp>
        <stp>[AMZ_2009-2018.xlsx]Cash Flow - Standardized!R64C29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4" s="4"/>
      </tp>
      <tp>
        <v>272</v>
        <stp/>
        <stp>##V3_BDHV12</stp>
        <stp>AMZN US Equity</stp>
        <stp>BS_DEFERRED_TAX_ASSETS_ST</stp>
        <stp>FQ4 2009</stp>
        <stp>FQ4 2009</stp>
        <stp>[AMZ_2009-2018.xlsx]Bal Sheet - Standardized!R20C6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0" s="3"/>
      </tp>
      <tp>
        <v>18</v>
        <stp/>
        <stp>##V3_BDHV12</stp>
        <stp>AMZN US Equity</stp>
        <stp>BS_DEFERRED_TAX_ASSETS_LT</stp>
        <stp>FQ4 2009</stp>
        <stp>FQ4 2009</stp>
        <stp>[AMZ_2009-2018.xlsx]Bal Sheet - Standardized!R31C6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1" s="3"/>
      </tp>
      <tp>
        <v>0</v>
        <stp/>
        <stp>##V3_BDHV12</stp>
        <stp>AMZN US Equity</stp>
        <stp>CF_TAX_BENEFIT_FRM_STOCK_OPTIONS</stp>
        <stp>FQ2 2014</stp>
        <stp>FQ2 2014</stp>
        <stp>[AMZ_2009-2018.xlsx]Cash Flow - Standardized!R64C24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4" s="4"/>
      </tp>
      <tp>
        <v>0.52</v>
        <stp/>
        <stp>##V3_BDHV12</stp>
        <stp>AMZN US Equity</stp>
        <stp>IS_EARN_BEF_XO_ITEMS_PER_SH</stp>
        <stp>FQ4 2013</stp>
        <stp>FQ4 2013</stp>
        <stp>[AMZ_2009-2018.xlsx]Income - Adjusted!R51C22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51" s="2"/>
      </tp>
      <tp>
        <v>1.81</v>
        <stp/>
        <stp>##V3_BDHV12</stp>
        <stp>AMZN US Equity</stp>
        <stp>IS_EARN_BEF_XO_ITEMS_PER_SH</stp>
        <stp>FQ2 2016</stp>
        <stp>FQ2 2016</stp>
        <stp>[AMZ_2009-2018.xlsx]Income - Adjusted!R51C32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51" s="2"/>
      </tp>
      <tp>
        <v>0.42</v>
        <stp/>
        <stp>##V3_BDHV12</stp>
        <stp>AMZN US Equity</stp>
        <stp>IS_EARN_BEF_XO_ITEMS_PER_SH</stp>
        <stp>FQ2 2011</stp>
        <stp>FQ2 2011</stp>
        <stp>[AMZ_2009-2018.xlsx]Income - Adjusted!R51C12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51" s="2"/>
      </tp>
      <tp t="s">
        <v>—</v>
        <stp/>
        <stp>##V3_BDHV12</stp>
        <stp>AMZN US Equity</stp>
        <stp>CF_TAX_BENEFIT_FRM_STOCK_OPTIONS</stp>
        <stp>FQ1 2016</stp>
        <stp>FQ1 2016</stp>
        <stp>[AMZ_2009-2018.xlsx]Cash Flow - Standardized!R64C31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4" s="4"/>
      </tp>
      <tp>
        <v>1</v>
        <stp/>
        <stp>##V3_BDHV12</stp>
        <stp>AMZN US Equity</stp>
        <stp>CF_TAX_BENEFIT_FRM_STOCK_OPTIONS</stp>
        <stp>FQ4 2011</stp>
        <stp>FQ4 2011</stp>
        <stp>[AMZ_2009-2018.xlsx]Cash Flow - Standardized!R64C14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4" s="4"/>
      </tp>
      <tp>
        <v>0</v>
        <stp/>
        <stp>##V3_BDHV12</stp>
        <stp>AMZN US Equity</stp>
        <stp>IS_TOT_CASH_COM_DVD</stp>
        <stp>FQ2 2015</stp>
        <stp>FQ2 2015</stp>
        <stp>[AMZ_2009-2018.xlsx]Income - Adjusted!R70C28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0" s="2"/>
      </tp>
      <tp>
        <v>0.45</v>
        <stp/>
        <stp>##V3_BDHV12</stp>
        <stp>AMZN US Equity</stp>
        <stp>IS_DIL_EPS_BEF_XO</stp>
        <stp>FQ2 2010</stp>
        <stp>FQ2 2010</stp>
        <stp>[AMZ_2009-2018.xlsx]Per Share!R18C8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18" s="5"/>
      </tp>
      <tp>
        <v>0</v>
        <stp/>
        <stp>##V3_BDHV12</stp>
        <stp>AMZN US Equity</stp>
        <stp>IS_TOT_CASH_COM_DVD</stp>
        <stp>FQ3 2015</stp>
        <stp>FQ3 2015</stp>
        <stp>[AMZ_2009-2018.xlsx]Income - Adjusted!R70C29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0" s="2"/>
      </tp>
      <tp>
        <v>0</v>
        <stp/>
        <stp>##V3_BDHV12</stp>
        <stp>AMZN US Equity</stp>
        <stp>IS_TOT_CASH_COM_DVD</stp>
        <stp>FQ1 2015</stp>
        <stp>FQ1 2015</stp>
        <stp>[AMZ_2009-2018.xlsx]Income - Adjusted!R70C27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0" s="2"/>
      </tp>
      <tp>
        <v>109.26</v>
        <stp/>
        <stp>##V3_BDHV12</stp>
        <stp>AMZN US Equity</stp>
        <stp>PX_LAST</stp>
        <stp>FQ2 2010</stp>
        <stp>FQ2 2010</stp>
        <stp>[AMZ_2009-2018.xlsx]Stock Value!R6C8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6" s="6"/>
      </tp>
      <tp>
        <v>5736</v>
        <stp/>
        <stp>##V3_BDHV12</stp>
        <stp>AMZN US Equity</stp>
        <stp>BS_ADD_PAID_IN_CAP</stp>
        <stp>FQ4 2009</stp>
        <stp>FQ4 2009</stp>
        <stp>[AMZ_2009-2018.xlsx]Bal Sheet - Standardized!R67C6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7" s="3"/>
      </tp>
      <tp>
        <v>5</v>
        <stp/>
        <stp>##V3_BDHV12</stp>
        <stp>AMZN US Equity</stp>
        <stp>IS_SH_PRO_EQY_MT_INV_NET_OF_TAX</stp>
        <stp>FQ2 2014</stp>
        <stp>FQ2 2014</stp>
        <stp>[AMZ_2009-2018.xlsx]Income - Adjusted!R33C24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33" s="2"/>
      </tp>
      <tp>
        <v>10</v>
        <stp/>
        <stp>##V3_BDHV12</stp>
        <stp>AMZN US Equity</stp>
        <stp>IS_SH_PRO_EQY_MT_INV_NET_OF_TAX</stp>
        <stp>FQ4 2011</stp>
        <stp>FQ4 2011</stp>
        <stp>[AMZ_2009-2018.xlsx]Income - Adjusted!R33C14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33" s="2"/>
      </tp>
      <tp>
        <v>3</v>
        <stp/>
        <stp>##V3_BDHV12</stp>
        <stp>AMZN US Equity</stp>
        <stp>IS_SH_PRO_EQY_MT_INV_NET_OF_TAX</stp>
        <stp>FQ4 2016</stp>
        <stp>FQ4 2016</stp>
        <stp>[AMZ_2009-2018.xlsx]Income - Adjusted!R33C34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33" s="2"/>
      </tp>
      <tp>
        <v>2901</v>
        <stp/>
        <stp>##V3_BDHV12</stp>
        <stp>AMZN US Equity</stp>
        <stp>IS_SELLING_EXPENSES</stp>
        <stp>FQ2 2018</stp>
        <stp>FQ2 2018</stp>
        <stp>[AMZ_2009-2018.xlsx]Income - Adjusted!R14C40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4" s="2"/>
      </tp>
      <tp>
        <v>675</v>
        <stp/>
        <stp>##V3_BDHV12</stp>
        <stp>AMZN US Equity</stp>
        <stp>IS_SELLING_EXPENSES</stp>
        <stp>FQ2 2013</stp>
        <stp>FQ2 2013</stp>
        <stp>[AMZ_2009-2018.xlsx]Income - Adjusted!R14C20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4" s="2"/>
      </tp>
      <tp>
        <v>376</v>
        <stp/>
        <stp>##V3_BDHV12</stp>
        <stp>AMZN US Equity</stp>
        <stp>IS_SELLING_EXPENSES</stp>
        <stp>FQ4 2010</stp>
        <stp>FQ4 2010</stp>
        <stp>[AMZ_2009-2018.xlsx]Income - Adjusted!R14C10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4" s="2"/>
      </tp>
      <tp>
        <v>1755</v>
        <stp/>
        <stp>##V3_BDHV12</stp>
        <stp>AMZN US Equity</stp>
        <stp>IS_SELLING_EXPENSES</stp>
        <stp>FQ4 2015</stp>
        <stp>FQ4 2015</stp>
        <stp>[AMZ_2009-2018.xlsx]Income - Adjusted!R14C30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4" s="2"/>
      </tp>
      <tp>
        <v>0</v>
        <stp/>
        <stp>##V3_BDHV12</stp>
        <stp>AMZN US Equity</stp>
        <stp>MIN_NONCONTROL_INTEREST_CREDITS</stp>
        <stp>FQ4 2016</stp>
        <stp>FQ4 2016</stp>
        <stp>[AMZ_2009-2018.xlsx]Income - Adjusted!R39C34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39" s="2"/>
      </tp>
      <tp>
        <v>0</v>
        <stp/>
        <stp>##V3_BDHV12</stp>
        <stp>AMZN US Equity</stp>
        <stp>MIN_NONCONTROL_INTEREST_CREDITS</stp>
        <stp>FQ4 2011</stp>
        <stp>FQ4 2011</stp>
        <stp>[AMZ_2009-2018.xlsx]Income - Adjusted!R39C14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39" s="2"/>
      </tp>
      <tp>
        <v>6.1379000000000001</v>
        <stp/>
        <stp>##V3_BDHV12</stp>
        <stp>AMZN US Equity</stp>
        <stp>OPER_INC_PER_SH</stp>
        <stp>FQ2 2018</stp>
        <stp>FQ2 2018</stp>
        <stp>[AMZ_2009-2018.xlsx]Per Share!R13C40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13" s="5"/>
      </tp>
      <tp>
        <v>0</v>
        <stp/>
        <stp>##V3_BDHV12</stp>
        <stp>AMZN US Equity</stp>
        <stp>MIN_NONCONTROL_INTEREST_CREDITS</stp>
        <stp>FQ2 2014</stp>
        <stp>FQ2 2014</stp>
        <stp>[AMZ_2009-2018.xlsx]Income - Adjusted!R39C24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39" s="2"/>
      </tp>
      <tp>
        <v>1.3110999999999999</v>
        <stp/>
        <stp>##V3_BDHV12</stp>
        <stp>AMZN US Equity</stp>
        <stp>OPER_INC_PER_SH</stp>
        <stp>FQ2 2017</stp>
        <stp>FQ2 2017</stp>
        <stp>[AMZ_2009-2018.xlsx]Per Share!R13C36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13" s="5"/>
      </tp>
      <tp>
        <v>2.7166999999999999</v>
        <stp/>
        <stp>##V3_BDHV12</stp>
        <stp>AMZN US Equity</stp>
        <stp>OPER_INC_PER_SH</stp>
        <stp>FQ2 2016</stp>
        <stp>FQ2 2016</stp>
        <stp>[AMZ_2009-2018.xlsx]Per Share!R13C32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13" s="5"/>
      </tp>
      <tp>
        <v>0.99360000000000004</v>
        <stp/>
        <stp>##V3_BDHV12</stp>
        <stp>AMZN US Equity</stp>
        <stp>OPER_INC_PER_SH</stp>
        <stp>FQ2 2015</stp>
        <stp>FQ2 2015</stp>
        <stp>[AMZ_2009-2018.xlsx]Per Share!R13C28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13" s="5"/>
      </tp>
      <tp>
        <v>-3.2500000000000001E-2</v>
        <stp/>
        <stp>##V3_BDHV12</stp>
        <stp>AMZN US Equity</stp>
        <stp>OPER_INC_PER_SH</stp>
        <stp>FQ2 2014</stp>
        <stp>FQ2 2014</stp>
        <stp>[AMZ_2009-2018.xlsx]Per Share!R13C24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13" s="5"/>
      </tp>
      <tp>
        <v>0.17319999999999999</v>
        <stp/>
        <stp>##V3_BDHV12</stp>
        <stp>AMZN US Equity</stp>
        <stp>OPER_INC_PER_SH</stp>
        <stp>FQ2 2013</stp>
        <stp>FQ2 2013</stp>
        <stp>[AMZ_2009-2018.xlsx]Per Share!R13C20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13" s="5"/>
      </tp>
      <tp>
        <v>0.23730000000000001</v>
        <stp/>
        <stp>##V3_BDHV12</stp>
        <stp>AMZN US Equity</stp>
        <stp>OPER_INC_PER_SH</stp>
        <stp>FQ2 2012</stp>
        <stp>FQ2 2012</stp>
        <stp>[AMZ_2009-2018.xlsx]Per Share!R13C16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13" s="5"/>
      </tp>
      <tp>
        <v>0.44369999999999998</v>
        <stp/>
        <stp>##V3_BDHV12</stp>
        <stp>AMZN US Equity</stp>
        <stp>OPER_INC_PER_SH</stp>
        <stp>FQ2 2011</stp>
        <stp>FQ2 2011</stp>
        <stp>[AMZ_2009-2018.xlsx]Per Share!R13C12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13" s="5"/>
      </tp>
      <tp>
        <v>6424</v>
        <stp/>
        <stp>##V3_BDHV12</stp>
        <stp>AMZN US Equity</stp>
        <stp>BS_TOT_LIAB2</stp>
        <stp>FQ1 2010</stp>
        <stp>FQ1 2010</stp>
        <stp>[AMZ_2009-2018.xlsx]Bal Sheet - Standardized!R63C7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3" s="3"/>
      </tp>
      <tp>
        <v>0</v>
        <stp/>
        <stp>##V3_BDHV12</stp>
        <stp>AMZN US Equity</stp>
        <stp>CF_DECR_CAP_STOCK</stp>
        <stp>FQ1 2018</stp>
        <stp>FQ1 2018</stp>
        <stp>[AMZ_2009-2018.xlsx]Cash Flow - Standardized!R48C39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8" s="4"/>
      </tp>
      <tp>
        <v>0</v>
        <stp/>
        <stp>##V3_BDHV12</stp>
        <stp>AMZN US Equity</stp>
        <stp>CF_INCR_CAP_STOCK</stp>
        <stp>FQ1 2018</stp>
        <stp>FQ1 2018</stp>
        <stp>[AMZ_2009-2018.xlsx]Cash Flow - Standardized!R47C39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7" s="4"/>
      </tp>
      <tp>
        <v>-825</v>
        <stp/>
        <stp>##V3_BDHV12</stp>
        <stp>AMZN US Equity</stp>
        <stp>PROC_FR_REPAYMNTS_BOR_DETAILED</stp>
        <stp>FQ3 2015</stp>
        <stp>FQ3 2015</stp>
        <stp>[AMZ_2009-2018.xlsx]Cash Flow - Standardized!R42C29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2" s="4"/>
      </tp>
      <tp>
        <v>-57</v>
        <stp/>
        <stp>##V3_BDHV12</stp>
        <stp>AMZN US Equity</stp>
        <stp>PROC_FR_REPAYMNTS_BOR_DETAILED</stp>
        <stp>FQ4 2011</stp>
        <stp>FQ4 2011</stp>
        <stp>[AMZ_2009-2018.xlsx]Cash Flow - Standardized!R42C14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2" s="4"/>
      </tp>
      <tp>
        <v>-996</v>
        <stp/>
        <stp>##V3_BDHV12</stp>
        <stp>AMZN US Equity</stp>
        <stp>PROC_FR_REPAYMNTS_BOR_DETAILED</stp>
        <stp>FQ1 2016</stp>
        <stp>FQ1 2016</stp>
        <stp>[AMZ_2009-2018.xlsx]Cash Flow - Standardized!R42C31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2" s="4"/>
      </tp>
      <tp>
        <v>-189</v>
        <stp/>
        <stp>##V3_BDHV12</stp>
        <stp>AMZN US Equity</stp>
        <stp>PROC_FR_REPAYMNTS_BOR_DETAILED</stp>
        <stp>FQ2 2014</stp>
        <stp>FQ2 2014</stp>
        <stp>[AMZ_2009-2018.xlsx]Cash Flow - Standardized!R42C24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2" s="4"/>
      </tp>
      <tp>
        <v>2380</v>
        <stp/>
        <stp>##V3_BDHV12</stp>
        <stp>AMZN US Equity</stp>
        <stp>BS_ACCT_PAYABLE</stp>
        <stp>FQ1 2009</stp>
        <stp>FQ1 2009</stp>
        <stp>[AMZ_2009-2018.xlsx]Bal Sheet - Standardized!R39C3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9" s="3"/>
      </tp>
      <tp>
        <v>1317</v>
        <stp/>
        <stp>##V3_BDHV12</stp>
        <stp>AMZN US Equity</stp>
        <stp>OTHER_NONCURRENT_ASSETS_DETAILED</stp>
        <stp>FQ2 2010</stp>
        <stp>FQ2 2010</stp>
        <stp>[AMZ_2009-2018.xlsx]Bal Sheet - Standardized!R33C8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3" s="3"/>
      </tp>
      <tp>
        <v>0</v>
        <stp/>
        <stp>##V3_BDHV12</stp>
        <stp>AMZN US Equity</stp>
        <stp>CF_CASH_FOR_JOINT_VENTURES_ASSOC</stp>
        <stp>FQ1 2014</stp>
        <stp>FQ1 2014</stp>
        <stp>[AMZ_2009-2018.xlsx]Cash Flow - Standardized!R35C23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5" s="4"/>
      </tp>
      <tp t="s">
        <v>—</v>
        <stp/>
        <stp>##V3_BDHV12</stp>
        <stp>AMZN US Equity</stp>
        <stp>BS_TOTAL_CAPITAL_LEASES</stp>
        <stp>FQ3 2015</stp>
        <stp>FQ3 2015</stp>
        <stp>[AMZ_2009-2018.xlsx]Bal Sheet - Standardized!R82C29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82" s="3"/>
      </tp>
      <tp>
        <v>822</v>
        <stp/>
        <stp>##V3_BDHV12</stp>
        <stp>AMZN US Equity</stp>
        <stp>NON_CASH_ITEMS_DETAILED</stp>
        <stp>FQ4 2014</stp>
        <stp>FQ4 2014</stp>
        <stp>[AMZ_2009-2018.xlsx]Cash Flow - Standardized!R9C26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9" s="4"/>
      </tp>
      <tp>
        <v>0</v>
        <stp/>
        <stp>##V3_BDHV12</stp>
        <stp>AMZN US Equity</stp>
        <stp>CF_NET_CASH_DISCONTINUED_OPS_FIN</stp>
        <stp>FQ2 2016</stp>
        <stp>FQ2 2016</stp>
        <stp>[AMZ_2009-2018.xlsx]Cash Flow - Standardized!R50C32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0" s="4"/>
      </tp>
      <tp>
        <v>11917</v>
        <stp/>
        <stp>##V3_BDHV12</stp>
        <stp>AMZN US Equity</stp>
        <stp>BS_ACCT_PAYABLE</stp>
        <stp>FQ1 2015</stp>
        <stp>FQ1 2015</stp>
        <stp>[AMZ_2009-2018.xlsx]Bal Sheet - Standardized!R39C27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9" s="3"/>
      </tp>
      <tp>
        <v>230</v>
        <stp/>
        <stp>##V3_BDHV12</stp>
        <stp>AMZN US Equity</stp>
        <stp>NON_CASH_ITEMS_DETAILED</stp>
        <stp>FQ4 2013</stp>
        <stp>FQ4 2013</stp>
        <stp>[AMZ_2009-2018.xlsx]Cash Flow - Standardized!R9C22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9" s="4"/>
      </tp>
      <tp>
        <v>0</v>
        <stp/>
        <stp>##V3_BDHV12</stp>
        <stp>AMZN US Equity</stp>
        <stp>CF_NET_CASH_DISCONTINUED_OPS_FIN</stp>
        <stp>FQ1 2014</stp>
        <stp>FQ1 2014</stp>
        <stp>[AMZ_2009-2018.xlsx]Cash Flow - Standardized!R50C23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0" s="4"/>
      </tp>
      <tp>
        <v>21439</v>
        <stp/>
        <stp>##V3_BDHV12</stp>
        <stp>AMZN US Equity</stp>
        <stp>BS_ACCT_PAYABLE</stp>
        <stp>FQ2 2017</stp>
        <stp>FQ2 2017</stp>
        <stp>[AMZ_2009-2018.xlsx]Bal Sheet - Standardized!R39C36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9" s="3"/>
      </tp>
      <tp>
        <v>0</v>
        <stp/>
        <stp>##V3_BDHV12</stp>
        <stp>AMZN US Equity</stp>
        <stp>CF_CASH_FOR_JOINT_VENTURES_ASSOC</stp>
        <stp>FQ2 2016</stp>
        <stp>FQ2 2016</stp>
        <stp>[AMZ_2009-2018.xlsx]Cash Flow - Standardized!R35C32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5" s="4"/>
      </tp>
      <tp>
        <v>854</v>
        <stp/>
        <stp>##V3_BDHV12</stp>
        <stp>AMZN US Equity</stp>
        <stp>OTHER_NONCURRENT_ASSETS_DETAILED</stp>
        <stp>FQ3 2009</stp>
        <stp>FQ3 2009</stp>
        <stp>[AMZ_2009-2018.xlsx]Bal Sheet - Standardized!R33C5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3" s="3"/>
      </tp>
      <tp>
        <v>0</v>
        <stp/>
        <stp>##V3_BDHV12</stp>
        <stp>AMZN US Equity</stp>
        <stp>CF_NET_CASH_DISCONTINUED_OPS_FIN</stp>
        <stp>FQ3 2017</stp>
        <stp>FQ3 2017</stp>
        <stp>[AMZ_2009-2018.xlsx]Cash Flow - Standardized!R50C37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0" s="4"/>
      </tp>
      <tp>
        <v>-1861</v>
        <stp/>
        <stp>##V3_BDHV12</stp>
        <stp>AMZN US Equity</stp>
        <stp>CHG_IN_FXD_&amp;_INTANG_AST_DETAILED</stp>
        <stp>FQ1 2017</stp>
        <stp>FQ1 2017</stp>
        <stp>[AMZ_2009-2018.xlsx]Cash Flow - Standardized!R22C35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2" s="4"/>
      </tp>
      <tp>
        <v>0</v>
        <stp/>
        <stp>##V3_BDHV12</stp>
        <stp>AMZN US Equity</stp>
        <stp>CF_CASH_FOR_DIVESTITURES</stp>
        <stp>FQ1 2013</stp>
        <stp>FQ1 2013</stp>
        <stp>[AMZ_2009-2018.xlsx]Cash Flow - Standardized!R33C19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3" s="4"/>
      </tp>
      <tp>
        <v>0</v>
        <stp/>
        <stp>##V3_BDHV12</stp>
        <stp>AMZN US Equity</stp>
        <stp>CF_NET_CASH_DISCONTINUED_OPS_INV</stp>
        <stp>FQ4 2012</stp>
        <stp>FQ4 2012</stp>
        <stp>[AMZ_2009-2018.xlsx]Cash Flow - Standardized!R37C18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7" s="4"/>
      </tp>
      <tp>
        <v>-880</v>
        <stp/>
        <stp>##V3_BDHV12</stp>
        <stp>AMZN US Equity</stp>
        <stp>CHG_IN_FXD_&amp;_INTANG_AST_DETAILED</stp>
        <stp>FQ4 2013</stp>
        <stp>FQ4 2013</stp>
        <stp>[AMZ_2009-2018.xlsx]Cash Flow - Standardized!R22C22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2" s="4"/>
      </tp>
      <tp>
        <v>-1378</v>
        <stp/>
        <stp>##V3_BDHV12</stp>
        <stp>AMZN US Equity</stp>
        <stp>CHG_IN_FXD_&amp;_INTANG_AST_DETAILED</stp>
        <stp>FQ3 2014</stp>
        <stp>FQ3 2014</stp>
        <stp>[AMZ_2009-2018.xlsx]Cash Flow - Standardized!R22C25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2" s="4"/>
      </tp>
      <tp>
        <v>18801</v>
        <stp/>
        <stp>##V3_BDHV12</stp>
        <stp>AMZN US Equity</stp>
        <stp>BS_ACCT_PAYABLE</stp>
        <stp>FQ3 2016</stp>
        <stp>FQ3 2016</stp>
        <stp>[AMZ_2009-2018.xlsx]Bal Sheet - Standardized!R39C33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9" s="3"/>
      </tp>
      <tp>
        <v>0</v>
        <stp/>
        <stp>##V3_BDHV12</stp>
        <stp>AMZN US Equity</stp>
        <stp>CF_CASH_FOR_JOINT_VENTURES_ASSOC</stp>
        <stp>FQ3 2017</stp>
        <stp>FQ3 2017</stp>
        <stp>[AMZ_2009-2018.xlsx]Cash Flow - Standardized!R35C37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5" s="4"/>
      </tp>
      <tp>
        <v>-328</v>
        <stp/>
        <stp>##V3_BDHV12</stp>
        <stp>AMZN US Equity</stp>
        <stp>CHG_IN_FXD_&amp;_INTANG_AST_DETAILED</stp>
        <stp>FQ4 2010</stp>
        <stp>FQ4 2010</stp>
        <stp>[AMZ_2009-2018.xlsx]Cash Flow - Standardized!R22C10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2" s="4"/>
      </tp>
      <tp>
        <v>535</v>
        <stp/>
        <stp>##V3_BDHV12</stp>
        <stp>AMZN US Equity</stp>
        <stp>CF_CHANGE_IN_INVENTORIES</stp>
        <stp>FQ1 2013</stp>
        <stp>FQ1 2013</stp>
        <stp>[AMZ_2009-2018.xlsx]Cash Flow - Standardized!R15C19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5" s="4"/>
      </tp>
      <tp>
        <v>0</v>
        <stp/>
        <stp>##V3_BDHV12</stp>
        <stp>AMZN US Equity</stp>
        <stp>CF_NET_CASH_DISCONTINUED_OPS_INV</stp>
        <stp>FQ2 2016</stp>
        <stp>FQ2 2016</stp>
        <stp>[AMZ_2009-2018.xlsx]Cash Flow - Standardized!R37C32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7" s="4"/>
      </tp>
      <tp>
        <v>975</v>
        <stp/>
        <stp>##V3_BDHV12</stp>
        <stp>AMZN US Equity</stp>
        <stp>BS_TOTAL_CAPITAL_LEASES</stp>
        <stp>FQ4 2011</stp>
        <stp>FQ4 2011</stp>
        <stp>[AMZ_2009-2018.xlsx]Bal Sheet - Standardized!R82C14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82" s="3"/>
      </tp>
      <tp>
        <v>-1213</v>
        <stp/>
        <stp>##V3_BDHV12</stp>
        <stp>AMZN US Equity</stp>
        <stp>CHG_IN_FXD_&amp;_INTANG_AST_DETAILED</stp>
        <stp>FQ2 2015</stp>
        <stp>FQ2 2015</stp>
        <stp>[AMZ_2009-2018.xlsx]Cash Flow - Standardized!R22C28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2" s="4"/>
      </tp>
      <tp>
        <v>1.78</v>
        <stp/>
        <stp>##V3_BDHV12</stp>
        <stp>AMZN US Equity</stp>
        <stp>IS_DIL_EPS_CONT_OPS</stp>
        <stp>FQ2 2016</stp>
        <stp>FQ2 2016</stp>
        <stp>[AMZ_2009-2018.xlsx]Income - Adjusted!R57C32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57" s="2"/>
      </tp>
      <tp>
        <v>0.41</v>
        <stp/>
        <stp>##V3_BDHV12</stp>
        <stp>AMZN US Equity</stp>
        <stp>IS_DIL_EPS_CONT_OPS</stp>
        <stp>FQ2 2011</stp>
        <stp>FQ2 2011</stp>
        <stp>[AMZ_2009-2018.xlsx]Income - Adjusted!R57C12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57" s="2"/>
      </tp>
      <tp>
        <v>0</v>
        <stp/>
        <stp>##V3_BDHV12</stp>
        <stp>AMZN US Equity</stp>
        <stp>CF_NET_CASH_DISCONTINUED_OPS_INV</stp>
        <stp>FQ1 2014</stp>
        <stp>FQ1 2014</stp>
        <stp>[AMZ_2009-2018.xlsx]Cash Flow - Standardized!R37C23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7" s="4"/>
      </tp>
      <tp>
        <v>9303</v>
        <stp/>
        <stp>##V3_BDHV12</stp>
        <stp>AMZN US Equity</stp>
        <stp>BS_TOTAL_CAPITAL_LEASES</stp>
        <stp>FQ1 2016</stp>
        <stp>FQ1 2016</stp>
        <stp>[AMZ_2009-2018.xlsx]Bal Sheet - Standardized!R82C31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82" s="3"/>
      </tp>
      <tp>
        <v>0</v>
        <stp/>
        <stp>##V3_BDHV12</stp>
        <stp>AMZN US Equity</stp>
        <stp>CF_NET_CASH_DISCONTINUED_OPS_INV</stp>
        <stp>FQ3 2017</stp>
        <stp>FQ3 2017</stp>
        <stp>[AMZ_2009-2018.xlsx]Cash Flow - Standardized!R37C37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7" s="4"/>
      </tp>
      <tp>
        <v>9466</v>
        <stp/>
        <stp>##V3_BDHV12</stp>
        <stp>AMZN US Equity</stp>
        <stp>OTHER_NONCUR_LIABS_SUB_DETAILED</stp>
        <stp>FQ2 2018</stp>
        <stp>FQ2 2018</stp>
        <stp>[AMZ_2009-2018.xlsx]Bal Sheet - Standardized!R55C40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5" s="3"/>
      </tp>
      <tp t="s">
        <v>—</v>
        <stp/>
        <stp>##V3_BDHV12</stp>
        <stp>AMZN US Equity</stp>
        <stp>BS_TOTAL_CAPITAL_LEASES</stp>
        <stp>FQ2 2014</stp>
        <stp>FQ2 2014</stp>
        <stp>[AMZ_2009-2018.xlsx]Bal Sheet - Standardized!R82C24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82" s="3"/>
      </tp>
      <tp>
        <v>1524</v>
        <stp/>
        <stp>##V3_BDHV12</stp>
        <stp>AMZN US Equity</stp>
        <stp>NON_CASH_ITEMS_DETAILED</stp>
        <stp>FQ2 2018</stp>
        <stp>FQ2 2018</stp>
        <stp>[AMZ_2009-2018.xlsx]Cash Flow - Standardized!R9C40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9" s="4"/>
      </tp>
      <tp>
        <v>0.51</v>
        <stp/>
        <stp>##V3_BDHV12</stp>
        <stp>AMZN US Equity</stp>
        <stp>IS_DIL_EPS_CONT_OPS</stp>
        <stp>FQ4 2013</stp>
        <stp>FQ4 2013</stp>
        <stp>[AMZ_2009-2018.xlsx]Income - Adjusted!R57C22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57" s="2"/>
      </tp>
      <tp>
        <v>0</v>
        <stp/>
        <stp>##V3_BDHV12</stp>
        <stp>AMZN US Equity</stp>
        <stp>CF_CASH_FOR_JOINT_VENTURES_ASSOC</stp>
        <stp>FQ4 2012</stp>
        <stp>FQ4 2012</stp>
        <stp>[AMZ_2009-2018.xlsx]Cash Flow - Standardized!R35C18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5" s="4"/>
      </tp>
      <tp>
        <v>0</v>
        <stp/>
        <stp>##V3_BDHV12</stp>
        <stp>AMZN US Equity</stp>
        <stp>CF_CASH_FOR_DIVESTITURES</stp>
        <stp>FQ3 2011</stp>
        <stp>FQ3 2011</stp>
        <stp>[AMZ_2009-2018.xlsx]Cash Flow - Standardized!R33C13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3" s="4"/>
      </tp>
      <tp>
        <v>-30</v>
        <stp/>
        <stp>##V3_BDHV12</stp>
        <stp>AMZN US Equity</stp>
        <stp>CF_CHANGE_IN_INVENTORIES</stp>
        <stp>FQ2 2013</stp>
        <stp>FQ2 2013</stp>
        <stp>[AMZ_2009-2018.xlsx]Cash Flow - Standardized!R15C20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5" s="4"/>
      </tp>
      <tp>
        <v>0</v>
        <stp/>
        <stp>##V3_BDHV12</stp>
        <stp>AMZN US Equity</stp>
        <stp>CF_CASH_FOR_DIVESTITURES</stp>
        <stp>FQ2 2013</stp>
        <stp>FQ2 2013</stp>
        <stp>[AMZ_2009-2018.xlsx]Cash Flow - Standardized!R33C20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3" s="4"/>
      </tp>
      <tp>
        <v>0</v>
        <stp/>
        <stp>##V3_BDHV12</stp>
        <stp>AMZN US Equity</stp>
        <stp>CF_NET_CASH_DISCONTINUED_OPS_FIN</stp>
        <stp>FQ4 2012</stp>
        <stp>FQ4 2012</stp>
        <stp>[AMZ_2009-2018.xlsx]Cash Flow - Standardized!R50C18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0" s="4"/>
      </tp>
      <tp>
        <v>-587</v>
        <stp/>
        <stp>##V3_BDHV12</stp>
        <stp>AMZN US Equity</stp>
        <stp>CF_CHANGE_IN_INVENTORIES</stp>
        <stp>FQ3 2011</stp>
        <stp>FQ3 2011</stp>
        <stp>[AMZ_2009-2018.xlsx]Cash Flow - Standardized!R15C13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5" s="4"/>
      </tp>
      <tp>
        <v>99</v>
        <stp/>
        <stp>##V3_BDHV12</stp>
        <stp>AMZN US Equity</stp>
        <stp>INC_DEC_IN_OT_OP_AST_LIAB_DETAIL</stp>
        <stp>FQ3 2011</stp>
        <stp>FQ3 2011</stp>
        <stp>[AMZ_2009-2018.xlsx]Cash Flow - Standardized!R17C13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7" s="4"/>
      </tp>
      <tp>
        <v>7247</v>
        <stp/>
        <stp>##V3_BDHV12</stp>
        <stp>AMZN US Equity</stp>
        <stp>IS_OPEX_R&amp;D</stp>
        <stp>FQ2 2018</stp>
        <stp>FQ2 2018</stp>
        <stp>[AMZ_2009-2018.xlsx]Income - Adjusted!R16C40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6" s="2"/>
      </tp>
      <tp>
        <v>-21</v>
        <stp/>
        <stp>##V3_BDHV12</stp>
        <stp>AMZN US Equity</stp>
        <stp>INC_DEC_IN_OT_OP_AST_LIAB_DETAIL</stp>
        <stp>FQ2 2013</stp>
        <stp>FQ2 2013</stp>
        <stp>[AMZ_2009-2018.xlsx]Cash Flow - Standardized!R17C20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7" s="4"/>
      </tp>
      <tp>
        <v>5151</v>
        <stp/>
        <stp>##V3_BDHV12</stp>
        <stp>AMZN US Equity</stp>
        <stp>ACCT_PAYABLE_&amp;_ACCRUALS_DETAILED</stp>
        <stp>FQ1 2010</stp>
        <stp>FQ1 2010</stp>
        <stp>[AMZ_2009-2018.xlsx]Bal Sheet - Standardized!R38C7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8" s="3"/>
      </tp>
      <tp>
        <v>-479</v>
        <stp/>
        <stp>##V3_BDHV12</stp>
        <stp>AMZN US Equity</stp>
        <stp>INC_DEC_IN_OT_OP_AST_LIAB_DETAIL</stp>
        <stp>FQ1 2013</stp>
        <stp>FQ1 2013</stp>
        <stp>[AMZ_2009-2018.xlsx]Cash Flow - Standardized!R17C19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7" s="4"/>
      </tp>
      <tp>
        <v>5</v>
        <stp/>
        <stp>##V3_BDHV12</stp>
        <stp>AMZN US Equity</stp>
        <stp>BS_COMMON_STOCK</stp>
        <stp>FQ1 2011</stp>
        <stp>FQ1 2011</stp>
        <stp>[AMZ_2009-2018.xlsx]Bal Sheet - Standardized!R66C11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6" s="3"/>
      </tp>
      <tp>
        <v>13</v>
        <stp/>
        <stp>##V3_BDHV12</stp>
        <stp>AMZN US Equity</stp>
        <stp>IS_INC_TAX_EXP</stp>
        <stp>FQ2 2013</stp>
        <stp>FQ2 2013</stp>
        <stp>[AMZ_2009-2018.xlsx]Income - Adjusted!R32C20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32" s="2"/>
      </tp>
      <tp>
        <v>74</v>
        <stp/>
        <stp>##V3_BDHV12</stp>
        <stp>AMZN US Equity</stp>
        <stp>IS_INC_TAX_EXP</stp>
        <stp>FQ2 2018</stp>
        <stp>FQ2 2018</stp>
        <stp>[AMZ_2009-2018.xlsx]Income - Adjusted!R32C40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32" s="2"/>
      </tp>
      <tp>
        <v>5</v>
        <stp/>
        <stp>##V3_BDHV12</stp>
        <stp>AMZN US Equity</stp>
        <stp>BS_COMMON_STOCK</stp>
        <stp>FQ4 2016</stp>
        <stp>FQ4 2016</stp>
        <stp>[AMZ_2009-2018.xlsx]Bal Sheet - Standardized!R66C34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6" s="3"/>
      </tp>
      <tp>
        <v>84</v>
        <stp/>
        <stp>##V3_BDHV12</stp>
        <stp>AMZN US Equity</stp>
        <stp>IS_INC_TAX_EXP</stp>
        <stp>FQ4 2010</stp>
        <stp>FQ4 2010</stp>
        <stp>[AMZ_2009-2018.xlsx]Income - Adjusted!R32C10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32" s="2"/>
      </tp>
      <tp>
        <v>453</v>
        <stp/>
        <stp>##V3_BDHV12</stp>
        <stp>AMZN US Equity</stp>
        <stp>IS_INC_TAX_EXP</stp>
        <stp>FQ4 2015</stp>
        <stp>FQ4 2015</stp>
        <stp>[AMZ_2009-2018.xlsx]Income - Adjusted!R32C30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32" s="2"/>
      </tp>
      <tp>
        <v>5</v>
        <stp/>
        <stp>##V3_BDHV12</stp>
        <stp>AMZN US Equity</stp>
        <stp>BS_COMMON_STOCK</stp>
        <stp>FQ2 2012</stp>
        <stp>FQ2 2012</stp>
        <stp>[AMZ_2009-2018.xlsx]Bal Sheet - Standardized!R66C16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6" s="3"/>
      </tp>
      <tp>
        <v>0.51</v>
        <stp/>
        <stp>##V3_BDHV12</stp>
        <stp>AMZN US Equity</stp>
        <stp>IS_DIL_EPS_BEF_XO</stp>
        <stp>FQ3 2010</stp>
        <stp>FQ3 2010</stp>
        <stp>[AMZ_2009-2018.xlsx]Per Share!R18C9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18" s="5"/>
      </tp>
      <tp>
        <v>0</v>
        <stp/>
        <stp>##V3_BDHV12</stp>
        <stp>AMZN US Equity</stp>
        <stp>IS_TOT_CASH_COM_DVD</stp>
        <stp>FQ1 2014</stp>
        <stp>FQ1 2014</stp>
        <stp>[AMZ_2009-2018.xlsx]Income - Adjusted!R70C23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0" s="2"/>
      </tp>
      <tp>
        <v>0</v>
        <stp/>
        <stp>##V3_BDHV12</stp>
        <stp>AMZN US Equity</stp>
        <stp>IS_TOT_CASH_COM_DVD</stp>
        <stp>FQ4 2015</stp>
        <stp>FQ4 2015</stp>
        <stp>[AMZ_2009-2018.xlsx]Income - Adjusted!R70C30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0" s="2"/>
      </tp>
      <tp>
        <v>0</v>
        <stp/>
        <stp>##V3_BDHV12</stp>
        <stp>AMZN US Equity</stp>
        <stp>IS_TOT_CASH_COM_DVD</stp>
        <stp>FQ4 2014</stp>
        <stp>FQ4 2014</stp>
        <stp>[AMZ_2009-2018.xlsx]Income - Adjusted!R70C26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0" s="2"/>
      </tp>
      <tp>
        <v>0</v>
        <stp/>
        <stp>##V3_BDHV12</stp>
        <stp>AMZN US Equity</stp>
        <stp>IS_TOT_CASH_COM_DVD</stp>
        <stp>FQ2 2014</stp>
        <stp>FQ2 2014</stp>
        <stp>[AMZ_2009-2018.xlsx]Income - Adjusted!R70C24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0" s="2"/>
      </tp>
      <tp>
        <v>0</v>
        <stp/>
        <stp>##V3_BDHV12</stp>
        <stp>AMZN US Equity</stp>
        <stp>IS_TOT_CASH_COM_DVD</stp>
        <stp>FQ3 2014</stp>
        <stp>FQ3 2014</stp>
        <stp>[AMZ_2009-2018.xlsx]Income - Adjusted!R70C25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0" s="2"/>
      </tp>
      <tp>
        <v>157.06</v>
        <stp/>
        <stp>##V3_BDHV12</stp>
        <stp>AMZN US Equity</stp>
        <stp>PX_LAST</stp>
        <stp>FQ3 2010</stp>
        <stp>FQ3 2010</stp>
        <stp>[AMZ_2009-2018.xlsx]Stock Value!R6C9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6" s="6"/>
      </tp>
      <tp t="s">
        <v>—</v>
        <stp/>
        <stp>##V3_BDHV12</stp>
        <stp>AMZN US Equity</stp>
        <stp>IS_SH_PRO_EQY_MT_INV_NET_OF_TAX</stp>
        <stp>FQ1 2017</stp>
        <stp>FQ1 2017</stp>
        <stp>[AMZ_2009-2018.xlsx]Income - Adjusted!R33C35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33" s="2"/>
      </tp>
      <tp>
        <v>-89</v>
        <stp/>
        <stp>##V3_BDHV12</stp>
        <stp>AMZN US Equity</stp>
        <stp>IS_SH_PRO_EQY_MT_INV_NET_OF_TAX</stp>
        <stp>FQ1 2012</stp>
        <stp>FQ1 2012</stp>
        <stp>[AMZ_2009-2018.xlsx]Income - Adjusted!R33C15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33" s="2"/>
      </tp>
      <tp>
        <v>8</v>
        <stp/>
        <stp>##V3_BDHV12</stp>
        <stp>AMZN US Equity</stp>
        <stp>IS_SH_PRO_EQY_MT_INV_NET_OF_TAX</stp>
        <stp>FQ3 2014</stp>
        <stp>FQ3 2014</stp>
        <stp>[AMZ_2009-2018.xlsx]Income - Adjusted!R33C25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33" s="2"/>
      </tp>
      <tp>
        <v>694</v>
        <stp/>
        <stp>##V3_BDHV12</stp>
        <stp>AMZN US Equity</stp>
        <stp>IS_SELLING_EXPENSES</stp>
        <stp>FQ3 2013</stp>
        <stp>FQ3 2013</stp>
        <stp>[AMZ_2009-2018.xlsx]Income - Adjusted!R14C21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4" s="2"/>
      </tp>
      <tp>
        <v>1436</v>
        <stp/>
        <stp>##V3_BDHV12</stp>
        <stp>AMZN US Equity</stp>
        <stp>IS_SELLING_EXPENSES</stp>
        <stp>FQ1 2016</stp>
        <stp>FQ1 2016</stp>
        <stp>[AMZ_2009-2018.xlsx]Income - Adjusted!R14C31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4" s="2"/>
      </tp>
      <tp>
        <v>327</v>
        <stp/>
        <stp>##V3_BDHV12</stp>
        <stp>AMZN US Equity</stp>
        <stp>IS_SELLING_EXPENSES</stp>
        <stp>FQ1 2011</stp>
        <stp>FQ1 2011</stp>
        <stp>[AMZ_2009-2018.xlsx]Income - Adjusted!R14C11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4" s="2"/>
      </tp>
      <tp>
        <v>4062</v>
        <stp/>
        <stp>##V3_BDHV12</stp>
        <stp>AMZN US Equity</stp>
        <stp>BS_TOT_LIAB2</stp>
        <stp>FQ1 2009</stp>
        <stp>FQ1 2009</stp>
        <stp>[AMZ_2009-2018.xlsx]Bal Sheet - Standardized!R63C3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3" s="3"/>
      </tp>
      <tp>
        <v>0</v>
        <stp/>
        <stp>##V3_BDHV12</stp>
        <stp>AMZN US Equity</stp>
        <stp>MIN_NONCONTROL_INTEREST_CREDITS</stp>
        <stp>FQ1 2012</stp>
        <stp>FQ1 2012</stp>
        <stp>[AMZ_2009-2018.xlsx]Income - Adjusted!R39C15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39" s="2"/>
      </tp>
      <tp>
        <v>0</v>
        <stp/>
        <stp>##V3_BDHV12</stp>
        <stp>AMZN US Equity</stp>
        <stp>MIN_NONCONTROL_INTEREST_CREDITS</stp>
        <stp>FQ1 2017</stp>
        <stp>FQ1 2017</stp>
        <stp>[AMZ_2009-2018.xlsx]Income - Adjusted!R39C35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39" s="2"/>
      </tp>
      <tp>
        <v>0</v>
        <stp/>
        <stp>##V3_BDHV12</stp>
        <stp>AMZN US Equity</stp>
        <stp>MIN_NONCONTROL_INTEREST_CREDITS</stp>
        <stp>FQ3 2014</stp>
        <stp>FQ3 2014</stp>
        <stp>[AMZ_2009-2018.xlsx]Income - Adjusted!R39C25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39" s="2"/>
      </tp>
      <tp>
        <v>1.2131000000000001</v>
        <stp/>
        <stp>##V3_BDHV12</stp>
        <stp>AMZN US Equity</stp>
        <stp>OPER_INC_PER_SH</stp>
        <stp>FQ3 2016</stp>
        <stp>FQ3 2016</stp>
        <stp>[AMZ_2009-2018.xlsx]Per Share!R13C33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13" s="5"/>
      </tp>
      <tp>
        <v>0.72140000000000004</v>
        <stp/>
        <stp>##V3_BDHV12</stp>
        <stp>AMZN US Equity</stp>
        <stp>OPER_INC_PER_SH</stp>
        <stp>FQ3 2017</stp>
        <stp>FQ3 2017</stp>
        <stp>[AMZ_2009-2018.xlsx]Per Share!R13C37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13" s="5"/>
      </tp>
      <tp>
        <v>-1.1749000000000001</v>
        <stp/>
        <stp>##V3_BDHV12</stp>
        <stp>AMZN US Equity</stp>
        <stp>OPER_INC_PER_SH</stp>
        <stp>FQ3 2014</stp>
        <stp>FQ3 2014</stp>
        <stp>[AMZ_2009-2018.xlsx]Per Share!R13C25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13" s="5"/>
      </tp>
      <tp>
        <v>0.86750000000000005</v>
        <stp/>
        <stp>##V3_BDHV12</stp>
        <stp>AMZN US Equity</stp>
        <stp>OPER_INC_PER_SH</stp>
        <stp>FQ3 2015</stp>
        <stp>FQ3 2015</stp>
        <stp>[AMZ_2009-2018.xlsx]Per Share!R13C29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13" s="5"/>
      </tp>
      <tp>
        <v>-6.1899999999999997E-2</v>
        <stp/>
        <stp>##V3_BDHV12</stp>
        <stp>AMZN US Equity</stp>
        <stp>OPER_INC_PER_SH</stp>
        <stp>FQ3 2012</stp>
        <stp>FQ3 2012</stp>
        <stp>[AMZ_2009-2018.xlsx]Per Share!R13C17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13" s="5"/>
      </tp>
      <tp>
        <v>-5.4699999999999999E-2</v>
        <stp/>
        <stp>##V3_BDHV12</stp>
        <stp>AMZN US Equity</stp>
        <stp>OPER_INC_PER_SH</stp>
        <stp>FQ3 2013</stp>
        <stp>FQ3 2013</stp>
        <stp>[AMZ_2009-2018.xlsx]Per Share!R13C21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13" s="5"/>
      </tp>
      <tp>
        <v>0.17399999999999999</v>
        <stp/>
        <stp>##V3_BDHV12</stp>
        <stp>AMZN US Equity</stp>
        <stp>OPER_INC_PER_SH</stp>
        <stp>FQ3 2011</stp>
        <stp>FQ3 2011</stp>
        <stp>[AMZ_2009-2018.xlsx]Per Share!R13C13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13" s="5"/>
      </tp>
      <tp>
        <v>-786</v>
        <stp/>
        <stp>##V3_BDHV12</stp>
        <stp>AMZN US Equity</stp>
        <stp>PROC_FR_REPAYMNTS_BOR_DETAILED</stp>
        <stp>FQ2 2015</stp>
        <stp>FQ2 2015</stp>
        <stp>[AMZ_2009-2018.xlsx]Cash Flow - Standardized!R42C28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2" s="4"/>
      </tp>
      <tp>
        <v>0.87419999999999998</v>
        <stp/>
        <stp>##V3_BDHV12</stp>
        <stp>AMZN US Equity</stp>
        <stp>IS_BASIC_EPS_CONT_OPS</stp>
        <stp>FQ4 2009</stp>
        <stp>FQ4 2009</stp>
        <stp>[AMZ_2009-2018.xlsx]Income - Adjusted!R52C6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52" s="2"/>
      </tp>
      <tp>
        <v>-412</v>
        <stp/>
        <stp>##V3_BDHV12</stp>
        <stp>AMZN US Equity</stp>
        <stp>PROC_FR_REPAYMNTS_BOR_DETAILED</stp>
        <stp>FQ3 2014</stp>
        <stp>FQ3 2014</stp>
        <stp>[AMZ_2009-2018.xlsx]Cash Flow - Standardized!R42C25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2" s="4"/>
      </tp>
      <tp>
        <v>-21</v>
        <stp/>
        <stp>##V3_BDHV12</stp>
        <stp>AMZN US Equity</stp>
        <stp>PROC_FR_REPAYMNTS_BOR_DETAILED</stp>
        <stp>FQ4 2013</stp>
        <stp>FQ4 2013</stp>
        <stp>[AMZ_2009-2018.xlsx]Cash Flow - Standardized!R42C22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2" s="4"/>
      </tp>
      <tp>
        <v>-57</v>
        <stp/>
        <stp>##V3_BDHV12</stp>
        <stp>AMZN US Equity</stp>
        <stp>PROC_FR_REPAYMNTS_BOR_DETAILED</stp>
        <stp>FQ4 2010</stp>
        <stp>FQ4 2010</stp>
        <stp>[AMZ_2009-2018.xlsx]Cash Flow - Standardized!R42C10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2" s="4"/>
      </tp>
      <tp>
        <v>-888</v>
        <stp/>
        <stp>##V3_BDHV12</stp>
        <stp>AMZN US Equity</stp>
        <stp>PROC_FR_REPAYMNTS_BOR_DETAILED</stp>
        <stp>FQ1 2017</stp>
        <stp>FQ1 2017</stp>
        <stp>[AMZ_2009-2018.xlsx]Cash Flow - Standardized!R42C35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2" s="4"/>
      </tp>
      <tp>
        <v>3619</v>
        <stp/>
        <stp>##V3_BDHV12</stp>
        <stp>AMZN US Equity</stp>
        <stp>BS_ACCT_PAYABLE</stp>
        <stp>FQ1 2010</stp>
        <stp>FQ1 2010</stp>
        <stp>[AMZ_2009-2018.xlsx]Bal Sheet - Standardized!R39C7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9" s="3"/>
      </tp>
      <tp>
        <v>1184</v>
        <stp/>
        <stp>##V3_BDHV12</stp>
        <stp>AMZN US Equity</stp>
        <stp>OTHER_NONCURRENT_ASSETS_DETAILED</stp>
        <stp>FQ3 2010</stp>
        <stp>FQ3 2010</stp>
        <stp>[AMZ_2009-2018.xlsx]Bal Sheet - Standardized!R33C9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3" s="3"/>
      </tp>
      <tp>
        <v>0</v>
        <stp/>
        <stp>##V3_BDHV12</stp>
        <stp>AMZN US Equity</stp>
        <stp>CF_NET_CASH_DISCONTINUED_OPS_FIN</stp>
        <stp>FQ3 2016</stp>
        <stp>FQ3 2016</stp>
        <stp>[AMZ_2009-2018.xlsx]Cash Flow - Standardized!R50C33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0" s="4"/>
      </tp>
      <tp>
        <v>-1179</v>
        <stp/>
        <stp>##V3_BDHV12</stp>
        <stp>AMZN US Equity</stp>
        <stp>CHG_IN_FXD_&amp;_INTANG_AST_DETAILED</stp>
        <stp>FQ1 2016</stp>
        <stp>FQ1 2016</stp>
        <stp>[AMZ_2009-2018.xlsx]Cash Flow - Standardized!R22C31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2" s="4"/>
      </tp>
      <tp>
        <v>657</v>
        <stp/>
        <stp>##V3_BDHV12</stp>
        <stp>AMZN US Equity</stp>
        <stp>NON_CASH_ITEMS_DETAILED</stp>
        <stp>FQ4 2016</stp>
        <stp>FQ4 2016</stp>
        <stp>[AMZ_2009-2018.xlsx]Cash Flow - Standardized!R9C34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9" s="4"/>
      </tp>
      <tp t="s">
        <v>—</v>
        <stp/>
        <stp>##V3_BDHV12</stp>
        <stp>AMZN US Equity</stp>
        <stp>BS_TOTAL_CAPITAL_LEASES</stp>
        <stp>FQ2 2015</stp>
        <stp>FQ2 2015</stp>
        <stp>[AMZ_2009-2018.xlsx]Bal Sheet - Standardized!R82C28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82" s="3"/>
      </tp>
      <tp>
        <v>0</v>
        <stp/>
        <stp>##V3_BDHV12</stp>
        <stp>AMZN US Equity</stp>
        <stp>CF_CASH_FOR_JOINT_VENTURES_ASSOC</stp>
        <stp>FQ3 2016</stp>
        <stp>FQ3 2016</stp>
        <stp>[AMZ_2009-2018.xlsx]Cash Flow - Standardized!R35C33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5" s="4"/>
      </tp>
      <tp>
        <v>-550</v>
        <stp/>
        <stp>##V3_BDHV12</stp>
        <stp>AMZN US Equity</stp>
        <stp>CHG_IN_FXD_&amp;_INTANG_AST_DETAILED</stp>
        <stp>FQ4 2011</stp>
        <stp>FQ4 2011</stp>
        <stp>[AMZ_2009-2018.xlsx]Cash Flow - Standardized!R22C14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2" s="4"/>
      </tp>
      <tp>
        <v>26075</v>
        <stp/>
        <stp>##V3_BDHV12</stp>
        <stp>AMZN US Equity</stp>
        <stp>BS_ACCT_PAYABLE</stp>
        <stp>FQ3 2017</stp>
        <stp>FQ3 2017</stp>
        <stp>[AMZ_2009-2018.xlsx]Bal Sheet - Standardized!R39C37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9" s="3"/>
      </tp>
      <tp>
        <v>821</v>
        <stp/>
        <stp>##V3_BDHV12</stp>
        <stp>AMZN US Equity</stp>
        <stp>OTHER_NONCURRENT_ASSETS_DETAILED</stp>
        <stp>FQ2 2009</stp>
        <stp>FQ2 2009</stp>
        <stp>[AMZ_2009-2018.xlsx]Bal Sheet - Standardized!R33C4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3" s="3"/>
      </tp>
      <tp>
        <v>0</v>
        <stp/>
        <stp>##V3_BDHV12</stp>
        <stp>AMZN US Equity</stp>
        <stp>CF_NET_CASH_DISCONTINUED_OPS_FIN</stp>
        <stp>FQ2 2017</stp>
        <stp>FQ2 2017</stp>
        <stp>[AMZ_2009-2018.xlsx]Cash Flow - Standardized!R50C36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0" s="4"/>
      </tp>
      <tp>
        <v>10590</v>
        <stp/>
        <stp>##V3_BDHV12</stp>
        <stp>AMZN US Equity</stp>
        <stp>BS_ACCT_PAYABLE</stp>
        <stp>FQ1 2014</stp>
        <stp>FQ1 2014</stp>
        <stp>[AMZ_2009-2018.xlsx]Bal Sheet - Standardized!R39C23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9" s="3"/>
      </tp>
      <tp>
        <v>0</v>
        <stp/>
        <stp>##V3_BDHV12</stp>
        <stp>AMZN US Equity</stp>
        <stp>CF_CASH_FOR_JOINT_VENTURES_ASSOC</stp>
        <stp>FQ1 2015</stp>
        <stp>FQ1 2015</stp>
        <stp>[AMZ_2009-2018.xlsx]Cash Flow - Standardized!R35C27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5" s="4"/>
      </tp>
      <tp>
        <v>1004</v>
        <stp/>
        <stp>##V3_BDHV12</stp>
        <stp>AMZN US Equity</stp>
        <stp>NON_CASH_ITEMS_DETAILED</stp>
        <stp>FQ4 2015</stp>
        <stp>FQ4 2015</stp>
        <stp>[AMZ_2009-2018.xlsx]Cash Flow - Standardized!R9C30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9" s="4"/>
      </tp>
      <tp>
        <v>0</v>
        <stp/>
        <stp>##V3_BDHV12</stp>
        <stp>AMZN US Equity</stp>
        <stp>CF_CASH_FOR_JOINT_VENTURES_ASSOC</stp>
        <stp>FQ2 2017</stp>
        <stp>FQ2 2017</stp>
        <stp>[AMZ_2009-2018.xlsx]Cash Flow - Standardized!R35C36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5" s="4"/>
      </tp>
      <tp>
        <v>0</v>
        <stp/>
        <stp>##V3_BDHV12</stp>
        <stp>AMZN US Equity</stp>
        <stp>CF_NET_CASH_DISCONTINUED_OPS_FIN</stp>
        <stp>FQ1 2015</stp>
        <stp>FQ1 2015</stp>
        <stp>[AMZ_2009-2018.xlsx]Cash Flow - Standardized!R50C27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0" s="4"/>
      </tp>
      <tp>
        <v>-1290</v>
        <stp/>
        <stp>##V3_BDHV12</stp>
        <stp>AMZN US Equity</stp>
        <stp>CHG_IN_FXD_&amp;_INTANG_AST_DETAILED</stp>
        <stp>FQ2 2014</stp>
        <stp>FQ2 2014</stp>
        <stp>[AMZ_2009-2018.xlsx]Cash Flow - Standardized!R22C24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2" s="4"/>
      </tp>
      <tp>
        <v>16123</v>
        <stp/>
        <stp>##V3_BDHV12</stp>
        <stp>AMZN US Equity</stp>
        <stp>BS_ACCT_PAYABLE</stp>
        <stp>FQ2 2016</stp>
        <stp>FQ2 2016</stp>
        <stp>[AMZ_2009-2018.xlsx]Bal Sheet - Standardized!R39C32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9" s="3"/>
      </tp>
      <tp>
        <v>0.23</v>
        <stp/>
        <stp>##V3_BDHV12</stp>
        <stp>AMZN US Equity</stp>
        <stp>IS_DIL_EPS_CONT_OPS</stp>
        <stp>FQ1 2014</stp>
        <stp>FQ1 2014</stp>
        <stp>[AMZ_2009-2018.xlsx]Income - Adjusted!R57C23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57" s="2"/>
      </tp>
      <tp>
        <v>-1343</v>
        <stp/>
        <stp>##V3_BDHV12</stp>
        <stp>AMZN US Equity</stp>
        <stp>CF_CHANGE_IN_INVENTORIES</stp>
        <stp>FQ4 2015</stp>
        <stp>FQ4 2015</stp>
        <stp>[AMZ_2009-2018.xlsx]Cash Flow - Standardized!R15C30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5" s="4"/>
      </tp>
      <tp>
        <v>0</v>
        <stp/>
        <stp>##V3_BDHV12</stp>
        <stp>AMZN US Equity</stp>
        <stp>CF_CASH_FOR_DIVESTITURES</stp>
        <stp>FQ4 2015</stp>
        <stp>FQ4 2015</stp>
        <stp>[AMZ_2009-2018.xlsx]Cash Flow - Standardized!R33C30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3" s="4"/>
      </tp>
      <tp>
        <v>0</v>
        <stp/>
        <stp>##V3_BDHV12</stp>
        <stp>AMZN US Equity</stp>
        <stp>CF_NET_CASH_DISCONTINUED_OPS_INV</stp>
        <stp>FQ3 2016</stp>
        <stp>FQ3 2016</stp>
        <stp>[AMZ_2009-2018.xlsx]Cash Flow - Standardized!R37C33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7" s="4"/>
      </tp>
      <tp>
        <v>13318</v>
        <stp/>
        <stp>##V3_BDHV12</stp>
        <stp>AMZN US Equity</stp>
        <stp>BS_ACCT_PAYABLE</stp>
        <stp>FQ4 2012</stp>
        <stp>FQ4 2012</stp>
        <stp>[AMZ_2009-2018.xlsx]Bal Sheet - Standardized!R39C18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9" s="3"/>
      </tp>
      <tp>
        <v>0.52</v>
        <stp/>
        <stp>##V3_BDHV12</stp>
        <stp>AMZN US Equity</stp>
        <stp>IS_DIL_EPS_CONT_OPS</stp>
        <stp>FQ3 2016</stp>
        <stp>FQ3 2016</stp>
        <stp>[AMZ_2009-2018.xlsx]Income - Adjusted!R57C33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57" s="2"/>
      </tp>
      <tp>
        <v>0.14000000000000001</v>
        <stp/>
        <stp>##V3_BDHV12</stp>
        <stp>AMZN US Equity</stp>
        <stp>IS_DIL_EPS_CONT_OPS</stp>
        <stp>FQ3 2011</stp>
        <stp>FQ3 2011</stp>
        <stp>[AMZ_2009-2018.xlsx]Income - Adjusted!R57C13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57" s="2"/>
      </tp>
      <tp>
        <v>747</v>
        <stp/>
        <stp>##V3_BDHV12</stp>
        <stp>AMZN US Equity</stp>
        <stp>CF_CHANGE_IN_INVENTORIES</stp>
        <stp>FQ1 2012</stp>
        <stp>FQ1 2012</stp>
        <stp>[AMZ_2009-2018.xlsx]Cash Flow - Standardized!R15C15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5" s="4"/>
      </tp>
      <tp>
        <v>0</v>
        <stp/>
        <stp>##V3_BDHV12</stp>
        <stp>AMZN US Equity</stp>
        <stp>CF_CASH_FOR_DIVESTITURES</stp>
        <stp>FQ1 2012</stp>
        <stp>FQ1 2012</stp>
        <stp>[AMZ_2009-2018.xlsx]Cash Flow - Standardized!R33C15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3" s="4"/>
      </tp>
      <tp>
        <v>-1195</v>
        <stp/>
        <stp>##V3_BDHV12</stp>
        <stp>AMZN US Equity</stp>
        <stp>CHG_IN_FXD_&amp;_INTANG_AST_DETAILED</stp>
        <stp>FQ3 2015</stp>
        <stp>FQ3 2015</stp>
        <stp>[AMZ_2009-2018.xlsx]Cash Flow - Standardized!R22C29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2" s="4"/>
      </tp>
      <tp>
        <v>922</v>
        <stp/>
        <stp>##V3_BDHV12</stp>
        <stp>AMZN US Equity</stp>
        <stp>NON_CASH_ITEMS_DETAILED</stp>
        <stp>FQ4 2017</stp>
        <stp>FQ4 2017</stp>
        <stp>[AMZ_2009-2018.xlsx]Cash Flow - Standardized!R9C38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9" s="4"/>
      </tp>
      <tp>
        <v>494</v>
        <stp/>
        <stp>##V3_BDHV12</stp>
        <stp>AMZN US Equity</stp>
        <stp>BS_TOTAL_CAPITAL_LEASES</stp>
        <stp>FQ4 2010</stp>
        <stp>FQ4 2010</stp>
        <stp>[AMZ_2009-2018.xlsx]Bal Sheet - Standardized!R82C10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82" s="3"/>
      </tp>
      <tp>
        <v>0</v>
        <stp/>
        <stp>##V3_BDHV12</stp>
        <stp>AMZN US Equity</stp>
        <stp>CF_NET_CASH_DISCONTINUED_OPS_INV</stp>
        <stp>FQ2 2017</stp>
        <stp>FQ2 2017</stp>
        <stp>[AMZ_2009-2018.xlsx]Cash Flow - Standardized!R37C36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7" s="4"/>
      </tp>
      <tp t="s">
        <v>—</v>
        <stp/>
        <stp>##V3_BDHV12</stp>
        <stp>AMZN US Equity</stp>
        <stp>BS_TOTAL_CAPITAL_LEASES</stp>
        <stp>FQ3 2014</stp>
        <stp>FQ3 2014</stp>
        <stp>[AMZ_2009-2018.xlsx]Bal Sheet - Standardized!R82C25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82" s="3"/>
      </tp>
      <tp>
        <v>2390</v>
        <stp/>
        <stp>##V3_BDHV12</stp>
        <stp>AMZN US Equity</stp>
        <stp>BS_TOTAL_CAPITAL_LEASES</stp>
        <stp>FQ4 2013</stp>
        <stp>FQ4 2013</stp>
        <stp>[AMZ_2009-2018.xlsx]Bal Sheet - Standardized!R82C22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82" s="3"/>
      </tp>
      <tp>
        <v>0</v>
        <stp/>
        <stp>##V3_BDHV12</stp>
        <stp>AMZN US Equity</stp>
        <stp>CF_CASH_FOR_DIVESTITURES</stp>
        <stp>FQ3 2013</stp>
        <stp>FQ3 2013</stp>
        <stp>[AMZ_2009-2018.xlsx]Cash Flow - Standardized!R33C21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3" s="4"/>
      </tp>
      <tp>
        <v>0</v>
        <stp/>
        <stp>##V3_BDHV12</stp>
        <stp>AMZN US Equity</stp>
        <stp>CF_CASH_FOR_DIVESTITURES</stp>
        <stp>FQ4 2014</stp>
        <stp>FQ4 2014</stp>
        <stp>[AMZ_2009-2018.xlsx]Cash Flow - Standardized!R33C26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3" s="4"/>
      </tp>
      <tp>
        <v>0</v>
        <stp/>
        <stp>##V3_BDHV12</stp>
        <stp>AMZN US Equity</stp>
        <stp>CF_NET_CASH_DISCONTINUED_OPS_INV</stp>
        <stp>FQ1 2015</stp>
        <stp>FQ1 2015</stp>
        <stp>[AMZ_2009-2018.xlsx]Cash Flow - Standardized!R37C27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7" s="4"/>
      </tp>
      <tp>
        <v>12859</v>
        <stp/>
        <stp>##V3_BDHV12</stp>
        <stp>AMZN US Equity</stp>
        <stp>BS_TOTAL_CAPITAL_LEASES</stp>
        <stp>FQ1 2017</stp>
        <stp>FQ1 2017</stp>
        <stp>[AMZ_2009-2018.xlsx]Bal Sheet - Standardized!R82C35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82" s="3"/>
      </tp>
      <tp>
        <v>-274</v>
        <stp/>
        <stp>##V3_BDHV12</stp>
        <stp>AMZN US Equity</stp>
        <stp>CF_CHANGE_IN_INVENTORIES</stp>
        <stp>FQ2 2011</stp>
        <stp>FQ2 2011</stp>
        <stp>[AMZ_2009-2018.xlsx]Cash Flow - Standardized!R15C12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5" s="4"/>
      </tp>
      <tp>
        <v>9.8295999999999992</v>
        <stp/>
        <stp>##V3_BDHV12</stp>
        <stp>AMZN US Equity</stp>
        <stp>TANG_BOOK_VAL_PER_SH</stp>
        <stp>FQ1 2010</stp>
        <stp>FQ1 2010</stp>
        <stp>[AMZ_2009-2018.xlsx]Per Share!R27C7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27" s="5"/>
      </tp>
      <tp>
        <v>0</v>
        <stp/>
        <stp>##V3_BDHV12</stp>
        <stp>AMZN US Equity</stp>
        <stp>CF_CASH_FOR_DIVESTITURES</stp>
        <stp>FQ2 2011</stp>
        <stp>FQ2 2011</stp>
        <stp>[AMZ_2009-2018.xlsx]Cash Flow - Standardized!R33C12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3" s="4"/>
      </tp>
      <tp>
        <v>-586</v>
        <stp/>
        <stp>##V3_BDHV12</stp>
        <stp>AMZN US Equity</stp>
        <stp>CF_CHANGE_IN_INVENTORIES</stp>
        <stp>FQ3 2013</stp>
        <stp>FQ3 2013</stp>
        <stp>[AMZ_2009-2018.xlsx]Cash Flow - Standardized!R15C21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5" s="4"/>
      </tp>
      <tp>
        <v>-1139</v>
        <stp/>
        <stp>##V3_BDHV12</stp>
        <stp>AMZN US Equity</stp>
        <stp>CF_CHANGE_IN_INVENTORIES</stp>
        <stp>FQ4 2014</stp>
        <stp>FQ4 2014</stp>
        <stp>[AMZ_2009-2018.xlsx]Cash Flow - Standardized!R15C26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5" s="4"/>
      </tp>
      <tp>
        <v>50</v>
        <stp/>
        <stp>##V3_BDHV12</stp>
        <stp>AMZN US Equity</stp>
        <stp>INC_DEC_IN_OT_OP_AST_LIAB_DETAIL</stp>
        <stp>FQ3 2013</stp>
        <stp>FQ3 2013</stp>
        <stp>[AMZ_2009-2018.xlsx]Cash Flow - Standardized!R17C21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7" s="4"/>
      </tp>
      <tp>
        <v>1490</v>
        <stp/>
        <stp>##V3_BDHV12</stp>
        <stp>AMZN US Equity</stp>
        <stp>INC_DEC_IN_OT_OP_AST_LIAB_DETAIL</stp>
        <stp>FQ4 2014</stp>
        <stp>FQ4 2014</stp>
        <stp>[AMZ_2009-2018.xlsx]Cash Flow - Standardized!R17C26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7" s="4"/>
      </tp>
      <tp>
        <v>69</v>
        <stp/>
        <stp>##V3_BDHV12</stp>
        <stp>AMZN US Equity</stp>
        <stp>INC_DEC_IN_OT_OP_AST_LIAB_DETAIL</stp>
        <stp>FQ2 2011</stp>
        <stp>FQ2 2011</stp>
        <stp>[AMZ_2009-2018.xlsx]Cash Flow - Standardized!R17C12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7" s="4"/>
      </tp>
      <tp>
        <v>16136</v>
        <stp/>
        <stp>##V3_BDHV12</stp>
        <stp>AMZN US Equity</stp>
        <stp>IS_COG_AND_SERVICES_SOLD</stp>
        <stp>FQ4 2012</stp>
        <stp>FQ4 2012</stp>
        <stp>[AMZ_2009-2018.xlsx]Income - Adjusted!R9C18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9" s="2"/>
      </tp>
      <tp>
        <v>11801</v>
        <stp/>
        <stp>##V3_BDHV12</stp>
        <stp>AMZN US Equity</stp>
        <stp>IS_COG_AND_SERVICES_SOLD</stp>
        <stp>FQ1 2013</stp>
        <stp>FQ1 2013</stp>
        <stp>[AMZ_2009-2018.xlsx]Income - Adjusted!R9C19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9" s="2"/>
      </tp>
      <tp>
        <v>-401</v>
        <stp/>
        <stp>##V3_BDHV12</stp>
        <stp>AMZN US Equity</stp>
        <stp>INC_DEC_IN_OT_OP_AST_LIAB_DETAIL</stp>
        <stp>FQ1 2012</stp>
        <stp>FQ1 2012</stp>
        <stp>[AMZ_2009-2018.xlsx]Cash Flow - Standardized!R17C15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7" s="4"/>
      </tp>
      <tp>
        <v>5</v>
        <stp/>
        <stp>##V3_BDHV12</stp>
        <stp>AMZN US Equity</stp>
        <stp>BS_COMMON_STOCK</stp>
        <stp>FQ4 2017</stp>
        <stp>FQ4 2017</stp>
        <stp>[AMZ_2009-2018.xlsx]Bal Sheet - Standardized!R66C38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6" s="3"/>
      </tp>
      <tp>
        <v>1955</v>
        <stp/>
        <stp>##V3_BDHV12</stp>
        <stp>AMZN US Equity</stp>
        <stp>INC_DEC_IN_OT_OP_AST_LIAB_DETAIL</stp>
        <stp>FQ4 2015</stp>
        <stp>FQ4 2015</stp>
        <stp>[AMZ_2009-2018.xlsx]Cash Flow - Standardized!R17C30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7" s="4"/>
      </tp>
      <tp>
        <v>5625</v>
        <stp/>
        <stp>##V3_BDHV12</stp>
        <stp>AMZN US Equity</stp>
        <stp>EBITDA</stp>
        <stp>FQ4 2017</stp>
        <stp>FQ4 2017</stp>
        <stp>[AMZ_2009-2018.xlsx]Cash Flow - Standardized!R61C38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61" s="4"/>
      </tp>
      <tp>
        <v>3351</v>
        <stp/>
        <stp>##V3_BDHV12</stp>
        <stp>AMZN US Equity</stp>
        <stp>ACCT_PAYABLE_&amp;_ACCRUALS_DETAILED</stp>
        <stp>FQ1 2009</stp>
        <stp>FQ1 2009</stp>
        <stp>[AMZ_2009-2018.xlsx]Bal Sheet - Standardized!R38C3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3"/>
      </tp>
      <tp>
        <v>475</v>
        <stp/>
        <stp>##V3_BDHV12</stp>
        <stp>AMZN US Equity</stp>
        <stp>IS_INC_TAX_EXP</stp>
        <stp>FQ1 2016</stp>
        <stp>FQ1 2016</stp>
        <stp>[AMZ_2009-2018.xlsx]Income - Adjusted!R32C31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32" s="2"/>
      </tp>
      <tp>
        <v>89</v>
        <stp/>
        <stp>##V3_BDHV12</stp>
        <stp>AMZN US Equity</stp>
        <stp>IS_INC_TAX_EXP</stp>
        <stp>FQ1 2011</stp>
        <stp>FQ1 2011</stp>
        <stp>[AMZ_2009-2018.xlsx]Income - Adjusted!R32C11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32" s="2"/>
      </tp>
      <tp>
        <v>-12</v>
        <stp/>
        <stp>##V3_BDHV12</stp>
        <stp>AMZN US Equity</stp>
        <stp>IS_INC_TAX_EXP</stp>
        <stp>FQ3 2013</stp>
        <stp>FQ3 2013</stp>
        <stp>[AMZ_2009-2018.xlsx]Income - Adjusted!R32C21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32" s="2"/>
      </tp>
      <tp>
        <v>5</v>
        <stp/>
        <stp>##V3_BDHV12</stp>
        <stp>AMZN US Equity</stp>
        <stp>BS_COMMON_STOCK</stp>
        <stp>FQ3 2012</stp>
        <stp>FQ3 2012</stp>
        <stp>[AMZ_2009-2018.xlsx]Bal Sheet - Standardized!R66C17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6" s="3"/>
      </tp>
      <tp t="s">
        <v>—</v>
        <stp/>
        <stp>##V3_BDHV12</stp>
        <stp>AMZN US Equity</stp>
        <stp>IS_MERGER_ACQUISITION_EXPENSE</stp>
        <stp>FQ4 2009</stp>
        <stp>FQ4 2009</stp>
        <stp>[AMZ_2009-2018.xlsx]Income - Adjusted!R27C6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7" s="2"/>
      </tp>
      <tp>
        <v>0.41</v>
        <stp/>
        <stp>##V3_BDHV12</stp>
        <stp>AMZN US Equity</stp>
        <stp>IS_DIL_EPS_BEF_XO</stp>
        <stp>FQ1 2009</stp>
        <stp>FQ1 2009</stp>
        <stp>[AMZ_2009-2018.xlsx]Per Share!R18C3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18" s="5"/>
      </tp>
      <tp>
        <v>0</v>
        <stp/>
        <stp>##V3_BDHV12</stp>
        <stp>AMZN US Equity</stp>
        <stp>IS_TOT_CASH_COM_DVD</stp>
        <stp>FQ2 2016</stp>
        <stp>FQ2 2016</stp>
        <stp>[AMZ_2009-2018.xlsx]Income - Adjusted!R70C32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0" s="2"/>
      </tp>
      <tp>
        <v>0</v>
        <stp/>
        <stp>##V3_BDHV12</stp>
        <stp>AMZN US Equity</stp>
        <stp>IS_TOT_CASH_COM_DVD</stp>
        <stp>FQ3 2016</stp>
        <stp>FQ3 2016</stp>
        <stp>[AMZ_2009-2018.xlsx]Income - Adjusted!R70C33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0" s="2"/>
      </tp>
      <tp>
        <v>0</v>
        <stp/>
        <stp>##V3_BDHV12</stp>
        <stp>AMZN US Equity</stp>
        <stp>IS_TOT_CASH_COM_DVD</stp>
        <stp>FQ1 2016</stp>
        <stp>FQ1 2016</stp>
        <stp>[AMZ_2009-2018.xlsx]Income - Adjusted!R70C31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0" s="2"/>
      </tp>
      <tp>
        <v>0</v>
        <stp/>
        <stp>##V3_BDHV12</stp>
        <stp>AMZN US Equity</stp>
        <stp>IS_TOT_CASH_COM_DVD</stp>
        <stp>FQ4 2016</stp>
        <stp>FQ4 2016</stp>
        <stp>[AMZ_2009-2018.xlsx]Income - Adjusted!R70C34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0" s="2"/>
      </tp>
      <tp t="s">
        <v>—</v>
        <stp/>
        <stp>##V3_BDHV12</stp>
        <stp>AMZN US Equity</stp>
        <stp>IS_DEPR_EXP</stp>
        <stp>FQ2 2018</stp>
        <stp>FQ2 2018</stp>
        <stp>[AMZ_2009-2018.xlsx]Income - Adjusted!R72C40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2" s="2"/>
      </tp>
      <tp>
        <v>2296</v>
        <stp/>
        <stp>##V3_BDHV12</stp>
        <stp>AMZN US Equity</stp>
        <stp>IS_OTHER_OPERATING_EXPENSES</stp>
        <stp>FQ4 2012</stp>
        <stp>FQ4 2012</stp>
        <stp>[AMZ_2009-2018.xlsx]Income - Adjusted!R17C18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7" s="2"/>
      </tp>
      <tp>
        <v>9034</v>
        <stp/>
        <stp>##V3_BDHV12</stp>
        <stp>AMZN US Equity</stp>
        <stp>IS_OTHER_OPERATING_EXPENSES</stp>
        <stp>FQ4 2017</stp>
        <stp>FQ4 2017</stp>
        <stp>[AMZ_2009-2018.xlsx]Income - Adjusted!R17C38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7" s="2"/>
      </tp>
      <tp>
        <v>2</v>
        <stp/>
        <stp>##V3_BDHV12</stp>
        <stp>AMZN US Equity</stp>
        <stp>IS_SH_PRO_EQY_MT_INV_NET_OF_TAX</stp>
        <stp>FQ2 2017</stp>
        <stp>FQ2 2017</stp>
        <stp>[AMZ_2009-2018.xlsx]Income - Adjusted!R33C36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33" s="2"/>
      </tp>
      <tp>
        <v>30</v>
        <stp/>
        <stp>##V3_BDHV12</stp>
        <stp>AMZN US Equity</stp>
        <stp>IS_SH_PRO_EQY_MT_INV_NET_OF_TAX</stp>
        <stp>FQ2 2012</stp>
        <stp>FQ2 2012</stp>
        <stp>[AMZ_2009-2018.xlsx]Income - Adjusted!R33C16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33" s="2"/>
      </tp>
      <tp>
        <v>10</v>
        <stp/>
        <stp>##V3_BDHV12</stp>
        <stp>AMZN US Equity</stp>
        <stp>IS_SH_PRO_EQY_MT_INV_NET_OF_TAX</stp>
        <stp>FQ4 2014</stp>
        <stp>FQ4 2014</stp>
        <stp>[AMZ_2009-2018.xlsx]Income - Adjusted!R33C26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33" s="2"/>
      </tp>
      <tp>
        <v>2924</v>
        <stp/>
        <stp>##V3_BDHV12</stp>
        <stp>AMZN US Equity</stp>
        <stp>IS_OTHER_OPERATING_EXPENSES</stp>
        <stp>FQ2 2015</stp>
        <stp>FQ2 2015</stp>
        <stp>[AMZ_2009-2018.xlsx]Income - Adjusted!R17C28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7" s="2"/>
      </tp>
      <tp>
        <v>1546</v>
        <stp/>
        <stp>##V3_BDHV12</stp>
        <stp>AMZN US Equity</stp>
        <stp>IS_SELLING_EXPENSES</stp>
        <stp>FQ2 2016</stp>
        <stp>FQ2 2016</stp>
        <stp>[AMZ_2009-2018.xlsx]Income - Adjusted!R14C32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4" s="2"/>
      </tp>
      <tp>
        <v>341</v>
        <stp/>
        <stp>##V3_BDHV12</stp>
        <stp>AMZN US Equity</stp>
        <stp>IS_SELLING_EXPENSES</stp>
        <stp>FQ2 2011</stp>
        <stp>FQ2 2011</stp>
        <stp>[AMZ_2009-2018.xlsx]Income - Adjusted!R14C12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4" s="2"/>
      </tp>
      <tp>
        <v>1133</v>
        <stp/>
        <stp>##V3_BDHV12</stp>
        <stp>AMZN US Equity</stp>
        <stp>IS_SELLING_EXPENSES</stp>
        <stp>FQ4 2013</stp>
        <stp>FQ4 2013</stp>
        <stp>[AMZ_2009-2018.xlsx]Income - Adjusted!R14C22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4" s="2"/>
      </tp>
      <tp>
        <v>0</v>
        <stp/>
        <stp>##V3_BDHV12</stp>
        <stp>AMZN US Equity</stp>
        <stp>MIN_NONCONTROL_INTEREST_CREDITS</stp>
        <stp>FQ4 2014</stp>
        <stp>FQ4 2014</stp>
        <stp>[AMZ_2009-2018.xlsx]Income - Adjusted!R39C26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39" s="2"/>
      </tp>
      <tp>
        <v>7765</v>
        <stp/>
        <stp>##V3_BDHV12</stp>
        <stp>AMZN US Equity</stp>
        <stp>BS_TOT_LIAB2</stp>
        <stp>FQ3 2010</stp>
        <stp>FQ3 2010</stp>
        <stp>[AMZ_2009-2018.xlsx]Bal Sheet - Standardized!R63C9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3" s="3"/>
      </tp>
      <tp>
        <v>4419</v>
        <stp/>
        <stp>##V3_BDHV12</stp>
        <stp>AMZN US Equity</stp>
        <stp>BS_TOT_LIAB2</stp>
        <stp>FQ2 2009</stp>
        <stp>FQ2 2009</stp>
        <stp>[AMZ_2009-2018.xlsx]Bal Sheet - Standardized!R63C4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3" s="3"/>
      </tp>
      <tp>
        <v>0</v>
        <stp/>
        <stp>##V3_BDHV12</stp>
        <stp>AMZN US Equity</stp>
        <stp>MIN_NONCONTROL_INTEREST_CREDITS</stp>
        <stp>FQ2 2012</stp>
        <stp>FQ2 2012</stp>
        <stp>[AMZ_2009-2018.xlsx]Income - Adjusted!R39C16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39" s="2"/>
      </tp>
      <tp>
        <v>0</v>
        <stp/>
        <stp>##V3_BDHV12</stp>
        <stp>AMZN US Equity</stp>
        <stp>MIN_NONCONTROL_INTEREST_CREDITS</stp>
        <stp>FQ2 2017</stp>
        <stp>FQ2 2017</stp>
        <stp>[AMZ_2009-2018.xlsx]Income - Adjusted!R39C36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39" s="2"/>
      </tp>
      <tp>
        <v>0.45910000000000001</v>
        <stp/>
        <stp>##V3_BDHV12</stp>
        <stp>AMZN US Equity</stp>
        <stp>IS_BASIC_EPS_CONT_OPS</stp>
        <stp>FQ3 2009</stp>
        <stp>FQ3 2009</stp>
        <stp>[AMZ_2009-2018.xlsx]Income - Adjusted!R52C5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52" s="2"/>
      </tp>
      <tp>
        <v>-1000</v>
        <stp/>
        <stp>##V3_BDHV12</stp>
        <stp>AMZN US Equity</stp>
        <stp>PROC_FR_REPAYMNTS_BOR_DETAILED</stp>
        <stp>FQ3 2016</stp>
        <stp>FQ3 2016</stp>
        <stp>[AMZ_2009-2018.xlsx]Cash Flow - Standardized!R42C33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2" s="4"/>
      </tp>
      <tp>
        <v>-1274</v>
        <stp/>
        <stp>##V3_BDHV12</stp>
        <stp>AMZN US Equity</stp>
        <stp>PROC_FR_REPAYMNTS_BOR_DETAILED</stp>
        <stp>FQ2 2017</stp>
        <stp>FQ2 2017</stp>
        <stp>[AMZ_2009-2018.xlsx]Cash Flow - Standardized!R42C36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2" s="4"/>
      </tp>
      <tp>
        <v>-674</v>
        <stp/>
        <stp>##V3_BDHV12</stp>
        <stp>AMZN US Equity</stp>
        <stp>PROC_FR_REPAYMNTS_BOR_DETAILED</stp>
        <stp>FQ1 2015</stp>
        <stp>FQ1 2015</stp>
        <stp>[AMZ_2009-2018.xlsx]Cash Flow - Standardized!R42C27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2" s="4"/>
      </tp>
      <tp>
        <v>3545</v>
        <stp/>
        <stp>##V3_BDHV12</stp>
        <stp>AMZN US Equity</stp>
        <stp>BS_ACCT_PAYABLE</stp>
        <stp>FQ2 2010</stp>
        <stp>FQ2 2010</stp>
        <stp>[AMZ_2009-2018.xlsx]Bal Sheet - Standardized!R39C8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9" s="3"/>
      </tp>
      <tp>
        <v>3354</v>
        <stp/>
        <stp>##V3_BDHV12</stp>
        <stp>AMZN US Equity</stp>
        <stp>BS_ACCT_PAYABLE</stp>
        <stp>FQ3 2009</stp>
        <stp>FQ3 2009</stp>
        <stp>[AMZ_2009-2018.xlsx]Bal Sheet - Standardized!R39C5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9" s="3"/>
      </tp>
      <tp>
        <v>765</v>
        <stp/>
        <stp>##V3_BDHV12</stp>
        <stp>AMZN US Equity</stp>
        <stp>OTHER_NONCURRENT_ASSETS_DETAILED</stp>
        <stp>FQ1 2009</stp>
        <stp>FQ1 2009</stp>
        <stp>[AMZ_2009-2018.xlsx]Bal Sheet - Standardized!R33C3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3"/>
      </tp>
      <tp>
        <v>-1080</v>
        <stp/>
        <stp>##V3_BDHV12</stp>
        <stp>AMZN US Equity</stp>
        <stp>CHG_IN_FXD_&amp;_INTANG_AST_DETAILED</stp>
        <stp>FQ1 2014</stp>
        <stp>FQ1 2014</stp>
        <stp>[AMZ_2009-2018.xlsx]Cash Flow - Standardized!R22C23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2" s="4"/>
      </tp>
      <tp>
        <v>0</v>
        <stp/>
        <stp>##V3_BDHV12</stp>
        <stp>AMZN US Equity</stp>
        <stp>OTHER_INTANGIBLE_ASSETS_DETAILED</stp>
        <stp>FQ4 2009</stp>
        <stp>FQ4 2009</stp>
        <stp>[AMZ_2009-2018.xlsx]Bal Sheet - Standardized!R30C6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0" s="3"/>
      </tp>
      <tp>
        <v>0</v>
        <stp/>
        <stp>##V3_BDHV12</stp>
        <stp>AMZN US Equity</stp>
        <stp>CF_NET_CASH_DISCONTINUED_OPS_INV</stp>
        <stp>FQ2 2015</stp>
        <stp>FQ2 2015</stp>
        <stp>[AMZ_2009-2018.xlsx]Cash Flow - Standardized!R37C28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7" s="4"/>
      </tp>
      <tp>
        <v>-4240</v>
        <stp/>
        <stp>##V3_BDHV12</stp>
        <stp>AMZN US Equity</stp>
        <stp>CF_NET_CHNG_CASH</stp>
        <stp>FQ1 2018</stp>
        <stp>FQ1 2018</stp>
        <stp>[AMZ_2009-2018.xlsx]Cash Flow - Standardized!R55C39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5" s="4"/>
      </tp>
      <tp>
        <v>-1711</v>
        <stp/>
        <stp>##V3_BDHV12</stp>
        <stp>AMZN US Equity</stp>
        <stp>CHG_IN_FXD_&amp;_INTANG_AST_DETAILED</stp>
        <stp>FQ2 2016</stp>
        <stp>FQ2 2016</stp>
        <stp>[AMZ_2009-2018.xlsx]Cash Flow - Standardized!R22C32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2" s="4"/>
      </tp>
      <tp>
        <v>10457</v>
        <stp/>
        <stp>##V3_BDHV12</stp>
        <stp>AMZN US Equity</stp>
        <stp>BS_ACCT_PAYABLE</stp>
        <stp>FQ2 2014</stp>
        <stp>FQ2 2014</stp>
        <stp>[AMZ_2009-2018.xlsx]Bal Sheet - Standardized!R39C24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9" s="3"/>
      </tp>
      <tp>
        <v>0</v>
        <stp/>
        <stp>##V3_BDHV12</stp>
        <stp>AMZN US Equity</stp>
        <stp>CF_NET_CASH_DISCONTINUED_OPS_FIN</stp>
        <stp>FQ3 2014</stp>
        <stp>FQ3 2014</stp>
        <stp>[AMZ_2009-2018.xlsx]Cash Flow - Standardized!R50C25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0" s="4"/>
      </tp>
      <tp>
        <v>0</v>
        <stp/>
        <stp>##V3_BDHV12</stp>
        <stp>AMZN US Equity</stp>
        <stp>CF_NET_CASH_DISCONTINUED_OPS_FIN</stp>
        <stp>FQ4 2013</stp>
        <stp>FQ4 2013</stp>
        <stp>[AMZ_2009-2018.xlsx]Cash Flow - Standardized!R50C22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0" s="4"/>
      </tp>
      <tp>
        <v>14990</v>
        <stp/>
        <stp>##V3_BDHV12</stp>
        <stp>AMZN US Equity</stp>
        <stp>BS_ACCT_PAYABLE</stp>
        <stp>FQ1 2016</stp>
        <stp>FQ1 2016</stp>
        <stp>[AMZ_2009-2018.xlsx]Bal Sheet - Standardized!R39C31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9" s="3"/>
      </tp>
      <tp>
        <v>0</v>
        <stp/>
        <stp>##V3_BDHV12</stp>
        <stp>AMZN US Equity</stp>
        <stp>CF_CASH_FOR_JOINT_VENTURES_ASSOC</stp>
        <stp>FQ1 2017</stp>
        <stp>FQ1 2017</stp>
        <stp>[AMZ_2009-2018.xlsx]Cash Flow - Standardized!R35C35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5" s="4"/>
      </tp>
      <tp>
        <v>0</v>
        <stp/>
        <stp>##V3_BDHV12</stp>
        <stp>AMZN US Equity</stp>
        <stp>CF_NET_CASH_DISCONTINUED_OPS_FIN</stp>
        <stp>FQ4 2010</stp>
        <stp>FQ4 2010</stp>
        <stp>[AMZ_2009-2018.xlsx]Cash Flow - Standardized!R50C10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0" s="4"/>
      </tp>
      <tp>
        <v>0</v>
        <stp/>
        <stp>##V3_BDHV12</stp>
        <stp>AMZN US Equity</stp>
        <stp>CF_DISPOSAL_OF_INTANGIBLE_ASSETS</stp>
        <stp>FQ2 2018</stp>
        <stp>FQ2 2018</stp>
        <stp>[AMZ_2009-2018.xlsx]Cash Flow - Standardized!R25C40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5" s="4"/>
      </tp>
      <tp>
        <v>0</v>
        <stp/>
        <stp>##V3_BDHV12</stp>
        <stp>AMZN US Equity</stp>
        <stp>CF_CASH_FOR_JOINT_VENTURES_ASSOC</stp>
        <stp>FQ3 2014</stp>
        <stp>FQ3 2014</stp>
        <stp>[AMZ_2009-2018.xlsx]Cash Flow - Standardized!R35C25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5" s="4"/>
      </tp>
      <tp>
        <v>0</v>
        <stp/>
        <stp>##V3_BDHV12</stp>
        <stp>AMZN US Equity</stp>
        <stp>CF_CASH_FOR_JOINT_VENTURES_ASSOC</stp>
        <stp>FQ4 2013</stp>
        <stp>FQ4 2013</stp>
        <stp>[AMZ_2009-2018.xlsx]Cash Flow - Standardized!R35C22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5" s="4"/>
      </tp>
      <tp>
        <v>11145</v>
        <stp/>
        <stp>##V3_BDHV12</stp>
        <stp>AMZN US Equity</stp>
        <stp>BS_ACCT_PAYABLE</stp>
        <stp>FQ4 2011</stp>
        <stp>FQ4 2011</stp>
        <stp>[AMZ_2009-2018.xlsx]Bal Sheet - Standardized!R39C14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9" s="3"/>
      </tp>
      <tp>
        <v>0</v>
        <stp/>
        <stp>##V3_BDHV12</stp>
        <stp>AMZN US Equity</stp>
        <stp>CF_CASH_FOR_JOINT_VENTURES_ASSOC</stp>
        <stp>FQ4 2010</stp>
        <stp>FQ4 2010</stp>
        <stp>[AMZ_2009-2018.xlsx]Cash Flow - Standardized!R35C10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5" s="4"/>
      </tp>
      <tp>
        <v>0</v>
        <stp/>
        <stp>##V3_BDHV12</stp>
        <stp>AMZN US Equity</stp>
        <stp>CF_NET_CASH_DISCONTINUED_OPS_FIN</stp>
        <stp>FQ1 2017</stp>
        <stp>FQ1 2017</stp>
        <stp>[AMZ_2009-2018.xlsx]Cash Flow - Standardized!R50C35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0" s="4"/>
      </tp>
      <tp>
        <v>-2659</v>
        <stp/>
        <stp>##V3_BDHV12</stp>
        <stp>AMZN US Equity</stp>
        <stp>CHG_IN_FXD_&amp;_INTANG_AST_DETAILED</stp>
        <stp>FQ3 2017</stp>
        <stp>FQ3 2017</stp>
        <stp>[AMZ_2009-2018.xlsx]Cash Flow - Standardized!R22C37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2" s="4"/>
      </tp>
      <tp>
        <v>0</v>
        <stp/>
        <stp>##V3_BDHV12</stp>
        <stp>AMZN US Equity</stp>
        <stp>CF_CASH_FOR_DIVESTITURES</stp>
        <stp>FQ2 2012</stp>
        <stp>FQ2 2012</stp>
        <stp>[AMZ_2009-2018.xlsx]Cash Flow - Standardized!R33C16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3" s="4"/>
      </tp>
      <tp>
        <v>0</v>
        <stp/>
        <stp>##V3_BDHV12</stp>
        <stp>AMZN US Equity</stp>
        <stp>CF_NET_CASH_DISCONTINUED_OPS_FIN</stp>
        <stp>FQ2 2015</stp>
        <stp>FQ2 2015</stp>
        <stp>[AMZ_2009-2018.xlsx]Cash Flow - Standardized!R50C28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0" s="4"/>
      </tp>
      <tp>
        <v>10735</v>
        <stp/>
        <stp>##V3_BDHV12</stp>
        <stp>AMZN US Equity</stp>
        <stp>BS_TOTAL_CAPITAL_LEASES</stp>
        <stp>FQ3 2016</stp>
        <stp>FQ3 2016</stp>
        <stp>[AMZ_2009-2018.xlsx]Bal Sheet - Standardized!R82C33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82" s="3"/>
      </tp>
      <tp>
        <v>-124</v>
        <stp/>
        <stp>##V3_BDHV12</stp>
        <stp>AMZN US Equity</stp>
        <stp>CF_CHANGE_IN_INVENTORIES</stp>
        <stp>FQ2 2012</stp>
        <stp>FQ2 2012</stp>
        <stp>[AMZ_2009-2018.xlsx]Cash Flow - Standardized!R15C16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5" s="4"/>
      </tp>
      <tp>
        <v>0</v>
        <stp/>
        <stp>##V3_BDHV12</stp>
        <stp>AMZN US Equity</stp>
        <stp>CF_CASH_FOR_JOINT_VENTURES_ASSOC</stp>
        <stp>FQ2 2015</stp>
        <stp>FQ2 2015</stp>
        <stp>[AMZ_2009-2018.xlsx]Cash Flow - Standardized!R35C28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5" s="4"/>
      </tp>
      <tp>
        <v>-0.02</v>
        <stp/>
        <stp>##V3_BDHV12</stp>
        <stp>AMZN US Equity</stp>
        <stp>IS_DIL_EPS_CONT_OPS</stp>
        <stp>FQ2 2013</stp>
        <stp>FQ2 2013</stp>
        <stp>[AMZ_2009-2018.xlsx]Income - Adjusted!R57C20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57" s="2"/>
      </tp>
      <tp>
        <v>3.8780000000000001</v>
        <stp/>
        <stp>##V3_BDHV12</stp>
        <stp>AMZN US Equity</stp>
        <stp>IS_DIL_EPS_CONT_OPS</stp>
        <stp>FQ2 2018</stp>
        <stp>FQ2 2018</stp>
        <stp>[AMZ_2009-2018.xlsx]Income - Adjusted!R57C40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57" s="2"/>
      </tp>
      <tp>
        <v>0</v>
        <stp/>
        <stp>##V3_BDHV12</stp>
        <stp>AMZN US Equity</stp>
        <stp>CF_CASH_FOR_DIVESTITURES</stp>
        <stp>FQ1 2011</stp>
        <stp>FQ1 2011</stp>
        <stp>[AMZ_2009-2018.xlsx]Cash Flow - Standardized!R33C11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3" s="4"/>
      </tp>
      <tp>
        <v>0</v>
        <stp/>
        <stp>##V3_BDHV12</stp>
        <stp>AMZN US Equity</stp>
        <stp>CF_NET_CASH_DISCONTINUED_OPS_INV</stp>
        <stp>FQ4 2010</stp>
        <stp>FQ4 2010</stp>
        <stp>[AMZ_2009-2018.xlsx]Cash Flow - Standardized!R37C10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7" s="4"/>
      </tp>
      <tp>
        <v>0.91</v>
        <stp/>
        <stp>##V3_BDHV12</stp>
        <stp>AMZN US Equity</stp>
        <stp>IS_DIL_EPS_CONT_OPS</stp>
        <stp>FQ4 2010</stp>
        <stp>FQ4 2010</stp>
        <stp>[AMZ_2009-2018.xlsx]Income - Adjusted!R57C10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57" s="2"/>
      </tp>
      <tp>
        <v>1.0041</v>
        <stp/>
        <stp>##V3_BDHV12</stp>
        <stp>AMZN US Equity</stp>
        <stp>IS_DIL_EPS_CONT_OPS</stp>
        <stp>FQ4 2015</stp>
        <stp>FQ4 2015</stp>
        <stp>[AMZ_2009-2018.xlsx]Income - Adjusted!R57C30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57" s="2"/>
      </tp>
      <tp>
        <v>0</v>
        <stp/>
        <stp>##V3_BDHV12</stp>
        <stp>AMZN US Equity</stp>
        <stp>CF_NET_CASH_DISCONTINUED_OPS_INV</stp>
        <stp>FQ3 2014</stp>
        <stp>FQ3 2014</stp>
        <stp>[AMZ_2009-2018.xlsx]Cash Flow - Standardized!R37C25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7" s="4"/>
      </tp>
      <tp>
        <v>0</v>
        <stp/>
        <stp>##V3_BDHV12</stp>
        <stp>AMZN US Equity</stp>
        <stp>CF_NET_CASH_DISCONTINUED_OPS_INV</stp>
        <stp>FQ4 2013</stp>
        <stp>FQ4 2013</stp>
        <stp>[AMZ_2009-2018.xlsx]Cash Flow - Standardized!R37C22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7" s="4"/>
      </tp>
      <tp>
        <v>14873</v>
        <stp/>
        <stp>##V3_BDHV12</stp>
        <stp>AMZN US Equity</stp>
        <stp>BS_TOTAL_CAPITAL_LEASES</stp>
        <stp>FQ2 2017</stp>
        <stp>FQ2 2017</stp>
        <stp>[AMZ_2009-2018.xlsx]Bal Sheet - Standardized!R82C36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82" s="3"/>
      </tp>
      <tp>
        <v>-2025</v>
        <stp/>
        <stp>##V3_BDHV12</stp>
        <stp>AMZN US Equity</stp>
        <stp>CHG_IN_FXD_&amp;_INTANG_AST_DETAILED</stp>
        <stp>FQ4 2012</stp>
        <stp>FQ4 2012</stp>
        <stp>[AMZ_2009-2018.xlsx]Cash Flow - Standardized!R22C18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2" s="4"/>
      </tp>
      <tp>
        <v>343</v>
        <stp/>
        <stp>##V3_BDHV12</stp>
        <stp>AMZN US Equity</stp>
        <stp>CF_CHANGE_IN_INVENTORIES</stp>
        <stp>FQ1 2011</stp>
        <stp>FQ1 2011</stp>
        <stp>[AMZ_2009-2018.xlsx]Cash Flow - Standardized!R15C11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5" s="4"/>
      </tp>
      <tp>
        <v>0</v>
        <stp/>
        <stp>##V3_BDHV12</stp>
        <stp>AMZN US Equity</stp>
        <stp>CF_CASH_FOR_DIVESTITURES</stp>
        <stp>FQ4 2016</stp>
        <stp>FQ4 2016</stp>
        <stp>[AMZ_2009-2018.xlsx]Cash Flow - Standardized!R33C34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3" s="4"/>
      </tp>
      <tp>
        <v>0</v>
        <stp/>
        <stp>##V3_BDHV12</stp>
        <stp>AMZN US Equity</stp>
        <stp>CF_NET_CASH_DISCONTINUED_OPS_INV</stp>
        <stp>FQ1 2017</stp>
        <stp>FQ1 2017</stp>
        <stp>[AMZ_2009-2018.xlsx]Cash Flow - Standardized!R37C35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7" s="4"/>
      </tp>
      <tp t="s">
        <v>—</v>
        <stp/>
        <stp>##V3_BDHV12</stp>
        <stp>AMZN US Equity</stp>
        <stp>BS_TOTAL_CAPITAL_LEASES</stp>
        <stp>FQ1 2015</stp>
        <stp>FQ1 2015</stp>
        <stp>[AMZ_2009-2018.xlsx]Bal Sheet - Standardized!R82C27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82" s="3"/>
      </tp>
      <tp>
        <v>-1043</v>
        <stp/>
        <stp>##V3_BDHV12</stp>
        <stp>AMZN US Equity</stp>
        <stp>CF_CHANGE_IN_INVENTORIES</stp>
        <stp>FQ4 2016</stp>
        <stp>FQ4 2016</stp>
        <stp>[AMZ_2009-2018.xlsx]Cash Flow - Standardized!R15C34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5" s="4"/>
      </tp>
      <tp>
        <v>14437</v>
        <stp/>
        <stp>##V3_BDHV12</stp>
        <stp>AMZN US Equity</stp>
        <stp>BS_ACCT_PAYABLE</stp>
        <stp>FQ3 2015</stp>
        <stp>FQ3 2015</stp>
        <stp>[AMZ_2009-2018.xlsx]Bal Sheet - Standardized!R39C29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9" s="3"/>
      </tp>
      <tp>
        <v>2968</v>
        <stp/>
        <stp>##V3_BDHV12</stp>
        <stp>AMZN US Equity</stp>
        <stp>INC_DEC_IN_OT_OP_AST_LIAB_DETAIL</stp>
        <stp>FQ4 2016</stp>
        <stp>FQ4 2016</stp>
        <stp>[AMZ_2009-2018.xlsx]Cash Flow - Standardized!R17C34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7" s="4"/>
      </tp>
      <tp>
        <v>-193</v>
        <stp/>
        <stp>##V3_BDHV12</stp>
        <stp>AMZN US Equity</stp>
        <stp>INC_DEC_IN_OT_OP_AST_LIAB_DETAIL</stp>
        <stp>FQ1 2011</stp>
        <stp>FQ1 2011</stp>
        <stp>[AMZ_2009-2018.xlsx]Cash Flow - Standardized!R17C11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7" s="4"/>
      </tp>
      <tp>
        <v>5</v>
        <stp/>
        <stp>##V3_BDHV12</stp>
        <stp>AMZN US Equity</stp>
        <stp>BS_COMMON_STOCK</stp>
        <stp>FQ1 2013</stp>
        <stp>FQ1 2013</stp>
        <stp>[AMZ_2009-2018.xlsx]Bal Sheet - Standardized!R66C19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6" s="3"/>
      </tp>
      <tp>
        <v>108</v>
        <stp/>
        <stp>##V3_BDHV12</stp>
        <stp>AMZN US Equity</stp>
        <stp>INC_DEC_IN_OT_OP_AST_LIAB_DETAIL</stp>
        <stp>FQ2 2012</stp>
        <stp>FQ2 2012</stp>
        <stp>[AMZ_2009-2018.xlsx]Cash Flow - Standardized!R17C16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7" s="4"/>
      </tp>
      <tp>
        <v>2005</v>
        <stp/>
        <stp>##V3_BDHV12</stp>
        <stp>AMZN US Equity</stp>
        <stp>EBITDA</stp>
        <stp>FQ3 2015</stp>
        <stp>FQ3 2015</stp>
        <stp>[AMZ_2009-2018.xlsx]Cash Flow - Standardized!R61C29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61" s="4"/>
      </tp>
      <tp>
        <v>6375</v>
        <stp/>
        <stp>##V3_BDHV12</stp>
        <stp>AMZN US Equity</stp>
        <stp>ACCT_PAYABLE_&amp;_ACCRUALS_DETAILED</stp>
        <stp>FQ3 2010</stp>
        <stp>FQ3 2010</stp>
        <stp>[AMZ_2009-2018.xlsx]Bal Sheet - Standardized!R38C9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8" s="3"/>
      </tp>
      <tp>
        <v>5</v>
        <stp/>
        <stp>##V3_BDHV12</stp>
        <stp>AMZN US Equity</stp>
        <stp>BS_COMMON_STOCK</stp>
        <stp>FQ2 2013</stp>
        <stp>FQ2 2013</stp>
        <stp>[AMZ_2009-2018.xlsx]Bal Sheet - Standardized!R66C20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6" s="3"/>
      </tp>
      <tp>
        <v>307</v>
        <stp/>
        <stp>##V3_BDHV12</stp>
        <stp>AMZN US Equity</stp>
        <stp>IS_INC_TAX_EXP</stp>
        <stp>FQ2 2016</stp>
        <stp>FQ2 2016</stp>
        <stp>[AMZ_2009-2018.xlsx]Income - Adjusted!R32C32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32" s="2"/>
      </tp>
      <tp>
        <v>49</v>
        <stp/>
        <stp>##V3_BDHV12</stp>
        <stp>AMZN US Equity</stp>
        <stp>IS_INC_TAX_EXP</stp>
        <stp>FQ2 2011</stp>
        <stp>FQ2 2011</stp>
        <stp>[AMZ_2009-2018.xlsx]Income - Adjusted!R32C12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32" s="2"/>
      </tp>
      <tp>
        <v>5</v>
        <stp/>
        <stp>##V3_BDHV12</stp>
        <stp>AMZN US Equity</stp>
        <stp>BS_COMMON_STOCK</stp>
        <stp>FQ3 2011</stp>
        <stp>FQ3 2011</stp>
        <stp>[AMZ_2009-2018.xlsx]Bal Sheet - Standardized!R66C13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6" s="3"/>
      </tp>
      <tp>
        <v>179</v>
        <stp/>
        <stp>##V3_BDHV12</stp>
        <stp>AMZN US Equity</stp>
        <stp>IS_INC_TAX_EXP</stp>
        <stp>FQ4 2013</stp>
        <stp>FQ4 2013</stp>
        <stp>[AMZ_2009-2018.xlsx]Income - Adjusted!R32C22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32" s="2"/>
      </tp>
      <tp>
        <v>3636</v>
        <stp/>
        <stp>##V3_BDHV12</stp>
        <stp>AMZN US Equity</stp>
        <stp>ACCT_PAYABLE_&amp;_ACCRUALS_DETAILED</stp>
        <stp>FQ2 2009</stp>
        <stp>FQ2 2009</stp>
        <stp>[AMZ_2009-2018.xlsx]Bal Sheet - Standardized!R38C4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8" s="3"/>
      </tp>
      <tp>
        <v>0</v>
        <stp/>
        <stp>##V3_BDHV12</stp>
        <stp>AMZN US Equity</stp>
        <stp>IS_TOT_CASH_COM_DVD</stp>
        <stp>FQ4 2017</stp>
        <stp>FQ4 2017</stp>
        <stp>[AMZ_2009-2018.xlsx]Income - Adjusted!R70C38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0" s="2"/>
      </tp>
      <tp>
        <v>0</v>
        <stp/>
        <stp>##V3_BDHV12</stp>
        <stp>AMZN US Equity</stp>
        <stp>IS_TOT_CASH_COM_DVD</stp>
        <stp>FQ2 2017</stp>
        <stp>FQ2 2017</stp>
        <stp>[AMZ_2009-2018.xlsx]Income - Adjusted!R70C36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0" s="2"/>
      </tp>
      <tp>
        <v>0</v>
        <stp/>
        <stp>##V3_BDHV12</stp>
        <stp>AMZN US Equity</stp>
        <stp>IS_TOT_CASH_COM_DVD</stp>
        <stp>FQ3 2017</stp>
        <stp>FQ3 2017</stp>
        <stp>[AMZ_2009-2018.xlsx]Income - Adjusted!R70C37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0" s="2"/>
      </tp>
      <tp>
        <v>0</v>
        <stp/>
        <stp>##V3_BDHV12</stp>
        <stp>AMZN US Equity</stp>
        <stp>IS_TOT_CASH_COM_DVD</stp>
        <stp>FQ1 2017</stp>
        <stp>FQ1 2017</stp>
        <stp>[AMZ_2009-2018.xlsx]Income - Adjusted!R70C35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0" s="2"/>
      </tp>
      <tp t="s">
        <v>—</v>
        <stp/>
        <stp>##V3_BDHV12</stp>
        <stp>AMZN US Equity</stp>
        <stp>IS_GAIN_LOSS_ON_INVESTMENTS</stp>
        <stp>FQ1 2018</stp>
        <stp>FQ1 2018</stp>
        <stp>[AMZ_2009-2018.xlsx]Income - Adjusted!R29C39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9" s="2"/>
      </tp>
      <tp>
        <v>7</v>
        <stp/>
        <stp>##V3_BDHV12</stp>
        <stp>AMZN US Equity</stp>
        <stp>IS_SH_PRO_EQY_MT_INV_NET_OF_TAX</stp>
        <stp>FQ1 2015</stp>
        <stp>FQ1 2015</stp>
        <stp>[AMZ_2009-2018.xlsx]Income - Adjusted!R33C27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33" s="2"/>
      </tp>
      <tp>
        <v>2</v>
        <stp/>
        <stp>##V3_BDHV12</stp>
        <stp>AMZN US Equity</stp>
        <stp>IS_SH_PRO_EQY_MT_INV_NET_OF_TAX</stp>
        <stp>FQ3 2017</stp>
        <stp>FQ3 2017</stp>
        <stp>[AMZ_2009-2018.xlsx]Income - Adjusted!R33C37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33" s="2"/>
      </tp>
      <tp>
        <v>169</v>
        <stp/>
        <stp>##V3_BDHV12</stp>
        <stp>AMZN US Equity</stp>
        <stp>IS_SH_PRO_EQY_MT_INV_NET_OF_TAX</stp>
        <stp>FQ3 2012</stp>
        <stp>FQ3 2012</stp>
        <stp>[AMZ_2009-2018.xlsx]Income - Adjusted!R33C17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33" s="2"/>
      </tp>
      <tp>
        <v>7855</v>
        <stp/>
        <stp>##V3_BDHV12</stp>
        <stp>AMZN US Equity</stp>
        <stp>IS_OTHER_OPERATING_EXPENSES</stp>
        <stp>FQ1 2018</stp>
        <stp>FQ1 2018</stp>
        <stp>[AMZ_2009-2018.xlsx]Income - Adjusted!R17C39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7" s="2"/>
      </tp>
      <tp>
        <v>1827</v>
        <stp/>
        <stp>##V3_BDHV12</stp>
        <stp>AMZN US Equity</stp>
        <stp>IS_OTHER_OPERATING_EXPENSES</stp>
        <stp>FQ1 2013</stp>
        <stp>FQ1 2013</stp>
        <stp>[AMZ_2009-2018.xlsx]Income - Adjusted!R17C19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7" s="2"/>
      </tp>
      <tp>
        <v>3273</v>
        <stp/>
        <stp>##V3_BDHV12</stp>
        <stp>AMZN US Equity</stp>
        <stp>IS_OTHER_OPERATING_EXPENSES</stp>
        <stp>FQ3 2015</stp>
        <stp>FQ3 2015</stp>
        <stp>[AMZ_2009-2018.xlsx]Income - Adjusted!R17C29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7" s="2"/>
      </tp>
      <tp>
        <v>1738</v>
        <stp/>
        <stp>##V3_BDHV12</stp>
        <stp>AMZN US Equity</stp>
        <stp>IS_SELLING_EXPENSES</stp>
        <stp>FQ3 2016</stp>
        <stp>FQ3 2016</stp>
        <stp>[AMZ_2009-2018.xlsx]Income - Adjusted!R14C33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4" s="2"/>
      </tp>
      <tp>
        <v>370</v>
        <stp/>
        <stp>##V3_BDHV12</stp>
        <stp>AMZN US Equity</stp>
        <stp>IS_SELLING_EXPENSES</stp>
        <stp>FQ3 2011</stp>
        <stp>FQ3 2011</stp>
        <stp>[AMZ_2009-2018.xlsx]Income - Adjusted!R14C13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4" s="2"/>
      </tp>
      <tp>
        <v>870</v>
        <stp/>
        <stp>##V3_BDHV12</stp>
        <stp>AMZN US Equity</stp>
        <stp>IS_SELLING_EXPENSES</stp>
        <stp>FQ1 2014</stp>
        <stp>FQ1 2014</stp>
        <stp>[AMZ_2009-2018.xlsx]Income - Adjusted!R14C23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4" s="2"/>
      </tp>
      <tp>
        <v>6540</v>
        <stp/>
        <stp>##V3_BDHV12</stp>
        <stp>AMZN US Equity</stp>
        <stp>BS_TOT_LIAB2</stp>
        <stp>FQ2 2010</stp>
        <stp>FQ2 2010</stp>
        <stp>[AMZ_2009-2018.xlsx]Bal Sheet - Standardized!R63C8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3" s="3"/>
      </tp>
      <tp>
        <v>3.9813999999999998</v>
        <stp/>
        <stp>##V3_BDHV12</stp>
        <stp>AMZN US Equity</stp>
        <stp>OPER_INC_PER_SH</stp>
        <stp>FQ1 2018</stp>
        <stp>FQ1 2018</stp>
        <stp>[AMZ_2009-2018.xlsx]Per Share!R13C39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13" s="5"/>
      </tp>
      <tp>
        <v>0</v>
        <stp/>
        <stp>##V3_BDHV12</stp>
        <stp>AMZN US Equity</stp>
        <stp>MIN_NONCONTROL_INTEREST_CREDITS</stp>
        <stp>FQ1 2015</stp>
        <stp>FQ1 2015</stp>
        <stp>[AMZ_2009-2018.xlsx]Income - Adjusted!R39C27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39" s="2"/>
      </tp>
      <tp>
        <v>0</v>
        <stp/>
        <stp>##V3_BDHV12</stp>
        <stp>AMZN US Equity</stp>
        <stp>MIN_NONCONTROL_INTEREST_CREDITS</stp>
        <stp>FQ3 2012</stp>
        <stp>FQ3 2012</stp>
        <stp>[AMZ_2009-2018.xlsx]Income - Adjusted!R39C17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39" s="2"/>
      </tp>
      <tp>
        <v>0</v>
        <stp/>
        <stp>##V3_BDHV12</stp>
        <stp>AMZN US Equity</stp>
        <stp>MIN_NONCONTROL_INTEREST_CREDITS</stp>
        <stp>FQ3 2017</stp>
        <stp>FQ3 2017</stp>
        <stp>[AMZ_2009-2018.xlsx]Income - Adjusted!R39C37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39" s="2"/>
      </tp>
      <tp>
        <v>5387</v>
        <stp/>
        <stp>##V3_BDHV12</stp>
        <stp>AMZN US Equity</stp>
        <stp>BS_TOT_LIAB2</stp>
        <stp>FQ3 2009</stp>
        <stp>FQ3 2009</stp>
        <stp>[AMZ_2009-2018.xlsx]Bal Sheet - Standardized!R63C5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3" s="3"/>
      </tp>
      <tp>
        <v>0.31740000000000002</v>
        <stp/>
        <stp>##V3_BDHV12</stp>
        <stp>AMZN US Equity</stp>
        <stp>OPER_INC_PER_SH</stp>
        <stp>FQ1 2014</stp>
        <stp>FQ1 2014</stp>
        <stp>[AMZ_2009-2018.xlsx]Per Share!R13C23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13" s="5"/>
      </tp>
      <tp>
        <v>0.5484</v>
        <stp/>
        <stp>##V3_BDHV12</stp>
        <stp>AMZN US Equity</stp>
        <stp>OPER_INC_PER_SH</stp>
        <stp>FQ1 2015</stp>
        <stp>FQ1 2015</stp>
        <stp>[AMZ_2009-2018.xlsx]Per Share!R13C27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13" s="5"/>
      </tp>
      <tp>
        <v>2.2738999999999998</v>
        <stp/>
        <stp>##V3_BDHV12</stp>
        <stp>AMZN US Equity</stp>
        <stp>OPER_INC_PER_SH</stp>
        <stp>FQ1 2016</stp>
        <stp>FQ1 2016</stp>
        <stp>[AMZ_2009-2018.xlsx]Per Share!R13C31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13" s="5"/>
      </tp>
      <tp>
        <v>2.1069</v>
        <stp/>
        <stp>##V3_BDHV12</stp>
        <stp>AMZN US Equity</stp>
        <stp>OPER_INC_PER_SH</stp>
        <stp>FQ1 2017</stp>
        <stp>FQ1 2017</stp>
        <stp>[AMZ_2009-2018.xlsx]Per Share!R13C35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13" s="5"/>
      </tp>
      <tp>
        <v>0.71399999999999997</v>
        <stp/>
        <stp>##V3_BDHV12</stp>
        <stp>AMZN US Equity</stp>
        <stp>OPER_INC_PER_SH</stp>
        <stp>FQ1 2011</stp>
        <stp>FQ1 2011</stp>
        <stp>[AMZ_2009-2018.xlsx]Per Share!R13C11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13" s="5"/>
      </tp>
      <tp>
        <v>0.42380000000000001</v>
        <stp/>
        <stp>##V3_BDHV12</stp>
        <stp>AMZN US Equity</stp>
        <stp>OPER_INC_PER_SH</stp>
        <stp>FQ1 2012</stp>
        <stp>FQ1 2012</stp>
        <stp>[AMZ_2009-2018.xlsx]Per Share!R13C15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13" s="5"/>
      </tp>
      <tp>
        <v>0.39779999999999999</v>
        <stp/>
        <stp>##V3_BDHV12</stp>
        <stp>AMZN US Equity</stp>
        <stp>OPER_INC_PER_SH</stp>
        <stp>FQ1 2013</stp>
        <stp>FQ1 2013</stp>
        <stp>[AMZ_2009-2018.xlsx]Per Share!R13C19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13" s="5"/>
      </tp>
      <tp>
        <v>0.40339999999999998</v>
        <stp/>
        <stp>##V3_BDHV12</stp>
        <stp>AMZN US Equity</stp>
        <stp>IS_BASIC_EPS_CONT_OPS</stp>
        <stp>FQ2 2009</stp>
        <stp>FQ2 2009</stp>
        <stp>[AMZ_2009-2018.xlsx]Income - Adjusted!R52C4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52" s="2"/>
      </tp>
      <tp>
        <v>2927</v>
        <stp/>
        <stp>##V3_BDHV12</stp>
        <stp>AMZN US Equity</stp>
        <stp>PROC_FR_REPAYMNTS_BOR_DETAILED</stp>
        <stp>FQ4 2012</stp>
        <stp>FQ4 2012</stp>
        <stp>[AMZ_2009-2018.xlsx]Cash Flow - Standardized!R42C18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2" s="4"/>
      </tp>
      <tp>
        <v>-1152</v>
        <stp/>
        <stp>##V3_BDHV12</stp>
        <stp>AMZN US Equity</stp>
        <stp>PROC_FR_REPAYMNTS_BOR_DETAILED</stp>
        <stp>FQ2 2016</stp>
        <stp>FQ2 2016</stp>
        <stp>[AMZ_2009-2018.xlsx]Cash Flow - Standardized!R42C32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2" s="4"/>
      </tp>
      <tp>
        <v>-296</v>
        <stp/>
        <stp>##V3_BDHV12</stp>
        <stp>AMZN US Equity</stp>
        <stp>PROC_FR_REPAYMNTS_BOR_DETAILED</stp>
        <stp>FQ1 2014</stp>
        <stp>FQ1 2014</stp>
        <stp>[AMZ_2009-2018.xlsx]Cash Flow - Standardized!R42C23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2" s="4"/>
      </tp>
      <tp>
        <v>14685</v>
        <stp/>
        <stp>##V3_BDHV12</stp>
        <stp>AMZN US Equity</stp>
        <stp>PROC_FR_REPAYMNTS_BOR_DETAILED</stp>
        <stp>FQ3 2017</stp>
        <stp>FQ3 2017</stp>
        <stp>[AMZ_2009-2018.xlsx]Cash Flow - Standardized!R42C37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2" s="4"/>
      </tp>
      <tp>
        <v>454</v>
        <stp/>
        <stp>##V3_BDHV12</stp>
        <stp>AMZN US Equity</stp>
        <stp>IS_SH_FOR_DILUTED_EPS</stp>
        <stp>FQ1 2010</stp>
        <stp>FQ1 2010</stp>
        <stp>[AMZ_2009-2018.xlsx]Income - Adjusted!R54C7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54" s="2"/>
      </tp>
      <tp>
        <v>4614</v>
        <stp/>
        <stp>##V3_BDHV12</stp>
        <stp>AMZN US Equity</stp>
        <stp>BS_ACCT_PAYABLE</stp>
        <stp>FQ3 2010</stp>
        <stp>FQ3 2010</stp>
        <stp>[AMZ_2009-2018.xlsx]Bal Sheet - Standardized!R39C9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9" s="3"/>
      </tp>
      <tp>
        <v>2508</v>
        <stp/>
        <stp>##V3_BDHV12</stp>
        <stp>AMZN US Equity</stp>
        <stp>BS_ACCT_PAYABLE</stp>
        <stp>FQ2 2009</stp>
        <stp>FQ2 2009</stp>
        <stp>[AMZ_2009-2018.xlsx]Bal Sheet - Standardized!R39C4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9" s="3"/>
      </tp>
      <tp>
        <v>0</v>
        <stp/>
        <stp>##V3_BDHV12</stp>
        <stp>AMZN US Equity</stp>
        <stp>CF_CASH_FOR_JOINT_VENTURES_ASSOC</stp>
        <stp>FQ1 2016</stp>
        <stp>FQ1 2016</stp>
        <stp>[AMZ_2009-2018.xlsx]Cash Flow - Standardized!R35C31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5" s="4"/>
      </tp>
      <tp>
        <v>0</v>
        <stp/>
        <stp>##V3_BDHV12</stp>
        <stp>AMZN US Equity</stp>
        <stp>CF_NET_CASH_DISCONTINUED_OPS_FIN</stp>
        <stp>FQ4 2011</stp>
        <stp>FQ4 2011</stp>
        <stp>[AMZ_2009-2018.xlsx]Cash Flow - Standardized!R50C14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0" s="4"/>
      </tp>
      <tp>
        <v>0</v>
        <stp/>
        <stp>##V3_BDHV12</stp>
        <stp>AMZN US Equity</stp>
        <stp>CF_NET_CASH_DISCONTINUED_OPS_INV</stp>
        <stp>FQ3 2015</stp>
        <stp>FQ3 2015</stp>
        <stp>[AMZ_2009-2018.xlsx]Cash Flow - Standardized!R37C29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7" s="4"/>
      </tp>
      <tp>
        <v>8914</v>
        <stp/>
        <stp>##V3_BDHV12</stp>
        <stp>AMZN US Equity</stp>
        <stp>OTHER_NONCURRENT_LIABS_DETAILED</stp>
        <stp>FQ1 2018</stp>
        <stp>FQ1 2018</stp>
        <stp>[AMZ_2009-2018.xlsx]Bal Sheet - Standardized!R61C39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1" s="3"/>
      </tp>
      <tp>
        <v>18891</v>
        <stp/>
        <stp>##V3_BDHV12</stp>
        <stp>AMZN US Equity</stp>
        <stp>BS_ACCT_PAYABLE</stp>
        <stp>FQ1 2017</stp>
        <stp>FQ1 2017</stp>
        <stp>[AMZ_2009-2018.xlsx]Bal Sheet - Standardized!R39C35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9" s="3"/>
      </tp>
      <tp>
        <v>0</v>
        <stp/>
        <stp>##V3_BDHV12</stp>
        <stp>AMZN US Equity</stp>
        <stp>CF_CASH_FOR_JOINT_VENTURES_ASSOC</stp>
        <stp>FQ4 2011</stp>
        <stp>FQ4 2011</stp>
        <stp>[AMZ_2009-2018.xlsx]Cash Flow - Standardized!R35C14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5" s="4"/>
      </tp>
      <tp>
        <v>0</v>
        <stp/>
        <stp>##V3_BDHV12</stp>
        <stp>AMZN US Equity</stp>
        <stp>CF_NET_CASH_DISCONTINUED_OPS_FIN</stp>
        <stp>FQ1 2016</stp>
        <stp>FQ1 2016</stp>
        <stp>[AMZ_2009-2018.xlsx]Cash Flow - Standardized!R50C31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0" s="4"/>
      </tp>
      <tp>
        <v>-1841</v>
        <stp/>
        <stp>##V3_BDHV12</stp>
        <stp>AMZN US Equity</stp>
        <stp>CHG_IN_FXD_&amp;_INTANG_AST_DETAILED</stp>
        <stp>FQ3 2016</stp>
        <stp>FQ3 2016</stp>
        <stp>[AMZ_2009-2018.xlsx]Cash Flow - Standardized!R22C33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2" s="4"/>
      </tp>
      <tp>
        <v>-2255</v>
        <stp/>
        <stp>##V3_BDHV12</stp>
        <stp>AMZN US Equity</stp>
        <stp>CF_CHANGE_IN_INVENTORIES</stp>
        <stp>FQ4 2017</stp>
        <stp>FQ4 2017</stp>
        <stp>[AMZ_2009-2018.xlsx]Cash Flow - Standardized!R15C38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5" s="4"/>
      </tp>
      <tp>
        <v>15133</v>
        <stp/>
        <stp>##V3_BDHV12</stp>
        <stp>AMZN US Equity</stp>
        <stp>BS_ACCT_PAYABLE</stp>
        <stp>FQ4 2013</stp>
        <stp>FQ4 2013</stp>
        <stp>[AMZ_2009-2018.xlsx]Bal Sheet - Standardized!R39C22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9" s="3"/>
      </tp>
      <tp>
        <v>11811</v>
        <stp/>
        <stp>##V3_BDHV12</stp>
        <stp>AMZN US Equity</stp>
        <stp>BS_ACCT_PAYABLE</stp>
        <stp>FQ3 2014</stp>
        <stp>FQ3 2014</stp>
        <stp>[AMZ_2009-2018.xlsx]Bal Sheet - Standardized!R39C25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9" s="3"/>
      </tp>
      <tp>
        <v>157</v>
        <stp/>
        <stp>##V3_BDHV12</stp>
        <stp>AMZN US Equity</stp>
        <stp>NON_CASH_ITEMS_DETAILED</stp>
        <stp>FQ4 2010</stp>
        <stp>FQ4 2010</stp>
        <stp>[AMZ_2009-2018.xlsx]Cash Flow - Standardized!R9C10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9" s="4"/>
      </tp>
      <tp>
        <v>0</v>
        <stp/>
        <stp>##V3_BDHV12</stp>
        <stp>AMZN US Equity</stp>
        <stp>CF_CASH_FOR_DIVESTITURES</stp>
        <stp>FQ4 2017</stp>
        <stp>FQ4 2017</stp>
        <stp>[AMZ_2009-2018.xlsx]Cash Flow - Standardized!R33C38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3" s="4"/>
      </tp>
      <tp>
        <v>8051</v>
        <stp/>
        <stp>##V3_BDHV12</stp>
        <stp>AMZN US Equity</stp>
        <stp>BS_ACCT_PAYABLE</stp>
        <stp>FQ4 2010</stp>
        <stp>FQ4 2010</stp>
        <stp>[AMZ_2009-2018.xlsx]Bal Sheet - Standardized!R39C10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9" s="3"/>
      </tp>
      <tp>
        <v>0</v>
        <stp/>
        <stp>##V3_BDHV12</stp>
        <stp>AMZN US Equity</stp>
        <stp>CF_NET_CASH_DISCONTINUED_OPS_FIN</stp>
        <stp>FQ2 2014</stp>
        <stp>FQ2 2014</stp>
        <stp>[AMZ_2009-2018.xlsx]Cash Flow - Standardized!R50C24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0" s="4"/>
      </tp>
      <tp>
        <v>-871</v>
        <stp/>
        <stp>##V3_BDHV12</stp>
        <stp>AMZN US Equity</stp>
        <stp>CHG_IN_FXD_&amp;_INTANG_AST_DETAILED</stp>
        <stp>FQ1 2015</stp>
        <stp>FQ1 2015</stp>
        <stp>[AMZ_2009-2018.xlsx]Cash Flow - Standardized!R22C27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2" s="4"/>
      </tp>
      <tp>
        <v>252</v>
        <stp/>
        <stp>##V3_BDHV12</stp>
        <stp>AMZN US Equity</stp>
        <stp>NON_CASH_ITEMS_DETAILED</stp>
        <stp>FQ4 2011</stp>
        <stp>FQ4 2011</stp>
        <stp>[AMZ_2009-2018.xlsx]Cash Flow - Standardized!R9C14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9" s="4"/>
      </tp>
      <tp>
        <v>1292</v>
        <stp/>
        <stp>##V3_BDHV12</stp>
        <stp>AMZN US Equity</stp>
        <stp>BS_TOTAL_CAPITAL_LEASES</stp>
        <stp>FQ4 2012</stp>
        <stp>FQ4 2012</stp>
        <stp>[AMZ_2009-2018.xlsx]Bal Sheet - Standardized!R82C18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82" s="3"/>
      </tp>
      <tp>
        <v>-2501</v>
        <stp/>
        <stp>##V3_BDHV12</stp>
        <stp>AMZN US Equity</stp>
        <stp>CHG_IN_FXD_&amp;_INTANG_AST_DETAILED</stp>
        <stp>FQ2 2017</stp>
        <stp>FQ2 2017</stp>
        <stp>[AMZ_2009-2018.xlsx]Cash Flow - Standardized!R22C36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2" s="4"/>
      </tp>
      <tp>
        <v>0</v>
        <stp/>
        <stp>##V3_BDHV12</stp>
        <stp>AMZN US Equity</stp>
        <stp>CF_CASH_FOR_JOINT_VENTURES_ASSOC</stp>
        <stp>FQ2 2014</stp>
        <stp>FQ2 2014</stp>
        <stp>[AMZ_2009-2018.xlsx]Cash Flow - Standardized!R35C24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5" s="4"/>
      </tp>
      <tp>
        <v>1.07</v>
        <stp/>
        <stp>##V3_BDHV12</stp>
        <stp>AMZN US Equity</stp>
        <stp>IS_DIL_EPS_CONT_OPS</stp>
        <stp>FQ1 2016</stp>
        <stp>FQ1 2016</stp>
        <stp>[AMZ_2009-2018.xlsx]Income - Adjusted!R57C31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57" s="2"/>
      </tp>
      <tp>
        <v>0.44</v>
        <stp/>
        <stp>##V3_BDHV12</stp>
        <stp>AMZN US Equity</stp>
        <stp>IS_DIL_EPS_CONT_OPS</stp>
        <stp>FQ1 2011</stp>
        <stp>FQ1 2011</stp>
        <stp>[AMZ_2009-2018.xlsx]Income - Adjusted!R57C11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57" s="2"/>
      </tp>
      <tp>
        <v>9607</v>
        <stp/>
        <stp>##V3_BDHV12</stp>
        <stp>AMZN US Equity</stp>
        <stp>BS_TOTAL_CAPITAL_LEASES</stp>
        <stp>FQ2 2016</stp>
        <stp>FQ2 2016</stp>
        <stp>[AMZ_2009-2018.xlsx]Bal Sheet - Standardized!R82C32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82" s="3"/>
      </tp>
      <tp>
        <v>-647</v>
        <stp/>
        <stp>##V3_BDHV12</stp>
        <stp>AMZN US Equity</stp>
        <stp>CF_CHANGE_IN_INVENTORIES</stp>
        <stp>FQ3 2012</stp>
        <stp>FQ3 2012</stp>
        <stp>[AMZ_2009-2018.xlsx]Cash Flow - Standardized!R15C17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5" s="4"/>
      </tp>
      <tp>
        <v>-17</v>
        <stp/>
        <stp>##V3_BDHV12</stp>
        <stp>AMZN US Equity</stp>
        <stp>NON_CASH_ITEMS_DETAILED</stp>
        <stp>FQ4 2012</stp>
        <stp>FQ4 2012</stp>
        <stp>[AMZ_2009-2018.xlsx]Cash Flow - Standardized!R9C18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9" s="4"/>
      </tp>
      <tp>
        <v>0</v>
        <stp/>
        <stp>##V3_BDHV12</stp>
        <stp>AMZN US Equity</stp>
        <stp>CF_CASH_FOR_DIVESTITURES</stp>
        <stp>FQ3 2012</stp>
        <stp>FQ3 2012</stp>
        <stp>[AMZ_2009-2018.xlsx]Cash Flow - Standardized!R33C17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3" s="4"/>
      </tp>
      <tp>
        <v>0</v>
        <stp/>
        <stp>##V3_BDHV12</stp>
        <stp>AMZN US Equity</stp>
        <stp>CF_NET_CASH_DISCONTINUED_OPS_FIN</stp>
        <stp>FQ3 2015</stp>
        <stp>FQ3 2015</stp>
        <stp>[AMZ_2009-2018.xlsx]Cash Flow - Standardized!R50C29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0" s="4"/>
      </tp>
      <tp>
        <v>0</v>
        <stp/>
        <stp>##V3_BDHV12</stp>
        <stp>AMZN US Equity</stp>
        <stp>CF_NET_CASH_DISCONTINUED_OPS_INV</stp>
        <stp>FQ4 2011</stp>
        <stp>FQ4 2011</stp>
        <stp>[AMZ_2009-2018.xlsx]Cash Flow - Standardized!R37C14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7" s="4"/>
      </tp>
      <tp>
        <v>-0.09</v>
        <stp/>
        <stp>##V3_BDHV12</stp>
        <stp>AMZN US Equity</stp>
        <stp>IS_DIL_EPS_CONT_OPS</stp>
        <stp>FQ3 2013</stp>
        <stp>FQ3 2013</stp>
        <stp>[AMZ_2009-2018.xlsx]Income - Adjusted!R57C21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57" s="2"/>
      </tp>
      <tp>
        <v>0</v>
        <stp/>
        <stp>##V3_BDHV12</stp>
        <stp>AMZN US Equity</stp>
        <stp>CF_CASH_FOR_JOINT_VENTURES_ASSOC</stp>
        <stp>FQ3 2015</stp>
        <stp>FQ3 2015</stp>
        <stp>[AMZ_2009-2018.xlsx]Cash Flow - Standardized!R35C29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5" s="4"/>
      </tp>
      <tp>
        <v>0</v>
        <stp/>
        <stp>##V3_BDHV12</stp>
        <stp>AMZN US Equity</stp>
        <stp>CF_NET_CASH_DISCONTINUED_OPS_INV</stp>
        <stp>FQ1 2016</stp>
        <stp>FQ1 2016</stp>
        <stp>[AMZ_2009-2018.xlsx]Cash Flow - Standardized!R37C31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7" s="4"/>
      </tp>
      <tp t="s">
        <v>—</v>
        <stp/>
        <stp>##V3_BDHV12</stp>
        <stp>AMZN US Equity</stp>
        <stp>BS_TOTAL_CAPITAL_LEASES</stp>
        <stp>FQ1 2014</stp>
        <stp>FQ1 2014</stp>
        <stp>[AMZ_2009-2018.xlsx]Bal Sheet - Standardized!R82C23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82" s="3"/>
      </tp>
      <tp>
        <v>1392</v>
        <stp/>
        <stp>##V3_BDHV12</stp>
        <stp>AMZN US Equity</stp>
        <stp>OTHER_NONCURRENT_ASSETS_DETAILED</stp>
        <stp>FQ1 2010</stp>
        <stp>FQ1 2010</stp>
        <stp>[AMZ_2009-2018.xlsx]Bal Sheet - Standardized!R33C7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3" s="3"/>
      </tp>
      <tp>
        <v>0</v>
        <stp/>
        <stp>##V3_BDHV12</stp>
        <stp>AMZN US Equity</stp>
        <stp>CF_NET_CASH_DISCONTINUED_OPS_INV</stp>
        <stp>FQ2 2014</stp>
        <stp>FQ2 2014</stp>
        <stp>[AMZ_2009-2018.xlsx]Cash Flow - Standardized!R37C24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7" s="4"/>
      </tp>
      <tp>
        <v>17439</v>
        <stp/>
        <stp>##V3_BDHV12</stp>
        <stp>AMZN US Equity</stp>
        <stp>BS_TOTAL_CAPITAL_LEASES</stp>
        <stp>FQ3 2017</stp>
        <stp>FQ3 2017</stp>
        <stp>[AMZ_2009-2018.xlsx]Bal Sheet - Standardized!R82C37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82" s="3"/>
      </tp>
      <tp>
        <v>12391</v>
        <stp/>
        <stp>##V3_BDHV12</stp>
        <stp>AMZN US Equity</stp>
        <stp>BS_ACCT_PAYABLE</stp>
        <stp>FQ2 2015</stp>
        <stp>FQ2 2015</stp>
        <stp>[AMZ_2009-2018.xlsx]Bal Sheet - Standardized!R39C28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9" s="3"/>
      </tp>
      <tp>
        <v>30632</v>
        <stp/>
        <stp>##V3_BDHV12</stp>
        <stp>AMZN US Equity</stp>
        <stp>IS_COG_AND_SERVICES_SOLD</stp>
        <stp>FQ2 2018</stp>
        <stp>FQ2 2018</stp>
        <stp>[AMZ_2009-2018.xlsx]Income - Adjusted!R9C40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9" s="2"/>
      </tp>
      <tp>
        <v>-128</v>
        <stp/>
        <stp>##V3_BDHV12</stp>
        <stp>AMZN US Equity</stp>
        <stp>OTHER_NON_CASH_ADJ_LESS_DETAILED</stp>
        <stp>FQ1 2018</stp>
        <stp>FQ1 2018</stp>
        <stp>[AMZ_2009-2018.xlsx]Cash Flow - Standardized!R12C39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2" s="4"/>
      </tp>
      <tp>
        <v>384</v>
        <stp/>
        <stp>##V3_BDHV12</stp>
        <stp>AMZN US Equity</stp>
        <stp>IS_INC_BEF_XO_ITEM</stp>
        <stp>FQ4 2009</stp>
        <stp>FQ4 2009</stp>
        <stp>[AMZ_2009-2018.xlsx]Income - Adjusted!R34C6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4" s="2"/>
      </tp>
      <tp>
        <v>195</v>
        <stp/>
        <stp>##V3_BDHV12</stp>
        <stp>AMZN US Equity</stp>
        <stp>INC_DEC_IN_OT_OP_AST_LIAB_DETAIL</stp>
        <stp>FQ3 2012</stp>
        <stp>FQ3 2012</stp>
        <stp>[AMZ_2009-2018.xlsx]Cash Flow - Standardized!R17C17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7" s="4"/>
      </tp>
      <tp>
        <v>1968</v>
        <stp/>
        <stp>##V3_BDHV12</stp>
        <stp>AMZN US Equity</stp>
        <stp>EBITDA</stp>
        <stp>FQ2 2015</stp>
        <stp>FQ2 2015</stp>
        <stp>[AMZ_2009-2018.xlsx]Cash Flow - Standardized!R61C28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61" s="4"/>
      </tp>
      <tp>
        <v>5250</v>
        <stp/>
        <stp>##V3_BDHV12</stp>
        <stp>AMZN US Equity</stp>
        <stp>ACCT_PAYABLE_&amp;_ACCRUALS_DETAILED</stp>
        <stp>FQ2 2010</stp>
        <stp>FQ2 2010</stp>
        <stp>[AMZ_2009-2018.xlsx]Bal Sheet - Standardized!R38C8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8" s="3"/>
      </tp>
      <tp>
        <v>73</v>
        <stp/>
        <stp>##V3_BDHV12</stp>
        <stp>AMZN US Equity</stp>
        <stp>IS_INC_TAX_EXP</stp>
        <stp>FQ1 2014</stp>
        <stp>FQ1 2014</stp>
        <stp>[AMZ_2009-2018.xlsx]Income - Adjusted!R32C23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32" s="2"/>
      </tp>
      <tp>
        <v>5</v>
        <stp/>
        <stp>##V3_BDHV12</stp>
        <stp>AMZN US Equity</stp>
        <stp>BS_COMMON_STOCK</stp>
        <stp>FQ2 2011</stp>
        <stp>FQ2 2011</stp>
        <stp>[AMZ_2009-2018.xlsx]Bal Sheet - Standardized!R66C12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6" s="3"/>
      </tp>
      <tp>
        <v>0</v>
        <stp/>
        <stp>##V3_BDHV12</stp>
        <stp>AMZN US Equity</stp>
        <stp>EQY_DPS</stp>
        <stp>FQ1 2010</stp>
        <stp>FQ1 2010</stp>
        <stp>[AMZ_2009-2018.xlsx]Income - Adjusted!R69C7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69" s="2"/>
      </tp>
      <tp>
        <v>5</v>
        <stp/>
        <stp>##V3_BDHV12</stp>
        <stp>AMZN US Equity</stp>
        <stp>BS_COMMON_STOCK</stp>
        <stp>FQ3 2013</stp>
        <stp>FQ3 2013</stp>
        <stp>[AMZ_2009-2018.xlsx]Bal Sheet - Standardized!R66C21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6" s="3"/>
      </tp>
      <tp>
        <v>5</v>
        <stp/>
        <stp>##V3_BDHV12</stp>
        <stp>AMZN US Equity</stp>
        <stp>BS_COMMON_STOCK</stp>
        <stp>FQ4 2014</stp>
        <stp>FQ4 2014</stp>
        <stp>[AMZ_2009-2018.xlsx]Bal Sheet - Standardized!R66C26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6" s="3"/>
      </tp>
      <tp>
        <v>229</v>
        <stp/>
        <stp>##V3_BDHV12</stp>
        <stp>AMZN US Equity</stp>
        <stp>IS_INC_TAX_EXP</stp>
        <stp>FQ3 2016</stp>
        <stp>FQ3 2016</stp>
        <stp>[AMZ_2009-2018.xlsx]Income - Adjusted!R32C33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32" s="2"/>
      </tp>
      <tp>
        <v>67</v>
        <stp/>
        <stp>##V3_BDHV12</stp>
        <stp>AMZN US Equity</stp>
        <stp>IS_INC_TAX_EXP</stp>
        <stp>FQ3 2011</stp>
        <stp>FQ3 2011</stp>
        <stp>[AMZ_2009-2018.xlsx]Income - Adjusted!R32C13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32" s="2"/>
      </tp>
      <tp>
        <v>5</v>
        <stp/>
        <stp>##V3_BDHV12</stp>
        <stp>AMZN US Equity</stp>
        <stp>BS_COMMON_STOCK</stp>
        <stp>FQ4 2015</stp>
        <stp>FQ4 2015</stp>
        <stp>[AMZ_2009-2018.xlsx]Bal Sheet - Standardized!R66C30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6" s="3"/>
      </tp>
      <tp>
        <v>4537</v>
        <stp/>
        <stp>##V3_BDHV12</stp>
        <stp>AMZN US Equity</stp>
        <stp>ACCT_PAYABLE_&amp;_ACCRUALS_DETAILED</stp>
        <stp>FQ3 2009</stp>
        <stp>FQ3 2009</stp>
        <stp>[AMZ_2009-2018.xlsx]Bal Sheet - Standardized!R38C5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8" s="3"/>
      </tp>
      <tp>
        <v>2197</v>
        <stp/>
        <stp>##V3_BDHV12</stp>
        <stp>AMZN US Equity</stp>
        <stp>INC_DEC_IN_OT_OP_AST_LIAB_DETAIL</stp>
        <stp>FQ4 2017</stp>
        <stp>FQ4 2017</stp>
        <stp>[AMZ_2009-2018.xlsx]Cash Flow - Standardized!R17C38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7" s="4"/>
      </tp>
      <tp>
        <v>5</v>
        <stp/>
        <stp>##V3_BDHV12</stp>
        <stp>AMZN US Equity</stp>
        <stp>BS_COMMON_STOCK</stp>
        <stp>FQ1 2012</stp>
        <stp>FQ1 2012</stp>
        <stp>[AMZ_2009-2018.xlsx]Bal Sheet - Standardized!R66C15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6" s="3"/>
      </tp>
      <tp>
        <v>0</v>
        <stp/>
        <stp>##V3_BDHV12</stp>
        <stp>AMZN US Equity</stp>
        <stp>IS_TOT_CASH_COM_DVD</stp>
        <stp>FQ4 2012</stp>
        <stp>FQ4 2012</stp>
        <stp>[AMZ_2009-2018.xlsx]Income - Adjusted!R70C18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0" s="2"/>
      </tp>
      <tp t="s">
        <v>—</v>
        <stp/>
        <stp>##V3_BDHV12</stp>
        <stp>AMZN US Equity</stp>
        <stp>IS_MERGER_ACQUISITION_EXPENSE</stp>
        <stp>FQ2 2009</stp>
        <stp>FQ2 2009</stp>
        <stp>[AMZ_2009-2018.xlsx]Income - Adjusted!R27C4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7" s="2"/>
      </tp>
      <tp>
        <v>0.45</v>
        <stp/>
        <stp>##V3_BDHV12</stp>
        <stp>AMZN US Equity</stp>
        <stp>IS_DIL_EPS_BEF_XO</stp>
        <stp>FQ3 2009</stp>
        <stp>FQ3 2009</stp>
        <stp>[AMZ_2009-2018.xlsx]Per Share!R18C5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18" s="5"/>
      </tp>
      <tp>
        <v>0</v>
        <stp/>
        <stp>##V3_BDHV12</stp>
        <stp>AMZN US Equity</stp>
        <stp>IS_TOT_CASH_COM_DVD</stp>
        <stp>FQ2 2012</stp>
        <stp>FQ2 2012</stp>
        <stp>[AMZ_2009-2018.xlsx]Income - Adjusted!R70C16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0" s="2"/>
      </tp>
      <tp>
        <v>0</v>
        <stp/>
        <stp>##V3_BDHV12</stp>
        <stp>AMZN US Equity</stp>
        <stp>IS_TOT_CASH_COM_DVD</stp>
        <stp>FQ3 2012</stp>
        <stp>FQ3 2012</stp>
        <stp>[AMZ_2009-2018.xlsx]Income - Adjusted!R70C17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0" s="2"/>
      </tp>
      <tp>
        <v>0</v>
        <stp/>
        <stp>##V3_BDHV12</stp>
        <stp>AMZN US Equity</stp>
        <stp>IS_TOT_CASH_COM_DVD</stp>
        <stp>FQ1 2012</stp>
        <stp>FQ1 2012</stp>
        <stp>[AMZ_2009-2018.xlsx]Income - Adjusted!R70C15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0" s="2"/>
      </tp>
      <tp t="s">
        <v>—</v>
        <stp/>
        <stp>##V3_BDHV12</stp>
        <stp>AMZN US Equity</stp>
        <stp>IS_GAIN_LOSS_ON_INVESTMENTS</stp>
        <stp>FQ2 2018</stp>
        <stp>FQ2 2018</stp>
        <stp>[AMZ_2009-2018.xlsx]Income - Adjusted!R29C40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9" s="2"/>
      </tp>
      <tp>
        <v>-3</v>
        <stp/>
        <stp>##V3_BDHV12</stp>
        <stp>AMZN US Equity</stp>
        <stp>IS_SH_PRO_EQY_MT_INV_NET_OF_TAX</stp>
        <stp>FQ2 2018</stp>
        <stp>FQ2 2018</stp>
        <stp>[AMZ_2009-2018.xlsx]Income - Adjusted!R33C40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33" s="2"/>
      </tp>
      <tp>
        <v>11</v>
        <stp/>
        <stp>##V3_BDHV12</stp>
        <stp>AMZN US Equity</stp>
        <stp>IS_SH_PRO_EQY_MT_INV_NET_OF_TAX</stp>
        <stp>FQ2 2013</stp>
        <stp>FQ2 2013</stp>
        <stp>[AMZ_2009-2018.xlsx]Income - Adjusted!R33C20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33" s="2"/>
      </tp>
      <tp>
        <v>-17.212700000000002</v>
        <stp/>
        <stp>##V3_BDHV12</stp>
        <stp>AMZN US Equity</stp>
        <stp>CASH_CONVERSION_CYCLE</stp>
        <stp>FQ3 2009</stp>
        <stp>FQ3 2009</stp>
        <stp>[AMZ_2009-2018.xlsx]Bal Sheet - Standardized!R87C5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87" s="3"/>
      </tp>
      <tp>
        <v>-12.3255</v>
        <stp/>
        <stp>##V3_BDHV12</stp>
        <stp>AMZN US Equity</stp>
        <stp>CASH_CONVERSION_CYCLE</stp>
        <stp>FQ2 2009</stp>
        <stp>FQ2 2009</stp>
        <stp>[AMZ_2009-2018.xlsx]Bal Sheet - Standardized!R87C4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87" s="3"/>
      </tp>
      <tp>
        <v>-11.137499999999999</v>
        <stp/>
        <stp>##V3_BDHV12</stp>
        <stp>AMZN US Equity</stp>
        <stp>CASH_CONVERSION_CYCLE</stp>
        <stp>FQ1 2009</stp>
        <stp>FQ1 2009</stp>
        <stp>[AMZ_2009-2018.xlsx]Bal Sheet - Standardized!R87C3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87" s="3"/>
      </tp>
      <tp>
        <v>-37.157400000000003</v>
        <stp/>
        <stp>##V3_BDHV12</stp>
        <stp>AMZN US Equity</stp>
        <stp>CASH_CONVERSION_CYCLE</stp>
        <stp>FQ4 2009</stp>
        <stp>FQ4 2009</stp>
        <stp>[AMZ_2009-2018.xlsx]Bal Sheet - Standardized!R87C6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87" s="3"/>
      </tp>
      <tp>
        <v>6</v>
        <stp/>
        <stp>##V3_BDHV12</stp>
        <stp>AMZN US Equity</stp>
        <stp>IS_SH_PRO_EQY_MT_INV_NET_OF_TAX</stp>
        <stp>FQ4 2010</stp>
        <stp>FQ4 2010</stp>
        <stp>[AMZ_2009-2018.xlsx]Income - Adjusted!R33C10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33" s="2"/>
      </tp>
      <tp>
        <v>3</v>
        <stp/>
        <stp>##V3_BDHV12</stp>
        <stp>AMZN US Equity</stp>
        <stp>IS_SH_PRO_EQY_MT_INV_NET_OF_TAX</stp>
        <stp>FQ4 2015</stp>
        <stp>FQ4 2015</stp>
        <stp>[AMZ_2009-2018.xlsx]Income - Adjusted!R33C30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33" s="2"/>
      </tp>
      <tp>
        <v>0.67</v>
        <stp/>
        <stp>##V3_BDHV12</stp>
        <stp>AMZN US Equity</stp>
        <stp>IS_EARN_BEF_XO_ITEMS_PER_SH</stp>
        <stp>FQ1 2010</stp>
        <stp>FQ1 2010</stp>
        <stp>[AMZ_2009-2018.xlsx]Per Share!R15C7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15" s="5"/>
      </tp>
      <tp>
        <v>943</v>
        <stp/>
        <stp>##V3_BDHV12</stp>
        <stp>AMZN US Equity</stp>
        <stp>IS_SELLING_EXPENSES</stp>
        <stp>FQ2 2014</stp>
        <stp>FQ2 2014</stp>
        <stp>[AMZ_2009-2018.xlsx]Income - Adjusted!R14C24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4" s="2"/>
      </tp>
      <tp>
        <v>5887</v>
        <stp/>
        <stp>##V3_BDHV12</stp>
        <stp>AMZN US Equity</stp>
        <stp>BS_ADD_PAID_IN_CAP</stp>
        <stp>FQ1 2010</stp>
        <stp>FQ1 2010</stp>
        <stp>[AMZ_2009-2018.xlsx]Bal Sheet - Standardized!R67C7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7" s="3"/>
      </tp>
      <tp>
        <v>79</v>
        <stp/>
        <stp>##V3_BDHV12</stp>
        <stp>AMZN US Equity</stp>
        <stp>EARN_FOR_COMMON</stp>
        <stp>FQ3 2015</stp>
        <stp>FQ3 2015</stp>
        <stp>[AMZ_2009-2018.xlsx]Income - Adjusted!R43C29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43" s="2"/>
      </tp>
      <tp>
        <v>82</v>
        <stp/>
        <stp>##V3_BDHV12</stp>
        <stp>AMZN US Equity</stp>
        <stp>EARN_FOR_COMMON</stp>
        <stp>FQ1 2013</stp>
        <stp>FQ1 2013</stp>
        <stp>[AMZ_2009-2018.xlsx]Income - Adjusted!R43C19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43" s="2"/>
      </tp>
      <tp>
        <v>1629</v>
        <stp/>
        <stp>##V3_BDHV12</stp>
        <stp>AMZN US Equity</stp>
        <stp>EARN_FOR_COMMON</stp>
        <stp>FQ1 2018</stp>
        <stp>FQ1 2018</stp>
        <stp>[AMZ_2009-2018.xlsx]Income - Adjusted!R43C39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43" s="2"/>
      </tp>
      <tp>
        <v>593</v>
        <stp/>
        <stp>##V3_BDHV12</stp>
        <stp>AMZN US Equity</stp>
        <stp>IS_SELLING_EXPENSES</stp>
        <stp>FQ4 2011</stp>
        <stp>FQ4 2011</stp>
        <stp>[AMZ_2009-2018.xlsx]Income - Adjusted!R14C14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4" s="2"/>
      </tp>
      <tp>
        <v>2513</v>
        <stp/>
        <stp>##V3_BDHV12</stp>
        <stp>AMZN US Equity</stp>
        <stp>IS_SELLING_EXPENSES</stp>
        <stp>FQ4 2016</stp>
        <stp>FQ4 2016</stp>
        <stp>[AMZ_2009-2018.xlsx]Income - Adjusted!R14C34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4" s="2"/>
      </tp>
      <tp>
        <v>0</v>
        <stp/>
        <stp>##V3_BDHV12</stp>
        <stp>AMZN US Equity</stp>
        <stp>MIN_NONCONTROL_INTEREST_CREDITS</stp>
        <stp>FQ4 2015</stp>
        <stp>FQ4 2015</stp>
        <stp>[AMZ_2009-2018.xlsx]Income - Adjusted!R39C30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39" s="2"/>
      </tp>
      <tp>
        <v>0</v>
        <stp/>
        <stp>##V3_BDHV12</stp>
        <stp>AMZN US Equity</stp>
        <stp>MIN_NONCONTROL_INTEREST_CREDITS</stp>
        <stp>FQ4 2010</stp>
        <stp>FQ4 2010</stp>
        <stp>[AMZ_2009-2018.xlsx]Income - Adjusted!R39C10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39" s="2"/>
      </tp>
      <tp>
        <v>8556</v>
        <stp/>
        <stp>##V3_BDHV12</stp>
        <stp>AMZN US Equity</stp>
        <stp>BS_TOT_LIAB2</stp>
        <stp>FQ4 2009</stp>
        <stp>FQ4 2009</stp>
        <stp>[AMZ_2009-2018.xlsx]Bal Sheet - Standardized!R63C6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3" s="3"/>
      </tp>
      <tp>
        <v>0</v>
        <stp/>
        <stp>##V3_BDHV12</stp>
        <stp>AMZN US Equity</stp>
        <stp>CF_DECR_CAP_STOCK</stp>
        <stp>FQ2 2018</stp>
        <stp>FQ2 2018</stp>
        <stp>[AMZ_2009-2018.xlsx]Cash Flow - Standardized!R48C40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8" s="4"/>
      </tp>
      <tp>
        <v>0</v>
        <stp/>
        <stp>##V3_BDHV12</stp>
        <stp>AMZN US Equity</stp>
        <stp>CF_INCR_CAP_STOCK</stp>
        <stp>FQ2 2018</stp>
        <stp>FQ2 2018</stp>
        <stp>[AMZ_2009-2018.xlsx]Cash Flow - Standardized!R47C40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7" s="4"/>
      </tp>
      <tp>
        <v>0</v>
        <stp/>
        <stp>##V3_BDHV12</stp>
        <stp>AMZN US Equity</stp>
        <stp>MIN_NONCONTROL_INTEREST_CREDITS</stp>
        <stp>FQ2 2018</stp>
        <stp>FQ2 2018</stp>
        <stp>[AMZ_2009-2018.xlsx]Income - Adjusted!R39C40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39" s="2"/>
      </tp>
      <tp>
        <v>0</v>
        <stp/>
        <stp>##V3_BDHV12</stp>
        <stp>AMZN US Equity</stp>
        <stp>MIN_NONCONTROL_INTEREST_CREDITS</stp>
        <stp>FQ2 2013</stp>
        <stp>FQ2 2013</stp>
        <stp>[AMZ_2009-2018.xlsx]Income - Adjusted!R39C20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39" s="2"/>
      </tp>
      <tp>
        <v>-2647</v>
        <stp/>
        <stp>##V3_BDHV12</stp>
        <stp>AMZN US Equity</stp>
        <stp>PROC_FR_REPAYMNTS_BOR_DETAILED</stp>
        <stp>FQ4 2017</stp>
        <stp>FQ4 2017</stp>
        <stp>[AMZ_2009-2018.xlsx]Cash Flow - Standardized!R42C38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2" s="4"/>
      </tp>
      <tp>
        <v>0.40960000000000002</v>
        <stp/>
        <stp>##V3_BDHV12</stp>
        <stp>AMZN US Equity</stp>
        <stp>IS_BASIC_EPS_CONT_OPS</stp>
        <stp>FQ1 2009</stp>
        <stp>FQ1 2009</stp>
        <stp>[AMZ_2009-2018.xlsx]Income - Adjusted!R52C3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52" s="2"/>
      </tp>
      <tp>
        <v>-35</v>
        <stp/>
        <stp>##V3_BDHV12</stp>
        <stp>AMZN US Equity</stp>
        <stp>PROC_FR_REPAYMNTS_BOR_DETAILED</stp>
        <stp>FQ3 2012</stp>
        <stp>FQ3 2012</stp>
        <stp>[AMZ_2009-2018.xlsx]Cash Flow - Standardized!R42C17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2" s="4"/>
      </tp>
      <tp>
        <v>5721</v>
        <stp/>
        <stp>##V3_BDHV12</stp>
        <stp>AMZN US Equity</stp>
        <stp>BS_ACCT_PAYABLE</stp>
        <stp>FQ2 2011</stp>
        <stp>FQ2 2011</stp>
        <stp>[AMZ_2009-2018.xlsx]Bal Sheet - Standardized!R39C12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9" s="3"/>
      </tp>
      <tp>
        <v>0</v>
        <stp/>
        <stp>##V3_BDHV12</stp>
        <stp>AMZN US Equity</stp>
        <stp>OTHER_INTANGIBLE_ASSETS_DETAILED</stp>
        <stp>FQ3 2010</stp>
        <stp>FQ3 2010</stp>
        <stp>[AMZ_2009-2018.xlsx]Bal Sheet - Standardized!R30C9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0" s="3"/>
      </tp>
      <tp>
        <v>308</v>
        <stp/>
        <stp>##V3_BDHV12</stp>
        <stp>AMZN US Equity</stp>
        <stp>NON_CASH_ITEMS_DETAILED</stp>
        <stp>FQ3 2012</stp>
        <stp>FQ3 2012</stp>
        <stp>[AMZ_2009-2018.xlsx]Cash Flow - Standardized!R9C17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9" s="4"/>
      </tp>
      <tp>
        <v>548</v>
        <stp/>
        <stp>##V3_BDHV12</stp>
        <stp>AMZN US Equity</stp>
        <stp>NON_CASH_ITEMS_DETAILED</stp>
        <stp>FQ1 2016</stp>
        <stp>FQ1 2016</stp>
        <stp>[AMZ_2009-2018.xlsx]Cash Flow - Standardized!R9C31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9" s="4"/>
      </tp>
      <tp>
        <v>16459</v>
        <stp/>
        <stp>##V3_BDHV12</stp>
        <stp>AMZN US Equity</stp>
        <stp>BS_ACCT_PAYABLE</stp>
        <stp>FQ4 2014</stp>
        <stp>FQ4 2014</stp>
        <stp>[AMZ_2009-2018.xlsx]Bal Sheet - Standardized!R39C26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9" s="3"/>
      </tp>
      <tp>
        <v>10037</v>
        <stp/>
        <stp>##V3_BDHV12</stp>
        <stp>AMZN US Equity</stp>
        <stp>BS_ACCT_PAYABLE</stp>
        <stp>FQ3 2013</stp>
        <stp>FQ3 2013</stp>
        <stp>[AMZ_2009-2018.xlsx]Bal Sheet - Standardized!R39C21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9" s="3"/>
      </tp>
      <tp>
        <v>19304</v>
        <stp/>
        <stp>##V3_BDHV12</stp>
        <stp>AMZN US Equity</stp>
        <stp>BS_TOTAL_CAPITAL_LEASES</stp>
        <stp>FQ4 2017</stp>
        <stp>FQ4 2017</stp>
        <stp>[AMZ_2009-2018.xlsx]Bal Sheet - Standardized!R82C38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82" s="3"/>
      </tp>
      <tp>
        <v>-657</v>
        <stp/>
        <stp>##V3_BDHV12</stp>
        <stp>AMZN US Equity</stp>
        <stp>CHG_IN_FXD_&amp;_INTANG_AST_DETAILED</stp>
        <stp>FQ2 2012</stp>
        <stp>FQ2 2012</stp>
        <stp>[AMZ_2009-2018.xlsx]Cash Flow - Standardized!R22C16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2" s="4"/>
      </tp>
      <tp>
        <v>772</v>
        <stp/>
        <stp>##V3_BDHV12</stp>
        <stp>AMZN US Equity</stp>
        <stp>NON_CASH_ITEMS_DETAILED</stp>
        <stp>FQ1 2017</stp>
        <stp>FQ1 2017</stp>
        <stp>[AMZ_2009-2018.xlsx]Cash Flow - Standardized!R9C35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9" s="4"/>
      </tp>
      <tp>
        <v>0</v>
        <stp/>
        <stp>##V3_BDHV12</stp>
        <stp>AMZN US Equity</stp>
        <stp>CF_CASH_FOR_JOINT_VENTURES_ASSOC</stp>
        <stp>FQ2 2013</stp>
        <stp>FQ2 2013</stp>
        <stp>[AMZ_2009-2018.xlsx]Cash Flow - Standardized!R35C20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5" s="4"/>
      </tp>
      <tp>
        <v>6886</v>
        <stp/>
        <stp>##V3_BDHV12</stp>
        <stp>AMZN US Equity</stp>
        <stp>BS_ACCT_PAYABLE</stp>
        <stp>FQ1 2012</stp>
        <stp>FQ1 2012</stp>
        <stp>[AMZ_2009-2018.xlsx]Bal Sheet - Standardized!R39C15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9" s="3"/>
      </tp>
      <tp>
        <v>0</v>
        <stp/>
        <stp>##V3_BDHV12</stp>
        <stp>AMZN US Equity</stp>
        <stp>OTHER_INTANGIBLE_ASSETS_DETAILED</stp>
        <stp>FQ2 2009</stp>
        <stp>FQ2 2009</stp>
        <stp>[AMZ_2009-2018.xlsx]Bal Sheet - Standardized!R30C4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0" s="3"/>
      </tp>
      <tp>
        <v>0</v>
        <stp/>
        <stp>##V3_BDHV12</stp>
        <stp>AMZN US Equity</stp>
        <stp>CF_CASH_FOR_JOINT_VENTURES_ASSOC</stp>
        <stp>FQ3 2011</stp>
        <stp>FQ3 2011</stp>
        <stp>[AMZ_2009-2018.xlsx]Cash Flow - Standardized!R35C13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5" s="4"/>
      </tp>
      <tp>
        <v>8914</v>
        <stp/>
        <stp>##V3_BDHV12</stp>
        <stp>AMZN US Equity</stp>
        <stp>OTHER_NONCUR_LIABS_SUB_DETAILED</stp>
        <stp>FQ1 2018</stp>
        <stp>FQ1 2018</stp>
        <stp>[AMZ_2009-2018.xlsx]Bal Sheet - Standardized!R55C39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5" s="3"/>
      </tp>
      <tp>
        <v>-2005</v>
        <stp/>
        <stp>##V3_BDHV12</stp>
        <stp>AMZN US Equity</stp>
        <stp>CHG_IN_FXD_&amp;_INTANG_AST_DETAILED</stp>
        <stp>FQ4 2016</stp>
        <stp>FQ4 2016</stp>
        <stp>[AMZ_2009-2018.xlsx]Cash Flow - Standardized!R22C34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2" s="4"/>
      </tp>
      <tp>
        <v>171</v>
        <stp/>
        <stp>##V3_BDHV12</stp>
        <stp>AMZN US Equity</stp>
        <stp>NON_CASH_ITEMS_DETAILED</stp>
        <stp>FQ3 2011</stp>
        <stp>FQ3 2011</stp>
        <stp>[AMZ_2009-2018.xlsx]Cash Flow - Standardized!R9C13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9" s="4"/>
      </tp>
      <tp>
        <v>0</v>
        <stp/>
        <stp>##V3_BDHV12</stp>
        <stp>AMZN US Equity</stp>
        <stp>CF_CASH_FOR_DIVESTITURES</stp>
        <stp>FQ4 2012</stp>
        <stp>FQ4 2012</stp>
        <stp>[AMZ_2009-2018.xlsx]Cash Flow - Standardized!R33C18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3" s="4"/>
      </tp>
      <tp>
        <v>0</v>
        <stp/>
        <stp>##V3_BDHV12</stp>
        <stp>AMZN US Equity</stp>
        <stp>CF_NET_CASH_DISCONTINUED_OPS_FIN</stp>
        <stp>FQ2 2013</stp>
        <stp>FQ2 2013</stp>
        <stp>[AMZ_2009-2018.xlsx]Cash Flow - Standardized!R50C20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0" s="4"/>
      </tp>
      <tp>
        <v>0</v>
        <stp/>
        <stp>##V3_BDHV12</stp>
        <stp>AMZN US Equity</stp>
        <stp>CF_NET_CASH_DISCONTINUED_OPS_INV</stp>
        <stp>FQ1 2013</stp>
        <stp>FQ1 2013</stp>
        <stp>[AMZ_2009-2018.xlsx]Cash Flow - Standardized!R37C19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7" s="4"/>
      </tp>
      <tp>
        <v>20397</v>
        <stp/>
        <stp>##V3_BDHV12</stp>
        <stp>AMZN US Equity</stp>
        <stp>BS_ACCT_PAYABLE</stp>
        <stp>FQ4 2015</stp>
        <stp>FQ4 2015</stp>
        <stp>[AMZ_2009-2018.xlsx]Bal Sheet - Standardized!R39C30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9" s="3"/>
      </tp>
      <tp>
        <v>1195</v>
        <stp/>
        <stp>##V3_BDHV12</stp>
        <stp>AMZN US Equity</stp>
        <stp>NON_CASH_ITEMS_DETAILED</stp>
        <stp>FQ1 2018</stp>
        <stp>FQ1 2018</stp>
        <stp>[AMZ_2009-2018.xlsx]Cash Flow - Standardized!R9C39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9" s="4"/>
      </tp>
      <tp>
        <v>0</v>
        <stp/>
        <stp>##V3_BDHV12</stp>
        <stp>AMZN US Equity</stp>
        <stp>CF_NET_CASH_DISCONTINUED_OPS_FIN</stp>
        <stp>FQ3 2011</stp>
        <stp>FQ3 2011</stp>
        <stp>[AMZ_2009-2018.xlsx]Cash Flow - Standardized!R50C13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0" s="4"/>
      </tp>
      <tp>
        <v>-298</v>
        <stp/>
        <stp>##V3_BDHV12</stp>
        <stp>AMZN US Equity</stp>
        <stp>CHG_IN_FXD_&amp;_INTANG_AST_DETAILED</stp>
        <stp>FQ1 2011</stp>
        <stp>FQ1 2011</stp>
        <stp>[AMZ_2009-2018.xlsx]Cash Flow - Standardized!R22C11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2" s="4"/>
      </tp>
      <tp>
        <v>-974</v>
        <stp/>
        <stp>##V3_BDHV12</stp>
        <stp>AMZN US Equity</stp>
        <stp>CF_CHANGE_IN_INVENTORIES</stp>
        <stp>FQ4 2012</stp>
        <stp>FQ4 2012</stp>
        <stp>[AMZ_2009-2018.xlsx]Cash Flow - Standardized!R15C18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5" s="4"/>
      </tp>
      <tp>
        <v>0</v>
        <stp/>
        <stp>##V3_BDHV12</stp>
        <stp>AMZN US Equity</stp>
        <stp>CF_CASH_FOR_DIVESTITURES</stp>
        <stp>FQ2 2016</stp>
        <stp>FQ2 2016</stp>
        <stp>[AMZ_2009-2018.xlsx]Cash Flow - Standardized!R33C32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3" s="4"/>
      </tp>
      <tp t="s">
        <v>—</v>
        <stp/>
        <stp>##V3_BDHV12</stp>
        <stp>AMZN US Equity</stp>
        <stp>BS_TOTAL_CAPITAL_LEASES</stp>
        <stp>FQ3 2012</stp>
        <stp>FQ3 2012</stp>
        <stp>[AMZ_2009-2018.xlsx]Bal Sheet - Standardized!R82C17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82" s="3"/>
      </tp>
      <tp>
        <v>-57</v>
        <stp/>
        <stp>##V3_BDHV12</stp>
        <stp>AMZN US Equity</stp>
        <stp>CF_CHANGE_IN_INVENTORIES</stp>
        <stp>FQ2 2016</stp>
        <stp>FQ2 2016</stp>
        <stp>[AMZ_2009-2018.xlsx]Cash Flow - Standardized!R15C32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5" s="4"/>
      </tp>
      <tp>
        <v>699</v>
        <stp/>
        <stp>##V3_BDHV12</stp>
        <stp>AMZN US Equity</stp>
        <stp>CF_CHANGE_IN_INVENTORIES</stp>
        <stp>FQ1 2014</stp>
        <stp>FQ1 2014</stp>
        <stp>[AMZ_2009-2018.xlsx]Cash Flow - Standardized!R15C23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5" s="4"/>
      </tp>
      <tp>
        <v>0.4</v>
        <stp/>
        <stp>##V3_BDHV12</stp>
        <stp>AMZN US Equity</stp>
        <stp>IS_DIL_EPS_CONT_OPS</stp>
        <stp>FQ2 2017</stp>
        <stp>FQ2 2017</stp>
        <stp>[AMZ_2009-2018.xlsx]Income - Adjusted!R57C36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57" s="2"/>
      </tp>
      <tp>
        <v>0.15190000000000001</v>
        <stp/>
        <stp>##V3_BDHV12</stp>
        <stp>AMZN US Equity</stp>
        <stp>IS_DIL_EPS_CONT_OPS</stp>
        <stp>FQ2 2012</stp>
        <stp>FQ2 2012</stp>
        <stp>[AMZ_2009-2018.xlsx]Income - Adjusted!R57C16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57" s="2"/>
      </tp>
      <tp>
        <v>0</v>
        <stp/>
        <stp>##V3_BDHV12</stp>
        <stp>AMZN US Equity</stp>
        <stp>CF_CASH_FOR_DIVESTITURES</stp>
        <stp>FQ1 2014</stp>
        <stp>FQ1 2014</stp>
        <stp>[AMZ_2009-2018.xlsx]Cash Flow - Standardized!R33C23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3" s="4"/>
      </tp>
      <tp>
        <v>0</v>
        <stp/>
        <stp>##V3_BDHV12</stp>
        <stp>AMZN US Equity</stp>
        <stp>CF_CASH_FOR_DIVESTITURES</stp>
        <stp>FQ3 2017</stp>
        <stp>FQ3 2017</stp>
        <stp>[AMZ_2009-2018.xlsx]Cash Flow - Standardized!R33C37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3" s="4"/>
      </tp>
      <tp>
        <v>0.45</v>
        <stp/>
        <stp>##V3_BDHV12</stp>
        <stp>AMZN US Equity</stp>
        <stp>IS_DIL_EPS_CONT_OPS</stp>
        <stp>FQ4 2014</stp>
        <stp>FQ4 2014</stp>
        <stp>[AMZ_2009-2018.xlsx]Income - Adjusted!R57C26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57" s="2"/>
      </tp>
      <tp>
        <v>0</v>
        <stp/>
        <stp>##V3_BDHV12</stp>
        <stp>AMZN US Equity</stp>
        <stp>CF_CASH_FOR_JOINT_VENTURES_ASSOC</stp>
        <stp>FQ1 2013</stp>
        <stp>FQ1 2013</stp>
        <stp>[AMZ_2009-2018.xlsx]Cash Flow - Standardized!R35C19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5" s="4"/>
      </tp>
      <tp>
        <v>-1593</v>
        <stp/>
        <stp>##V3_BDHV12</stp>
        <stp>AMZN US Equity</stp>
        <stp>CF_CHANGE_IN_INVENTORIES</stp>
        <stp>FQ3 2017</stp>
        <stp>FQ3 2017</stp>
        <stp>[AMZ_2009-2018.xlsx]Cash Flow - Standardized!R15C37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5" s="4"/>
      </tp>
      <tp>
        <v>0</v>
        <stp/>
        <stp>##V3_BDHV12</stp>
        <stp>AMZN US Equity</stp>
        <stp>CF_NET_CASH_DISCONTINUED_OPS_INV</stp>
        <stp>FQ3 2011</stp>
        <stp>FQ3 2011</stp>
        <stp>[AMZ_2009-2018.xlsx]Cash Flow - Standardized!R37C13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7" s="4"/>
      </tp>
      <tp>
        <v>0</v>
        <stp/>
        <stp>##V3_BDHV12</stp>
        <stp>AMZN US Equity</stp>
        <stp>CF_NET_CASH_DISCONTINUED_OPS_FIN</stp>
        <stp>FQ1 2013</stp>
        <stp>FQ1 2013</stp>
        <stp>[AMZ_2009-2018.xlsx]Cash Flow - Standardized!R50C19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0" s="4"/>
      </tp>
      <tp>
        <v>0</v>
        <stp/>
        <stp>##V3_BDHV12</stp>
        <stp>AMZN US Equity</stp>
        <stp>CF_NET_CASH_DISCONTINUED_OPS_INV</stp>
        <stp>FQ2 2013</stp>
        <stp>FQ2 2013</stp>
        <stp>[AMZ_2009-2018.xlsx]Cash Flow - Standardized!R37C20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7" s="4"/>
      </tp>
      <tp>
        <v>62</v>
        <stp/>
        <stp>##V3_BDHV12</stp>
        <stp>AMZN US Equity</stp>
        <stp>INC_DEC_IN_OT_OP_AST_LIAB_DETAIL</stp>
        <stp>FQ3 2017</stp>
        <stp>FQ3 2017</stp>
        <stp>[AMZ_2009-2018.xlsx]Cash Flow - Standardized!R17C37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7" s="4"/>
      </tp>
      <tp>
        <v>38494</v>
        <stp/>
        <stp>##V3_BDHV12</stp>
        <stp>AMZN US Equity</stp>
        <stp>IS_COG_AND_SERVICES_SOLD</stp>
        <stp>FQ4 2017</stp>
        <stp>FQ4 2017</stp>
        <stp>[AMZ_2009-2018.xlsx]Income - Adjusted!R9C38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9" s="2"/>
      </tp>
      <tp>
        <v>199</v>
        <stp/>
        <stp>##V3_BDHV12</stp>
        <stp>AMZN US Equity</stp>
        <stp>IS_INC_BEF_XO_ITEM</stp>
        <stp>FQ3 2009</stp>
        <stp>FQ3 2009</stp>
        <stp>[AMZ_2009-2018.xlsx]Income - Adjusted!R34C5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4" s="2"/>
      </tp>
      <tp>
        <v>5</v>
        <stp/>
        <stp>##V3_BDHV12</stp>
        <stp>AMZN US Equity</stp>
        <stp>BS_COMMON_STOCK</stp>
        <stp>FQ2 2015</stp>
        <stp>FQ2 2015</stp>
        <stp>[AMZ_2009-2018.xlsx]Bal Sheet - Standardized!R66C28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6" s="3"/>
      </tp>
      <tp>
        <v>-371</v>
        <stp/>
        <stp>##V3_BDHV12</stp>
        <stp>AMZN US Equity</stp>
        <stp>INC_DEC_IN_OT_OP_AST_LIAB_DETAIL</stp>
        <stp>FQ1 2014</stp>
        <stp>FQ1 2014</stp>
        <stp>[AMZ_2009-2018.xlsx]Cash Flow - Standardized!R17C23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7" s="4"/>
      </tp>
      <tp>
        <v>117</v>
        <stp/>
        <stp>##V3_BDHV12</stp>
        <stp>AMZN US Equity</stp>
        <stp>INC_DEC_IN_OT_OP_AST_LIAB_DETAIL</stp>
        <stp>FQ2 2016</stp>
        <stp>FQ2 2016</stp>
        <stp>[AMZ_2009-2018.xlsx]Cash Flow - Standardized!R17C32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7" s="4"/>
      </tp>
      <tp>
        <v>1067</v>
        <stp/>
        <stp>##V3_BDHV12</stp>
        <stp>AMZN US Equity</stp>
        <stp>EBITDA</stp>
        <stp>FQ4 2012</stp>
        <stp>FQ4 2012</stp>
        <stp>[AMZ_2009-2018.xlsx]Cash Flow - Standardized!R61C18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61" s="4"/>
      </tp>
      <tp>
        <v>881</v>
        <stp/>
        <stp>##V3_BDHV12</stp>
        <stp>AMZN US Equity</stp>
        <stp>EBITDA</stp>
        <stp>FQ1 2013</stp>
        <stp>FQ1 2013</stp>
        <stp>[AMZ_2009-2018.xlsx]Cash Flow - Standardized!R61C19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61" s="4"/>
      </tp>
      <tp>
        <v>5</v>
        <stp/>
        <stp>##V3_BDHV12</stp>
        <stp>AMZN US Equity</stp>
        <stp>BS_COMMON_STOCK</stp>
        <stp>FQ3 2014</stp>
        <stp>FQ3 2014</stp>
        <stp>[AMZ_2009-2018.xlsx]Bal Sheet - Standardized!R66C25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6" s="3"/>
      </tp>
      <tp>
        <v>5</v>
        <stp/>
        <stp>##V3_BDHV12</stp>
        <stp>AMZN US Equity</stp>
        <stp>BS_COMMON_STOCK</stp>
        <stp>FQ4 2013</stp>
        <stp>FQ4 2013</stp>
        <stp>[AMZ_2009-2018.xlsx]Bal Sheet - Standardized!R66C22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6" s="3"/>
      </tp>
      <tp>
        <v>1411</v>
        <stp/>
        <stp>##V3_BDHV12</stp>
        <stp>AMZN US Equity</stp>
        <stp>INC_DEC_IN_OT_OP_AST_LIAB_DETAIL</stp>
        <stp>FQ4 2012</stp>
        <stp>FQ4 2012</stp>
        <stp>[AMZ_2009-2018.xlsx]Cash Flow - Standardized!R17C18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7" s="4"/>
      </tp>
      <tp>
        <v>7223</v>
        <stp/>
        <stp>##V3_BDHV12</stp>
        <stp>AMZN US Equity</stp>
        <stp>ACCT_PAYABLE_&amp;_ACCRUALS_DETAILED</stp>
        <stp>FQ4 2009</stp>
        <stp>FQ4 2009</stp>
        <stp>[AMZ_2009-2018.xlsx]Bal Sheet - Standardized!R38C6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8" s="3"/>
      </tp>
      <tp>
        <v>5</v>
        <stp/>
        <stp>##V3_BDHV12</stp>
        <stp>AMZN US Equity</stp>
        <stp>BS_COMMON_STOCK</stp>
        <stp>FQ4 2010</stp>
        <stp>FQ4 2010</stp>
        <stp>[AMZ_2009-2018.xlsx]Bal Sheet - Standardized!R66C10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6" s="3"/>
      </tp>
      <tp>
        <v>94</v>
        <stp/>
        <stp>##V3_BDHV12</stp>
        <stp>AMZN US Equity</stp>
        <stp>IS_INC_TAX_EXP</stp>
        <stp>FQ2 2014</stp>
        <stp>FQ2 2014</stp>
        <stp>[AMZ_2009-2018.xlsx]Income - Adjusted!R32C24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32" s="2"/>
      </tp>
      <tp>
        <v>5</v>
        <stp/>
        <stp>##V3_BDHV12</stp>
        <stp>AMZN US Equity</stp>
        <stp>BS_COMMON_STOCK</stp>
        <stp>FQ1 2017</stp>
        <stp>FQ1 2017</stp>
        <stp>[AMZ_2009-2018.xlsx]Bal Sheet - Standardized!R66C35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6" s="3"/>
      </tp>
      <tp>
        <v>86</v>
        <stp/>
        <stp>##V3_BDHV12</stp>
        <stp>AMZN US Equity</stp>
        <stp>IS_INC_TAX_EXP</stp>
        <stp>FQ4 2011</stp>
        <stp>FQ4 2011</stp>
        <stp>[AMZ_2009-2018.xlsx]Income - Adjusted!R32C14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32" s="2"/>
      </tp>
      <tp>
        <v>414</v>
        <stp/>
        <stp>##V3_BDHV12</stp>
        <stp>AMZN US Equity</stp>
        <stp>IS_INC_TAX_EXP</stp>
        <stp>FQ4 2016</stp>
        <stp>FQ4 2016</stp>
        <stp>[AMZ_2009-2018.xlsx]Income - Adjusted!R32C34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32" s="2"/>
      </tp>
      <tp>
        <v>0.32</v>
        <stp/>
        <stp>##V3_BDHV12</stp>
        <stp>AMZN US Equity</stp>
        <stp>IS_DIL_EPS_BEF_XO</stp>
        <stp>FQ2 2009</stp>
        <stp>FQ2 2009</stp>
        <stp>[AMZ_2009-2018.xlsx]Per Share!R18C4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18" s="5"/>
      </tp>
      <tp>
        <v>0</v>
        <stp/>
        <stp>##V3_BDHV12</stp>
        <stp>AMZN US Equity</stp>
        <stp>IS_TOT_CASH_COM_DVD</stp>
        <stp>FQ1 2013</stp>
        <stp>FQ1 2013</stp>
        <stp>[AMZ_2009-2018.xlsx]Income - Adjusted!R70C19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0" s="2"/>
      </tp>
      <tp t="s">
        <v>—</v>
        <stp/>
        <stp>##V3_BDHV12</stp>
        <stp>AMZN US Equity</stp>
        <stp>IS_MERGER_ACQUISITION_EXPENSE</stp>
        <stp>FQ3 2009</stp>
        <stp>FQ3 2009</stp>
        <stp>[AMZ_2009-2018.xlsx]Income - Adjusted!R27C5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7" s="2"/>
      </tp>
      <tp t="s">
        <v>—</v>
        <stp/>
        <stp>##V3_BDHV12</stp>
        <stp>AMZN US Equity</stp>
        <stp>IS_DEPR_EXP</stp>
        <stp>FQ1 2018</stp>
        <stp>FQ1 2018</stp>
        <stp>[AMZ_2009-2018.xlsx]Income - Adjusted!R72C39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2" s="2"/>
      </tp>
      <tp>
        <v>4210</v>
        <stp/>
        <stp>##V3_BDHV12</stp>
        <stp>AMZN US Equity</stp>
        <stp>BS_ADD_PAID_IN_CAP</stp>
        <stp>FQ1 2009</stp>
        <stp>FQ1 2009</stp>
        <stp>[AMZ_2009-2018.xlsx]Bal Sheet - Standardized!R67C3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7" s="3"/>
      </tp>
      <tp>
        <v>68</v>
        <stp/>
        <stp>##V3_BDHV12</stp>
        <stp>AMZN US Equity</stp>
        <stp>IS_SH_PRO_EQY_MT_INV_NET_OF_TAX</stp>
        <stp>FQ1 2016</stp>
        <stp>FQ1 2016</stp>
        <stp>[AMZ_2009-2018.xlsx]Income - Adjusted!R33C31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33" s="2"/>
      </tp>
      <tp>
        <v>17</v>
        <stp/>
        <stp>##V3_BDHV12</stp>
        <stp>AMZN US Equity</stp>
        <stp>IS_SH_PRO_EQY_MT_INV_NET_OF_TAX</stp>
        <stp>FQ1 2011</stp>
        <stp>FQ1 2011</stp>
        <stp>[AMZ_2009-2018.xlsx]Income - Adjusted!R33C11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33" s="2"/>
      </tp>
      <tp>
        <v>10</v>
        <stp/>
        <stp>##V3_BDHV12</stp>
        <stp>AMZN US Equity</stp>
        <stp>IS_SH_PRO_EQY_MT_INV_NET_OF_TAX</stp>
        <stp>FQ3 2013</stp>
        <stp>FQ3 2013</stp>
        <stp>[AMZ_2009-2018.xlsx]Income - Adjusted!R33C21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33" s="2"/>
      </tp>
      <tp>
        <v>993</v>
        <stp/>
        <stp>##V3_BDHV12</stp>
        <stp>AMZN US Equity</stp>
        <stp>IS_SELLING_EXPENSES</stp>
        <stp>FQ3 2014</stp>
        <stp>FQ3 2014</stp>
        <stp>[AMZ_2009-2018.xlsx]Income - Adjusted!R14C25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4" s="2"/>
      </tp>
      <tp>
        <v>1920</v>
        <stp/>
        <stp>##V3_BDHV12</stp>
        <stp>AMZN US Equity</stp>
        <stp>IS_SELLING_EXPENSES</stp>
        <stp>FQ1 2017</stp>
        <stp>FQ1 2017</stp>
        <stp>[AMZ_2009-2018.xlsx]Income - Adjusted!R14C35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4" s="2"/>
      </tp>
      <tp>
        <v>480</v>
        <stp/>
        <stp>##V3_BDHV12</stp>
        <stp>AMZN US Equity</stp>
        <stp>IS_SELLING_EXPENSES</stp>
        <stp>FQ1 2012</stp>
        <stp>FQ1 2012</stp>
        <stp>[AMZ_2009-2018.xlsx]Income - Adjusted!R14C15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4" s="2"/>
      </tp>
      <tp>
        <v>97</v>
        <stp/>
        <stp>##V3_BDHV12</stp>
        <stp>AMZN US Equity</stp>
        <stp>EARN_FOR_COMMON</stp>
        <stp>FQ4 2012</stp>
        <stp>FQ4 2012</stp>
        <stp>[AMZ_2009-2018.xlsx]Income - Adjusted!R43C18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43" s="2"/>
      </tp>
      <tp>
        <v>1856</v>
        <stp/>
        <stp>##V3_BDHV12</stp>
        <stp>AMZN US Equity</stp>
        <stp>EARN_FOR_COMMON</stp>
        <stp>FQ4 2017</stp>
        <stp>FQ4 2017</stp>
        <stp>[AMZ_2009-2018.xlsx]Income - Adjusted!R43C38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43" s="2"/>
      </tp>
      <tp>
        <v>92</v>
        <stp/>
        <stp>##V3_BDHV12</stp>
        <stp>AMZN US Equity</stp>
        <stp>EARN_FOR_COMMON</stp>
        <stp>FQ2 2015</stp>
        <stp>FQ2 2015</stp>
        <stp>[AMZ_2009-2018.xlsx]Income - Adjusted!R43C28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43" s="2"/>
      </tp>
      <tp>
        <v>0</v>
        <stp/>
        <stp>##V3_BDHV12</stp>
        <stp>AMZN US Equity</stp>
        <stp>MIN_NONCONTROL_INTEREST_CREDITS</stp>
        <stp>FQ1 2011</stp>
        <stp>FQ1 2011</stp>
        <stp>[AMZ_2009-2018.xlsx]Income - Adjusted!R39C11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39" s="2"/>
      </tp>
      <tp>
        <v>0</v>
        <stp/>
        <stp>##V3_BDHV12</stp>
        <stp>AMZN US Equity</stp>
        <stp>MIN_NONCONTROL_INTEREST_CREDITS</stp>
        <stp>FQ1 2016</stp>
        <stp>FQ1 2016</stp>
        <stp>[AMZ_2009-2018.xlsx]Income - Adjusted!R39C31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39" s="2"/>
      </tp>
      <tp>
        <v>0</v>
        <stp/>
        <stp>##V3_BDHV12</stp>
        <stp>AMZN US Equity</stp>
        <stp>MIN_NONCONTROL_INTEREST_CREDITS</stp>
        <stp>FQ3 2013</stp>
        <stp>FQ3 2013</stp>
        <stp>[AMZ_2009-2018.xlsx]Income - Adjusted!R39C21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39" s="2"/>
      </tp>
      <tp>
        <v>-18</v>
        <stp/>
        <stp>##V3_BDHV12</stp>
        <stp>AMZN US Equity</stp>
        <stp>PROC_FR_REPAYMNTS_BOR_DETAILED</stp>
        <stp>FQ2 2012</stp>
        <stp>FQ2 2012</stp>
        <stp>[AMZ_2009-2018.xlsx]Cash Flow - Standardized!R42C16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2" s="4"/>
      </tp>
      <tp>
        <v>-22</v>
        <stp/>
        <stp>##V3_BDHV12</stp>
        <stp>AMZN US Equity</stp>
        <stp>PROC_FR_REPAYMNTS_BOR_DETAILED</stp>
        <stp>FQ1 2011</stp>
        <stp>FQ1 2011</stp>
        <stp>[AMZ_2009-2018.xlsx]Cash Flow - Standardized!R42C11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2" s="4"/>
      </tp>
      <tp>
        <v>-592</v>
        <stp/>
        <stp>##V3_BDHV12</stp>
        <stp>AMZN US Equity</stp>
        <stp>PROC_FR_REPAYMNTS_BOR_DETAILED</stp>
        <stp>FQ4 2016</stp>
        <stp>FQ4 2016</stp>
        <stp>[AMZ_2009-2018.xlsx]Cash Flow - Standardized!R42C34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2" s="4"/>
      </tp>
      <tp>
        <v>5605</v>
        <stp/>
        <stp>##V3_BDHV12</stp>
        <stp>AMZN US Equity</stp>
        <stp>BS_ACCT_PAYABLE</stp>
        <stp>FQ4 2009</stp>
        <stp>FQ4 2009</stp>
        <stp>[AMZ_2009-2018.xlsx]Bal Sheet - Standardized!R39C6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9" s="3"/>
      </tp>
      <tp>
        <v>0</v>
        <stp/>
        <stp>##V3_BDHV12</stp>
        <stp>AMZN US Equity</stp>
        <stp>CF_CASH_FOR_JOINT_VENTURES_ASSOC</stp>
        <stp>FQ1 2012</stp>
        <stp>FQ1 2012</stp>
        <stp>[AMZ_2009-2018.xlsx]Cash Flow - Standardized!R35C15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5" s="4"/>
      </tp>
      <tp>
        <v>0</v>
        <stp/>
        <stp>##V3_BDHV12</stp>
        <stp>AMZN US Equity</stp>
        <stp>CF_NET_CASH_DISCONTINUED_OPS_FIN</stp>
        <stp>FQ4 2015</stp>
        <stp>FQ4 2015</stp>
        <stp>[AMZ_2009-2018.xlsx]Cash Flow - Standardized!R50C30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0" s="4"/>
      </tp>
      <tp>
        <v>8990</v>
        <stp/>
        <stp>##V3_BDHV12</stp>
        <stp>AMZN US Equity</stp>
        <stp>BS_ACCT_PAYABLE</stp>
        <stp>FQ2 2013</stp>
        <stp>FQ2 2013</stp>
        <stp>[AMZ_2009-2018.xlsx]Bal Sheet - Standardized!R39C20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9" s="3"/>
      </tp>
      <tp>
        <v>0</v>
        <stp/>
        <stp>##V3_BDHV12</stp>
        <stp>AMZN US Equity</stp>
        <stp>OTHER_INTANGIBLE_ASSETS_DETAILED</stp>
        <stp>FQ2 2010</stp>
        <stp>FQ2 2010</stp>
        <stp>[AMZ_2009-2018.xlsx]Bal Sheet - Standardized!R30C8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0" s="3"/>
      </tp>
      <tp>
        <v>104</v>
        <stp/>
        <stp>##V3_BDHV12</stp>
        <stp>AMZN US Equity</stp>
        <stp>NON_CASH_ITEMS_DETAILED</stp>
        <stp>FQ2 2012</stp>
        <stp>FQ2 2012</stp>
        <stp>[AMZ_2009-2018.xlsx]Cash Flow - Standardized!R9C16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9" s="4"/>
      </tp>
      <tp>
        <v>0</v>
        <stp/>
        <stp>##V3_BDHV12</stp>
        <stp>AMZN US Equity</stp>
        <stp>NON_CASH_ITEMS_DETAILED</stp>
        <stp>FQ1 2014</stp>
        <stp>FQ1 2014</stp>
        <stp>[AMZ_2009-2018.xlsx]Cash Flow - Standardized!R9C23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9" s="4"/>
      </tp>
      <tp>
        <v>6552</v>
        <stp/>
        <stp>##V3_BDHV12</stp>
        <stp>AMZN US Equity</stp>
        <stp>BS_ACCT_PAYABLE</stp>
        <stp>FQ3 2011</stp>
        <stp>FQ3 2011</stp>
        <stp>[AMZ_2009-2018.xlsx]Bal Sheet - Standardized!R39C13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9" s="3"/>
      </tp>
      <tp>
        <v>0</v>
        <stp/>
        <stp>##V3_BDHV12</stp>
        <stp>AMZN US Equity</stp>
        <stp>CF_CASH_FOR_JOINT_VENTURES_ASSOC</stp>
        <stp>FQ4 2015</stp>
        <stp>FQ4 2015</stp>
        <stp>[AMZ_2009-2018.xlsx]Cash Flow - Standardized!R35C30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5" s="4"/>
      </tp>
      <tp>
        <v>0</v>
        <stp/>
        <stp>##V3_BDHV12</stp>
        <stp>AMZN US Equity</stp>
        <stp>CF_NET_CASH_DISCONTINUED_OPS_FIN</stp>
        <stp>FQ1 2012</stp>
        <stp>FQ1 2012</stp>
        <stp>[AMZ_2009-2018.xlsx]Cash Flow - Standardized!R50C15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0" s="4"/>
      </tp>
      <tp>
        <v>-716</v>
        <stp/>
        <stp>##V3_BDHV12</stp>
        <stp>AMZN US Equity</stp>
        <stp>CHG_IN_FXD_&amp;_INTANG_AST_DETAILED</stp>
        <stp>FQ3 2012</stp>
        <stp>FQ3 2012</stp>
        <stp>[AMZ_2009-2018.xlsx]Cash Flow - Standardized!R22C17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2" s="4"/>
      </tp>
      <tp>
        <v>519</v>
        <stp/>
        <stp>##V3_BDHV12</stp>
        <stp>AMZN US Equity</stp>
        <stp>NON_CASH_ITEMS_DETAILED</stp>
        <stp>FQ1 2015</stp>
        <stp>FQ1 2015</stp>
        <stp>[AMZ_2009-2018.xlsx]Cash Flow - Standardized!R9C27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9" s="4"/>
      </tp>
      <tp>
        <v>0</v>
        <stp/>
        <stp>##V3_BDHV12</stp>
        <stp>AMZN US Equity</stp>
        <stp>CF_CASH_FOR_JOINT_VENTURES_ASSOC</stp>
        <stp>FQ2 2011</stp>
        <stp>FQ2 2011</stp>
        <stp>[AMZ_2009-2018.xlsx]Cash Flow - Standardized!R35C12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5" s="4"/>
      </tp>
      <tp>
        <v>0</v>
        <stp/>
        <stp>##V3_BDHV12</stp>
        <stp>AMZN US Equity</stp>
        <stp>OTHER_INTANGIBLE_ASSETS_DETAILED</stp>
        <stp>FQ3 2009</stp>
        <stp>FQ3 2009</stp>
        <stp>[AMZ_2009-2018.xlsx]Bal Sheet - Standardized!R30C5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0" s="3"/>
      </tp>
      <tp>
        <v>0</v>
        <stp/>
        <stp>##V3_BDHV12</stp>
        <stp>AMZN US Equity</stp>
        <stp>CF_CASH_FOR_JOINT_VENTURES_ASSOC</stp>
        <stp>FQ3 2013</stp>
        <stp>FQ3 2013</stp>
        <stp>[AMZ_2009-2018.xlsx]Cash Flow - Standardized!R35C21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5" s="4"/>
      </tp>
      <tp>
        <v>0</v>
        <stp/>
        <stp>##V3_BDHV12</stp>
        <stp>AMZN US Equity</stp>
        <stp>CF_CASH_FOR_JOINT_VENTURES_ASSOC</stp>
        <stp>FQ4 2014</stp>
        <stp>FQ4 2014</stp>
        <stp>[AMZ_2009-2018.xlsx]Cash Flow - Standardized!R35C26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5" s="4"/>
      </tp>
      <tp>
        <v>152</v>
        <stp/>
        <stp>##V3_BDHV12</stp>
        <stp>AMZN US Equity</stp>
        <stp>NON_CASH_ITEMS_DETAILED</stp>
        <stp>FQ2 2011</stp>
        <stp>FQ2 2011</stp>
        <stp>[AMZ_2009-2018.xlsx]Cash Flow - Standardized!R9C12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9" s="4"/>
      </tp>
      <tp>
        <v>0</v>
        <stp/>
        <stp>##V3_BDHV12</stp>
        <stp>AMZN US Equity</stp>
        <stp>CF_NET_CASH_DISCONTINUED_OPS_FIN</stp>
        <stp>FQ2 2011</stp>
        <stp>FQ2 2011</stp>
        <stp>[AMZ_2009-2018.xlsx]Cash Flow - Standardized!R50C12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0" s="4"/>
      </tp>
      <tp>
        <v>0</v>
        <stp/>
        <stp>##V3_BDHV12</stp>
        <stp>AMZN US Equity</stp>
        <stp>CF_NET_CASH_DISCONTINUED_OPS_FIN</stp>
        <stp>FQ3 2013</stp>
        <stp>FQ3 2013</stp>
        <stp>[AMZ_2009-2018.xlsx]Cash Flow - Standardized!R50C21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0" s="4"/>
      </tp>
      <tp>
        <v>0</v>
        <stp/>
        <stp>##V3_BDHV12</stp>
        <stp>AMZN US Equity</stp>
        <stp>CF_NET_CASH_DISCONTINUED_OPS_FIN</stp>
        <stp>FQ4 2014</stp>
        <stp>FQ4 2014</stp>
        <stp>[AMZ_2009-2018.xlsx]Cash Flow - Standardized!R50C26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0" s="4"/>
      </tp>
      <tp>
        <v>-0.1212</v>
        <stp/>
        <stp>##V3_BDHV12</stp>
        <stp>AMZN US Equity</stp>
        <stp>IS_DIL_EPS_CONT_OPS</stp>
        <stp>FQ1 2015</stp>
        <stp>FQ1 2015</stp>
        <stp>[AMZ_2009-2018.xlsx]Income - Adjusted!R57C27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57" s="2"/>
      </tp>
      <tp t="s">
        <v>—</v>
        <stp/>
        <stp>##V3_BDHV12</stp>
        <stp>AMZN US Equity</stp>
        <stp>BS_TOTAL_CAPITAL_LEASES</stp>
        <stp>FQ2 2012</stp>
        <stp>FQ2 2012</stp>
        <stp>[AMZ_2009-2018.xlsx]Bal Sheet - Standardized!R82C16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82" s="3"/>
      </tp>
      <tp>
        <v>-3036</v>
        <stp/>
        <stp>##V3_BDHV12</stp>
        <stp>AMZN US Equity</stp>
        <stp>CHG_IN_FXD_&amp;_INTANG_AST_DETAILED</stp>
        <stp>FQ4 2017</stp>
        <stp>FQ4 2017</stp>
        <stp>[AMZ_2009-2018.xlsx]Cash Flow - Standardized!R22C38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2" s="4"/>
      </tp>
      <tp>
        <v>-1095</v>
        <stp/>
        <stp>##V3_BDHV12</stp>
        <stp>AMZN US Equity</stp>
        <stp>CF_CHANGE_IN_INVENTORIES</stp>
        <stp>FQ3 2016</stp>
        <stp>FQ3 2016</stp>
        <stp>[AMZ_2009-2018.xlsx]Cash Flow - Standardized!R15C33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5" s="4"/>
      </tp>
      <tp>
        <v>0</v>
        <stp/>
        <stp>##V3_BDHV12</stp>
        <stp>AMZN US Equity</stp>
        <stp>CF_CASH_FOR_DIVESTITURES</stp>
        <stp>FQ3 2016</stp>
        <stp>FQ3 2016</stp>
        <stp>[AMZ_2009-2018.xlsx]Cash Flow - Standardized!R33C33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3" s="4"/>
      </tp>
      <tp>
        <v>0</v>
        <stp/>
        <stp>##V3_BDHV12</stp>
        <stp>AMZN US Equity</stp>
        <stp>CF_NET_CASH_DISCONTINUED_OPS_INV</stp>
        <stp>FQ4 2015</stp>
        <stp>FQ4 2015</stp>
        <stp>[AMZ_2009-2018.xlsx]Cash Flow - Standardized!R37C30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7" s="4"/>
      </tp>
      <tp>
        <v>8916</v>
        <stp/>
        <stp>##V3_BDHV12</stp>
        <stp>AMZN US Equity</stp>
        <stp>BS_ACCT_PAYABLE</stp>
        <stp>FQ1 2013</stp>
        <stp>FQ1 2013</stp>
        <stp>[AMZ_2009-2018.xlsx]Bal Sheet - Standardized!R39C19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9" s="3"/>
      </tp>
      <tp>
        <v>0.52</v>
        <stp/>
        <stp>##V3_BDHV12</stp>
        <stp>AMZN US Equity</stp>
        <stp>IS_DIL_EPS_CONT_OPS</stp>
        <stp>FQ3 2017</stp>
        <stp>FQ3 2017</stp>
        <stp>[AMZ_2009-2018.xlsx]Income - Adjusted!R57C37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57" s="2"/>
      </tp>
      <tp>
        <v>-0.28539999999999999</v>
        <stp/>
        <stp>##V3_BDHV12</stp>
        <stp>AMZN US Equity</stp>
        <stp>IS_DIL_EPS_CONT_OPS</stp>
        <stp>FQ3 2012</stp>
        <stp>FQ3 2012</stp>
        <stp>[AMZ_2009-2018.xlsx]Income - Adjusted!R57C17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57" s="2"/>
      </tp>
      <tp>
        <v>0</v>
        <stp/>
        <stp>##V3_BDHV12</stp>
        <stp>AMZN US Equity</stp>
        <stp>CF_NET_CASH_DISCONTINUED_OPS_INV</stp>
        <stp>FQ1 2012</stp>
        <stp>FQ1 2012</stp>
        <stp>[AMZ_2009-2018.xlsx]Cash Flow - Standardized!R37C15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7" s="4"/>
      </tp>
      <tp t="s">
        <v>—</v>
        <stp/>
        <stp>##V3_BDHV12</stp>
        <stp>AMZN US Equity</stp>
        <stp>BS_TOTAL_CAPITAL_LEASES</stp>
        <stp>FQ1 2011</stp>
        <stp>FQ1 2011</stp>
        <stp>[AMZ_2009-2018.xlsx]Bal Sheet - Standardized!R82C11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82" s="3"/>
      </tp>
      <tp>
        <v>-682</v>
        <stp/>
        <stp>##V3_BDHV12</stp>
        <stp>AMZN US Equity</stp>
        <stp>CF_CHANGE_IN_INVENTORIES</stp>
        <stp>FQ2 2017</stp>
        <stp>FQ2 2017</stp>
        <stp>[AMZ_2009-2018.xlsx]Cash Flow - Standardized!R15C36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5" s="4"/>
      </tp>
      <tp>
        <v>0</v>
        <stp/>
        <stp>##V3_BDHV12</stp>
        <stp>AMZN US Equity</stp>
        <stp>CF_CASH_FOR_DIVESTITURES</stp>
        <stp>FQ2 2017</stp>
        <stp>FQ2 2017</stp>
        <stp>[AMZ_2009-2018.xlsx]Cash Flow - Standardized!R33C36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3" s="4"/>
      </tp>
      <tp>
        <v>0</v>
        <stp/>
        <stp>##V3_BDHV12</stp>
        <stp>AMZN US Equity</stp>
        <stp>CF_CASH_FOR_DIVESTITURES</stp>
        <stp>FQ1 2015</stp>
        <stp>FQ1 2015</stp>
        <stp>[AMZ_2009-2018.xlsx]Cash Flow - Standardized!R33C27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3" s="4"/>
      </tp>
      <tp>
        <v>0</v>
        <stp/>
        <stp>##V3_BDHV12</stp>
        <stp>AMZN US Equity</stp>
        <stp>CF_NET_CASH_DISCONTINUED_OPS_INV</stp>
        <stp>FQ3 2013</stp>
        <stp>FQ3 2013</stp>
        <stp>[AMZ_2009-2018.xlsx]Cash Flow - Standardized!R37C21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7" s="4"/>
      </tp>
      <tp>
        <v>0</v>
        <stp/>
        <stp>##V3_BDHV12</stp>
        <stp>AMZN US Equity</stp>
        <stp>CF_NET_CASH_DISCONTINUED_OPS_INV</stp>
        <stp>FQ4 2014</stp>
        <stp>FQ4 2014</stp>
        <stp>[AMZ_2009-2018.xlsx]Cash Flow - Standardized!R37C26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7" s="4"/>
      </tp>
      <tp>
        <v>11660</v>
        <stp/>
        <stp>##V3_BDHV12</stp>
        <stp>AMZN US Equity</stp>
        <stp>BS_TOTAL_CAPITAL_LEASES</stp>
        <stp>FQ4 2016</stp>
        <stp>FQ4 2016</stp>
        <stp>[AMZ_2009-2018.xlsx]Bal Sheet - Standardized!R82C34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82" s="3"/>
      </tp>
      <tp>
        <v>0</v>
        <stp/>
        <stp>##V3_BDHV12</stp>
        <stp>AMZN US Equity</stp>
        <stp>CF_NET_CASH_DISCONTINUED_OPS_INV</stp>
        <stp>FQ2 2011</stp>
        <stp>FQ2 2011</stp>
        <stp>[AMZ_2009-2018.xlsx]Cash Flow - Standardized!R37C12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7" s="4"/>
      </tp>
      <tp>
        <v>721</v>
        <stp/>
        <stp>##V3_BDHV12</stp>
        <stp>AMZN US Equity</stp>
        <stp>CF_CHANGE_IN_INVENTORIES</stp>
        <stp>FQ1 2015</stp>
        <stp>FQ1 2015</stp>
        <stp>[AMZ_2009-2018.xlsx]Cash Flow - Standardized!R15C27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5" s="4"/>
      </tp>
      <tp>
        <v>-300</v>
        <stp/>
        <stp>##V3_BDHV12</stp>
        <stp>AMZN US Equity</stp>
        <stp>INC_DEC_IN_OT_OP_AST_LIAB_DETAIL</stp>
        <stp>FQ1 2015</stp>
        <stp>FQ1 2015</stp>
        <stp>[AMZ_2009-2018.xlsx]Cash Flow - Standardized!R17C27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7" s="4"/>
      </tp>
      <tp>
        <v>-639</v>
        <stp/>
        <stp>##V3_BDHV12</stp>
        <stp>AMZN US Equity</stp>
        <stp>INC_DEC_IN_OT_OP_AST_LIAB_DETAIL</stp>
        <stp>FQ2 2017</stp>
        <stp>FQ2 2017</stp>
        <stp>[AMZ_2009-2018.xlsx]Cash Flow - Standardized!R17C36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7" s="4"/>
      </tp>
      <tp>
        <v>142</v>
        <stp/>
        <stp>##V3_BDHV12</stp>
        <stp>AMZN US Equity</stp>
        <stp>IS_INC_BEF_XO_ITEM</stp>
        <stp>FQ2 2009</stp>
        <stp>FQ2 2009</stp>
        <stp>[AMZ_2009-2018.xlsx]Income - Adjusted!R34C4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4" s="2"/>
      </tp>
      <tp>
        <v>5</v>
        <stp/>
        <stp>##V3_BDHV12</stp>
        <stp>AMZN US Equity</stp>
        <stp>BS_COMMON_STOCK</stp>
        <stp>FQ3 2015</stp>
        <stp>FQ3 2015</stp>
        <stp>[AMZ_2009-2018.xlsx]Bal Sheet - Standardized!R66C29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6" s="3"/>
      </tp>
      <tp>
        <v>0</v>
        <stp/>
        <stp>##V3_BDHV12</stp>
        <stp>AMZN US Equity</stp>
        <stp>IS_DISCONTINUED_OPERATIONS</stp>
        <stp>FQ1 2010</stp>
        <stp>FQ1 2010</stp>
        <stp>[AMZ_2009-2018.xlsx]Income - Adjusted!R36C7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6" s="2"/>
      </tp>
      <tp>
        <v>846</v>
        <stp/>
        <stp>##V3_BDHV12</stp>
        <stp>AMZN US Equity</stp>
        <stp>INC_DEC_IN_OT_OP_AST_LIAB_DETAIL</stp>
        <stp>FQ3 2016</stp>
        <stp>FQ3 2016</stp>
        <stp>[AMZ_2009-2018.xlsx]Cash Flow - Standardized!R17C33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7" s="4"/>
      </tp>
      <tp>
        <v>5</v>
        <stp/>
        <stp>##V3_BDHV12</stp>
        <stp>AMZN US Equity</stp>
        <stp>BS_COMMON_STOCK</stp>
        <stp>FQ2 2014</stp>
        <stp>FQ2 2014</stp>
        <stp>[AMZ_2009-2018.xlsx]Bal Sheet - Standardized!R66C24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6" s="3"/>
      </tp>
      <tp>
        <v>229</v>
        <stp/>
        <stp>##V3_BDHV12</stp>
        <stp>AMZN US Equity</stp>
        <stp>IS_INC_TAX_EXP</stp>
        <stp>FQ1 2017</stp>
        <stp>FQ1 2017</stp>
        <stp>[AMZ_2009-2018.xlsx]Income - Adjusted!R32C35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32" s="2"/>
      </tp>
      <tp>
        <v>43</v>
        <stp/>
        <stp>##V3_BDHV12</stp>
        <stp>AMZN US Equity</stp>
        <stp>IS_INC_TAX_EXP</stp>
        <stp>FQ1 2012</stp>
        <stp>FQ1 2012</stp>
        <stp>[AMZ_2009-2018.xlsx]Income - Adjusted!R32C15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32" s="2"/>
      </tp>
      <tp>
        <v>-205</v>
        <stp/>
        <stp>##V3_BDHV12</stp>
        <stp>AMZN US Equity</stp>
        <stp>IS_INC_TAX_EXP</stp>
        <stp>FQ3 2014</stp>
        <stp>FQ3 2014</stp>
        <stp>[AMZ_2009-2018.xlsx]Income - Adjusted!R32C25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32" s="2"/>
      </tp>
      <tp>
        <v>5</v>
        <stp/>
        <stp>##V3_BDHV12</stp>
        <stp>AMZN US Equity</stp>
        <stp>BS_COMMON_STOCK</stp>
        <stp>FQ4 2011</stp>
        <stp>FQ4 2011</stp>
        <stp>[AMZ_2009-2018.xlsx]Bal Sheet - Standardized!R66C14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6" s="3"/>
      </tp>
      <tp>
        <v>5</v>
        <stp/>
        <stp>##V3_BDHV12</stp>
        <stp>AMZN US Equity</stp>
        <stp>BS_COMMON_STOCK</stp>
        <stp>FQ1 2016</stp>
        <stp>FQ1 2016</stp>
        <stp>[AMZ_2009-2018.xlsx]Bal Sheet - Standardized!R66C31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6" s="3"/>
      </tp>
      <tp>
        <v>0</v>
        <stp/>
        <stp>##V3_BDHV12</stp>
        <stp>AMZN US Equity</stp>
        <stp>IS_TOT_CASH_COM_DVD</stp>
        <stp>FQ4 2013</stp>
        <stp>FQ4 2013</stp>
        <stp>[AMZ_2009-2018.xlsx]Income - Adjusted!R70C22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0" s="2"/>
      </tp>
      <tp>
        <v>0.2</v>
        <stp/>
        <stp>##V3_BDHV12</stp>
        <stp>AMZN US Equity</stp>
        <stp>IS_EARN_BEF_XO_ITEMS_PER_SH</stp>
        <stp>FQ2 2015</stp>
        <stp>FQ2 2015</stp>
        <stp>[AMZ_2009-2018.xlsx]Per Share!R15C28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15" s="5"/>
      </tp>
      <tp>
        <v>0</v>
        <stp/>
        <stp>##V3_BDHV12</stp>
        <stp>AMZN US Equity</stp>
        <stp>IS_TOT_CASH_COM_DVD</stp>
        <stp>FQ4 2010</stp>
        <stp>FQ4 2010</stp>
        <stp>[AMZ_2009-2018.xlsx]Income - Adjusted!R70C10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0" s="2"/>
      </tp>
      <tp>
        <v>0</v>
        <stp/>
        <stp>##V3_BDHV12</stp>
        <stp>AMZN US Equity</stp>
        <stp>IS_TOT_CASH_COM_DVD</stp>
        <stp>FQ2 2013</stp>
        <stp>FQ2 2013</stp>
        <stp>[AMZ_2009-2018.xlsx]Income - Adjusted!R70C20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0" s="2"/>
      </tp>
      <tp>
        <v>0</v>
        <stp/>
        <stp>##V3_BDHV12</stp>
        <stp>AMZN US Equity</stp>
        <stp>IS_TOT_CASH_COM_DVD</stp>
        <stp>FQ3 2013</stp>
        <stp>FQ3 2013</stp>
        <stp>[AMZ_2009-2018.xlsx]Income - Adjusted!R70C21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0" s="2"/>
      </tp>
      <tp>
        <v>3.85</v>
        <stp/>
        <stp>##V3_BDHV12</stp>
        <stp>AMZN US Equity</stp>
        <stp>IS_EARN_BEF_XO_ITEMS_PER_SH</stp>
        <stp>FQ4 2017</stp>
        <stp>FQ4 2017</stp>
        <stp>[AMZ_2009-2018.xlsx]Per Share!R15C38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15" s="5"/>
      </tp>
      <tp>
        <v>0.21</v>
        <stp/>
        <stp>##V3_BDHV12</stp>
        <stp>AMZN US Equity</stp>
        <stp>IS_EARN_BEF_XO_ITEMS_PER_SH</stp>
        <stp>FQ4 2012</stp>
        <stp>FQ4 2012</stp>
        <stp>[AMZ_2009-2018.xlsx]Per Share!R15C18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15" s="5"/>
      </tp>
      <tp>
        <v>6215</v>
        <stp/>
        <stp>##V3_BDHV12</stp>
        <stp>AMZN US Equity</stp>
        <stp>BS_ADD_PAID_IN_CAP</stp>
        <stp>FQ3 2010</stp>
        <stp>FQ3 2010</stp>
        <stp>[AMZ_2009-2018.xlsx]Bal Sheet - Standardized!R67C9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7" s="3"/>
      </tp>
      <tp>
        <v>15</v>
        <stp/>
        <stp>##V3_BDHV12</stp>
        <stp>AMZN US Equity</stp>
        <stp>IS_SH_PRO_EQY_MT_INV_NET_OF_TAX</stp>
        <stp>FQ2 2016</stp>
        <stp>FQ2 2016</stp>
        <stp>[AMZ_2009-2018.xlsx]Income - Adjusted!R33C32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33" s="2"/>
      </tp>
      <tp>
        <v>-15</v>
        <stp/>
        <stp>##V3_BDHV12</stp>
        <stp>AMZN US Equity</stp>
        <stp>IS_SH_PRO_EQY_MT_INV_NET_OF_TAX</stp>
        <stp>FQ2 2011</stp>
        <stp>FQ2 2011</stp>
        <stp>[AMZ_2009-2018.xlsx]Income - Adjusted!R33C12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33" s="2"/>
      </tp>
      <tp>
        <v>4321</v>
        <stp/>
        <stp>##V3_BDHV12</stp>
        <stp>AMZN US Equity</stp>
        <stp>BS_ADD_PAID_IN_CAP</stp>
        <stp>FQ2 2009</stp>
        <stp>FQ2 2009</stp>
        <stp>[AMZ_2009-2018.xlsx]Bal Sheet - Standardized!R67C4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7" s="3"/>
      </tp>
      <tp>
        <v>33</v>
        <stp/>
        <stp>##V3_BDHV12</stp>
        <stp>AMZN US Equity</stp>
        <stp>IS_SH_PRO_EQY_MT_INV_NET_OF_TAX</stp>
        <stp>FQ4 2013</stp>
        <stp>FQ4 2013</stp>
        <stp>[AMZ_2009-2018.xlsx]Income - Adjusted!R33C22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33" s="2"/>
      </tp>
      <tp>
        <v>2229</v>
        <stp/>
        <stp>##V3_BDHV12</stp>
        <stp>AMZN US Equity</stp>
        <stp>IS_SELLING_EXPENSES</stp>
        <stp>FQ2 2017</stp>
        <stp>FQ2 2017</stp>
        <stp>[AMZ_2009-2018.xlsx]Income - Adjusted!R14C36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4" s="2"/>
      </tp>
      <tp>
        <v>537</v>
        <stp/>
        <stp>##V3_BDHV12</stp>
        <stp>AMZN US Equity</stp>
        <stp>IS_SELLING_EXPENSES</stp>
        <stp>FQ2 2012</stp>
        <stp>FQ2 2012</stp>
        <stp>[AMZ_2009-2018.xlsx]Income - Adjusted!R14C16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4" s="2"/>
      </tp>
      <tp>
        <v>1526</v>
        <stp/>
        <stp>##V3_BDHV12</stp>
        <stp>AMZN US Equity</stp>
        <stp>IS_SELLING_EXPENSES</stp>
        <stp>FQ4 2014</stp>
        <stp>FQ4 2014</stp>
        <stp>[AMZ_2009-2018.xlsx]Income - Adjusted!R14C26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4" s="2"/>
      </tp>
      <tp>
        <v>0</v>
        <stp/>
        <stp>##V3_BDHV12</stp>
        <stp>AMZN US Equity</stp>
        <stp>MIN_NONCONTROL_INTEREST_CREDITS</stp>
        <stp>FQ4 2013</stp>
        <stp>FQ4 2013</stp>
        <stp>[AMZ_2009-2018.xlsx]Income - Adjusted!R39C22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39" s="2"/>
      </tp>
      <tp>
        <v>0</v>
        <stp/>
        <stp>##V3_BDHV12</stp>
        <stp>AMZN US Equity</stp>
        <stp>MIN_NONCONTROL_INTEREST_CREDITS</stp>
        <stp>FQ2 2011</stp>
        <stp>FQ2 2011</stp>
        <stp>[AMZ_2009-2018.xlsx]Income - Adjusted!R39C12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39" s="2"/>
      </tp>
      <tp>
        <v>0</v>
        <stp/>
        <stp>##V3_BDHV12</stp>
        <stp>AMZN US Equity</stp>
        <stp>MIN_NONCONTROL_INTEREST_CREDITS</stp>
        <stp>FQ2 2016</stp>
        <stp>FQ2 2016</stp>
        <stp>[AMZ_2009-2018.xlsx]Income - Adjusted!R39C32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39" s="2"/>
      </tp>
      <tp>
        <v>0.57140000000000002</v>
        <stp/>
        <stp>##V3_BDHV12</stp>
        <stp>AMZN US Equity</stp>
        <stp>OPER_INC_PER_SH</stp>
        <stp>FQ4 2011</stp>
        <stp>FQ4 2011</stp>
        <stp>[AMZ_2009-2018.xlsx]Per Share!R13C14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13" s="5"/>
      </tp>
      <tp>
        <v>1.0532999999999999</v>
        <stp/>
        <stp>##V3_BDHV12</stp>
        <stp>AMZN US Equity</stp>
        <stp>OPER_INC_PER_SH</stp>
        <stp>FQ4 2010</stp>
        <stp>FQ4 2010</stp>
        <stp>[AMZ_2009-2018.xlsx]Per Share!R13C10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13" s="5"/>
      </tp>
      <tp>
        <v>1.1134999999999999</v>
        <stp/>
        <stp>##V3_BDHV12</stp>
        <stp>AMZN US Equity</stp>
        <stp>OPER_INC_PER_SH</stp>
        <stp>FQ4 2013</stp>
        <stp>FQ4 2013</stp>
        <stp>[AMZ_2009-2018.xlsx]Per Share!R13C22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13" s="5"/>
      </tp>
      <tp>
        <v>0.8921</v>
        <stp/>
        <stp>##V3_BDHV12</stp>
        <stp>AMZN US Equity</stp>
        <stp>OPER_INC_PER_SH</stp>
        <stp>FQ4 2012</stp>
        <stp>FQ4 2012</stp>
        <stp>[AMZ_2009-2018.xlsx]Per Share!R13C18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13" s="5"/>
      </tp>
      <tp>
        <v>2.3574000000000002</v>
        <stp/>
        <stp>##V3_BDHV12</stp>
        <stp>AMZN US Equity</stp>
        <stp>OPER_INC_PER_SH</stp>
        <stp>FQ4 2015</stp>
        <stp>FQ4 2015</stp>
        <stp>[AMZ_2009-2018.xlsx]Per Share!R13C30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13" s="5"/>
      </tp>
      <tp>
        <v>1.2737000000000001</v>
        <stp/>
        <stp>##V3_BDHV12</stp>
        <stp>AMZN US Equity</stp>
        <stp>OPER_INC_PER_SH</stp>
        <stp>FQ4 2014</stp>
        <stp>FQ4 2014</stp>
        <stp>[AMZ_2009-2018.xlsx]Per Share!R13C26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13" s="5"/>
      </tp>
      <tp>
        <v>4.4036999999999997</v>
        <stp/>
        <stp>##V3_BDHV12</stp>
        <stp>AMZN US Equity</stp>
        <stp>OPER_INC_PER_SH</stp>
        <stp>FQ4 2017</stp>
        <stp>FQ4 2017</stp>
        <stp>[AMZ_2009-2018.xlsx]Per Share!R13C38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13" s="5"/>
      </tp>
      <tp>
        <v>2.6366000000000001</v>
        <stp/>
        <stp>##V3_BDHV12</stp>
        <stp>AMZN US Equity</stp>
        <stp>OPER_INC_PER_SH</stp>
        <stp>FQ4 2016</stp>
        <stp>FQ4 2016</stp>
        <stp>[AMZ_2009-2018.xlsx]Per Share!R13C34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13" s="5"/>
      </tp>
      <tp>
        <v>0.46</v>
        <stp/>
        <stp>##V3_BDHV12</stp>
        <stp>AMZN US Equity</stp>
        <stp>IS_BASIC_EPS_CONT_OPS</stp>
        <stp>FQ2 2010</stp>
        <stp>FQ2 2010</stp>
        <stp>[AMZ_2009-2018.xlsx]Income - Adjusted!R52C8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52" s="2"/>
      </tp>
      <tp>
        <v>-1597</v>
        <stp/>
        <stp>##V3_BDHV12</stp>
        <stp>AMZN US Equity</stp>
        <stp>PROC_FR_REPAYMNTS_BOR_DETAILED</stp>
        <stp>FQ4 2015</stp>
        <stp>FQ4 2015</stp>
        <stp>[AMZ_2009-2018.xlsx]Cash Flow - Standardized!R42C30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2" s="4"/>
      </tp>
      <tp>
        <v>-85</v>
        <stp/>
        <stp>##V3_BDHV12</stp>
        <stp>AMZN US Equity</stp>
        <stp>PROC_FR_REPAYMNTS_BOR_DETAILED</stp>
        <stp>FQ1 2012</stp>
        <stp>FQ1 2012</stp>
        <stp>[AMZ_2009-2018.xlsx]Cash Flow - Standardized!R42C15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2" s="4"/>
      </tp>
      <tp>
        <v>-106</v>
        <stp/>
        <stp>##V3_BDHV12</stp>
        <stp>AMZN US Equity</stp>
        <stp>PROC_FR_REPAYMNTS_BOR_DETAILED</stp>
        <stp>FQ2 2011</stp>
        <stp>FQ2 2011</stp>
        <stp>[AMZ_2009-2018.xlsx]Cash Flow - Standardized!R42C12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2" s="4"/>
      </tp>
      <tp>
        <v>-230</v>
        <stp/>
        <stp>##V3_BDHV12</stp>
        <stp>AMZN US Equity</stp>
        <stp>PROC_FR_REPAYMNTS_BOR_DETAILED</stp>
        <stp>FQ3 2013</stp>
        <stp>FQ3 2013</stp>
        <stp>[AMZ_2009-2018.xlsx]Cash Flow - Standardized!R42C21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2" s="4"/>
      </tp>
      <tp>
        <v>5324</v>
        <stp/>
        <stp>##V3_BDHV12</stp>
        <stp>AMZN US Equity</stp>
        <stp>PROC_FR_REPAYMNTS_BOR_DETAILED</stp>
        <stp>FQ4 2014</stp>
        <stp>FQ4 2014</stp>
        <stp>[AMZ_2009-2018.xlsx]Cash Flow - Standardized!R42C26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2" s="4"/>
      </tp>
      <tp>
        <v>-27</v>
        <stp/>
        <stp>##V3_BDHV12</stp>
        <stp>AMZN US Equity</stp>
        <stp>CF_CHANGE_IN_INVENTORIES</stp>
        <stp>FQ2 2015</stp>
        <stp>FQ2 2015</stp>
        <stp>[AMZ_2009-2018.xlsx]Cash Flow - Standardized!R15C28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5" s="4"/>
      </tp>
      <tp>
        <v>141</v>
        <stp/>
        <stp>##V3_BDHV12</stp>
        <stp>AMZN US Equity</stp>
        <stp>NON_CASH_ITEMS_DETAILED</stp>
        <stp>FQ1 2012</stp>
        <stp>FQ1 2012</stp>
        <stp>[AMZ_2009-2018.xlsx]Cash Flow - Standardized!R9C15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9" s="4"/>
      </tp>
      <tp>
        <v>703</v>
        <stp/>
        <stp>##V3_BDHV12</stp>
        <stp>AMZN US Equity</stp>
        <stp>NON_CASH_ITEMS_DETAILED</stp>
        <stp>FQ3 2016</stp>
        <stp>FQ3 2016</stp>
        <stp>[AMZ_2009-2018.xlsx]Cash Flow - Standardized!R9C33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9" s="4"/>
      </tp>
      <tp>
        <v>0</v>
        <stp/>
        <stp>##V3_BDHV12</stp>
        <stp>AMZN US Equity</stp>
        <stp>CF_CASH_FOR_DIVESTITURES</stp>
        <stp>FQ2 2015</stp>
        <stp>FQ2 2015</stp>
        <stp>[AMZ_2009-2018.xlsx]Cash Flow - Standardized!R33C28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3" s="4"/>
      </tp>
      <tp>
        <v>0</v>
        <stp/>
        <stp>##V3_BDHV12</stp>
        <stp>AMZN US Equity</stp>
        <stp>CF_NET_CASH_DISCONTINUED_OPS_FIN</stp>
        <stp>FQ2 2012</stp>
        <stp>FQ2 2012</stp>
        <stp>[AMZ_2009-2018.xlsx]Cash Flow - Standardized!R50C16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0" s="4"/>
      </tp>
      <tp>
        <v>0</v>
        <stp/>
        <stp>##V3_BDHV12</stp>
        <stp>AMZN US Equity</stp>
        <stp>CF_CASH_FOR_JOINT_VENTURES_ASSOC</stp>
        <stp>FQ2 2012</stp>
        <stp>FQ2 2012</stp>
        <stp>[AMZ_2009-2018.xlsx]Cash Flow - Standardized!R35C16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5" s="4"/>
      </tp>
      <tp>
        <v>926</v>
        <stp/>
        <stp>##V3_BDHV12</stp>
        <stp>AMZN US Equity</stp>
        <stp>NON_CASH_ITEMS_DETAILED</stp>
        <stp>FQ3 2017</stp>
        <stp>FQ3 2017</stp>
        <stp>[AMZ_2009-2018.xlsx]Cash Flow - Standardized!R9C37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9" s="4"/>
      </tp>
      <tp>
        <v>-855</v>
        <stp/>
        <stp>##V3_BDHV12</stp>
        <stp>AMZN US Equity</stp>
        <stp>CHG_IN_FXD_&amp;_INTANG_AST_DETAILED</stp>
        <stp>FQ2 2013</stp>
        <stp>FQ2 2013</stp>
        <stp>[AMZ_2009-2018.xlsx]Cash Flow - Standardized!R22C20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2" s="4"/>
      </tp>
      <tp>
        <v>361</v>
        <stp/>
        <stp>##V3_BDHV12</stp>
        <stp>AMZN US Equity</stp>
        <stp>NON_CASH_ITEMS_DETAILED</stp>
        <stp>FQ2 2014</stp>
        <stp>FQ2 2014</stp>
        <stp>[AMZ_2009-2018.xlsx]Cash Flow - Standardized!R9C24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9" s="4"/>
      </tp>
      <tp>
        <v>0</v>
        <stp/>
        <stp>##V3_BDHV12</stp>
        <stp>AMZN US Equity</stp>
        <stp>CF_CASH_FOR_JOINT_VENTURES_ASSOC</stp>
        <stp>FQ4 2016</stp>
        <stp>FQ4 2016</stp>
        <stp>[AMZ_2009-2018.xlsx]Cash Flow - Standardized!R35C34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5" s="4"/>
      </tp>
      <tp>
        <v>0</v>
        <stp/>
        <stp>##V3_BDHV12</stp>
        <stp>AMZN US Equity</stp>
        <stp>CF_NET_CASH_DISCONTINUED_OPS_FIN</stp>
        <stp>FQ1 2011</stp>
        <stp>FQ1 2011</stp>
        <stp>[AMZ_2009-2018.xlsx]Cash Flow - Standardized!R50C11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0" s="4"/>
      </tp>
      <tp>
        <v>-529</v>
        <stp/>
        <stp>##V3_BDHV12</stp>
        <stp>AMZN US Equity</stp>
        <stp>CHG_IN_FXD_&amp;_INTANG_AST_DETAILED</stp>
        <stp>FQ3 2011</stp>
        <stp>FQ3 2011</stp>
        <stp>[AMZ_2009-2018.xlsx]Cash Flow - Standardized!R22C13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2" s="4"/>
      </tp>
      <tp>
        <v>151</v>
        <stp/>
        <stp>##V3_BDHV12</stp>
        <stp>AMZN US Equity</stp>
        <stp>NON_CASH_ITEMS_DETAILED</stp>
        <stp>FQ1 2011</stp>
        <stp>FQ1 2011</stp>
        <stp>[AMZ_2009-2018.xlsx]Cash Flow - Standardized!R9C11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9" s="4"/>
      </tp>
      <tp>
        <v>393</v>
        <stp/>
        <stp>##V3_BDHV12</stp>
        <stp>AMZN US Equity</stp>
        <stp>NON_CASH_ITEMS_DETAILED</stp>
        <stp>FQ2 2013</stp>
        <stp>FQ2 2013</stp>
        <stp>[AMZ_2009-2018.xlsx]Cash Flow - Standardized!R9C20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9" s="4"/>
      </tp>
      <tp>
        <v>8369</v>
        <stp/>
        <stp>##V3_BDHV12</stp>
        <stp>AMZN US Equity</stp>
        <stp>BS_ACCT_PAYABLE</stp>
        <stp>FQ3 2012</stp>
        <stp>FQ3 2012</stp>
        <stp>[AMZ_2009-2018.xlsx]Bal Sheet - Standardized!R39C17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9" s="3"/>
      </tp>
      <tp>
        <v>0</v>
        <stp/>
        <stp>##V3_BDHV12</stp>
        <stp>AMZN US Equity</stp>
        <stp>CF_CASH_FOR_JOINT_VENTURES_ASSOC</stp>
        <stp>FQ1 2011</stp>
        <stp>FQ1 2011</stp>
        <stp>[AMZ_2009-2018.xlsx]Cash Flow - Standardized!R35C11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5" s="4"/>
      </tp>
      <tp>
        <v>0</v>
        <stp/>
        <stp>##V3_BDHV12</stp>
        <stp>AMZN US Equity</stp>
        <stp>CF_NET_CASH_DISCONTINUED_OPS_FIN</stp>
        <stp>FQ4 2016</stp>
        <stp>FQ4 2016</stp>
        <stp>[AMZ_2009-2018.xlsx]Cash Flow - Standardized!R50C34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0" s="4"/>
      </tp>
      <tp>
        <v>486</v>
        <stp/>
        <stp>##V3_BDHV12</stp>
        <stp>AMZN US Equity</stp>
        <stp>NON_CASH_ITEMS_DETAILED</stp>
        <stp>FQ2 2015</stp>
        <stp>FQ2 2015</stp>
        <stp>[AMZ_2009-2018.xlsx]Cash Flow - Standardized!R9C28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9" s="4"/>
      </tp>
      <tp>
        <v>0</v>
        <stp/>
        <stp>##V3_BDHV12</stp>
        <stp>AMZN US Equity</stp>
        <stp>CF_NET_CASH_DISCONTINUED_OPS_INV</stp>
        <stp>FQ2 2012</stp>
        <stp>FQ2 2012</stp>
        <stp>[AMZ_2009-2018.xlsx]Cash Flow - Standardized!R37C16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7" s="4"/>
      </tp>
      <tp>
        <v>9074</v>
        <stp/>
        <stp>##V3_BDHV12</stp>
        <stp>AMZN US Equity</stp>
        <stp>BS_TOTAL_CAPITAL_LEASES</stp>
        <stp>FQ4 2015</stp>
        <stp>FQ4 2015</stp>
        <stp>[AMZ_2009-2018.xlsx]Bal Sheet - Standardized!R82C30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82" s="3"/>
      </tp>
      <tp>
        <v>363</v>
        <stp/>
        <stp>##V3_BDHV12</stp>
        <stp>AMZN US Equity</stp>
        <stp>PRETAX_INC</stp>
        <stp>FQ2 2015</stp>
        <stp>FQ2 2015</stp>
        <stp>[AMZ_2009-2018.xlsx]Income - Adjusted!R25C28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5" s="2"/>
      </tp>
      <tp>
        <v>25.556899999999999</v>
        <stp/>
        <stp>##V3_BDHV12</stp>
        <stp>AMZN US Equity</stp>
        <stp>CASH_FLOW_PER_SH</stp>
        <stp>FQ4 2017</stp>
        <stp>FQ4 2017</stp>
        <stp>[AMZ_2009-2018.xlsx]Per Share!R22C38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22" s="5"/>
      </tp>
      <tp>
        <v>11.191599999999999</v>
        <stp/>
        <stp>##V3_BDHV12</stp>
        <stp>AMZN US Equity</stp>
        <stp>CASH_FLOW_PER_SH</stp>
        <stp>FQ4 2012</stp>
        <stp>FQ4 2012</stp>
        <stp>[AMZ_2009-2018.xlsx]Per Share!R22C18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22" s="5"/>
      </tp>
      <tp>
        <v>2920</v>
        <stp/>
        <stp>##V3_BDHV12</stp>
        <stp>AMZN US Equity</stp>
        <stp>CF_NET_CHNG_CASH</stp>
        <stp>FQ2 2018</stp>
        <stp>FQ2 2018</stp>
        <stp>[AMZ_2009-2018.xlsx]Cash Flow - Standardized!R55C40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5" s="4"/>
      </tp>
      <tp>
        <v>-0.27</v>
        <stp/>
        <stp>##V3_BDHV12</stp>
        <stp>AMZN US Equity</stp>
        <stp>IS_DIL_EPS_CONT_OPS</stp>
        <stp>FQ2 2014</stp>
        <stp>FQ2 2014</stp>
        <stp>[AMZ_2009-2018.xlsx]Income - Adjusted!R57C24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57" s="2"/>
      </tp>
      <tp t="s">
        <v>—</v>
        <stp/>
        <stp>##V3_BDHV12</stp>
        <stp>AMZN US Equity</stp>
        <stp>BS_TOTAL_CAPITAL_LEASES</stp>
        <stp>FQ1 2012</stp>
        <stp>FQ1 2012</stp>
        <stp>[AMZ_2009-2018.xlsx]Bal Sheet - Standardized!R82C15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82" s="3"/>
      </tp>
      <tp>
        <v>248</v>
        <stp/>
        <stp>##V3_BDHV12</stp>
        <stp>AMZN US Equity</stp>
        <stp>NON_CASH_ITEMS_DETAILED</stp>
        <stp>FQ1 2013</stp>
        <stp>FQ1 2013</stp>
        <stp>[AMZ_2009-2018.xlsx]Cash Flow - Standardized!R9C19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9" s="4"/>
      </tp>
      <tp>
        <v>0</v>
        <stp/>
        <stp>##V3_BDHV12</stp>
        <stp>AMZN US Equity</stp>
        <stp>CF_CASH_FOR_DIVESTITURES</stp>
        <stp>FQ4 2010</stp>
        <stp>FQ4 2010</stp>
        <stp>[AMZ_2009-2018.xlsx]Cash Flow - Standardized!R33C10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3" s="4"/>
      </tp>
      <tp>
        <v>0</v>
        <stp/>
        <stp>##V3_BDHV12</stp>
        <stp>AMZN US Equity</stp>
        <stp>CF_NET_CASH_DISCONTINUED_OPS_INV</stp>
        <stp>FQ1 2011</stp>
        <stp>FQ1 2011</stp>
        <stp>[AMZ_2009-2018.xlsx]Cash Flow - Standardized!R37C11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7" s="4"/>
      </tp>
      <tp>
        <v>0</v>
        <stp/>
        <stp>##V3_BDHV12</stp>
        <stp>AMZN US Equity</stp>
        <stp>CF_DISPOSAL_OF_INTANGIBLE_ASSETS</stp>
        <stp>FQ1 2018</stp>
        <stp>FQ1 2018</stp>
        <stp>[AMZ_2009-2018.xlsx]Cash Flow - Standardized!R25C39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5" s="4"/>
      </tp>
      <tp>
        <v>-845</v>
        <stp/>
        <stp>##V3_BDHV12</stp>
        <stp>AMZN US Equity</stp>
        <stp>CF_CHANGE_IN_INVENTORIES</stp>
        <stp>FQ3 2014</stp>
        <stp>FQ3 2014</stp>
        <stp>[AMZ_2009-2018.xlsx]Cash Flow - Standardized!R15C25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5" s="4"/>
      </tp>
      <tp>
        <v>-1330</v>
        <stp/>
        <stp>##V3_BDHV12</stp>
        <stp>AMZN US Equity</stp>
        <stp>CF_CHANGE_IN_INVENTORIES</stp>
        <stp>FQ4 2013</stp>
        <stp>FQ4 2013</stp>
        <stp>[AMZ_2009-2018.xlsx]Cash Flow - Standardized!R15C22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5" s="4"/>
      </tp>
      <tp>
        <v>34616</v>
        <stp/>
        <stp>##V3_BDHV12</stp>
        <stp>AMZN US Equity</stp>
        <stp>BS_ACCT_PAYABLE</stp>
        <stp>FQ4 2017</stp>
        <stp>FQ4 2017</stp>
        <stp>[AMZ_2009-2018.xlsx]Bal Sheet - Standardized!R39C38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9" s="3"/>
      </tp>
      <tp>
        <v>0.38</v>
        <stp/>
        <stp>##V3_BDHV12</stp>
        <stp>AMZN US Equity</stp>
        <stp>IS_DIL_EPS_CONT_OPS</stp>
        <stp>FQ4 2011</stp>
        <stp>FQ4 2011</stp>
        <stp>[AMZ_2009-2018.xlsx]Income - Adjusted!R57C14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57" s="2"/>
      </tp>
      <tp>
        <v>1.5467</v>
        <stp/>
        <stp>##V3_BDHV12</stp>
        <stp>AMZN US Equity</stp>
        <stp>IS_DIL_EPS_CONT_OPS</stp>
        <stp>FQ4 2016</stp>
        <stp>FQ4 2016</stp>
        <stp>[AMZ_2009-2018.xlsx]Income - Adjusted!R57C34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57" s="2"/>
      </tp>
      <tp>
        <v>0</v>
        <stp/>
        <stp>##V3_BDHV12</stp>
        <stp>AMZN US Equity</stp>
        <stp>OTHER_INTANGIBLE_ASSETS_DETAILED</stp>
        <stp>FQ1 2010</stp>
        <stp>FQ1 2010</stp>
        <stp>[AMZ_2009-2018.xlsx]Bal Sheet - Standardized!R30C7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0" s="3"/>
      </tp>
      <tp>
        <v>0</v>
        <stp/>
        <stp>##V3_BDHV12</stp>
        <stp>AMZN US Equity</stp>
        <stp>CF_CASH_FOR_DIVESTITURES</stp>
        <stp>FQ3 2014</stp>
        <stp>FQ3 2014</stp>
        <stp>[AMZ_2009-2018.xlsx]Cash Flow - Standardized!R33C25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3" s="4"/>
      </tp>
      <tp>
        <v>0</v>
        <stp/>
        <stp>##V3_BDHV12</stp>
        <stp>AMZN US Equity</stp>
        <stp>CF_CASH_FOR_DIVESTITURES</stp>
        <stp>FQ4 2013</stp>
        <stp>FQ4 2013</stp>
        <stp>[AMZ_2009-2018.xlsx]Cash Flow - Standardized!R33C22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3" s="4"/>
      </tp>
      <tp>
        <v>-670</v>
        <stp/>
        <stp>##V3_BDHV12</stp>
        <stp>AMZN US Equity</stp>
        <stp>CHG_IN_FXD_&amp;_INTANG_AST_DETAILED</stp>
        <stp>FQ1 2013</stp>
        <stp>FQ1 2013</stp>
        <stp>[AMZ_2009-2018.xlsx]Cash Flow - Standardized!R22C19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2" s="4"/>
      </tp>
      <tp>
        <v>-693</v>
        <stp/>
        <stp>##V3_BDHV12</stp>
        <stp>AMZN US Equity</stp>
        <stp>CF_CHANGE_IN_INVENTORIES</stp>
        <stp>FQ4 2010</stp>
        <stp>FQ4 2010</stp>
        <stp>[AMZ_2009-2018.xlsx]Cash Flow - Standardized!R15C10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5" s="4"/>
      </tp>
      <tp>
        <v>0</v>
        <stp/>
        <stp>##V3_BDHV12</stp>
        <stp>AMZN US Equity</stp>
        <stp>CF_CASH_FOR_DIVESTITURES</stp>
        <stp>FQ1 2017</stp>
        <stp>FQ1 2017</stp>
        <stp>[AMZ_2009-2018.xlsx]Cash Flow - Standardized!R33C35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3" s="4"/>
      </tp>
      <tp>
        <v>0</v>
        <stp/>
        <stp>##V3_BDHV12</stp>
        <stp>AMZN US Equity</stp>
        <stp>CF_NET_CASH_DISCONTINUED_OPS_INV</stp>
        <stp>FQ4 2016</stp>
        <stp>FQ4 2016</stp>
        <stp>[AMZ_2009-2018.xlsx]Cash Flow - Standardized!R37C34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7" s="4"/>
      </tp>
      <tp t="s">
        <v>—</v>
        <stp/>
        <stp>##V3_BDHV12</stp>
        <stp>AMZN US Equity</stp>
        <stp>BS_TOTAL_CAPITAL_LEASES</stp>
        <stp>FQ3 2013</stp>
        <stp>FQ3 2013</stp>
        <stp>[AMZ_2009-2018.xlsx]Bal Sheet - Standardized!R82C21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82" s="3"/>
      </tp>
      <tp>
        <v>6304</v>
        <stp/>
        <stp>##V3_BDHV12</stp>
        <stp>AMZN US Equity</stp>
        <stp>BS_TOTAL_CAPITAL_LEASES</stp>
        <stp>FQ4 2014</stp>
        <stp>FQ4 2014</stp>
        <stp>[AMZ_2009-2018.xlsx]Bal Sheet - Standardized!R82C26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82" s="3"/>
      </tp>
      <tp t="s">
        <v>—</v>
        <stp/>
        <stp>##V3_BDHV12</stp>
        <stp>AMZN US Equity</stp>
        <stp>BS_TOTAL_CAPITAL_LEASES</stp>
        <stp>FQ2 2011</stp>
        <stp>FQ2 2011</stp>
        <stp>[AMZ_2009-2018.xlsx]Bal Sheet - Standardized!R82C12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82" s="3"/>
      </tp>
      <tp>
        <v>947</v>
        <stp/>
        <stp>##V3_BDHV12</stp>
        <stp>AMZN US Equity</stp>
        <stp>CF_CHANGE_IN_INVENTORIES</stp>
        <stp>FQ1 2017</stp>
        <stp>FQ1 2017</stp>
        <stp>[AMZ_2009-2018.xlsx]Cash Flow - Standardized!R15C35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5" s="4"/>
      </tp>
      <tp>
        <v>362</v>
        <stp/>
        <stp>##V3_BDHV12</stp>
        <stp>AMZN US Equity</stp>
        <stp>PRETAX_INC</stp>
        <stp>FQ4 2012</stp>
        <stp>FQ4 2012</stp>
        <stp>[AMZ_2009-2018.xlsx]Income - Adjusted!R25C18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5" s="2"/>
      </tp>
      <tp>
        <v>1872</v>
        <stp/>
        <stp>##V3_BDHV12</stp>
        <stp>AMZN US Equity</stp>
        <stp>PRETAX_INC</stp>
        <stp>FQ4 2017</stp>
        <stp>FQ4 2017</stp>
        <stp>[AMZ_2009-2018.xlsx]Income - Adjusted!R25C38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25" s="2"/>
      </tp>
      <tp>
        <v>4.2762000000000002</v>
        <stp/>
        <stp>##V3_BDHV12</stp>
        <stp>AMZN US Equity</stp>
        <stp>CASH_FLOW_PER_SH</stp>
        <stp>FQ2 2015</stp>
        <stp>FQ2 2015</stp>
        <stp>[AMZ_2009-2018.xlsx]Per Share!R22C28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22" s="5"/>
      </tp>
      <tp>
        <v>-597</v>
        <stp/>
        <stp>##V3_BDHV12</stp>
        <stp>AMZN US Equity</stp>
        <stp>INC_DEC_IN_OT_OP_AST_LIAB_DETAIL</stp>
        <stp>FQ1 2017</stp>
        <stp>FQ1 2017</stp>
        <stp>[AMZ_2009-2018.xlsx]Cash Flow - Standardized!R17C35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7" s="4"/>
      </tp>
      <tp>
        <v>177</v>
        <stp/>
        <stp>##V3_BDHV12</stp>
        <stp>AMZN US Equity</stp>
        <stp>IS_INC_BEF_XO_ITEM</stp>
        <stp>FQ1 2009</stp>
        <stp>FQ1 2009</stp>
        <stp>[AMZ_2009-2018.xlsx]Income - Adjusted!R34C3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2"/>
      </tp>
      <tp>
        <v>519</v>
        <stp/>
        <stp>##V3_BDHV12</stp>
        <stp>AMZN US Equity</stp>
        <stp>INC_DEC_IN_OT_OP_AST_LIAB_DETAIL</stp>
        <stp>FQ4 2010</stp>
        <stp>FQ4 2010</stp>
        <stp>[AMZ_2009-2018.xlsx]Cash Flow - Standardized!R17C10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7" s="4"/>
      </tp>
      <tp>
        <v>5</v>
        <stp/>
        <stp>##V3_BDHV12</stp>
        <stp>AMZN US Equity</stp>
        <stp>BS_COMMON_STOCK</stp>
        <stp>FQ4 2012</stp>
        <stp>FQ4 2012</stp>
        <stp>[AMZ_2009-2018.xlsx]Bal Sheet - Standardized!R66C18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6" s="3"/>
      </tp>
      <tp>
        <v>15160</v>
        <stp/>
        <stp>##V3_BDHV12</stp>
        <stp>AMZN US Equity</stp>
        <stp>IS_COG_AND_SERVICES_SOLD</stp>
        <stp>FQ2 2015</stp>
        <stp>FQ2 2015</stp>
        <stp>[AMZ_2009-2018.xlsx]Income - Adjusted!R9C28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9" s="2"/>
      </tp>
      <tp>
        <v>262</v>
        <stp/>
        <stp>##V3_BDHV12</stp>
        <stp>AMZN US Equity</stp>
        <stp>INC_DEC_IN_OT_OP_AST_LIAB_DETAIL</stp>
        <stp>FQ3 2014</stp>
        <stp>FQ3 2014</stp>
        <stp>[AMZ_2009-2018.xlsx]Cash Flow - Standardized!R17C25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7" s="4"/>
      </tp>
      <tp>
        <v>1587</v>
        <stp/>
        <stp>##V3_BDHV12</stp>
        <stp>AMZN US Equity</stp>
        <stp>INC_DEC_IN_OT_OP_AST_LIAB_DETAIL</stp>
        <stp>FQ4 2013</stp>
        <stp>FQ4 2013</stp>
        <stp>[AMZ_2009-2018.xlsx]Cash Flow - Standardized!R17C22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7" s="4"/>
      </tp>
      <tp>
        <v>6613</v>
        <stp/>
        <stp>##V3_BDHV12</stp>
        <stp>AMZN US Equity</stp>
        <stp>EBITDA</stp>
        <stp>FQ2 2018</stp>
        <stp>FQ2 2018</stp>
        <stp>[AMZ_2009-2018.xlsx]Cash Flow - Standardized!R61C40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61" s="4"/>
      </tp>
      <tp>
        <v>0</v>
        <stp/>
        <stp>##V3_BDHV12</stp>
        <stp>AMZN US Equity</stp>
        <stp>IS_DISCONTINUED_OPERATIONS</stp>
        <stp>FQ2 2010</stp>
        <stp>FQ2 2010</stp>
        <stp>[AMZ_2009-2018.xlsx]Income - Adjusted!R36C8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6" s="2"/>
      </tp>
      <tp>
        <v>5</v>
        <stp/>
        <stp>##V3_BDHV12</stp>
        <stp>AMZN US Equity</stp>
        <stp>BS_COMMON_STOCK</stp>
        <stp>FQ3 2017</stp>
        <stp>FQ3 2017</stp>
        <stp>[AMZ_2009-2018.xlsx]Bal Sheet - Standardized!R66C37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6" s="3"/>
      </tp>
      <tp>
        <v>467</v>
        <stp/>
        <stp>##V3_BDHV12</stp>
        <stp>AMZN US Equity</stp>
        <stp>IS_INC_TAX_EXP</stp>
        <stp>FQ2 2017</stp>
        <stp>FQ2 2017</stp>
        <stp>[AMZ_2009-2018.xlsx]Income - Adjusted!R32C36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32" s="2"/>
      </tp>
      <tp>
        <v>109</v>
        <stp/>
        <stp>##V3_BDHV12</stp>
        <stp>AMZN US Equity</stp>
        <stp>IS_INC_TAX_EXP</stp>
        <stp>FQ2 2012</stp>
        <stp>FQ2 2012</stp>
        <stp>[AMZ_2009-2018.xlsx]Income - Adjusted!R32C16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32" s="2"/>
      </tp>
      <tp>
        <v>205</v>
        <stp/>
        <stp>##V3_BDHV12</stp>
        <stp>AMZN US Equity</stp>
        <stp>IS_INC_TAX_EXP</stp>
        <stp>FQ4 2014</stp>
        <stp>FQ4 2014</stp>
        <stp>[AMZ_2009-2018.xlsx]Income - Adjusted!R32C26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32" s="2"/>
      </tp>
      <tp>
        <v>5</v>
        <stp/>
        <stp>##V3_BDHV12</stp>
        <stp>AMZN US Equity</stp>
        <stp>BS_COMMON_STOCK</stp>
        <stp>FQ2 2016</stp>
        <stp>FQ2 2016</stp>
        <stp>[AMZ_2009-2018.xlsx]Bal Sheet - Standardized!R66C32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6" s="3"/>
      </tp>
      <tp>
        <v>5</v>
        <stp/>
        <stp>##V3_BDHV12</stp>
        <stp>AMZN US Equity</stp>
        <stp>BS_COMMON_STOCK</stp>
        <stp>FQ1 2014</stp>
        <stp>FQ1 2014</stp>
        <stp>[AMZ_2009-2018.xlsx]Bal Sheet - Standardized!R66C23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6" s="3"/>
      </tp>
      <tp>
        <v>-1</v>
        <stp/>
        <stp>##V3_BDHV12</stp>
        <stp>AMZN US Equity</stp>
        <stp>INC_DEC_IN_OT_OP_AST_LIAB_DETAIL</stp>
        <stp>FQ2 2015</stp>
        <stp>FQ2 2015</stp>
        <stp>[AMZ_2009-2018.xlsx]Cash Flow - Standardized!R17C28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7" s="4"/>
      </tp>
      <tp>
        <v>0.85</v>
        <stp/>
        <stp>##V3_BDHV12</stp>
        <stp>AMZN US Equity</stp>
        <stp>IS_DIL_EPS_BEF_XO</stp>
        <stp>FQ4 2009</stp>
        <stp>FQ4 2009</stp>
        <stp>[AMZ_2009-2018.xlsx]Per Share!R18C6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18" s="5"/>
      </tp>
      <tp t="s">
        <v>—</v>
        <stp/>
        <stp>##V3_BDHV12</stp>
        <stp>AMZN US Equity</stp>
        <stp>IS_MERGER_ACQUISITION_EXPENSE</stp>
        <stp>FQ1 2009</stp>
        <stp>FQ1 2009</stp>
        <stp>[AMZ_2009-2018.xlsx]Income - Adjusted!R27C3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2"/>
      </tp>
      <tp>
        <v>0</v>
        <stp/>
        <stp>##V3_BDHV12</stp>
        <stp>AMZN US Equity</stp>
        <stp>IS_TOT_CASH_COM_DVD</stp>
        <stp>FQ2 2011</stp>
        <stp>FQ2 2011</stp>
        <stp>[AMZ_2009-2018.xlsx]Income - Adjusted!R70C12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0" s="2"/>
      </tp>
      <tp>
        <v>3.36</v>
        <stp/>
        <stp>##V3_BDHV12</stp>
        <stp>AMZN US Equity</stp>
        <stp>IS_EARN_BEF_XO_ITEMS_PER_SH</stp>
        <stp>FQ1 2018</stp>
        <stp>FQ1 2018</stp>
        <stp>[AMZ_2009-2018.xlsx]Per Share!R15C39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15" s="5"/>
      </tp>
      <tp>
        <v>0.18</v>
        <stp/>
        <stp>##V3_BDHV12</stp>
        <stp>AMZN US Equity</stp>
        <stp>IS_EARN_BEF_XO_ITEMS_PER_SH</stp>
        <stp>FQ1 2013</stp>
        <stp>FQ1 2013</stp>
        <stp>[AMZ_2009-2018.xlsx]Per Share!R15C19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15" s="5"/>
      </tp>
      <tp>
        <v>0</v>
        <stp/>
        <stp>##V3_BDHV12</stp>
        <stp>AMZN US Equity</stp>
        <stp>IS_TOT_CASH_COM_DVD</stp>
        <stp>FQ3 2011</stp>
        <stp>FQ3 2011</stp>
        <stp>[AMZ_2009-2018.xlsx]Income - Adjusted!R70C13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0" s="2"/>
      </tp>
      <tp>
        <v>0.17</v>
        <stp/>
        <stp>##V3_BDHV12</stp>
        <stp>AMZN US Equity</stp>
        <stp>IS_EARN_BEF_XO_ITEMS_PER_SH</stp>
        <stp>FQ3 2015</stp>
        <stp>FQ3 2015</stp>
        <stp>[AMZ_2009-2018.xlsx]Per Share!R15C29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15" s="5"/>
      </tp>
      <tp>
        <v>0</v>
        <stp/>
        <stp>##V3_BDHV12</stp>
        <stp>AMZN US Equity</stp>
        <stp>IS_TOT_CASH_COM_DVD</stp>
        <stp>FQ1 2011</stp>
        <stp>FQ1 2011</stp>
        <stp>[AMZ_2009-2018.xlsx]Income - Adjusted!R70C11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0" s="2"/>
      </tp>
      <tp>
        <v>0</v>
        <stp/>
        <stp>##V3_BDHV12</stp>
        <stp>AMZN US Equity</stp>
        <stp>IS_TOT_CASH_COM_DVD</stp>
        <stp>FQ4 2011</stp>
        <stp>FQ4 2011</stp>
        <stp>[AMZ_2009-2018.xlsx]Income - Adjusted!R70C14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0" s="2"/>
      </tp>
      <tp>
        <v>6056</v>
        <stp/>
        <stp>##V3_BDHV12</stp>
        <stp>AMZN US Equity</stp>
        <stp>BS_ADD_PAID_IN_CAP</stp>
        <stp>FQ2 2010</stp>
        <stp>FQ2 2010</stp>
        <stp>[AMZ_2009-2018.xlsx]Bal Sheet - Standardized!R67C8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7" s="3"/>
      </tp>
      <tp>
        <v>-61</v>
        <stp/>
        <stp>##V3_BDHV12</stp>
        <stp>AMZN US Equity</stp>
        <stp>IS_SH_PRO_EQY_MT_INV_NET_OF_TAX</stp>
        <stp>FQ1 2014</stp>
        <stp>FQ1 2014</stp>
        <stp>[AMZ_2009-2018.xlsx]Income - Adjusted!R33C23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33" s="2"/>
      </tp>
      <tp>
        <v>10</v>
        <stp/>
        <stp>##V3_BDHV12</stp>
        <stp>AMZN US Equity</stp>
        <stp>IS_SH_PRO_EQY_MT_INV_NET_OF_TAX</stp>
        <stp>FQ3 2016</stp>
        <stp>FQ3 2016</stp>
        <stp>[AMZ_2009-2018.xlsx]Income - Adjusted!R33C33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33" s="2"/>
      </tp>
      <tp>
        <v>0</v>
        <stp/>
        <stp>##V3_BDHV12</stp>
        <stp>AMZN US Equity</stp>
        <stp>IS_SH_PRO_EQY_MT_INV_NET_OF_TAX</stp>
        <stp>FQ3 2011</stp>
        <stp>FQ3 2011</stp>
        <stp>[AMZ_2009-2018.xlsx]Income - Adjusted!R33C13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33" s="2"/>
      </tp>
      <tp>
        <v>4428</v>
        <stp/>
        <stp>##V3_BDHV12</stp>
        <stp>AMZN US Equity</stp>
        <stp>BS_ADD_PAID_IN_CAP</stp>
        <stp>FQ3 2009</stp>
        <stp>FQ3 2009</stp>
        <stp>[AMZ_2009-2018.xlsx]Bal Sheet - Standardized!R67C5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7" s="3"/>
      </tp>
      <tp>
        <v>2479</v>
        <stp/>
        <stp>##V3_BDHV12</stp>
        <stp>AMZN US Equity</stp>
        <stp>IS_SELLING_EXPENSES</stp>
        <stp>FQ3 2017</stp>
        <stp>FQ3 2017</stp>
        <stp>[AMZ_2009-2018.xlsx]Income - Adjusted!R14C37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4" s="2"/>
      </tp>
      <tp>
        <v>540</v>
        <stp/>
        <stp>##V3_BDHV12</stp>
        <stp>AMZN US Equity</stp>
        <stp>IS_SELLING_EXPENSES</stp>
        <stp>FQ3 2012</stp>
        <stp>FQ3 2012</stp>
        <stp>[AMZ_2009-2018.xlsx]Income - Adjusted!R14C17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4" s="2"/>
      </tp>
      <tp>
        <v>1083</v>
        <stp/>
        <stp>##V3_BDHV12</stp>
        <stp>AMZN US Equity</stp>
        <stp>IS_SELLING_EXPENSES</stp>
        <stp>FQ1 2015</stp>
        <stp>FQ1 2015</stp>
        <stp>[AMZ_2009-2018.xlsx]Income - Adjusted!R14C27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4" s="2"/>
      </tp>
      <tp>
        <v>0</v>
        <stp/>
        <stp>##V3_BDHV12</stp>
        <stp>AMZN US Equity</stp>
        <stp>MIN_NONCONTROL_INTEREST_CREDITS</stp>
        <stp>FQ1 2014</stp>
        <stp>FQ1 2014</stp>
        <stp>[AMZ_2009-2018.xlsx]Income - Adjusted!R39C23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39" s="2"/>
      </tp>
      <tp>
        <v>0</v>
        <stp/>
        <stp>##V3_BDHV12</stp>
        <stp>AMZN US Equity</stp>
        <stp>MIN_NONCONTROL_INTEREST_CREDITS</stp>
        <stp>FQ3 2011</stp>
        <stp>FQ3 2011</stp>
        <stp>[AMZ_2009-2018.xlsx]Income - Adjusted!R39C13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39" s="2"/>
      </tp>
      <tp>
        <v>0</v>
        <stp/>
        <stp>##V3_BDHV12</stp>
        <stp>AMZN US Equity</stp>
        <stp>MIN_NONCONTROL_INTEREST_CREDITS</stp>
        <stp>FQ3 2016</stp>
        <stp>FQ3 2016</stp>
        <stp>[AMZ_2009-2018.xlsx]Income - Adjusted!R39C33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39" s="2"/>
      </tp>
      <tp>
        <v>0.51</v>
        <stp/>
        <stp>##V3_BDHV12</stp>
        <stp>AMZN US Equity</stp>
        <stp>IS_BASIC_EPS_CONT_OPS</stp>
        <stp>FQ3 2010</stp>
        <stp>FQ3 2010</stp>
        <stp>[AMZ_2009-2018.xlsx]Income - Adjusted!R52C9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52" s="2"/>
      </tp>
      <tp>
        <v>-157</v>
        <stp/>
        <stp>##V3_BDHV12</stp>
        <stp>AMZN US Equity</stp>
        <stp>PROC_FR_REPAYMNTS_BOR_DETAILED</stp>
        <stp>FQ1 2013</stp>
        <stp>FQ1 2013</stp>
        <stp>[AMZ_2009-2018.xlsx]Cash Flow - Standardized!R42C19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2" s="4"/>
      </tp>
      <tp>
        <v>-209</v>
        <stp/>
        <stp>##V3_BDHV12</stp>
        <stp>AMZN US Equity</stp>
        <stp>PROC_FR_REPAYMNTS_BOR_DETAILED</stp>
        <stp>FQ2 2013</stp>
        <stp>FQ2 2013</stp>
        <stp>[AMZ_2009-2018.xlsx]Cash Flow - Standardized!R42C20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2" s="4"/>
      </tp>
      <tp>
        <v>-82</v>
        <stp/>
        <stp>##V3_BDHV12</stp>
        <stp>AMZN US Equity</stp>
        <stp>PROC_FR_REPAYMNTS_BOR_DETAILED</stp>
        <stp>FQ3 2011</stp>
        <stp>FQ3 2011</stp>
        <stp>[AMZ_2009-2018.xlsx]Cash Flow - Standardized!R42C13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2" s="4"/>
      </tp>
      <tp>
        <v>1474</v>
        <stp/>
        <stp>##V3_BDHV12</stp>
        <stp>AMZN US Equity</stp>
        <stp>OTHER_NONCURRENT_ASSETS_DETAILED</stp>
        <stp>FQ4 2009</stp>
        <stp>FQ4 2009</stp>
        <stp>[AMZ_2009-2018.xlsx]Bal Sheet - Standardized!R33C6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3" s="3"/>
      </tp>
      <tp>
        <v>0</v>
        <stp/>
        <stp>##V3_BDHV12</stp>
        <stp>AMZN US Equity</stp>
        <stp>CF_CASH_FOR_DIVESTITURES</stp>
        <stp>FQ3 2015</stp>
        <stp>FQ3 2015</stp>
        <stp>[AMZ_2009-2018.xlsx]Cash Flow - Standardized!R33C29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3" s="4"/>
      </tp>
      <tp>
        <v>0</v>
        <stp/>
        <stp>##V3_BDHV12</stp>
        <stp>AMZN US Equity</stp>
        <stp>CF_NET_CASH_DISCONTINUED_OPS_FIN</stp>
        <stp>FQ3 2012</stp>
        <stp>FQ3 2012</stp>
        <stp>[AMZ_2009-2018.xlsx]Cash Flow - Standardized!R50C17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0" s="4"/>
      </tp>
      <tp>
        <v>-386</v>
        <stp/>
        <stp>##V3_BDHV12</stp>
        <stp>AMZN US Equity</stp>
        <stp>CHG_IN_FXD_&amp;_INTANG_AST_DETAILED</stp>
        <stp>FQ1 2012</stp>
        <stp>FQ1 2012</stp>
        <stp>[AMZ_2009-2018.xlsx]Cash Flow - Standardized!R22C15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2" s="4"/>
      </tp>
      <tp>
        <v>0</v>
        <stp/>
        <stp>##V3_BDHV12</stp>
        <stp>AMZN US Equity</stp>
        <stp>OTHER_INTANGIBLE_ASSETS_DETAILED</stp>
        <stp>FQ1 2009</stp>
        <stp>FQ1 2009</stp>
        <stp>[AMZ_2009-2018.xlsx]Bal Sheet - Standardized!R30C3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3"/>
      </tp>
      <tp>
        <v>959</v>
        <stp/>
        <stp>##V3_BDHV12</stp>
        <stp>AMZN US Equity</stp>
        <stp>NON_CASH_ITEMS_DETAILED</stp>
        <stp>FQ2 2016</stp>
        <stp>FQ2 2016</stp>
        <stp>[AMZ_2009-2018.xlsx]Cash Flow - Standardized!R9C32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9" s="4"/>
      </tp>
      <tp>
        <v>-1537</v>
        <stp/>
        <stp>##V3_BDHV12</stp>
        <stp>AMZN US Equity</stp>
        <stp>CF_CHANGE_IN_INVENTORIES</stp>
        <stp>FQ3 2015</stp>
        <stp>FQ3 2015</stp>
        <stp>[AMZ_2009-2018.xlsx]Cash Flow - Standardized!R15C29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5" s="4"/>
      </tp>
      <tp>
        <v>25309</v>
        <stp/>
        <stp>##V3_BDHV12</stp>
        <stp>AMZN US Equity</stp>
        <stp>BS_ACCT_PAYABLE</stp>
        <stp>FQ4 2016</stp>
        <stp>FQ4 2016</stp>
        <stp>[AMZ_2009-2018.xlsx]Bal Sheet - Standardized!R39C34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9" s="3"/>
      </tp>
      <tp>
        <v>0</v>
        <stp/>
        <stp>##V3_BDHV12</stp>
        <stp>AMZN US Equity</stp>
        <stp>CF_CASH_FOR_JOINT_VENTURES_ASSOC</stp>
        <stp>FQ3 2012</stp>
        <stp>FQ3 2012</stp>
        <stp>[AMZ_2009-2018.xlsx]Cash Flow - Standardized!R35C17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5" s="4"/>
      </tp>
      <tp>
        <v>-1309</v>
        <stp/>
        <stp>##V3_BDHV12</stp>
        <stp>AMZN US Equity</stp>
        <stp>CHG_IN_FXD_&amp;_INTANG_AST_DETAILED</stp>
        <stp>FQ4 2015</stp>
        <stp>FQ4 2015</stp>
        <stp>[AMZ_2009-2018.xlsx]Cash Flow - Standardized!R22C30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2" s="4"/>
      </tp>
      <tp>
        <v>0</v>
        <stp/>
        <stp>##V3_BDHV12</stp>
        <stp>AMZN US Equity</stp>
        <stp>CF_NET_CASH_DISCONTINUED_OPS_INV</stp>
        <stp>FQ4 2017</stp>
        <stp>FQ4 2017</stp>
        <stp>[AMZ_2009-2018.xlsx]Cash Flow - Standardized!R37C38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7" s="4"/>
      </tp>
      <tp>
        <v>5540</v>
        <stp/>
        <stp>##V3_BDHV12</stp>
        <stp>AMZN US Equity</stp>
        <stp>BS_ACCT_PAYABLE</stp>
        <stp>FQ1 2011</stp>
        <stp>FQ1 2011</stp>
        <stp>[AMZ_2009-2018.xlsx]Bal Sheet - Standardized!R39C11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9" s="3"/>
      </tp>
      <tp>
        <v>1474</v>
        <stp/>
        <stp>##V3_BDHV12</stp>
        <stp>AMZN US Equity</stp>
        <stp>NON_CASH_ITEMS_DETAILED</stp>
        <stp>FQ2 2017</stp>
        <stp>FQ2 2017</stp>
        <stp>[AMZ_2009-2018.xlsx]Cash Flow - Standardized!R9C36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9" s="4"/>
      </tp>
      <tp>
        <v>-433</v>
        <stp/>
        <stp>##V3_BDHV12</stp>
        <stp>AMZN US Equity</stp>
        <stp>CHG_IN_FXD_&amp;_INTANG_AST_DETAILED</stp>
        <stp>FQ2 2011</stp>
        <stp>FQ2 2011</stp>
        <stp>[AMZ_2009-2018.xlsx]Cash Flow - Standardized!R22C12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2" s="4"/>
      </tp>
      <tp>
        <v>177</v>
        <stp/>
        <stp>##V3_BDHV12</stp>
        <stp>AMZN US Equity</stp>
        <stp>NON_CASH_ITEMS_DETAILED</stp>
        <stp>FQ3 2014</stp>
        <stp>FQ3 2014</stp>
        <stp>[AMZ_2009-2018.xlsx]Cash Flow - Standardized!R9C25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9" s="4"/>
      </tp>
      <tp>
        <v>-1144</v>
        <stp/>
        <stp>##V3_BDHV12</stp>
        <stp>AMZN US Equity</stp>
        <stp>CHG_IN_FXD_&amp;_INTANG_AST_DETAILED</stp>
        <stp>FQ4 2014</stp>
        <stp>FQ4 2014</stp>
        <stp>[AMZ_2009-2018.xlsx]Cash Flow - Standardized!R22C26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2" s="4"/>
      </tp>
      <tp>
        <v>-1038</v>
        <stp/>
        <stp>##V3_BDHV12</stp>
        <stp>AMZN US Equity</stp>
        <stp>CHG_IN_FXD_&amp;_INTANG_AST_DETAILED</stp>
        <stp>FQ3 2013</stp>
        <stp>FQ3 2013</stp>
        <stp>[AMZ_2009-2018.xlsx]Cash Flow - Standardized!R22C21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2" s="4"/>
      </tp>
      <tp>
        <v>309</v>
        <stp/>
        <stp>##V3_BDHV12</stp>
        <stp>AMZN US Equity</stp>
        <stp>NON_CASH_ITEMS_DETAILED</stp>
        <stp>FQ3 2013</stp>
        <stp>FQ3 2013</stp>
        <stp>[AMZ_2009-2018.xlsx]Cash Flow - Standardized!R9C21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9" s="4"/>
      </tp>
      <tp t="s">
        <v>—</v>
        <stp/>
        <stp>##V3_BDHV12</stp>
        <stp>AMZN US Equity</stp>
        <stp>BS_TOTAL_CAPITAL_LEASES</stp>
        <stp>FQ1 2013</stp>
        <stp>FQ1 2013</stp>
        <stp>[AMZ_2009-2018.xlsx]Bal Sheet - Standardized!R82C19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82" s="3"/>
      </tp>
      <tp>
        <v>7072</v>
        <stp/>
        <stp>##V3_BDHV12</stp>
        <stp>AMZN US Equity</stp>
        <stp>BS_ACCT_PAYABLE</stp>
        <stp>FQ2 2012</stp>
        <stp>FQ2 2012</stp>
        <stp>[AMZ_2009-2018.xlsx]Bal Sheet - Standardized!R39C16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9" s="3"/>
      </tp>
      <tp>
        <v>1.48</v>
        <stp/>
        <stp>##V3_BDHV12</stp>
        <stp>AMZN US Equity</stp>
        <stp>IS_DIL_EPS_CONT_OPS</stp>
        <stp>FQ1 2017</stp>
        <stp>FQ1 2017</stp>
        <stp>[AMZ_2009-2018.xlsx]Income - Adjusted!R57C35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57" s="2"/>
      </tp>
      <tp>
        <v>0.28000000000000003</v>
        <stp/>
        <stp>##V3_BDHV12</stp>
        <stp>AMZN US Equity</stp>
        <stp>IS_DIL_EPS_CONT_OPS</stp>
        <stp>FQ1 2012</stp>
        <stp>FQ1 2012</stp>
        <stp>[AMZ_2009-2018.xlsx]Income - Adjusted!R57C15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57" s="2"/>
      </tp>
      <tp>
        <v>478</v>
        <stp/>
        <stp>##V3_BDHV12</stp>
        <stp>AMZN US Equity</stp>
        <stp>NON_CASH_ITEMS_DETAILED</stp>
        <stp>FQ3 2015</stp>
        <stp>FQ3 2015</stp>
        <stp>[AMZ_2009-2018.xlsx]Cash Flow - Standardized!R9C29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9" s="4"/>
      </tp>
      <tp>
        <v>0</v>
        <stp/>
        <stp>##V3_BDHV12</stp>
        <stp>AMZN US Equity</stp>
        <stp>CF_CASH_FOR_JOINT_VENTURES_ASSOC</stp>
        <stp>FQ4 2017</stp>
        <stp>FQ4 2017</stp>
        <stp>[AMZ_2009-2018.xlsx]Cash Flow - Standardized!R35C38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5" s="4"/>
      </tp>
      <tp>
        <v>9466</v>
        <stp/>
        <stp>##V3_BDHV12</stp>
        <stp>AMZN US Equity</stp>
        <stp>OTHER_NONCURRENT_LIABS_DETAILED</stp>
        <stp>FQ2 2018</stp>
        <stp>FQ2 2018</stp>
        <stp>[AMZ_2009-2018.xlsx]Bal Sheet - Standardized!R61C40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1" s="3"/>
      </tp>
      <tp>
        <v>-1260</v>
        <stp/>
        <stp>##V3_BDHV12</stp>
        <stp>AMZN US Equity</stp>
        <stp>CF_CHANGE_IN_INVENTORIES</stp>
        <stp>FQ4 2011</stp>
        <stp>FQ4 2011</stp>
        <stp>[AMZ_2009-2018.xlsx]Cash Flow - Standardized!R15C14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5" s="4"/>
      </tp>
      <tp>
        <v>247</v>
        <stp/>
        <stp>##V3_BDHV12</stp>
        <stp>AMZN US Equity</stp>
        <stp>PRETAX_INC</stp>
        <stp>FQ3 2015</stp>
        <stp>FQ3 2015</stp>
        <stp>[AMZ_2009-2018.xlsx]Income - Adjusted!R25C29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5" s="2"/>
      </tp>
      <tp>
        <v>0</v>
        <stp/>
        <stp>##V3_BDHV12</stp>
        <stp>AMZN US Equity</stp>
        <stp>CF_CASH_FOR_DIVESTITURES</stp>
        <stp>FQ4 2011</stp>
        <stp>FQ4 2011</stp>
        <stp>[AMZ_2009-2018.xlsx]Cash Flow - Standardized!R33C14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3" s="4"/>
      </tp>
      <tp>
        <v>0</v>
        <stp/>
        <stp>##V3_BDHV12</stp>
        <stp>AMZN US Equity</stp>
        <stp>CF_NET_CASH_DISCONTINUED_OPS_INV</stp>
        <stp>FQ3 2012</stp>
        <stp>FQ3 2012</stp>
        <stp>[AMZ_2009-2018.xlsx]Cash Flow - Standardized!R37C17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7" s="4"/>
      </tp>
      <tp>
        <v>-0.71130000000000004</v>
        <stp/>
        <stp>##V3_BDHV12</stp>
        <stp>AMZN US Equity</stp>
        <stp>IS_DIL_EPS_CONT_OPS</stp>
        <stp>FQ3 2014</stp>
        <stp>FQ3 2014</stp>
        <stp>[AMZ_2009-2018.xlsx]Income - Adjusted!R57C25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57" s="2"/>
      </tp>
      <tp>
        <v>0</v>
        <stp/>
        <stp>##V3_BDHV12</stp>
        <stp>AMZN US Equity</stp>
        <stp>CF_NET_CASH_DISCONTINUED_OPS_FIN</stp>
        <stp>FQ4 2017</stp>
        <stp>FQ4 2017</stp>
        <stp>[AMZ_2009-2018.xlsx]Cash Flow - Standardized!R50C38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0" s="4"/>
      </tp>
      <tp>
        <v>769</v>
        <stp/>
        <stp>##V3_BDHV12</stp>
        <stp>AMZN US Equity</stp>
        <stp>CF_CHANGE_IN_INVENTORIES</stp>
        <stp>FQ1 2016</stp>
        <stp>FQ1 2016</stp>
        <stp>[AMZ_2009-2018.xlsx]Cash Flow - Standardized!R15C31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5" s="4"/>
      </tp>
      <tp>
        <v>81</v>
        <stp/>
        <stp>##V3_BDHV12</stp>
        <stp>AMZN US Equity</stp>
        <stp>PRETAX_INC</stp>
        <stp>FQ1 2013</stp>
        <stp>FQ1 2013</stp>
        <stp>[AMZ_2009-2018.xlsx]Income - Adjusted!R25C19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5" s="2"/>
      </tp>
      <tp>
        <v>1916</v>
        <stp/>
        <stp>##V3_BDHV12</stp>
        <stp>AMZN US Equity</stp>
        <stp>PRETAX_INC</stp>
        <stp>FQ1 2018</stp>
        <stp>FQ1 2018</stp>
        <stp>[AMZ_2009-2018.xlsx]Income - Adjusted!R25C39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25" s="2"/>
      </tp>
      <tp>
        <v>0</v>
        <stp/>
        <stp>##V3_BDHV12</stp>
        <stp>AMZN US Equity</stp>
        <stp>CF_CASH_FOR_DIVESTITURES</stp>
        <stp>FQ1 2016</stp>
        <stp>FQ1 2016</stp>
        <stp>[AMZ_2009-2018.xlsx]Cash Flow - Standardized!R33C31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3" s="4"/>
      </tp>
      <tp>
        <v>6.3476999999999997</v>
        <stp/>
        <stp>##V3_BDHV12</stp>
        <stp>AMZN US Equity</stp>
        <stp>EBITDA_MARGIN</stp>
        <stp>FQ1 2010</stp>
        <stp>FQ1 2010</stp>
        <stp>[AMZ_2009-2018.xlsx]Cash Flow - Standardized!R62C7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62" s="4"/>
      </tp>
      <tp>
        <v>6.4434000000000005</v>
        <stp/>
        <stp>##V3_BDHV12</stp>
        <stp>AMZN US Equity</stp>
        <stp>EBITDA_MARGIN</stp>
        <stp>FQ2 2010</stp>
        <stp>FQ2 2010</stp>
        <stp>[AMZ_2009-2018.xlsx]Cash Flow - Standardized!R62C8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62" s="4"/>
      </tp>
      <tp>
        <v>6.2321</v>
        <stp/>
        <stp>##V3_BDHV12</stp>
        <stp>AMZN US Equity</stp>
        <stp>EBITDA_MARGIN</stp>
        <stp>FQ3 2010</stp>
        <stp>FQ3 2010</stp>
        <stp>[AMZ_2009-2018.xlsx]Cash Flow - Standardized!R62C9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62" s="4"/>
      </tp>
      <tp>
        <v>0</v>
        <stp/>
        <stp>##V3_BDHV12</stp>
        <stp>AMZN US Equity</stp>
        <stp>CF_CASH_FOR_DIVESTITURES</stp>
        <stp>FQ2 2014</stp>
        <stp>FQ2 2014</stp>
        <stp>[AMZ_2009-2018.xlsx]Cash Flow - Standardized!R33C24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3" s="4"/>
      </tp>
      <tp>
        <v>-3.7004000000000001</v>
        <stp/>
        <stp>##V3_BDHV12</stp>
        <stp>AMZN US Equity</stp>
        <stp>CASH_FLOW_PER_SH</stp>
        <stp>FQ1 2018</stp>
        <stp>FQ1 2018</stp>
        <stp>[AMZ_2009-2018.xlsx]Per Share!R22C39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22" s="5"/>
      </tp>
      <tp>
        <v>-5.2131999999999996</v>
        <stp/>
        <stp>##V3_BDHV12</stp>
        <stp>AMZN US Equity</stp>
        <stp>CASH_FLOW_PER_SH</stp>
        <stp>FQ1 2013</stp>
        <stp>FQ1 2013</stp>
        <stp>[AMZ_2009-2018.xlsx]Per Share!R22C19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22" s="5"/>
      </tp>
      <tp>
        <v>92</v>
        <stp/>
        <stp>##V3_BDHV12</stp>
        <stp>AMZN US Equity</stp>
        <stp>CF_CHANGE_IN_INVENTORIES</stp>
        <stp>FQ2 2014</stp>
        <stp>FQ2 2014</stp>
        <stp>[AMZ_2009-2018.xlsx]Cash Flow - Standardized!R15C24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5" s="4"/>
      </tp>
      <tp t="s">
        <v>—</v>
        <stp/>
        <stp>##V3_BDHV12</stp>
        <stp>AMZN US Equity</stp>
        <stp>BS_TOTAL_CAPITAL_LEASES</stp>
        <stp>FQ3 2011</stp>
        <stp>FQ3 2011</stp>
        <stp>[AMZ_2009-2018.xlsx]Bal Sheet - Standardized!R82C13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82" s="3"/>
      </tp>
      <tp>
        <v>5.5769000000000002</v>
        <stp/>
        <stp>##V3_BDHV12</stp>
        <stp>AMZN US Equity</stp>
        <stp>CASH_FLOW_PER_SH</stp>
        <stp>FQ3 2015</stp>
        <stp>FQ3 2015</stp>
        <stp>[AMZ_2009-2018.xlsx]Per Share!R22C29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22" s="5"/>
      </tp>
      <tp t="s">
        <v>—</v>
        <stp/>
        <stp>##V3_BDHV12</stp>
        <stp>AMZN US Equity</stp>
        <stp>BS_TOTAL_CAPITAL_LEASES</stp>
        <stp>FQ2 2013</stp>
        <stp>FQ2 2013</stp>
        <stp>[AMZ_2009-2018.xlsx]Bal Sheet - Standardized!R82C20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82" s="3"/>
      </tp>
      <tp>
        <v>69</v>
        <stp/>
        <stp>##V3_BDHV12</stp>
        <stp>AMZN US Equity</stp>
        <stp>INC_DEC_IN_OT_OP_AST_LIAB_DETAIL</stp>
        <stp>FQ2 2014</stp>
        <stp>FQ2 2014</stp>
        <stp>[AMZ_2009-2018.xlsx]Cash Flow - Standardized!R17C24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7" s="4"/>
      </tp>
      <tp>
        <v>16755</v>
        <stp/>
        <stp>##V3_BDHV12</stp>
        <stp>AMZN US Equity</stp>
        <stp>IS_COG_AND_SERVICES_SOLD</stp>
        <stp>FQ3 2015</stp>
        <stp>FQ3 2015</stp>
        <stp>[AMZ_2009-2018.xlsx]Income - Adjusted!R9C29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9" s="2"/>
      </tp>
      <tp>
        <v>-252</v>
        <stp/>
        <stp>##V3_BDHV12</stp>
        <stp>AMZN US Equity</stp>
        <stp>INC_DEC_IN_OT_OP_AST_LIAB_DETAIL</stp>
        <stp>FQ1 2016</stp>
        <stp>FQ1 2016</stp>
        <stp>[AMZ_2009-2018.xlsx]Cash Flow - Standardized!R17C31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7" s="4"/>
      </tp>
      <tp>
        <v>1134</v>
        <stp/>
        <stp>##V3_BDHV12</stp>
        <stp>AMZN US Equity</stp>
        <stp>INC_DEC_IN_OT_OP_AST_LIAB_DETAIL</stp>
        <stp>FQ4 2011</stp>
        <stp>FQ4 2011</stp>
        <stp>[AMZ_2009-2018.xlsx]Cash Flow - Standardized!R17C14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7" s="4"/>
      </tp>
      <tp>
        <v>6759</v>
        <stp/>
        <stp>##V3_BDHV12</stp>
        <stp>AMZN US Equity</stp>
        <stp>IS_OPEX_R&amp;D</stp>
        <stp>FQ1 2018</stp>
        <stp>FQ1 2018</stp>
        <stp>[AMZ_2009-2018.xlsx]Income - Adjusted!R16C39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6" s="2"/>
      </tp>
      <tp>
        <v>5</v>
        <stp/>
        <stp>##V3_BDHV12</stp>
        <stp>AMZN US Equity</stp>
        <stp>BS_COMMON_STOCK</stp>
        <stp>FQ2 2017</stp>
        <stp>FQ2 2017</stp>
        <stp>[AMZ_2009-2018.xlsx]Bal Sheet - Standardized!R66C36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6" s="3"/>
      </tp>
      <tp>
        <v>71</v>
        <stp/>
        <stp>##V3_BDHV12</stp>
        <stp>AMZN US Equity</stp>
        <stp>IS_INC_TAX_EXP</stp>
        <stp>FQ1 2015</stp>
        <stp>FQ1 2015</stp>
        <stp>[AMZ_2009-2018.xlsx]Income - Adjusted!R32C27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32" s="2"/>
      </tp>
      <tp>
        <v>0</v>
        <stp/>
        <stp>##V3_BDHV12</stp>
        <stp>AMZN US Equity</stp>
        <stp>IS_DISCONTINUED_OPERATIONS</stp>
        <stp>FQ3 2010</stp>
        <stp>FQ3 2010</stp>
        <stp>[AMZ_2009-2018.xlsx]Income - Adjusted!R36C9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6" s="2"/>
      </tp>
      <tp>
        <v>5</v>
        <stp/>
        <stp>##V3_BDHV12</stp>
        <stp>AMZN US Equity</stp>
        <stp>BS_COMMON_STOCK</stp>
        <stp>FQ1 2015</stp>
        <stp>FQ1 2015</stp>
        <stp>[AMZ_2009-2018.xlsx]Bal Sheet - Standardized!R66C27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6" s="3"/>
      </tp>
      <tp>
        <v>58</v>
        <stp/>
        <stp>##V3_BDHV12</stp>
        <stp>AMZN US Equity</stp>
        <stp>IS_INC_TAX_EXP</stp>
        <stp>FQ3 2017</stp>
        <stp>FQ3 2017</stp>
        <stp>[AMZ_2009-2018.xlsx]Income - Adjusted!R32C37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32" s="2"/>
      </tp>
      <tp>
        <v>83</v>
        <stp/>
        <stp>##V3_BDHV12</stp>
        <stp>AMZN US Equity</stp>
        <stp>IS_INC_TAX_EXP</stp>
        <stp>FQ3 2012</stp>
        <stp>FQ3 2012</stp>
        <stp>[AMZ_2009-2018.xlsx]Income - Adjusted!R32C17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32" s="2"/>
      </tp>
      <tp>
        <v>5</v>
        <stp/>
        <stp>##V3_BDHV12</stp>
        <stp>AMZN US Equity</stp>
        <stp>BS_COMMON_STOCK</stp>
        <stp>FQ3 2016</stp>
        <stp>FQ3 2016</stp>
        <stp>[AMZ_2009-2018.xlsx]Bal Sheet - Standardized!R66C33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6" s="3"/>
      </tp>
      <tp>
        <v>549</v>
        <stp/>
        <stp>##V3_BDHV12</stp>
        <stp>AMZN US Equity</stp>
        <stp>INC_DEC_IN_OT_OP_AST_LIAB_DETAIL</stp>
        <stp>FQ3 2015</stp>
        <stp>FQ3 2015</stp>
        <stp>[AMZ_2009-2018.xlsx]Cash Flow - Standardized!R17C29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7" s="4"/>
      </tp>
      <tp>
        <v>195</v>
        <stp/>
        <stp>##V3_BDHV12</stp>
        <stp>AMZN US Equity</stp>
        <stp>OTHER_NON_CASH_ADJ_LESS_DETAILED</stp>
        <stp>FQ2 2018</stp>
        <stp>FQ2 2018</stp>
        <stp>[AMZ_2009-2018.xlsx]Cash Flow - Standardized!R12C40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2" s="4"/>
      </tp>
      <tp>
        <v>0.02</v>
        <stp/>
        <stp>##V3_BDHV12</stp>
        <stp>AMZN US Equity</stp>
        <stp>IS_EARN_BEF_XO_ITEMS_PER_SH</stp>
        <stp>FQ2 2012</stp>
        <stp>FQ2 2012</stp>
        <stp>[AMZ_2009-2018.xlsx]Per Share!R15C16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15" s="5"/>
      </tp>
      <tp>
        <v>0.41</v>
        <stp/>
        <stp>##V3_BDHV12</stp>
        <stp>AMZN US Equity</stp>
        <stp>IS_EARN_BEF_XO_ITEMS_PER_SH</stp>
        <stp>FQ2 2017</stp>
        <stp>FQ2 2017</stp>
        <stp>[AMZ_2009-2018.xlsx]Per Share!R15C36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15" s="5"/>
      </tp>
      <tp>
        <v>0.46</v>
        <stp/>
        <stp>##V3_BDHV12</stp>
        <stp>AMZN US Equity</stp>
        <stp>IS_EARN_BEF_XO_ITEMS_PER_SH</stp>
        <stp>FQ4 2014</stp>
        <stp>FQ4 2014</stp>
        <stp>[AMZ_2009-2018.xlsx]Per Share!R15C26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15" s="5"/>
      </tp>
      <tp t="s">
        <v>—</v>
        <stp/>
        <stp>##V3_BDHV12</stp>
        <stp>AMZN US Equity</stp>
        <stp>IS_GAIN_LOSS_ON_INVESTMENTS</stp>
        <stp>FQ4 2011</stp>
        <stp>FQ4 2011</stp>
        <stp>[AMZ_2009-2018.xlsx]Income - Adjusted!R29C14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9" s="2"/>
      </tp>
      <tp t="s">
        <v>—</v>
        <stp/>
        <stp>##V3_BDHV12</stp>
        <stp>AMZN US Equity</stp>
        <stp>IS_GAIN_LOSS_ON_INVESTMENTS</stp>
        <stp>FQ2 2011</stp>
        <stp>FQ2 2011</stp>
        <stp>[AMZ_2009-2018.xlsx]Income - Adjusted!R29C12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9" s="2"/>
      </tp>
      <tp t="s">
        <v>—</v>
        <stp/>
        <stp>##V3_BDHV12</stp>
        <stp>AMZN US Equity</stp>
        <stp>IS_GAIN_LOSS_ON_INVESTMENTS</stp>
        <stp>FQ3 2011</stp>
        <stp>FQ3 2011</stp>
        <stp>[AMZ_2009-2018.xlsx]Income - Adjusted!R29C13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9" s="2"/>
      </tp>
      <tp t="s">
        <v>—</v>
        <stp/>
        <stp>##V3_BDHV12</stp>
        <stp>AMZN US Equity</stp>
        <stp>IS_GAIN_LOSS_ON_INVESTMENTS</stp>
        <stp>FQ1 2011</stp>
        <stp>FQ1 2011</stp>
        <stp>[AMZ_2009-2018.xlsx]Income - Adjusted!R29C11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9" s="2"/>
      </tp>
      <tp t="s">
        <v>—</v>
        <stp/>
        <stp>##V3_BDHV12</stp>
        <stp>AMZN US Equity</stp>
        <stp>IS_DEPR_EXP</stp>
        <stp>FQ2 2014</stp>
        <stp>FQ2 2014</stp>
        <stp>[AMZ_2009-2018.xlsx]Income - Adjusted!R72C24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2" s="2"/>
      </tp>
      <tp>
        <v>0</v>
        <stp/>
        <stp>##V3_BDHV12</stp>
        <stp>AMZN US Equity</stp>
        <stp>CF_NET_CASH_DISCONT_OPS_OPER</stp>
        <stp>FQ1 2010</stp>
        <stp>FQ1 2010</stp>
        <stp>[AMZ_2009-2018.xlsx]Cash Flow - Standardized!R18C7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8" s="4"/>
      </tp>
      <tp t="s">
        <v>—</v>
        <stp/>
        <stp>##V3_BDHV12</stp>
        <stp>AMZN US Equity</stp>
        <stp>IS_DEPR_EXP</stp>
        <stp>FQ3 2014</stp>
        <stp>FQ3 2014</stp>
        <stp>[AMZ_2009-2018.xlsx]Income - Adjusted!R72C25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2" s="2"/>
      </tp>
      <tp t="s">
        <v>—</v>
        <stp/>
        <stp>##V3_BDHV12</stp>
        <stp>AMZN US Equity</stp>
        <stp>IS_DEPR_EXP</stp>
        <stp>FQ4 2014</stp>
        <stp>FQ4 2014</stp>
        <stp>[AMZ_2009-2018.xlsx]Income - Adjusted!R72C26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2" s="2"/>
      </tp>
      <tp t="s">
        <v>—</v>
        <stp/>
        <stp>##V3_BDHV12</stp>
        <stp>AMZN US Equity</stp>
        <stp>IS_DEPR_EXP</stp>
        <stp>FQ4 2015</stp>
        <stp>FQ4 2015</stp>
        <stp>[AMZ_2009-2018.xlsx]Income - Adjusted!R72C30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2" s="2"/>
      </tp>
      <tp t="s">
        <v>—</v>
        <stp/>
        <stp>##V3_BDHV12</stp>
        <stp>AMZN US Equity</stp>
        <stp>IS_DEPR_EXP</stp>
        <stp>FQ1 2014</stp>
        <stp>FQ1 2014</stp>
        <stp>[AMZ_2009-2018.xlsx]Income - Adjusted!R72C23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2" s="2"/>
      </tp>
      <tp>
        <v>2958</v>
        <stp/>
        <stp>##V3_BDHV12</stp>
        <stp>AMZN US Equity</stp>
        <stp>IS_OTHER_OPERATING_EXPENSES</stp>
        <stp>FQ4 2013</stp>
        <stp>FQ4 2013</stp>
        <stp>[AMZ_2009-2018.xlsx]Income - Adjusted!R17C22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7" s="2"/>
      </tp>
      <tp>
        <v>4432</v>
        <stp/>
        <stp>##V3_BDHV12</stp>
        <stp>AMZN US Equity</stp>
        <stp>BS_SH_CAP_AND_APIC</stp>
        <stp>FQ3 2009</stp>
        <stp>FQ3 2009</stp>
        <stp>[AMZ_2009-2018.xlsx]Bal Sheet - Standardized!R65C5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5" s="3"/>
      </tp>
      <tp>
        <v>6061</v>
        <stp/>
        <stp>##V3_BDHV12</stp>
        <stp>AMZN US Equity</stp>
        <stp>BS_SH_CAP_AND_APIC</stp>
        <stp>FQ2 2010</stp>
        <stp>FQ2 2010</stp>
        <stp>[AMZ_2009-2018.xlsx]Bal Sheet - Standardized!R65C8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5" s="3"/>
      </tp>
      <tp>
        <v>3933</v>
        <stp/>
        <stp>##V3_BDHV12</stp>
        <stp>AMZN US Equity</stp>
        <stp>IS_OTHER_OPERATING_EXPENSES</stp>
        <stp>FQ2 2016</stp>
        <stp>FQ2 2016</stp>
        <stp>[AMZ_2009-2018.xlsx]Income - Adjusted!R17C32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7" s="2"/>
      </tp>
      <tp>
        <v>982</v>
        <stp/>
        <stp>##V3_BDHV12</stp>
        <stp>AMZN US Equity</stp>
        <stp>IS_OTHER_OPERATING_EXPENSES</stp>
        <stp>FQ2 2011</stp>
        <stp>FQ2 2011</stp>
        <stp>[AMZ_2009-2018.xlsx]Income - Adjusted!R17C12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7" s="2"/>
      </tp>
      <tp>
        <v>1150</v>
        <stp/>
        <stp>##V3_BDHV12</stp>
        <stp>AMZN US Equity</stp>
        <stp>IS_SELLING_EXPENSES</stp>
        <stp>FQ2 2015</stp>
        <stp>FQ2 2015</stp>
        <stp>[AMZ_2009-2018.xlsx]Income - Adjusted!R14C28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4" s="2"/>
      </tp>
      <tp t="s">
        <v>—</v>
        <stp/>
        <stp>##V3_BDHV12</stp>
        <stp>AMZN US Equity</stp>
        <stp>BS_GROSS_FIX_ASSET</stp>
        <stp>FQ3 2009</stp>
        <stp>FQ3 2009</stp>
        <stp>[AMZ_2009-2018.xlsx]Bal Sheet - Standardized!R24C5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4" s="3"/>
      </tp>
      <tp>
        <v>-437</v>
        <stp/>
        <stp>##V3_BDHV12</stp>
        <stp>AMZN US Equity</stp>
        <stp>EARN_FOR_COMMON</stp>
        <stp>FQ3 2014</stp>
        <stp>FQ3 2014</stp>
        <stp>[AMZ_2009-2018.xlsx]Income - Adjusted!R43C25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43" s="2"/>
      </tp>
      <tp t="s">
        <v>—</v>
        <stp/>
        <stp>##V3_BDHV12</stp>
        <stp>AMZN US Equity</stp>
        <stp>BS_GROSS_FIX_ASSET</stp>
        <stp>FQ2 2010</stp>
        <stp>FQ2 2010</stp>
        <stp>[AMZ_2009-2018.xlsx]Bal Sheet - Standardized!R24C8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4" s="3"/>
      </tp>
      <tp>
        <v>724</v>
        <stp/>
        <stp>##V3_BDHV12</stp>
        <stp>AMZN US Equity</stp>
        <stp>EARN_FOR_COMMON</stp>
        <stp>FQ1 2017</stp>
        <stp>FQ1 2017</stp>
        <stp>[AMZ_2009-2018.xlsx]Income - Adjusted!R43C35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43" s="2"/>
      </tp>
      <tp>
        <v>130</v>
        <stp/>
        <stp>##V3_BDHV12</stp>
        <stp>AMZN US Equity</stp>
        <stp>EARN_FOR_COMMON</stp>
        <stp>FQ1 2012</stp>
        <stp>FQ1 2012</stp>
        <stp>[AMZ_2009-2018.xlsx]Income - Adjusted!R43C15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43" s="2"/>
      </tp>
      <tp>
        <v>851</v>
        <stp/>
        <stp>##V3_BDHV12</stp>
        <stp>AMZN US Equity</stp>
        <stp>IS_SELLING_EXPENSES</stp>
        <stp>FQ4 2012</stp>
        <stp>FQ4 2012</stp>
        <stp>[AMZ_2009-2018.xlsx]Income - Adjusted!R14C18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4" s="2"/>
      </tp>
      <tp>
        <v>3440</v>
        <stp/>
        <stp>##V3_BDHV12</stp>
        <stp>AMZN US Equity</stp>
        <stp>IS_SELLING_EXPENSES</stp>
        <stp>FQ4 2017</stp>
        <stp>FQ4 2017</stp>
        <stp>[AMZ_2009-2018.xlsx]Income - Adjusted!R14C38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4" s="2"/>
      </tp>
      <tp>
        <v>-960</v>
        <stp/>
        <stp>##V3_BDHV12</stp>
        <stp>AMZN US Equity</stp>
        <stp>CF_DECR_CAP_STOCK</stp>
        <stp>FQ1 2012</stp>
        <stp>FQ1 2012</stp>
        <stp>[AMZ_2009-2018.xlsx]Cash Flow - Standardized!R48C15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8" s="4"/>
      </tp>
      <tp>
        <v>40</v>
        <stp/>
        <stp>##V3_BDHV12</stp>
        <stp>AMZN US Equity</stp>
        <stp>CF_INCR_CAP_STOCK</stp>
        <stp>FQ1 2012</stp>
        <stp>FQ1 2012</stp>
        <stp>[AMZ_2009-2018.xlsx]Cash Flow - Standardized!R47C15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7" s="4"/>
      </tp>
      <tp>
        <v>0</v>
        <stp/>
        <stp>##V3_BDHV12</stp>
        <stp>AMZN US Equity</stp>
        <stp>CF_DECR_CAP_STOCK</stp>
        <stp>FQ4 2015</stp>
        <stp>FQ4 2015</stp>
        <stp>[AMZ_2009-2018.xlsx]Cash Flow - Standardized!R48C30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8" s="4"/>
      </tp>
      <tp>
        <v>0</v>
        <stp/>
        <stp>##V3_BDHV12</stp>
        <stp>AMZN US Equity</stp>
        <stp>CF_INCR_CAP_STOCK</stp>
        <stp>FQ4 2015</stp>
        <stp>FQ4 2015</stp>
        <stp>[AMZ_2009-2018.xlsx]Cash Flow - Standardized!R47C30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7" s="4"/>
      </tp>
      <tp>
        <v>0</v>
        <stp/>
        <stp>##V3_BDHV12</stp>
        <stp>AMZN US Equity</stp>
        <stp>CF_DECR_CAP_STOCK</stp>
        <stp>FQ3 2013</stp>
        <stp>FQ3 2013</stp>
        <stp>[AMZ_2009-2018.xlsx]Cash Flow - Standardized!R48C21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8" s="4"/>
      </tp>
      <tp>
        <v>-115</v>
        <stp/>
        <stp>##V3_BDHV12</stp>
        <stp>AMZN US Equity</stp>
        <stp>CF_DECR_CAP_STOCK</stp>
        <stp>FQ4 2014</stp>
        <stp>FQ4 2014</stp>
        <stp>[AMZ_2009-2018.xlsx]Cash Flow - Standardized!R48C26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8" s="4"/>
      </tp>
      <tp>
        <v>0</v>
        <stp/>
        <stp>##V3_BDHV12</stp>
        <stp>AMZN US Equity</stp>
        <stp>CF_INCR_CAP_STOCK</stp>
        <stp>FQ3 2013</stp>
        <stp>FQ3 2013</stp>
        <stp>[AMZ_2009-2018.xlsx]Cash Flow - Standardized!R47C21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7" s="4"/>
      </tp>
      <tp>
        <v>0</v>
        <stp/>
        <stp>##V3_BDHV12</stp>
        <stp>AMZN US Equity</stp>
        <stp>CF_INCR_CAP_STOCK</stp>
        <stp>FQ4 2014</stp>
        <stp>FQ4 2014</stp>
        <stp>[AMZ_2009-2018.xlsx]Cash Flow - Standardized!R47C26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7" s="4"/>
      </tp>
      <tp>
        <v>0</v>
        <stp/>
        <stp>##V3_BDHV12</stp>
        <stp>AMZN US Equity</stp>
        <stp>CF_DECR_CAP_STOCK</stp>
        <stp>FQ2 2011</stp>
        <stp>FQ2 2011</stp>
        <stp>[AMZ_2009-2018.xlsx]Cash Flow - Standardized!R48C12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8" s="4"/>
      </tp>
      <tp>
        <v>15</v>
        <stp/>
        <stp>##V3_BDHV12</stp>
        <stp>AMZN US Equity</stp>
        <stp>CF_INCR_CAP_STOCK</stp>
        <stp>FQ2 2011</stp>
        <stp>FQ2 2011</stp>
        <stp>[AMZ_2009-2018.xlsx]Cash Flow - Standardized!R47C12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7" s="4"/>
      </tp>
      <tp>
        <v>22</v>
        <stp/>
        <stp>##V3_BDHV12</stp>
        <stp>AMZN US Equity</stp>
        <stp>BS_CURR_PORTION_LT_DEBT</stp>
        <stp>FQ4 2009</stp>
        <stp>FQ4 2009</stp>
        <stp>[AMZ_2009-2018.xlsx]Bal Sheet - Standardized!R46C6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6" s="3"/>
      </tp>
      <tp>
        <v>441</v>
        <stp/>
        <stp>##V3_BDHV12</stp>
        <stp>AMZN US Equity</stp>
        <stp>IS_SH_FOR_DILUTED_EPS</stp>
        <stp>FQ3 2009</stp>
        <stp>FQ3 2009</stp>
        <stp>[AMZ_2009-2018.xlsx]Income - Adjusted!R54C5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54" s="2"/>
      </tp>
      <tp>
        <v>578</v>
        <stp/>
        <stp>##V3_BDHV12</stp>
        <stp>AMZN US Equity</stp>
        <stp>OTHER_NONCUR_LIABS_SUB_DETAILED</stp>
        <stp>FQ1 2009</stp>
        <stp>FQ1 2009</stp>
        <stp>[AMZ_2009-2018.xlsx]Bal Sheet - Standardized!R55C3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5" s="3"/>
      </tp>
      <tp>
        <v>1805</v>
        <stp/>
        <stp>##V3_BDHV12</stp>
        <stp>AMZN US Equity</stp>
        <stp>OTHER_NONCURRENT_LIABS_DETAILED</stp>
        <stp>FQ1 2011</stp>
        <stp>FQ1 2011</stp>
        <stp>[AMZ_2009-2018.xlsx]Bal Sheet - Standardized!R61C11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1" s="3"/>
      </tp>
      <tp>
        <v>4512</v>
        <stp/>
        <stp>##V3_BDHV12</stp>
        <stp>AMZN US Equity</stp>
        <stp>OTHER_NONCUR_LIABS_SUB_DETAILED</stp>
        <stp>FQ3 2016</stp>
        <stp>FQ3 2016</stp>
        <stp>[AMZ_2009-2018.xlsx]Bal Sheet - Standardized!R55C33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5" s="3"/>
      </tp>
      <tp>
        <v>0</v>
        <stp/>
        <stp>##V3_BDHV12</stp>
        <stp>AMZN US Equity</stp>
        <stp>CF_DISPOSAL_OF_INTANGIBLE_ASSETS</stp>
        <stp>FQ3 2015</stp>
        <stp>FQ3 2015</stp>
        <stp>[AMZ_2009-2018.xlsx]Cash Flow - Standardized!R25C29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5" s="4"/>
      </tp>
      <tp>
        <v>4197</v>
        <stp/>
        <stp>##V3_BDHV12</stp>
        <stp>AMZN US Equity</stp>
        <stp>OTHER_NONCURRENT_LIABS_DETAILED</stp>
        <stp>FQ4 2016</stp>
        <stp>FQ4 2016</stp>
        <stp>[AMZ_2009-2018.xlsx]Bal Sheet - Standardized!R61C34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1" s="3"/>
      </tp>
      <tp>
        <v>2553</v>
        <stp/>
        <stp>##V3_BDHV12</stp>
        <stp>AMZN US Equity</stp>
        <stp>OTHER_NONCURRENT_LIABS_DETAILED</stp>
        <stp>FQ2 2012</stp>
        <stp>FQ2 2012</stp>
        <stp>[AMZ_2009-2018.xlsx]Bal Sheet - Standardized!R61C16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1" s="3"/>
      </tp>
      <tp>
        <v>6564</v>
        <stp/>
        <stp>##V3_BDHV12</stp>
        <stp>AMZN US Equity</stp>
        <stp>OTHER_NONCUR_LIABS_SUB_DETAILED</stp>
        <stp>FQ2 2017</stp>
        <stp>FQ2 2017</stp>
        <stp>[AMZ_2009-2018.xlsx]Bal Sheet - Standardized!R55C36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5" s="3"/>
      </tp>
      <tp>
        <v>7768</v>
        <stp/>
        <stp>##V3_BDHV12</stp>
        <stp>AMZN US Equity</stp>
        <stp>OTHER_NONCUR_LIABS_SUB_DETAILED</stp>
        <stp>FQ1 2015</stp>
        <stp>FQ1 2015</stp>
        <stp>[AMZ_2009-2018.xlsx]Bal Sheet - Standardized!R55C27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5" s="3"/>
      </tp>
      <tp>
        <v>645</v>
        <stp/>
        <stp>##V3_BDHV12</stp>
        <stp>AMZN US Equity</stp>
        <stp>CF_NET_CHNG_CASH</stp>
        <stp>FQ3 2012</stp>
        <stp>FQ3 2012</stp>
        <stp>[AMZ_2009-2018.xlsx]Cash Flow - Standardized!R55C17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5" s="4"/>
      </tp>
      <tp>
        <v>0</v>
        <stp/>
        <stp>##V3_BDHV12</stp>
        <stp>AMZN US Equity</stp>
        <stp>CF_DISPOSAL_OF_INTANGIBLE_ASSETS</stp>
        <stp>FQ4 2011</stp>
        <stp>FQ4 2011</stp>
        <stp>[AMZ_2009-2018.xlsx]Cash Flow - Standardized!R25C14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5" s="4"/>
      </tp>
      <tp>
        <v>666</v>
        <stp/>
        <stp>##V3_BDHV12</stp>
        <stp>AMZN US Equity</stp>
        <stp>PRETAX_INC</stp>
        <stp>FQ2 2017</stp>
        <stp>FQ2 2017</stp>
        <stp>[AMZ_2009-2018.xlsx]Income - Adjusted!R25C36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25" s="2"/>
      </tp>
      <tp>
        <v>246</v>
        <stp/>
        <stp>##V3_BDHV12</stp>
        <stp>AMZN US Equity</stp>
        <stp>PRETAX_INC</stp>
        <stp>FQ2 2012</stp>
        <stp>FQ2 2012</stp>
        <stp>[AMZ_2009-2018.xlsx]Income - Adjusted!R25C16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5" s="2"/>
      </tp>
      <tp>
        <v>14.472</v>
        <stp/>
        <stp>##V3_BDHV12</stp>
        <stp>AMZN US Equity</stp>
        <stp>CASH_FLOW_PER_SH</stp>
        <stp>FQ4 2014</stp>
        <stp>FQ4 2014</stp>
        <stp>[AMZ_2009-2018.xlsx]Per Share!R22C26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22" s="5"/>
      </tp>
      <tp>
        <v>0</v>
        <stp/>
        <stp>##V3_BDHV12</stp>
        <stp>AMZN US Equity</stp>
        <stp>CF_DISPOSAL_OF_INTANGIBLE_ASSETS</stp>
        <stp>FQ1 2016</stp>
        <stp>FQ1 2016</stp>
        <stp>[AMZ_2009-2018.xlsx]Cash Flow - Standardized!R25C31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5" s="4"/>
      </tp>
      <tp>
        <v>27657</v>
        <stp/>
        <stp>##V3_BDHV12</stp>
        <stp>AMZN US Equity</stp>
        <stp>BS_ACCT_PAYABLE</stp>
        <stp>FQ2 2018</stp>
        <stp>FQ2 2018</stp>
        <stp>[AMZ_2009-2018.xlsx]Bal Sheet - Standardized!R39C40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9" s="3"/>
      </tp>
      <tp>
        <v>7755</v>
        <stp/>
        <stp>##V3_BDHV12</stp>
        <stp>AMZN US Equity</stp>
        <stp>CF_NET_CHNG_CASH</stp>
        <stp>FQ4 2017</stp>
        <stp>FQ4 2017</stp>
        <stp>[AMZ_2009-2018.xlsx]Cash Flow - Standardized!R55C38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5" s="4"/>
      </tp>
      <tp>
        <v>0</v>
        <stp/>
        <stp>##V3_BDHV12</stp>
        <stp>AMZN US Equity</stp>
        <stp>CF_DISPOSAL_OF_INTANGIBLE_ASSETS</stp>
        <stp>FQ2 2014</stp>
        <stp>FQ2 2014</stp>
        <stp>[AMZ_2009-2018.xlsx]Cash Flow - Standardized!R25C24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5" s="4"/>
      </tp>
      <tp>
        <v>429</v>
        <stp/>
        <stp>##V3_BDHV12</stp>
        <stp>AMZN US Equity</stp>
        <stp>PRETAX_INC</stp>
        <stp>FQ4 2014</stp>
        <stp>FQ4 2014</stp>
        <stp>[AMZ_2009-2018.xlsx]Income - Adjusted!R25C26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5" s="2"/>
      </tp>
      <tp>
        <v>1.3170999999999999</v>
        <stp/>
        <stp>##V3_BDHV12</stp>
        <stp>AMZN US Equity</stp>
        <stp>CASH_FLOW_PER_SH</stp>
        <stp>FQ2 2012</stp>
        <stp>FQ2 2012</stp>
        <stp>[AMZ_2009-2018.xlsx]Per Share!R22C16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22" s="5"/>
      </tp>
      <tp>
        <v>8.0375999999999994</v>
        <stp/>
        <stp>##V3_BDHV12</stp>
        <stp>AMZN US Equity</stp>
        <stp>CASH_FLOW_PER_SH</stp>
        <stp>FQ2 2017</stp>
        <stp>FQ2 2017</stp>
        <stp>[AMZ_2009-2018.xlsx]Per Share!R22C36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22" s="5"/>
      </tp>
      <tp>
        <v>7525</v>
        <stp/>
        <stp>##V3_BDHV12</stp>
        <stp>AMZN US Equity</stp>
        <stp>IS_COG_AND_SERVICES_SOLD</stp>
        <stp>FQ2 2011</stp>
        <stp>FQ2 2011</stp>
        <stp>[AMZ_2009-2018.xlsx]Income - Adjusted!R9C12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9" s="2"/>
      </tp>
      <tp>
        <v>11209</v>
        <stp/>
        <stp>##V3_BDHV12</stp>
        <stp>AMZN US Equity</stp>
        <stp>IS_COG_AND_SERVICES_SOLD</stp>
        <stp>FQ2 2013</stp>
        <stp>FQ2 2013</stp>
        <stp>[AMZ_2009-2018.xlsx]Income - Adjusted!R9C20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9" s="2"/>
      </tp>
      <tp>
        <v>11</v>
        <stp/>
        <stp>##V3_BDHV12</stp>
        <stp>AMZN US Equity</stp>
        <stp>OTHER_NON_CASH_ADJ_LESS_DETAILED</stp>
        <stp>FQ2 2012</stp>
        <stp>FQ2 2012</stp>
        <stp>[AMZ_2009-2018.xlsx]Cash Flow - Standardized!R12C16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2" s="4"/>
      </tp>
      <tp>
        <v>4813</v>
        <stp/>
        <stp>##V3_BDHV12</stp>
        <stp>AMZN US Equity</stp>
        <stp>IS_OPEX_R&amp;D</stp>
        <stp>FQ1 2017</stp>
        <stp>FQ1 2017</stp>
        <stp>[AMZ_2009-2018.xlsx]Income - Adjusted!R16C35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6" s="2"/>
      </tp>
      <tp>
        <v>52</v>
        <stp/>
        <stp>##V3_BDHV12</stp>
        <stp>AMZN US Equity</stp>
        <stp>OTHER_NON_CASH_ADJ_LESS_DETAILED</stp>
        <stp>FQ4 2016</stp>
        <stp>FQ4 2016</stp>
        <stp>[AMZ_2009-2018.xlsx]Cash Flow - Standardized!R12C34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2" s="4"/>
      </tp>
      <tp>
        <v>5944</v>
        <stp/>
        <stp>##V3_BDHV12</stp>
        <stp>AMZN US Equity</stp>
        <stp>IS_OPEX_R&amp;D</stp>
        <stp>FQ3 2017</stp>
        <stp>FQ3 2017</stp>
        <stp>[AMZ_2009-2018.xlsx]Income - Adjusted!R16C37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6" s="2"/>
      </tp>
      <tp>
        <v>5549</v>
        <stp/>
        <stp>##V3_BDHV12</stp>
        <stp>AMZN US Equity</stp>
        <stp>IS_OPEX_R&amp;D</stp>
        <stp>FQ2 2017</stp>
        <stp>FQ2 2017</stp>
        <stp>[AMZ_2009-2018.xlsx]Income - Adjusted!R16C36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6" s="2"/>
      </tp>
      <tp>
        <v>72</v>
        <stp/>
        <stp>##V3_BDHV12</stp>
        <stp>AMZN US Equity</stp>
        <stp>OTHER_NON_CASH_ADJ_LESS_DETAILED</stp>
        <stp>FQ1 2011</stp>
        <stp>FQ1 2011</stp>
        <stp>[AMZ_2009-2018.xlsx]Cash Flow - Standardized!R12C11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2" s="4"/>
      </tp>
      <tp>
        <v>6314</v>
        <stp/>
        <stp>##V3_BDHV12</stp>
        <stp>AMZN US Equity</stp>
        <stp>IS_OPEX_R&amp;D</stp>
        <stp>FQ4 2017</stp>
        <stp>FQ4 2017</stp>
        <stp>[AMZ_2009-2018.xlsx]Income - Adjusted!R16C38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6" s="2"/>
      </tp>
      <tp>
        <v>0</v>
        <stp/>
        <stp>##V3_BDHV12</stp>
        <stp>AMZN US Equity</stp>
        <stp>MINORITY_NONCONTROLLING_INTEREST</stp>
        <stp>FQ1 2010</stp>
        <stp>FQ1 2010</stp>
        <stp>[AMZ_2009-2018.xlsx]Bal Sheet - Standardized!R72C7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2" s="3"/>
      </tp>
      <tp>
        <v>266</v>
        <stp/>
        <stp>##V3_BDHV12</stp>
        <stp>AMZN US Equity</stp>
        <stp>IS_INC_TAX_EXP</stp>
        <stp>FQ2 2015</stp>
        <stp>FQ2 2015</stp>
        <stp>[AMZ_2009-2018.xlsx]Income - Adjusted!R32C28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32" s="2"/>
      </tp>
      <tp>
        <v>0</v>
        <stp/>
        <stp>##V3_BDHV12</stp>
        <stp>AMZN US Equity</stp>
        <stp>EQY_DPS</stp>
        <stp>FQ3 2009</stp>
        <stp>FQ3 2009</stp>
        <stp>[AMZ_2009-2018.xlsx]Income - Adjusted!R69C5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69" s="2"/>
      </tp>
      <tp>
        <v>194</v>
        <stp/>
        <stp>##V3_BDHV12</stp>
        <stp>AMZN US Equity</stp>
        <stp>IS_INC_TAX_EXP</stp>
        <stp>FQ4 2012</stp>
        <stp>FQ4 2012</stp>
        <stp>[AMZ_2009-2018.xlsx]Income - Adjusted!R32C18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32" s="2"/>
      </tp>
      <tp>
        <v>16</v>
        <stp/>
        <stp>##V3_BDHV12</stp>
        <stp>AMZN US Equity</stp>
        <stp>IS_INC_TAX_EXP</stp>
        <stp>FQ4 2017</stp>
        <stp>FQ4 2017</stp>
        <stp>[AMZ_2009-2018.xlsx]Income - Adjusted!R32C38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32" s="2"/>
      </tp>
      <tp>
        <v>0</v>
        <stp/>
        <stp>##V3_BDHV12</stp>
        <stp>AMZN US Equity</stp>
        <stp>IS_DISCONTINUED_OPERATIONS</stp>
        <stp>FQ4 2009</stp>
        <stp>FQ4 2009</stp>
        <stp>[AMZ_2009-2018.xlsx]Income - Adjusted!R36C6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6" s="2"/>
      </tp>
      <tp>
        <v>-0.12</v>
        <stp/>
        <stp>##V3_BDHV12</stp>
        <stp>AMZN US Equity</stp>
        <stp>IS_EARN_BEF_XO_ITEMS_PER_SH</stp>
        <stp>FQ1 2015</stp>
        <stp>FQ1 2015</stp>
        <stp>[AMZ_2009-2018.xlsx]Per Share!R15C27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15" s="5"/>
      </tp>
      <tp>
        <v>-0.6</v>
        <stp/>
        <stp>##V3_BDHV12</stp>
        <stp>AMZN US Equity</stp>
        <stp>IS_EARN_BEF_XO_ITEMS_PER_SH</stp>
        <stp>FQ3 2012</stp>
        <stp>FQ3 2012</stp>
        <stp>[AMZ_2009-2018.xlsx]Per Share!R15C17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15" s="5"/>
      </tp>
      <tp>
        <v>0.53</v>
        <stp/>
        <stp>##V3_BDHV12</stp>
        <stp>AMZN US Equity</stp>
        <stp>IS_EARN_BEF_XO_ITEMS_PER_SH</stp>
        <stp>FQ3 2017</stp>
        <stp>FQ3 2017</stp>
        <stp>[AMZ_2009-2018.xlsx]Per Share!R15C37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15" s="5"/>
      </tp>
      <tp t="s">
        <v>—</v>
        <stp/>
        <stp>##V3_BDHV12</stp>
        <stp>AMZN US Equity</stp>
        <stp>IS_DEPR_EXP</stp>
        <stp>FQ2 2015</stp>
        <stp>FQ2 2015</stp>
        <stp>[AMZ_2009-2018.xlsx]Income - Adjusted!R72C28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2" s="2"/>
      </tp>
      <tp t="s">
        <v>—</v>
        <stp/>
        <stp>##V3_BDHV12</stp>
        <stp>AMZN US Equity</stp>
        <stp>IS_GAIN_LOSS_ON_INVESTMENTS</stp>
        <stp>FQ4 2013</stp>
        <stp>FQ4 2013</stp>
        <stp>[AMZ_2009-2018.xlsx]Income - Adjusted!R29C22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9" s="2"/>
      </tp>
      <tp>
        <v>0</v>
        <stp/>
        <stp>##V3_BDHV12</stp>
        <stp>AMZN US Equity</stp>
        <stp>CF_NET_CASH_DISCONT_OPS_OPER</stp>
        <stp>FQ1 2009</stp>
        <stp>FQ1 2009</stp>
        <stp>[AMZ_2009-2018.xlsx]Cash Flow - Standardized!R18C3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4"/>
      </tp>
      <tp t="s">
        <v>—</v>
        <stp/>
        <stp>##V3_BDHV12</stp>
        <stp>AMZN US Equity</stp>
        <stp>IS_DEPR_EXP</stp>
        <stp>FQ3 2015</stp>
        <stp>FQ3 2015</stp>
        <stp>[AMZ_2009-2018.xlsx]Income - Adjusted!R72C29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2" s="2"/>
      </tp>
      <tp t="s">
        <v>—</v>
        <stp/>
        <stp>##V3_BDHV12</stp>
        <stp>AMZN US Equity</stp>
        <stp>IS_GAIN_LOSS_ON_INVESTMENTS</stp>
        <stp>FQ2 2013</stp>
        <stp>FQ2 2013</stp>
        <stp>[AMZ_2009-2018.xlsx]Income - Adjusted!R29C20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9" s="2"/>
      </tp>
      <tp t="s">
        <v>—</v>
        <stp/>
        <stp>##V3_BDHV12</stp>
        <stp>AMZN US Equity</stp>
        <stp>IS_GAIN_LOSS_ON_INVESTMENTS</stp>
        <stp>FQ4 2010</stp>
        <stp>FQ4 2010</stp>
        <stp>[AMZ_2009-2018.xlsx]Income - Adjusted!R29C10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9" s="2"/>
      </tp>
      <tp t="s">
        <v>—</v>
        <stp/>
        <stp>##V3_BDHV12</stp>
        <stp>AMZN US Equity</stp>
        <stp>IS_GAIN_LOSS_ON_INVESTMENTS</stp>
        <stp>FQ3 2013</stp>
        <stp>FQ3 2013</stp>
        <stp>[AMZ_2009-2018.xlsx]Income - Adjusted!R29C21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9" s="2"/>
      </tp>
      <tp t="s">
        <v>—</v>
        <stp/>
        <stp>##V3_BDHV12</stp>
        <stp>AMZN US Equity</stp>
        <stp>IS_DEPR_EXP</stp>
        <stp>FQ1 2015</stp>
        <stp>FQ1 2015</stp>
        <stp>[AMZ_2009-2018.xlsx]Income - Adjusted!R72C27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2" s="2"/>
      </tp>
      <tp>
        <v>4325</v>
        <stp/>
        <stp>##V3_BDHV12</stp>
        <stp>AMZN US Equity</stp>
        <stp>BS_SH_CAP_AND_APIC</stp>
        <stp>FQ2 2009</stp>
        <stp>FQ2 2009</stp>
        <stp>[AMZ_2009-2018.xlsx]Bal Sheet - Standardized!R65C4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5" s="3"/>
      </tp>
      <tp>
        <v>2352</v>
        <stp/>
        <stp>##V3_BDHV12</stp>
        <stp>AMZN US Equity</stp>
        <stp>IS_OTHER_OPERATING_EXPENSES</stp>
        <stp>FQ1 2014</stp>
        <stp>FQ1 2014</stp>
        <stp>[AMZ_2009-2018.xlsx]Income - Adjusted!R17C23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7" s="2"/>
      </tp>
      <tp>
        <v>4367</v>
        <stp/>
        <stp>##V3_BDHV12</stp>
        <stp>AMZN US Equity</stp>
        <stp>IS_OTHER_OPERATING_EXPENSES</stp>
        <stp>FQ3 2016</stp>
        <stp>FQ3 2016</stp>
        <stp>[AMZ_2009-2018.xlsx]Income - Adjusted!R17C33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7" s="2"/>
      </tp>
      <tp>
        <v>1158</v>
        <stp/>
        <stp>##V3_BDHV12</stp>
        <stp>AMZN US Equity</stp>
        <stp>IS_OTHER_OPERATING_EXPENSES</stp>
        <stp>FQ3 2011</stp>
        <stp>FQ3 2011</stp>
        <stp>[AMZ_2009-2018.xlsx]Income - Adjusted!R17C13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7" s="2"/>
      </tp>
      <tp>
        <v>0.41</v>
        <stp/>
        <stp>##V3_BDHV12</stp>
        <stp>AMZN US Equity</stp>
        <stp>IS_EARN_BEF_XO_ITEMS_PER_SH</stp>
        <stp>FQ1 2009</stp>
        <stp>FQ1 2009</stp>
        <stp>[AMZ_2009-2018.xlsx]Per Share!R15C3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15" s="5"/>
      </tp>
      <tp>
        <v>6220</v>
        <stp/>
        <stp>##V3_BDHV12</stp>
        <stp>AMZN US Equity</stp>
        <stp>BS_SH_CAP_AND_APIC</stp>
        <stp>FQ3 2010</stp>
        <stp>FQ3 2010</stp>
        <stp>[AMZ_2009-2018.xlsx]Bal Sheet - Standardized!R65C9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5" s="3"/>
      </tp>
      <tp>
        <v>1264</v>
        <stp/>
        <stp>##V3_BDHV12</stp>
        <stp>AMZN US Equity</stp>
        <stp>IS_SELLING_EXPENSES</stp>
        <stp>FQ3 2015</stp>
        <stp>FQ3 2015</stp>
        <stp>[AMZ_2009-2018.xlsx]Income - Adjusted!R14C29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4" s="2"/>
      </tp>
      <tp t="s">
        <v>—</v>
        <stp/>
        <stp>##V3_BDHV12</stp>
        <stp>AMZN US Equity</stp>
        <stp>BS_GROSS_FIX_ASSET</stp>
        <stp>FQ2 2009</stp>
        <stp>FQ2 2009</stp>
        <stp>[AMZ_2009-2018.xlsx]Bal Sheet - Standardized!R24C4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4" s="3"/>
      </tp>
      <tp>
        <v>2699</v>
        <stp/>
        <stp>##V3_BDHV12</stp>
        <stp>AMZN US Equity</stp>
        <stp>IS_SELLING_EXPENSES</stp>
        <stp>FQ1 2018</stp>
        <stp>FQ1 2018</stp>
        <stp>[AMZ_2009-2018.xlsx]Income - Adjusted!R14C39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4" s="2"/>
      </tp>
      <tp>
        <v>632</v>
        <stp/>
        <stp>##V3_BDHV12</stp>
        <stp>AMZN US Equity</stp>
        <stp>IS_SELLING_EXPENSES</stp>
        <stp>FQ1 2013</stp>
        <stp>FQ1 2013</stp>
        <stp>[AMZ_2009-2018.xlsx]Income - Adjusted!R14C19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4" s="2"/>
      </tp>
      <tp>
        <v>177</v>
        <stp/>
        <stp>##V3_BDHV12</stp>
        <stp>AMZN US Equity</stp>
        <stp>EARN_FOR_COMMON</stp>
        <stp>FQ4 2011</stp>
        <stp>FQ4 2011</stp>
        <stp>[AMZ_2009-2018.xlsx]Income - Adjusted!R43C14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43" s="2"/>
      </tp>
      <tp>
        <v>749</v>
        <stp/>
        <stp>##V3_BDHV12</stp>
        <stp>AMZN US Equity</stp>
        <stp>EARN_FOR_COMMON</stp>
        <stp>FQ4 2016</stp>
        <stp>FQ4 2016</stp>
        <stp>[AMZ_2009-2018.xlsx]Income - Adjusted!R43C34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43" s="2"/>
      </tp>
      <tp t="s">
        <v>—</v>
        <stp/>
        <stp>##V3_BDHV12</stp>
        <stp>AMZN US Equity</stp>
        <stp>BS_GROSS_FIX_ASSET</stp>
        <stp>FQ3 2010</stp>
        <stp>FQ3 2010</stp>
        <stp>[AMZ_2009-2018.xlsx]Bal Sheet - Standardized!R24C9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4" s="3"/>
      </tp>
      <tp>
        <v>-126</v>
        <stp/>
        <stp>##V3_BDHV12</stp>
        <stp>AMZN US Equity</stp>
        <stp>EARN_FOR_COMMON</stp>
        <stp>FQ2 2014</stp>
        <stp>FQ2 2014</stp>
        <stp>[AMZ_2009-2018.xlsx]Income - Adjusted!R43C24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43" s="2"/>
      </tp>
      <tp>
        <v>0</v>
        <stp/>
        <stp>##V3_BDHV12</stp>
        <stp>AMZN US Equity</stp>
        <stp>CF_DECR_CAP_STOCK</stp>
        <stp>FQ1 2013</stp>
        <stp>FQ1 2013</stp>
        <stp>[AMZ_2009-2018.xlsx]Cash Flow - Standardized!R48C19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8" s="4"/>
      </tp>
      <tp>
        <v>0</v>
        <stp/>
        <stp>##V3_BDHV12</stp>
        <stp>AMZN US Equity</stp>
        <stp>CF_INCR_CAP_STOCK</stp>
        <stp>FQ1 2013</stp>
        <stp>FQ1 2013</stp>
        <stp>[AMZ_2009-2018.xlsx]Cash Flow - Standardized!R47C19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7" s="4"/>
      </tp>
      <tp>
        <v>0</v>
        <stp/>
        <stp>##V3_BDHV12</stp>
        <stp>AMZN US Equity</stp>
        <stp>CF_DECR_CAP_STOCK</stp>
        <stp>FQ3 2011</stp>
        <stp>FQ3 2011</stp>
        <stp>[AMZ_2009-2018.xlsx]Cash Flow - Standardized!R48C13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8" s="4"/>
      </tp>
      <tp>
        <v>0</v>
        <stp/>
        <stp>##V3_BDHV12</stp>
        <stp>AMZN US Equity</stp>
        <stp>CF_INCR_CAP_STOCK</stp>
        <stp>FQ3 2011</stp>
        <stp>FQ3 2011</stp>
        <stp>[AMZ_2009-2018.xlsx]Cash Flow - Standardized!R47C13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7" s="4"/>
      </tp>
      <tp>
        <v>0</v>
        <stp/>
        <stp>##V3_BDHV12</stp>
        <stp>AMZN US Equity</stp>
        <stp>CF_DECR_CAP_STOCK</stp>
        <stp>FQ2 2013</stp>
        <stp>FQ2 2013</stp>
        <stp>[AMZ_2009-2018.xlsx]Cash Flow - Standardized!R48C20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8" s="4"/>
      </tp>
      <tp>
        <v>0</v>
        <stp/>
        <stp>##V3_BDHV12</stp>
        <stp>AMZN US Equity</stp>
        <stp>CF_INCR_CAP_STOCK</stp>
        <stp>FQ2 2013</stp>
        <stp>FQ2 2013</stp>
        <stp>[AMZ_2009-2018.xlsx]Cash Flow - Standardized!R47C20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7" s="4"/>
      </tp>
      <tp>
        <v>0.67</v>
        <stp/>
        <stp>##V3_BDHV12</stp>
        <stp>AMZN US Equity</stp>
        <stp>IS_BASIC_EPS_CONT_OPS</stp>
        <stp>FQ1 2010</stp>
        <stp>FQ1 2010</stp>
        <stp>[AMZ_2009-2018.xlsx]Income - Adjusted!R52C7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52" s="2"/>
      </tp>
      <tp>
        <v>440</v>
        <stp/>
        <stp>##V3_BDHV12</stp>
        <stp>AMZN US Equity</stp>
        <stp>IS_SH_FOR_DILUTED_EPS</stp>
        <stp>FQ2 2009</stp>
        <stp>FQ2 2009</stp>
        <stp>[AMZ_2009-2018.xlsx]Income - Adjusted!R54C4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54" s="2"/>
      </tp>
      <tp>
        <v>1100</v>
        <stp/>
        <stp>##V3_BDHV12</stp>
        <stp>AMZN US Equity</stp>
        <stp>OTHER_NONCUR_LIABS_SUB_DETAILED</stp>
        <stp>FQ1 2010</stp>
        <stp>FQ1 2010</stp>
        <stp>[AMZ_2009-2018.xlsx]Bal Sheet - Standardized!R55C7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5" s="3"/>
      </tp>
      <tp>
        <v>5678</v>
        <stp/>
        <stp>##V3_BDHV12</stp>
        <stp>AMZN US Equity</stp>
        <stp>CF_NET_CHNG_CASH</stp>
        <stp>FQ4 2016</stp>
        <stp>FQ4 2016</stp>
        <stp>[AMZ_2009-2018.xlsx]Cash Flow - Standardized!R55C34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5" s="4"/>
      </tp>
      <tp>
        <v>4639</v>
        <stp/>
        <stp>##V3_BDHV12</stp>
        <stp>AMZN US Equity</stp>
        <stp>OTHER_NONCUR_LIABS_SUB_DETAILED</stp>
        <stp>FQ2 2016</stp>
        <stp>FQ2 2016</stp>
        <stp>[AMZ_2009-2018.xlsx]Bal Sheet - Standardized!R55C32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5" s="3"/>
      </tp>
      <tp>
        <v>0</v>
        <stp/>
        <stp>##V3_BDHV12</stp>
        <stp>AMZN US Equity</stp>
        <stp>CF_DISPOSAL_OF_INTANGIBLE_ASSETS</stp>
        <stp>FQ2 2015</stp>
        <stp>FQ2 2015</stp>
        <stp>[AMZ_2009-2018.xlsx]Cash Flow - Standardized!R25C28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5" s="4"/>
      </tp>
      <tp>
        <v>-1136</v>
        <stp/>
        <stp>##V3_BDHV12</stp>
        <stp>AMZN US Equity</stp>
        <stp>CF_NET_CHNG_CASH</stp>
        <stp>FQ1 2011</stp>
        <stp>FQ1 2011</stp>
        <stp>[AMZ_2009-2018.xlsx]Cash Flow - Standardized!R55C11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5" s="4"/>
      </tp>
      <tp>
        <v>4532</v>
        <stp/>
        <stp>##V3_BDHV12</stp>
        <stp>AMZN US Equity</stp>
        <stp>OTHER_NONCUR_LIABS_SUB_DETAILED</stp>
        <stp>FQ1 2014</stp>
        <stp>FQ1 2014</stp>
        <stp>[AMZ_2009-2018.xlsx]Bal Sheet - Standardized!R55C23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5" s="3"/>
      </tp>
      <tp>
        <v>0</v>
        <stp/>
        <stp>##V3_BDHV12</stp>
        <stp>AMZN US Equity</stp>
        <stp>CF_NET_CASH_DISCONTINUED_OPS_INV</stp>
        <stp>FQ2 2018</stp>
        <stp>FQ2 2018</stp>
        <stp>[AMZ_2009-2018.xlsx]Cash Flow - Standardized!R37C40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7" s="4"/>
      </tp>
      <tp>
        <v>6927</v>
        <stp/>
        <stp>##V3_BDHV12</stp>
        <stp>AMZN US Equity</stp>
        <stp>OTHER_NONCUR_LIABS_SUB_DETAILED</stp>
        <stp>FQ3 2017</stp>
        <stp>FQ3 2017</stp>
        <stp>[AMZ_2009-2018.xlsx]Bal Sheet - Standardized!R55C37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5" s="3"/>
      </tp>
      <tp>
        <v>2676</v>
        <stp/>
        <stp>##V3_BDHV12</stp>
        <stp>AMZN US Equity</stp>
        <stp>OTHER_NONCURRENT_LIABS_DETAILED</stp>
        <stp>FQ3 2012</stp>
        <stp>FQ3 2012</stp>
        <stp>[AMZ_2009-2018.xlsx]Bal Sheet - Standardized!R61C17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1" s="3"/>
      </tp>
      <tp>
        <v>47</v>
        <stp/>
        <stp>##V3_BDHV12</stp>
        <stp>AMZN US Equity</stp>
        <stp>CF_NET_CHNG_CASH</stp>
        <stp>FQ2 2012</stp>
        <stp>FQ2 2012</stp>
        <stp>[AMZ_2009-2018.xlsx]Cash Flow - Standardized!R55C16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5" s="4"/>
      </tp>
      <tp>
        <v>316</v>
        <stp/>
        <stp>##V3_BDHV12</stp>
        <stp>AMZN US Equity</stp>
        <stp>PRETAX_INC</stp>
        <stp>FQ3 2017</stp>
        <stp>FQ3 2017</stp>
        <stp>[AMZ_2009-2018.xlsx]Income - Adjusted!R25C37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25" s="2"/>
      </tp>
      <tp>
        <v>123</v>
        <stp/>
        <stp>##V3_BDHV12</stp>
        <stp>AMZN US Equity</stp>
        <stp>PRETAX_INC</stp>
        <stp>FQ3 2012</stp>
        <stp>FQ3 2012</stp>
        <stp>[AMZ_2009-2018.xlsx]Income - Adjusted!R25C17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5" s="2"/>
      </tp>
      <tp>
        <v>22</v>
        <stp/>
        <stp>##V3_BDHV12</stp>
        <stp>AMZN US Equity</stp>
        <stp>PRETAX_INC</stp>
        <stp>FQ1 2015</stp>
        <stp>FQ1 2015</stp>
        <stp>[AMZ_2009-2018.xlsx]Income - Adjusted!R25C27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5" s="2"/>
      </tp>
      <tp>
        <v>0</v>
        <stp/>
        <stp>##V3_BDHV12</stp>
        <stp>AMZN US Equity</stp>
        <stp>CF_DISPOSAL_OF_INTANGIBLE_ASSETS</stp>
        <stp>FQ4 2013</stp>
        <stp>FQ4 2013</stp>
        <stp>[AMZ_2009-2018.xlsx]Cash Flow - Standardized!R25C22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5" s="4"/>
      </tp>
      <tp>
        <v>0</v>
        <stp/>
        <stp>##V3_BDHV12</stp>
        <stp>AMZN US Equity</stp>
        <stp>CF_DISPOSAL_OF_INTANGIBLE_ASSETS</stp>
        <stp>FQ3 2014</stp>
        <stp>FQ3 2014</stp>
        <stp>[AMZ_2009-2018.xlsx]Cash Flow - Standardized!R25C25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5" s="4"/>
      </tp>
      <tp>
        <v>2220</v>
        <stp/>
        <stp>##V3_BDHV12</stp>
        <stp>AMZN US Equity</stp>
        <stp>CF_CHANGE_IN_INVENTORIES</stp>
        <stp>FQ1 2018</stp>
        <stp>FQ1 2018</stp>
        <stp>[AMZ_2009-2018.xlsx]Cash Flow - Standardized!R15C39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5" s="4"/>
      </tp>
      <tp>
        <v>-3.2237</v>
        <stp/>
        <stp>##V3_BDHV12</stp>
        <stp>AMZN US Equity</stp>
        <stp>CASH_FLOW_PER_SH</stp>
        <stp>FQ1 2015</stp>
        <stp>FQ1 2015</stp>
        <stp>[AMZ_2009-2018.xlsx]Per Share!R22C27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22" s="5"/>
      </tp>
      <tp>
        <v>0</v>
        <stp/>
        <stp>##V3_BDHV12</stp>
        <stp>AMZN US Equity</stp>
        <stp>CF_CASH_FOR_DIVESTITURES</stp>
        <stp>FQ1 2018</stp>
        <stp>FQ1 2018</stp>
        <stp>[AMZ_2009-2018.xlsx]Cash Flow - Standardized!R33C39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3" s="4"/>
      </tp>
      <tp>
        <v>0</v>
        <stp/>
        <stp>##V3_BDHV12</stp>
        <stp>AMZN US Equity</stp>
        <stp>CF_NET_CASH_DISCONTINUED_OPS_FIN</stp>
        <stp>FQ2 2018</stp>
        <stp>FQ2 2018</stp>
        <stp>[AMZ_2009-2018.xlsx]Cash Flow - Standardized!R50C40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0" s="4"/>
      </tp>
      <tp>
        <v>0</v>
        <stp/>
        <stp>##V3_BDHV12</stp>
        <stp>AMZN US Equity</stp>
        <stp>CF_DISPOSAL_OF_INTANGIBLE_ASSETS</stp>
        <stp>FQ4 2010</stp>
        <stp>FQ4 2010</stp>
        <stp>[AMZ_2009-2018.xlsx]Cash Flow - Standardized!R25C10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5" s="4"/>
      </tp>
      <tp>
        <v>1531</v>
        <stp/>
        <stp>##V3_BDHV12</stp>
        <stp>AMZN US Equity</stp>
        <stp>OTHER_NONCUR_LIABS_SUB_DETAILED</stp>
        <stp>FQ4 2012</stp>
        <stp>FQ4 2012</stp>
        <stp>[AMZ_2009-2018.xlsx]Bal Sheet - Standardized!R55C18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5" s="3"/>
      </tp>
      <tp>
        <v>9.0608000000000004</v>
        <stp/>
        <stp>##V3_BDHV12</stp>
        <stp>AMZN US Equity</stp>
        <stp>TANG_BOOK_VAL_PER_SH</stp>
        <stp>FQ4 2009</stp>
        <stp>FQ4 2009</stp>
        <stp>[AMZ_2009-2018.xlsx]Per Share!R27C6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27" s="5"/>
      </tp>
      <tp>
        <v>2.0863</v>
        <stp/>
        <stp>##V3_BDHV12</stp>
        <stp>AMZN US Equity</stp>
        <stp>CASH_FLOW_PER_SH</stp>
        <stp>FQ3 2012</stp>
        <stp>FQ3 2012</stp>
        <stp>[AMZ_2009-2018.xlsx]Per Share!R22C17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22" s="5"/>
      </tp>
      <tp>
        <v>8.0061999999999998</v>
        <stp/>
        <stp>##V3_BDHV12</stp>
        <stp>AMZN US Equity</stp>
        <stp>CASH_FLOW_PER_SH</stp>
        <stp>FQ3 2017</stp>
        <stp>FQ3 2017</stp>
        <stp>[AMZ_2009-2018.xlsx]Per Share!R22C37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22" s="5"/>
      </tp>
      <tp>
        <v>0</v>
        <stp/>
        <stp>##V3_BDHV12</stp>
        <stp>AMZN US Equity</stp>
        <stp>CF_CASH_FOR_JOINT_VENTURES_ASSOC</stp>
        <stp>FQ2 2018</stp>
        <stp>FQ2 2018</stp>
        <stp>[AMZ_2009-2018.xlsx]Cash Flow - Standardized!R35C40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5" s="4"/>
      </tp>
      <tp>
        <v>5802</v>
        <stp/>
        <stp>##V3_BDHV12</stp>
        <stp>AMZN US Equity</stp>
        <stp>OTHER_NONCURRENT_LIABS_DETAILED</stp>
        <stp>FQ4 2017</stp>
        <stp>FQ4 2017</stp>
        <stp>[AMZ_2009-2018.xlsx]Bal Sheet - Standardized!R61C38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1" s="3"/>
      </tp>
      <tp>
        <v>0</v>
        <stp/>
        <stp>##V3_BDHV12</stp>
        <stp>AMZN US Equity</stp>
        <stp>CF_DISPOSAL_OF_INTANGIBLE_ASSETS</stp>
        <stp>FQ1 2017</stp>
        <stp>FQ1 2017</stp>
        <stp>[AMZ_2009-2018.xlsx]Cash Flow - Standardized!R25C35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5" s="4"/>
      </tp>
      <tp>
        <v>3526</v>
        <stp/>
        <stp>##V3_BDHV12</stp>
        <stp>AMZN US Equity</stp>
        <stp>IS_OPEX_R&amp;D</stp>
        <stp>FQ1 2016</stp>
        <stp>FQ1 2016</stp>
        <stp>[AMZ_2009-2018.xlsx]Income - Adjusted!R16C31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6" s="2"/>
      </tp>
      <tp>
        <v>4135</v>
        <stp/>
        <stp>##V3_BDHV12</stp>
        <stp>AMZN US Equity</stp>
        <stp>IS_OPEX_R&amp;D</stp>
        <stp>FQ3 2016</stp>
        <stp>FQ3 2016</stp>
        <stp>[AMZ_2009-2018.xlsx]Income - Adjusted!R16C33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6" s="2"/>
      </tp>
      <tp>
        <v>193</v>
        <stp/>
        <stp>##V3_BDHV12</stp>
        <stp>AMZN US Equity</stp>
        <stp>OTHER_NON_CASH_ADJ_LESS_DETAILED</stp>
        <stp>FQ3 2012</stp>
        <stp>FQ3 2012</stp>
        <stp>[AMZ_2009-2018.xlsx]Cash Flow - Standardized!R12C17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2" s="4"/>
      </tp>
      <tp>
        <v>3880</v>
        <stp/>
        <stp>##V3_BDHV12</stp>
        <stp>AMZN US Equity</stp>
        <stp>IS_OPEX_R&amp;D</stp>
        <stp>FQ2 2016</stp>
        <stp>FQ2 2016</stp>
        <stp>[AMZ_2009-2018.xlsx]Income - Adjusted!R16C32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6" s="2"/>
      </tp>
      <tp>
        <v>28958</v>
        <stp/>
        <stp>##V3_BDHV12</stp>
        <stp>AMZN US Equity</stp>
        <stp>IS_COG_AND_SERVICES_SOLD</stp>
        <stp>FQ4 2016</stp>
        <stp>FQ4 2016</stp>
        <stp>[AMZ_2009-2018.xlsx]Income - Adjusted!R9C34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9" s="2"/>
      </tp>
      <tp>
        <v>20671</v>
        <stp/>
        <stp>##V3_BDHV12</stp>
        <stp>AMZN US Equity</stp>
        <stp>IS_COG_AND_SERVICES_SOLD</stp>
        <stp>FQ4 2014</stp>
        <stp>FQ4 2014</stp>
        <stp>[AMZ_2009-2018.xlsx]Income - Adjusted!R9C26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9" s="2"/>
      </tp>
      <tp>
        <v>22440</v>
        <stp/>
        <stp>##V3_BDHV12</stp>
        <stp>AMZN US Equity</stp>
        <stp>IS_COG_AND_SERVICES_SOLD</stp>
        <stp>FQ1 2017</stp>
        <stp>FQ1 2017</stp>
        <stp>[AMZ_2009-2018.xlsx]Income - Adjusted!R9C35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9" s="2"/>
      </tp>
      <tp>
        <v>15395</v>
        <stp/>
        <stp>##V3_BDHV12</stp>
        <stp>AMZN US Equity</stp>
        <stp>IS_COG_AND_SERVICES_SOLD</stp>
        <stp>FQ1 2015</stp>
        <stp>FQ1 2015</stp>
        <stp>[AMZ_2009-2018.xlsx]Income - Adjusted!R9C27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9" s="2"/>
      </tp>
      <tp>
        <v>12366</v>
        <stp/>
        <stp>##V3_BDHV12</stp>
        <stp>AMZN US Equity</stp>
        <stp>IS_COG_AND_SERVICES_SOLD</stp>
        <stp>FQ3 2013</stp>
        <stp>FQ3 2013</stp>
        <stp>[AMZ_2009-2018.xlsx]Income - Adjusted!R9C21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9" s="2"/>
      </tp>
      <tp>
        <v>8325</v>
        <stp/>
        <stp>##V3_BDHV12</stp>
        <stp>AMZN US Equity</stp>
        <stp>IS_COG_AND_SERVICES_SOLD</stp>
        <stp>FQ3 2011</stp>
        <stp>FQ3 2011</stp>
        <stp>[AMZ_2009-2018.xlsx]Income - Adjusted!R9C13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9" s="2"/>
      </tp>
      <tp>
        <v>-1319</v>
        <stp/>
        <stp>##V3_BDHV12</stp>
        <stp>AMZN US Equity</stp>
        <stp>INC_DEC_IN_OT_OP_AST_LIAB_DETAIL</stp>
        <stp>FQ1 2018</stp>
        <stp>FQ1 2018</stp>
        <stp>[AMZ_2009-2018.xlsx]Cash Flow - Standardized!R17C39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7" s="4"/>
      </tp>
      <tp>
        <v>4545</v>
        <stp/>
        <stp>##V3_BDHV12</stp>
        <stp>AMZN US Equity</stp>
        <stp>IS_OPEX_R&amp;D</stp>
        <stp>FQ4 2016</stp>
        <stp>FQ4 2016</stp>
        <stp>[AMZ_2009-2018.xlsx]Income - Adjusted!R16C34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6" s="2"/>
      </tp>
      <tp>
        <v>0</v>
        <stp/>
        <stp>##V3_BDHV12</stp>
        <stp>AMZN US Equity</stp>
        <stp>MINORITY_NONCONTROLLING_INTEREST</stp>
        <stp>FQ1 2009</stp>
        <stp>FQ1 2009</stp>
        <stp>[AMZ_2009-2018.xlsx]Bal Sheet - Standardized!R72C3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2" s="3"/>
      </tp>
      <tp>
        <v>1156</v>
        <stp/>
        <stp>##V3_BDHV12</stp>
        <stp>AMZN US Equity</stp>
        <stp>EBITDA</stp>
        <stp>FQ1 2014</stp>
        <stp>FQ1 2014</stp>
        <stp>[AMZ_2009-2018.xlsx]Cash Flow - Standardized!R61C23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61" s="4"/>
      </tp>
      <tp>
        <v>2898</v>
        <stp/>
        <stp>##V3_BDHV12</stp>
        <stp>AMZN US Equity</stp>
        <stp>EBITDA</stp>
        <stp>FQ1 2016</stp>
        <stp>FQ1 2016</stp>
        <stp>[AMZ_2009-2018.xlsx]Cash Flow - Standardized!R61C31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61" s="4"/>
      </tp>
      <tp>
        <v>649</v>
        <stp/>
        <stp>##V3_BDHV12</stp>
        <stp>AMZN US Equity</stp>
        <stp>EBITDA</stp>
        <stp>FQ1 2012</stp>
        <stp>FQ1 2012</stp>
        <stp>[AMZ_2009-2018.xlsx]Cash Flow - Standardized!R61C15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61" s="4"/>
      </tp>
      <tp>
        <v>51</v>
        <stp/>
        <stp>##V3_BDHV12</stp>
        <stp>AMZN US Equity</stp>
        <stp>OTHER_NON_CASH_ADJ_LESS_DETAILED</stp>
        <stp>FQ4 2017</stp>
        <stp>FQ4 2017</stp>
        <stp>[AMZ_2009-2018.xlsx]Cash Flow - Standardized!R12C38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2" s="4"/>
      </tp>
      <tp>
        <v>-18</v>
        <stp/>
        <stp>##V3_BDHV12</stp>
        <stp>AMZN US Equity</stp>
        <stp>IS_INC_TAX_EXP</stp>
        <stp>FQ1 2013</stp>
        <stp>FQ1 2013</stp>
        <stp>[AMZ_2009-2018.xlsx]Income - Adjusted!R32C19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32" s="2"/>
      </tp>
      <tp>
        <v>287</v>
        <stp/>
        <stp>##V3_BDHV12</stp>
        <stp>AMZN US Equity</stp>
        <stp>IS_INC_TAX_EXP</stp>
        <stp>FQ1 2018</stp>
        <stp>FQ1 2018</stp>
        <stp>[AMZ_2009-2018.xlsx]Income - Adjusted!R32C39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32" s="2"/>
      </tp>
      <tp>
        <v>0</v>
        <stp/>
        <stp>##V3_BDHV12</stp>
        <stp>AMZN US Equity</stp>
        <stp>EQY_DPS</stp>
        <stp>FQ2 2009</stp>
        <stp>FQ2 2009</stp>
        <stp>[AMZ_2009-2018.xlsx]Income - Adjusted!R69C4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69" s="2"/>
      </tp>
      <tp>
        <v>161</v>
        <stp/>
        <stp>##V3_BDHV12</stp>
        <stp>AMZN US Equity</stp>
        <stp>IS_INC_TAX_EXP</stp>
        <stp>FQ3 2015</stp>
        <stp>FQ3 2015</stp>
        <stp>[AMZ_2009-2018.xlsx]Income - Adjusted!R32C29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32" s="2"/>
      </tp>
      <tp>
        <v>-0.27</v>
        <stp/>
        <stp>##V3_BDHV12</stp>
        <stp>AMZN US Equity</stp>
        <stp>IS_EARN_BEF_XO_ITEMS_PER_SH</stp>
        <stp>FQ2 2014</stp>
        <stp>FQ2 2014</stp>
        <stp>[AMZ_2009-2018.xlsx]Per Share!R15C24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15" s="5"/>
      </tp>
      <tp>
        <v>1.5699999999999998</v>
        <stp/>
        <stp>##V3_BDHV12</stp>
        <stp>AMZN US Equity</stp>
        <stp>IS_EARN_BEF_XO_ITEMS_PER_SH</stp>
        <stp>FQ4 2016</stp>
        <stp>FQ4 2016</stp>
        <stp>[AMZ_2009-2018.xlsx]Per Share!R15C34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15" s="5"/>
      </tp>
      <tp>
        <v>0.39</v>
        <stp/>
        <stp>##V3_BDHV12</stp>
        <stp>AMZN US Equity</stp>
        <stp>IS_EARN_BEF_XO_ITEMS_PER_SH</stp>
        <stp>FQ4 2011</stp>
        <stp>FQ4 2011</stp>
        <stp>[AMZ_2009-2018.xlsx]Per Share!R15C14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15" s="5"/>
      </tp>
      <tp>
        <v>0</v>
        <stp/>
        <stp>##V3_BDHV12</stp>
        <stp>AMZN US Equity</stp>
        <stp>CF_NET_CASH_DISCONT_OPS_OPER</stp>
        <stp>FQ2 2009</stp>
        <stp>FQ2 2009</stp>
        <stp>[AMZ_2009-2018.xlsx]Cash Flow - Standardized!R18C4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8" s="4"/>
      </tp>
      <tp t="s">
        <v>—</v>
        <stp/>
        <stp>##V3_BDHV12</stp>
        <stp>AMZN US Equity</stp>
        <stp>IS_DEPR_EXP</stp>
        <stp>FQ4 2017</stp>
        <stp>FQ4 2017</stp>
        <stp>[AMZ_2009-2018.xlsx]Income - Adjusted!R72C38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2" s="2"/>
      </tp>
      <tp>
        <v>0</v>
        <stp/>
        <stp>##V3_BDHV12</stp>
        <stp>AMZN US Equity</stp>
        <stp>CF_NET_CASH_DISCONT_OPS_OPER</stp>
        <stp>FQ3 2010</stp>
        <stp>FQ3 2010</stp>
        <stp>[AMZ_2009-2018.xlsx]Cash Flow - Standardized!R18C9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8" s="4"/>
      </tp>
      <tp t="s">
        <v>—</v>
        <stp/>
        <stp>##V3_BDHV12</stp>
        <stp>AMZN US Equity</stp>
        <stp>IS_DEPR_EXP</stp>
        <stp>FQ1 2017</stp>
        <stp>FQ1 2017</stp>
        <stp>[AMZ_2009-2018.xlsx]Income - Adjusted!R72C35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2" s="2"/>
      </tp>
      <tp t="s">
        <v>—</v>
        <stp/>
        <stp>##V3_BDHV12</stp>
        <stp>AMZN US Equity</stp>
        <stp>IS_DEPR_EXP</stp>
        <stp>FQ2 2017</stp>
        <stp>FQ2 2017</stp>
        <stp>[AMZ_2009-2018.xlsx]Income - Adjusted!R72C36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2" s="2"/>
      </tp>
      <tp t="s">
        <v>—</v>
        <stp/>
        <stp>##V3_BDHV12</stp>
        <stp>AMZN US Equity</stp>
        <stp>IS_DEPR_EXP</stp>
        <stp>FQ3 2017</stp>
        <stp>FQ3 2017</stp>
        <stp>[AMZ_2009-2018.xlsx]Income - Adjusted!R72C37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2" s="2"/>
      </tp>
      <tp t="s">
        <v>—</v>
        <stp/>
        <stp>##V3_BDHV12</stp>
        <stp>AMZN US Equity</stp>
        <stp>IS_GAIN_LOSS_ON_INVESTMENTS</stp>
        <stp>FQ1 2013</stp>
        <stp>FQ1 2013</stp>
        <stp>[AMZ_2009-2018.xlsx]Income - Adjusted!R29C19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9" s="2"/>
      </tp>
      <tp>
        <v>1119</v>
        <stp/>
        <stp>##V3_BDHV12</stp>
        <stp>AMZN US Equity</stp>
        <stp>IS_OTHER_OPERATING_EXPENSES</stp>
        <stp>FQ4 2010</stp>
        <stp>FQ4 2010</stp>
        <stp>[AMZ_2009-2018.xlsx]Income - Adjusted!R17C10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7" s="2"/>
      </tp>
      <tp>
        <v>4582</v>
        <stp/>
        <stp>##V3_BDHV12</stp>
        <stp>AMZN US Equity</stp>
        <stp>IS_OTHER_OPERATING_EXPENSES</stp>
        <stp>FQ4 2015</stp>
        <stp>FQ4 2015</stp>
        <stp>[AMZ_2009-2018.xlsx]Income - Adjusted!R17C30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7" s="2"/>
      </tp>
      <tp>
        <v>0.51</v>
        <stp/>
        <stp>##V3_BDHV12</stp>
        <stp>AMZN US Equity</stp>
        <stp>IS_EARN_BEF_XO_ITEMS_PER_SH</stp>
        <stp>FQ3 2010</stp>
        <stp>FQ3 2010</stp>
        <stp>[AMZ_2009-2018.xlsx]Per Share!R15C9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15" s="5"/>
      </tp>
      <tp>
        <v>8012</v>
        <stp/>
        <stp>##V3_BDHV12</stp>
        <stp>AMZN US Equity</stp>
        <stp>IS_OTHER_OPERATING_EXPENSES</stp>
        <stp>FQ2 2018</stp>
        <stp>FQ2 2018</stp>
        <stp>[AMZ_2009-2018.xlsx]Income - Adjusted!R17C40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7" s="2"/>
      </tp>
      <tp>
        <v>4214</v>
        <stp/>
        <stp>##V3_BDHV12</stp>
        <stp>AMZN US Equity</stp>
        <stp>BS_SH_CAP_AND_APIC</stp>
        <stp>FQ1 2009</stp>
        <stp>FQ1 2009</stp>
        <stp>[AMZ_2009-2018.xlsx]Bal Sheet - Standardized!R65C3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5" s="3"/>
      </tp>
      <tp>
        <v>1869</v>
        <stp/>
        <stp>##V3_BDHV12</stp>
        <stp>AMZN US Equity</stp>
        <stp>IS_OTHER_OPERATING_EXPENSES</stp>
        <stp>FQ2 2013</stp>
        <stp>FQ2 2013</stp>
        <stp>[AMZ_2009-2018.xlsx]Income - Adjusted!R17C20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7" s="2"/>
      </tp>
      <tp>
        <v>256</v>
        <stp/>
        <stp>##V3_BDHV12</stp>
        <stp>AMZN US Equity</stp>
        <stp>EARN_FOR_COMMON</stp>
        <stp>FQ3 2017</stp>
        <stp>FQ3 2017</stp>
        <stp>[AMZ_2009-2018.xlsx]Income - Adjusted!R43C37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43" s="2"/>
      </tp>
      <tp>
        <v>-274</v>
        <stp/>
        <stp>##V3_BDHV12</stp>
        <stp>AMZN US Equity</stp>
        <stp>EARN_FOR_COMMON</stp>
        <stp>FQ3 2012</stp>
        <stp>FQ3 2012</stp>
        <stp>[AMZ_2009-2018.xlsx]Income - Adjusted!R43C17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43" s="2"/>
      </tp>
      <tp t="s">
        <v>—</v>
        <stp/>
        <stp>##V3_BDHV12</stp>
        <stp>AMZN US Equity</stp>
        <stp>BS_GROSS_FIX_ASSET</stp>
        <stp>FQ1 2009</stp>
        <stp>FQ1 2009</stp>
        <stp>[AMZ_2009-2018.xlsx]Bal Sheet - Standardized!R24C3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3"/>
      </tp>
      <tp>
        <v>-57</v>
        <stp/>
        <stp>##V3_BDHV12</stp>
        <stp>AMZN US Equity</stp>
        <stp>EARN_FOR_COMMON</stp>
        <stp>FQ1 2015</stp>
        <stp>FQ1 2015</stp>
        <stp>[AMZ_2009-2018.xlsx]Income - Adjusted!R43C27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43" s="2"/>
      </tp>
      <tp>
        <v>0</v>
        <stp/>
        <stp>##V3_BDHV12</stp>
        <stp>AMZN US Equity</stp>
        <stp>CF_DECR_CAP_STOCK</stp>
        <stp>FQ4 2017</stp>
        <stp>FQ4 2017</stp>
        <stp>[AMZ_2009-2018.xlsx]Cash Flow - Standardized!R48C38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8" s="4"/>
      </tp>
      <tp>
        <v>0</v>
        <stp/>
        <stp>##V3_BDHV12</stp>
        <stp>AMZN US Equity</stp>
        <stp>CF_INCR_CAP_STOCK</stp>
        <stp>FQ4 2017</stp>
        <stp>FQ4 2017</stp>
        <stp>[AMZ_2009-2018.xlsx]Cash Flow - Standardized!R47C38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7" s="4"/>
      </tp>
      <tp>
        <v>0</v>
        <stp/>
        <stp>##V3_BDHV12</stp>
        <stp>AMZN US Equity</stp>
        <stp>CF_DECR_CAP_STOCK</stp>
        <stp>FQ3 2012</stp>
        <stp>FQ3 2012</stp>
        <stp>[AMZ_2009-2018.xlsx]Cash Flow - Standardized!R48C17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8" s="4"/>
      </tp>
      <tp>
        <v>66</v>
        <stp/>
        <stp>##V3_BDHV12</stp>
        <stp>AMZN US Equity</stp>
        <stp>CF_INCR_CAP_STOCK</stp>
        <stp>FQ3 2012</stp>
        <stp>FQ3 2012</stp>
        <stp>[AMZ_2009-2018.xlsx]Cash Flow - Standardized!R47C17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7" s="4"/>
      </tp>
      <tp>
        <v>-1394</v>
        <stp/>
        <stp>##V3_BDHV12</stp>
        <stp>AMZN US Equity</stp>
        <stp>PROC_FR_REPAYMNTS_BOR_DETAILED</stp>
        <stp>FQ2 2018</stp>
        <stp>FQ2 2018</stp>
        <stp>[AMZ_2009-2018.xlsx]Cash Flow - Standardized!R42C40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2" s="4"/>
      </tp>
      <tp>
        <v>1158</v>
        <stp/>
        <stp>##V3_BDHV12</stp>
        <stp>AMZN US Equity</stp>
        <stp>OTHER_NONCUR_LIABS_SUB_DETAILED</stp>
        <stp>FQ2 2010</stp>
        <stp>FQ2 2010</stp>
        <stp>[AMZ_2009-2018.xlsx]Bal Sheet - Standardized!R55C8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5" s="3"/>
      </tp>
      <tp>
        <v>734</v>
        <stp/>
        <stp>##V3_BDHV12</stp>
        <stp>AMZN US Equity</stp>
        <stp>OTHER_NONCUR_LIABS_SUB_DETAILED</stp>
        <stp>FQ3 2009</stp>
        <stp>FQ3 2009</stp>
        <stp>[AMZ_2009-2018.xlsx]Bal Sheet - Standardized!R55C5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5" s="3"/>
      </tp>
      <tp>
        <v>168</v>
        <stp/>
        <stp>##V3_BDHV12</stp>
        <stp>AMZN US Equity</stp>
        <stp>CF_NET_CHNG_CASH</stp>
        <stp>FQ3 2013</stp>
        <stp>FQ3 2013</stp>
        <stp>[AMZ_2009-2018.xlsx]Cash Flow - Standardized!R55C21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5" s="4"/>
      </tp>
      <tp>
        <v>9299</v>
        <stp/>
        <stp>##V3_BDHV12</stp>
        <stp>AMZN US Equity</stp>
        <stp>CF_NET_CHNG_CASH</stp>
        <stp>FQ4 2014</stp>
        <stp>FQ4 2014</stp>
        <stp>[AMZ_2009-2018.xlsx]Cash Flow - Standardized!R55C26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5" s="4"/>
      </tp>
      <tp>
        <v>-594</v>
        <stp/>
        <stp>##V3_BDHV12</stp>
        <stp>AMZN US Equity</stp>
        <stp>CF_NET_CHNG_CASH</stp>
        <stp>FQ2 2011</stp>
        <stp>FQ2 2011</stp>
        <stp>[AMZ_2009-2018.xlsx]Cash Flow - Standardized!R55C12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5" s="4"/>
      </tp>
      <tp>
        <v>1210</v>
        <stp/>
        <stp>##V3_BDHV12</stp>
        <stp>AMZN US Equity</stp>
        <stp>OTHER_NONCUR_LIABS_SUB_DETAILED</stp>
        <stp>FQ4 2011</stp>
        <stp>FQ4 2011</stp>
        <stp>[AMZ_2009-2018.xlsx]Bal Sheet - Standardized!R55C14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5" s="3"/>
      </tp>
      <tp>
        <v>2310</v>
        <stp/>
        <stp>##V3_BDHV12</stp>
        <stp>AMZN US Equity</stp>
        <stp>OTHER_NONCURRENT_LIABS_DETAILED</stp>
        <stp>FQ3 2011</stp>
        <stp>FQ3 2011</stp>
        <stp>[AMZ_2009-2018.xlsx]Bal Sheet - Standardized!R61C13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1" s="3"/>
      </tp>
      <tp>
        <v>3113</v>
        <stp/>
        <stp>##V3_BDHV12</stp>
        <stp>AMZN US Equity</stp>
        <stp>OTHER_NONCURRENT_LIABS_DETAILED</stp>
        <stp>FQ2 2013</stp>
        <stp>FQ2 2013</stp>
        <stp>[AMZ_2009-2018.xlsx]Bal Sheet - Standardized!R61C20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1" s="3"/>
      </tp>
      <tp>
        <v>3966</v>
        <stp/>
        <stp>##V3_BDHV12</stp>
        <stp>AMZN US Equity</stp>
        <stp>OTHER_NONCUR_LIABS_SUB_DETAILED</stp>
        <stp>FQ1 2016</stp>
        <stp>FQ1 2016</stp>
        <stp>[AMZ_2009-2018.xlsx]Bal Sheet - Standardized!R55C31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5" s="3"/>
      </tp>
      <tp>
        <v>5426</v>
        <stp/>
        <stp>##V3_BDHV12</stp>
        <stp>AMZN US Equity</stp>
        <stp>OTHER_NONCUR_LIABS_SUB_DETAILED</stp>
        <stp>FQ2 2014</stp>
        <stp>FQ2 2014</stp>
        <stp>[AMZ_2009-2018.xlsx]Bal Sheet - Standardized!R55C24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5" s="3"/>
      </tp>
      <tp>
        <v>21120</v>
        <stp/>
        <stp>##V3_BDHV12</stp>
        <stp>AMZN US Equity</stp>
        <stp>BS_TOTAL_CAPITAL_LEASES</stp>
        <stp>FQ2 2018</stp>
        <stp>FQ2 2018</stp>
        <stp>[AMZ_2009-2018.xlsx]Bal Sheet - Standardized!R82C40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82" s="3"/>
      </tp>
      <tp>
        <v>-2981</v>
        <stp/>
        <stp>##V3_BDHV12</stp>
        <stp>AMZN US Equity</stp>
        <stp>CF_NET_CHNG_CASH</stp>
        <stp>FQ1 2012</stp>
        <stp>FQ1 2012</stp>
        <stp>[AMZ_2009-2018.xlsx]Cash Flow - Standardized!R55C15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5" s="4"/>
      </tp>
      <tp>
        <v>5181</v>
        <stp/>
        <stp>##V3_BDHV12</stp>
        <stp>AMZN US Equity</stp>
        <stp>CF_NET_CHNG_CASH</stp>
        <stp>FQ4 2015</stp>
        <stp>FQ4 2015</stp>
        <stp>[AMZ_2009-2018.xlsx]Cash Flow - Standardized!R55C30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5" s="4"/>
      </tp>
      <tp>
        <v>8900</v>
        <stp/>
        <stp>##V3_BDHV12</stp>
        <stp>AMZN US Equity</stp>
        <stp>OTHER_NONCUR_LIABS_SUB_DETAILED</stp>
        <stp>FQ3 2015</stp>
        <stp>FQ3 2015</stp>
        <stp>[AMZ_2009-2018.xlsx]Bal Sheet - Standardized!R55C29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5" s="3"/>
      </tp>
      <tp>
        <v>0</v>
        <stp/>
        <stp>##V3_BDHV12</stp>
        <stp>AMZN US Equity</stp>
        <stp>CF_DISPOSAL_OF_INTANGIBLE_ASSETS</stp>
        <stp>FQ3 2016</stp>
        <stp>FQ3 2016</stp>
        <stp>[AMZ_2009-2018.xlsx]Cash Flow - Standardized!R25C33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5" s="4"/>
      </tp>
      <tp>
        <v>-27</v>
        <stp/>
        <stp>##V3_BDHV12</stp>
        <stp>AMZN US Equity</stp>
        <stp>PRETAX_INC</stp>
        <stp>FQ2 2014</stp>
        <stp>FQ2 2014</stp>
        <stp>[AMZ_2009-2018.xlsx]Income - Adjusted!R25C24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5" s="2"/>
      </tp>
      <tp>
        <v>23.081900000000001</v>
        <stp/>
        <stp>##V3_BDHV12</stp>
        <stp>AMZN US Equity</stp>
        <stp>CASH_FLOW_PER_SH</stp>
        <stp>FQ4 2016</stp>
        <stp>FQ4 2016</stp>
        <stp>[AMZ_2009-2018.xlsx]Per Share!R22C34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22" s="5"/>
      </tp>
      <tp>
        <v>9.3824000000000005</v>
        <stp/>
        <stp>##V3_BDHV12</stp>
        <stp>AMZN US Equity</stp>
        <stp>CASH_FLOW_PER_SH</stp>
        <stp>FQ4 2011</stp>
        <stp>FQ4 2011</stp>
        <stp>[AMZ_2009-2018.xlsx]Per Share!R22C14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22" s="5"/>
      </tp>
      <tp>
        <v>2573</v>
        <stp/>
        <stp>##V3_BDHV12</stp>
        <stp>AMZN US Equity</stp>
        <stp>OTHER_NONCURRENT_LIABS_DETAILED</stp>
        <stp>FQ1 2013</stp>
        <stp>FQ1 2013</stp>
        <stp>[AMZ_2009-2018.xlsx]Bal Sheet - Standardized!R61C19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1" s="3"/>
      </tp>
      <tp>
        <v>0.19139999999999999</v>
        <stp/>
        <stp>##V3_BDHV12</stp>
        <stp>AMZN US Equity</stp>
        <stp>IS_DIL_EPS_CONT_OPS</stp>
        <stp>FQ2 2015</stp>
        <stp>FQ2 2015</stp>
        <stp>[AMZ_2009-2018.xlsx]Income - Adjusted!R57C28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57" s="2"/>
      </tp>
      <tp>
        <v>0</v>
        <stp/>
        <stp>##V3_BDHV12</stp>
        <stp>AMZN US Equity</stp>
        <stp>CF_DISPOSAL_OF_INTANGIBLE_ASSETS</stp>
        <stp>FQ2 2017</stp>
        <stp>FQ2 2017</stp>
        <stp>[AMZ_2009-2018.xlsx]Cash Flow - Standardized!R25C36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5" s="4"/>
      </tp>
      <tp>
        <v>0.26419999999999999</v>
        <stp/>
        <stp>##V3_BDHV12</stp>
        <stp>AMZN US Equity</stp>
        <stp>IS_DIL_EPS_CONT_OPS</stp>
        <stp>FQ4 2012</stp>
        <stp>FQ4 2012</stp>
        <stp>[AMZ_2009-2018.xlsx]Income - Adjusted!R57C18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57" s="2"/>
      </tp>
      <tp>
        <v>2.1593</v>
        <stp/>
        <stp>##V3_BDHV12</stp>
        <stp>AMZN US Equity</stp>
        <stp>IS_DIL_EPS_CONT_OPS</stp>
        <stp>FQ4 2017</stp>
        <stp>FQ4 2017</stp>
        <stp>[AMZ_2009-2018.xlsx]Income - Adjusted!R57C38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57" s="2"/>
      </tp>
      <tp>
        <v>7.2240000000000002</v>
        <stp/>
        <stp>##V3_BDHV12</stp>
        <stp>AMZN US Equity</stp>
        <stp>TANG_BOOK_VAL_PER_SH</stp>
        <stp>FQ3 2009</stp>
        <stp>FQ3 2009</stp>
        <stp>[AMZ_2009-2018.xlsx]Per Share!R27C5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27" s="5"/>
      </tp>
      <tp>
        <v>0</v>
        <stp/>
        <stp>##V3_BDHV12</stp>
        <stp>AMZN US Equity</stp>
        <stp>CF_DISPOSAL_OF_INTANGIBLE_ASSETS</stp>
        <stp>FQ1 2015</stp>
        <stp>FQ1 2015</stp>
        <stp>[AMZ_2009-2018.xlsx]Cash Flow - Standardized!R25C27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5" s="4"/>
      </tp>
      <tp>
        <v>273</v>
        <stp/>
        <stp>##V3_BDHV12</stp>
        <stp>AMZN US Equity</stp>
        <stp>PRETAX_INC</stp>
        <stp>FQ4 2011</stp>
        <stp>FQ4 2011</stp>
        <stp>[AMZ_2009-2018.xlsx]Income - Adjusted!R25C14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5" s="2"/>
      </tp>
      <tp>
        <v>1171</v>
        <stp/>
        <stp>##V3_BDHV12</stp>
        <stp>AMZN US Equity</stp>
        <stp>PRETAX_INC</stp>
        <stp>FQ4 2016</stp>
        <stp>FQ4 2016</stp>
        <stp>[AMZ_2009-2018.xlsx]Income - Adjusted!R25C34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25" s="2"/>
      </tp>
      <tp>
        <v>1.8698000000000001</v>
        <stp/>
        <stp>##V3_BDHV12</stp>
        <stp>AMZN US Equity</stp>
        <stp>CASH_FLOW_PER_SH</stp>
        <stp>FQ2 2014</stp>
        <stp>FQ2 2014</stp>
        <stp>[AMZ_2009-2018.xlsx]Per Share!R22C24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22" s="5"/>
      </tp>
      <tp>
        <v>3571</v>
        <stp/>
        <stp>##V3_BDHV12</stp>
        <stp>AMZN US Equity</stp>
        <stp>IS_OPEX_R&amp;D</stp>
        <stp>FQ4 2015</stp>
        <stp>FQ4 2015</stp>
        <stp>[AMZ_2009-2018.xlsx]Income - Adjusted!R16C30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6" s="2"/>
      </tp>
      <tp>
        <v>0</v>
        <stp/>
        <stp>##V3_BDHV12</stp>
        <stp>AMZN US Equity</stp>
        <stp>MINORITY_NONCONTROLLING_INTEREST</stp>
        <stp>FQ2 2009</stp>
        <stp>FQ2 2009</stp>
        <stp>[AMZ_2009-2018.xlsx]Bal Sheet - Standardized!R72C4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2" s="3"/>
      </tp>
      <tp>
        <v>1991</v>
        <stp/>
        <stp>##V3_BDHV12</stp>
        <stp>AMZN US Equity</stp>
        <stp>IS_OPEX_R&amp;D</stp>
        <stp>FQ1 2014</stp>
        <stp>FQ1 2014</stp>
        <stp>[AMZ_2009-2018.xlsx]Income - Adjusted!R16C23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6" s="2"/>
      </tp>
      <tp>
        <v>18806</v>
        <stp/>
        <stp>##V3_BDHV12</stp>
        <stp>AMZN US Equity</stp>
        <stp>IS_COG_AND_SERVICES_SOLD</stp>
        <stp>FQ4 2013</stp>
        <stp>FQ4 2013</stp>
        <stp>[AMZ_2009-2018.xlsx]Income - Adjusted!R9C22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9" s="2"/>
      </tp>
      <tp>
        <v>30735</v>
        <stp/>
        <stp>##V3_BDHV12</stp>
        <stp>AMZN US Equity</stp>
        <stp>IS_COG_AND_SERVICES_SOLD</stp>
        <stp>FQ1 2018</stp>
        <stp>FQ1 2018</stp>
        <stp>[AMZ_2009-2018.xlsx]Income - Adjusted!R9C39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9" s="2"/>
      </tp>
      <tp>
        <v>14457</v>
        <stp/>
        <stp>##V3_BDHV12</stp>
        <stp>AMZN US Equity</stp>
        <stp>IS_COG_AND_SERVICES_SOLD</stp>
        <stp>FQ3 2014</stp>
        <stp>FQ3 2014</stp>
        <stp>[AMZ_2009-2018.xlsx]Income - Adjusted!R9C25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9" s="2"/>
      </tp>
      <tp>
        <v>23451</v>
        <stp/>
        <stp>##V3_BDHV12</stp>
        <stp>AMZN US Equity</stp>
        <stp>IS_COG_AND_SERVICES_SOLD</stp>
        <stp>FQ2 2017</stp>
        <stp>FQ2 2017</stp>
        <stp>[AMZ_2009-2018.xlsx]Income - Adjusted!R9C36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9" s="2"/>
      </tp>
      <tp>
        <v>2423</v>
        <stp/>
        <stp>##V3_BDHV12</stp>
        <stp>AMZN US Equity</stp>
        <stp>IS_OPEX_R&amp;D</stp>
        <stp>FQ3 2014</stp>
        <stp>FQ3 2014</stp>
        <stp>[AMZ_2009-2018.xlsx]Income - Adjusted!R16C25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6" s="2"/>
      </tp>
      <tp>
        <v>74</v>
        <stp/>
        <stp>##V3_BDHV12</stp>
        <stp>AMZN US Equity</stp>
        <stp>OTHER_NON_CASH_ADJ_LESS_DETAILED</stp>
        <stp>FQ2 2013</stp>
        <stp>FQ2 2013</stp>
        <stp>[AMZ_2009-2018.xlsx]Cash Flow - Standardized!R12C20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2" s="4"/>
      </tp>
      <tp>
        <v>2226</v>
        <stp/>
        <stp>##V3_BDHV12</stp>
        <stp>AMZN US Equity</stp>
        <stp>IS_OPEX_R&amp;D</stp>
        <stp>FQ2 2014</stp>
        <stp>FQ2 2014</stp>
        <stp>[AMZ_2009-2018.xlsx]Income - Adjusted!R16C24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6" s="2"/>
      </tp>
      <tp>
        <v>0</v>
        <stp/>
        <stp>##V3_BDHV12</stp>
        <stp>AMZN US Equity</stp>
        <stp>MINORITY_NONCONTROLLING_INTEREST</stp>
        <stp>FQ3 2010</stp>
        <stp>FQ3 2010</stp>
        <stp>[AMZ_2009-2018.xlsx]Bal Sheet - Standardized!R72C9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2" s="3"/>
      </tp>
      <tp>
        <v>-7</v>
        <stp/>
        <stp>##V3_BDHV12</stp>
        <stp>AMZN US Equity</stp>
        <stp>OTHER_NON_CASH_ADJ_LESS_DETAILED</stp>
        <stp>FQ3 2011</stp>
        <stp>FQ3 2011</stp>
        <stp>[AMZ_2009-2018.xlsx]Cash Flow - Standardized!R12C13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2" s="4"/>
      </tp>
      <tp>
        <v>2635</v>
        <stp/>
        <stp>##V3_BDHV12</stp>
        <stp>AMZN US Equity</stp>
        <stp>IS_OPEX_R&amp;D</stp>
        <stp>FQ4 2014</stp>
        <stp>FQ4 2014</stp>
        <stp>[AMZ_2009-2018.xlsx]Income - Adjusted!R16C26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6" s="2"/>
      </tp>
      <tp>
        <v>3194</v>
        <stp/>
        <stp>##V3_BDHV12</stp>
        <stp>AMZN US Equity</stp>
        <stp>EBITDA</stp>
        <stp>FQ2 2016</stp>
        <stp>FQ2 2016</stp>
        <stp>[AMZ_2009-2018.xlsx]Cash Flow - Standardized!R61C32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61" s="4"/>
      </tp>
      <tp>
        <v>592</v>
        <stp/>
        <stp>##V3_BDHV12</stp>
        <stp>AMZN US Equity</stp>
        <stp>EBITDA</stp>
        <stp>FQ2 2012</stp>
        <stp>FQ2 2012</stp>
        <stp>[AMZ_2009-2018.xlsx]Cash Flow - Standardized!R61C16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61" s="4"/>
      </tp>
      <tp>
        <v>99</v>
        <stp/>
        <stp>##V3_BDHV12</stp>
        <stp>AMZN US Equity</stp>
        <stp>OTHER_NON_CASH_ADJ_LESS_DETAILED</stp>
        <stp>FQ1 2013</stp>
        <stp>FQ1 2013</stp>
        <stp>[AMZ_2009-2018.xlsx]Cash Flow - Standardized!R12C19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2" s="4"/>
      </tp>
      <tp>
        <v>0.28999999999999998</v>
        <stp/>
        <stp>##V3_BDHV12</stp>
        <stp>AMZN US Equity</stp>
        <stp>IS_EARN_BEF_XO_ITEMS_PER_SH</stp>
        <stp>FQ1 2012</stp>
        <stp>FQ1 2012</stp>
        <stp>[AMZ_2009-2018.xlsx]Per Share!R15C15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15" s="5"/>
      </tp>
      <tp>
        <v>1.52</v>
        <stp/>
        <stp>##V3_BDHV12</stp>
        <stp>AMZN US Equity</stp>
        <stp>IS_EARN_BEF_XO_ITEMS_PER_SH</stp>
        <stp>FQ1 2017</stp>
        <stp>FQ1 2017</stp>
        <stp>[AMZ_2009-2018.xlsx]Per Share!R15C35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15" s="5"/>
      </tp>
      <tp>
        <v>0</v>
        <stp/>
        <stp>##V3_BDHV12</stp>
        <stp>AMZN US Equity</stp>
        <stp>IS_TOT_CASH_COM_DVD</stp>
        <stp>FQ2 2018</stp>
        <stp>FQ2 2018</stp>
        <stp>[AMZ_2009-2018.xlsx]Income - Adjusted!R70C40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0" s="2"/>
      </tp>
      <tp>
        <v>-0.95</v>
        <stp/>
        <stp>##V3_BDHV12</stp>
        <stp>AMZN US Equity</stp>
        <stp>IS_EARN_BEF_XO_ITEMS_PER_SH</stp>
        <stp>FQ3 2014</stp>
        <stp>FQ3 2014</stp>
        <stp>[AMZ_2009-2018.xlsx]Per Share!R15C25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15" s="5"/>
      </tp>
      <tp t="s">
        <v>—</v>
        <stp/>
        <stp>##V3_BDHV12</stp>
        <stp>AMZN US Equity</stp>
        <stp>IS_GAIN_LOSS_ON_INVESTMENTS</stp>
        <stp>FQ2 2012</stp>
        <stp>FQ2 2012</stp>
        <stp>[AMZ_2009-2018.xlsx]Income - Adjusted!R29C16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9" s="2"/>
      </tp>
      <tp>
        <v>0</v>
        <stp/>
        <stp>##V3_BDHV12</stp>
        <stp>AMZN US Equity</stp>
        <stp>CF_NET_CASH_DISCONT_OPS_OPER</stp>
        <stp>FQ3 2009</stp>
        <stp>FQ3 2009</stp>
        <stp>[AMZ_2009-2018.xlsx]Cash Flow - Standardized!R18C5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8" s="4"/>
      </tp>
      <tp t="s">
        <v>—</v>
        <stp/>
        <stp>##V3_BDHV12</stp>
        <stp>AMZN US Equity</stp>
        <stp>IS_GAIN_LOSS_ON_INVESTMENTS</stp>
        <stp>FQ3 2012</stp>
        <stp>FQ3 2012</stp>
        <stp>[AMZ_2009-2018.xlsx]Income - Adjusted!R29C17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9" s="2"/>
      </tp>
      <tp t="s">
        <v>—</v>
        <stp/>
        <stp>##V3_BDHV12</stp>
        <stp>AMZN US Equity</stp>
        <stp>IS_GAIN_LOSS_ON_INVESTMENTS</stp>
        <stp>FQ1 2012</stp>
        <stp>FQ1 2012</stp>
        <stp>[AMZ_2009-2018.xlsx]Income - Adjusted!R29C15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9" s="2"/>
      </tp>
      <tp>
        <v>0</v>
        <stp/>
        <stp>##V3_BDHV12</stp>
        <stp>AMZN US Equity</stp>
        <stp>CF_NET_CASH_DISCONT_OPS_OPER</stp>
        <stp>FQ2 2010</stp>
        <stp>FQ2 2010</stp>
        <stp>[AMZ_2009-2018.xlsx]Cash Flow - Standardized!R18C8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8" s="4"/>
      </tp>
      <tp t="s">
        <v>—</v>
        <stp/>
        <stp>##V3_BDHV12</stp>
        <stp>AMZN US Equity</stp>
        <stp>IS_DEPR_EXP</stp>
        <stp>FQ4 2016</stp>
        <stp>FQ4 2016</stp>
        <stp>[AMZ_2009-2018.xlsx]Income - Adjusted!R72C34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2" s="2"/>
      </tp>
      <tp t="s">
        <v>—</v>
        <stp/>
        <stp>##V3_BDHV12</stp>
        <stp>AMZN US Equity</stp>
        <stp>IS_DEPR_EXP</stp>
        <stp>FQ1 2016</stp>
        <stp>FQ1 2016</stp>
        <stp>[AMZ_2009-2018.xlsx]Income - Adjusted!R72C31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2" s="2"/>
      </tp>
      <tp t="s">
        <v>—</v>
        <stp/>
        <stp>##V3_BDHV12</stp>
        <stp>AMZN US Equity</stp>
        <stp>IS_DEPR_EXP</stp>
        <stp>FQ2 2016</stp>
        <stp>FQ2 2016</stp>
        <stp>[AMZ_2009-2018.xlsx]Income - Adjusted!R72C32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2" s="2"/>
      </tp>
      <tp t="s">
        <v>—</v>
        <stp/>
        <stp>##V3_BDHV12</stp>
        <stp>AMZN US Equity</stp>
        <stp>IS_GAIN_LOSS_ON_INVESTMENTS</stp>
        <stp>FQ4 2012</stp>
        <stp>FQ4 2012</stp>
        <stp>[AMZ_2009-2018.xlsx]Income - Adjusted!R29C18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9" s="2"/>
      </tp>
      <tp>
        <v>73.44</v>
        <stp/>
        <stp>##V3_BDHV12</stp>
        <stp>AMZN US Equity</stp>
        <stp>PX_LAST</stp>
        <stp>FQ1 2009</stp>
        <stp>FQ1 2009</stp>
        <stp>[AMZ_2009-2018.xlsx]Stock Value!R6C3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6" s="6"/>
      </tp>
      <tp t="s">
        <v>—</v>
        <stp/>
        <stp>##V3_BDHV12</stp>
        <stp>AMZN US Equity</stp>
        <stp>IS_DEPR_EXP</stp>
        <stp>FQ3 2016</stp>
        <stp>FQ3 2016</stp>
        <stp>[AMZ_2009-2018.xlsx]Income - Adjusted!R72C33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2" s="2"/>
      </tp>
      <tp t="s">
        <v>—</v>
        <stp/>
        <stp>##V3_BDHV12</stp>
        <stp>AMZN US Equity</stp>
        <stp>BS_GROSS_FIX_ASSET</stp>
        <stp>FQ1 2010</stp>
        <stp>FQ1 2010</stp>
        <stp>[AMZ_2009-2018.xlsx]Bal Sheet - Standardized!R24C7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4" s="3"/>
      </tp>
      <tp>
        <v>3732</v>
        <stp/>
        <stp>##V3_BDHV12</stp>
        <stp>AMZN US Equity</stp>
        <stp>IS_OTHER_OPERATING_EXPENSES</stp>
        <stp>FQ1 2016</stp>
        <stp>FQ1 2016</stp>
        <stp>[AMZ_2009-2018.xlsx]Income - Adjusted!R17C31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7" s="2"/>
      </tp>
      <tp>
        <v>888</v>
        <stp/>
        <stp>##V3_BDHV12</stp>
        <stp>AMZN US Equity</stp>
        <stp>IS_OTHER_OPERATING_EXPENSES</stp>
        <stp>FQ1 2011</stp>
        <stp>FQ1 2011</stp>
        <stp>[AMZ_2009-2018.xlsx]Income - Adjusted!R17C11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7" s="2"/>
      </tp>
      <tp>
        <v>2045</v>
        <stp/>
        <stp>##V3_BDHV12</stp>
        <stp>AMZN US Equity</stp>
        <stp>IS_OTHER_OPERATING_EXPENSES</stp>
        <stp>FQ3 2013</stp>
        <stp>FQ3 2013</stp>
        <stp>[AMZ_2009-2018.xlsx]Income - Adjusted!R17C21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7" s="2"/>
      </tp>
      <tp>
        <v>0.46</v>
        <stp/>
        <stp>##V3_BDHV12</stp>
        <stp>AMZN US Equity</stp>
        <stp>IS_EARN_BEF_XO_ITEMS_PER_SH</stp>
        <stp>FQ2 2010</stp>
        <stp>FQ2 2010</stp>
        <stp>[AMZ_2009-2018.xlsx]Per Share!R15C8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15" s="5"/>
      </tp>
      <tp>
        <v>5892</v>
        <stp/>
        <stp>##V3_BDHV12</stp>
        <stp>AMZN US Equity</stp>
        <stp>BS_SH_CAP_AND_APIC</stp>
        <stp>FQ1 2010</stp>
        <stp>FQ1 2010</stp>
        <stp>[AMZ_2009-2018.xlsx]Bal Sheet - Standardized!R65C7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5" s="3"/>
      </tp>
      <tp>
        <v>214</v>
        <stp/>
        <stp>##V3_BDHV12</stp>
        <stp>AMZN US Equity</stp>
        <stp>EARN_FOR_COMMON</stp>
        <stp>FQ4 2014</stp>
        <stp>FQ4 2014</stp>
        <stp>[AMZ_2009-2018.xlsx]Income - Adjusted!R43C26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43" s="2"/>
      </tp>
      <tp>
        <v>197</v>
        <stp/>
        <stp>##V3_BDHV12</stp>
        <stp>AMZN US Equity</stp>
        <stp>EARN_FOR_COMMON</stp>
        <stp>FQ2 2017</stp>
        <stp>FQ2 2017</stp>
        <stp>[AMZ_2009-2018.xlsx]Income - Adjusted!R43C36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43" s="2"/>
      </tp>
      <tp>
        <v>7</v>
        <stp/>
        <stp>##V3_BDHV12</stp>
        <stp>AMZN US Equity</stp>
        <stp>EARN_FOR_COMMON</stp>
        <stp>FQ2 2012</stp>
        <stp>FQ2 2012</stp>
        <stp>[AMZ_2009-2018.xlsx]Income - Adjusted!R43C16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43" s="2"/>
      </tp>
      <tp>
        <v>0</v>
        <stp/>
        <stp>##V3_BDHV12</stp>
        <stp>AMZN US Equity</stp>
        <stp>CF_DECR_CAP_STOCK</stp>
        <stp>FQ2 2012</stp>
        <stp>FQ2 2012</stp>
        <stp>[AMZ_2009-2018.xlsx]Cash Flow - Standardized!R48C16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8" s="4"/>
      </tp>
      <tp>
        <v>85</v>
        <stp/>
        <stp>##V3_BDHV12</stp>
        <stp>AMZN US Equity</stp>
        <stp>CF_INCR_CAP_STOCK</stp>
        <stp>FQ2 2012</stp>
        <stp>FQ2 2012</stp>
        <stp>[AMZ_2009-2018.xlsx]Cash Flow - Standardized!R47C16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7" s="4"/>
      </tp>
      <tp>
        <v>0</v>
        <stp/>
        <stp>##V3_BDHV12</stp>
        <stp>AMZN US Equity</stp>
        <stp>CF_DECR_CAP_STOCK</stp>
        <stp>FQ4 2016</stp>
        <stp>FQ4 2016</stp>
        <stp>[AMZ_2009-2018.xlsx]Cash Flow - Standardized!R48C34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8" s="4"/>
      </tp>
      <tp>
        <v>0</v>
        <stp/>
        <stp>##V3_BDHV12</stp>
        <stp>AMZN US Equity</stp>
        <stp>CF_INCR_CAP_STOCK</stp>
        <stp>FQ4 2016</stp>
        <stp>FQ4 2016</stp>
        <stp>[AMZ_2009-2018.xlsx]Cash Flow - Standardized!R47C34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7" s="4"/>
      </tp>
      <tp>
        <v>0</v>
        <stp/>
        <stp>##V3_BDHV12</stp>
        <stp>AMZN US Equity</stp>
        <stp>CF_DECR_CAP_STOCK</stp>
        <stp>FQ1 2011</stp>
        <stp>FQ1 2011</stp>
        <stp>[AMZ_2009-2018.xlsx]Cash Flow - Standardized!R48C11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8" s="4"/>
      </tp>
      <tp>
        <v>46</v>
        <stp/>
        <stp>##V3_BDHV12</stp>
        <stp>AMZN US Equity</stp>
        <stp>CF_INCR_CAP_STOCK</stp>
        <stp>FQ1 2011</stp>
        <stp>FQ1 2011</stp>
        <stp>[AMZ_2009-2018.xlsx]Cash Flow - Standardized!R47C11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7" s="4"/>
      </tp>
      <tp>
        <v>450</v>
        <stp/>
        <stp>##V3_BDHV12</stp>
        <stp>AMZN US Equity</stp>
        <stp>IS_SH_FOR_DILUTED_EPS</stp>
        <stp>FQ4 2009</stp>
        <stp>FQ4 2009</stp>
        <stp>[AMZ_2009-2018.xlsx]Income - Adjusted!R54C6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54" s="2"/>
      </tp>
      <tp>
        <v>1226</v>
        <stp/>
        <stp>##V3_BDHV12</stp>
        <stp>AMZN US Equity</stp>
        <stp>OTHER_NONCUR_LIABS_SUB_DETAILED</stp>
        <stp>FQ3 2010</stp>
        <stp>FQ3 2010</stp>
        <stp>[AMZ_2009-2018.xlsx]Bal Sheet - Standardized!R55C9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5" s="3"/>
      </tp>
      <tp>
        <v>674</v>
        <stp/>
        <stp>##V3_BDHV12</stp>
        <stp>AMZN US Equity</stp>
        <stp>OTHER_NONCUR_LIABS_SUB_DETAILED</stp>
        <stp>FQ2 2009</stp>
        <stp>FQ2 2009</stp>
        <stp>[AMZ_2009-2018.xlsx]Bal Sheet - Standardized!R55C4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5" s="3"/>
      </tp>
      <tp>
        <v>776</v>
        <stp/>
        <stp>##V3_BDHV12</stp>
        <stp>AMZN US Equity</stp>
        <stp>CF_NET_CHNG_CASH</stp>
        <stp>FQ3 2011</stp>
        <stp>FQ3 2011</stp>
        <stp>[AMZ_2009-2018.xlsx]Cash Flow - Standardized!R55C13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5" s="4"/>
      </tp>
      <tp>
        <v>-777</v>
        <stp/>
        <stp>##V3_BDHV12</stp>
        <stp>AMZN US Equity</stp>
        <stp>CF_NET_CHNG_CASH</stp>
        <stp>FQ2 2013</stp>
        <stp>FQ2 2013</stp>
        <stp>[AMZ_2009-2018.xlsx]Cash Flow - Standardized!R55C20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5" s="4"/>
      </tp>
      <tp>
        <v>2165</v>
        <stp/>
        <stp>##V3_BDHV12</stp>
        <stp>AMZN US Equity</stp>
        <stp>OTHER_NONCURRENT_LIABS_DETAILED</stp>
        <stp>FQ4 2014</stp>
        <stp>FQ4 2014</stp>
        <stp>[AMZ_2009-2018.xlsx]Bal Sheet - Standardized!R61C26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1" s="3"/>
      </tp>
      <tp>
        <v>3596</v>
        <stp/>
        <stp>##V3_BDHV12</stp>
        <stp>AMZN US Equity</stp>
        <stp>OTHER_NONCURRENT_LIABS_DETAILED</stp>
        <stp>FQ3 2013</stp>
        <stp>FQ3 2013</stp>
        <stp>[AMZ_2009-2018.xlsx]Bal Sheet - Standardized!R61C21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1" s="3"/>
      </tp>
      <tp>
        <v>2131</v>
        <stp/>
        <stp>##V3_BDHV12</stp>
        <stp>AMZN US Equity</stp>
        <stp>OTHER_NONCURRENT_LIABS_DETAILED</stp>
        <stp>FQ2 2011</stp>
        <stp>FQ2 2011</stp>
        <stp>[AMZ_2009-2018.xlsx]Bal Sheet - Standardized!R61C12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1" s="3"/>
      </tp>
      <tp>
        <v>1101</v>
        <stp/>
        <stp>##V3_BDHV12</stp>
        <stp>AMZN US Equity</stp>
        <stp>OTHER_NONCUR_LIABS_SUB_DETAILED</stp>
        <stp>FQ4 2010</stp>
        <stp>FQ4 2010</stp>
        <stp>[AMZ_2009-2018.xlsx]Bal Sheet - Standardized!R55C10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5" s="3"/>
      </tp>
      <tp>
        <v>2650</v>
        <stp/>
        <stp>##V3_BDHV12</stp>
        <stp>AMZN US Equity</stp>
        <stp>OTHER_NONCURRENT_LIABS_DETAILED</stp>
        <stp>FQ4 2015</stp>
        <stp>FQ4 2015</stp>
        <stp>[AMZ_2009-2018.xlsx]Bal Sheet - Standardized!R61C30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1" s="3"/>
      </tp>
      <tp>
        <v>2252</v>
        <stp/>
        <stp>##V3_BDHV12</stp>
        <stp>AMZN US Equity</stp>
        <stp>OTHER_NONCUR_LIABS_SUB_DETAILED</stp>
        <stp>FQ4 2013</stp>
        <stp>FQ4 2013</stp>
        <stp>[AMZ_2009-2018.xlsx]Bal Sheet - Standardized!R55C22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5" s="3"/>
      </tp>
      <tp>
        <v>6142</v>
        <stp/>
        <stp>##V3_BDHV12</stp>
        <stp>AMZN US Equity</stp>
        <stp>OTHER_NONCUR_LIABS_SUB_DETAILED</stp>
        <stp>FQ3 2014</stp>
        <stp>FQ3 2014</stp>
        <stp>[AMZ_2009-2018.xlsx]Bal Sheet - Standardized!R55C25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5" s="3"/>
      </tp>
      <tp>
        <v>5905</v>
        <stp/>
        <stp>##V3_BDHV12</stp>
        <stp>AMZN US Equity</stp>
        <stp>OTHER_NONCUR_LIABS_SUB_DETAILED</stp>
        <stp>FQ1 2017</stp>
        <stp>FQ1 2017</stp>
        <stp>[AMZ_2009-2018.xlsx]Bal Sheet - Standardized!R55C35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5" s="3"/>
      </tp>
      <tp>
        <v>2580</v>
        <stp/>
        <stp>##V3_BDHV12</stp>
        <stp>AMZN US Equity</stp>
        <stp>OTHER_NONCURRENT_LIABS_DETAILED</stp>
        <stp>FQ1 2012</stp>
        <stp>FQ1 2012</stp>
        <stp>[AMZ_2009-2018.xlsx]Bal Sheet - Standardized!R61C15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1" s="3"/>
      </tp>
      <tp>
        <v>0</v>
        <stp/>
        <stp>##V3_BDHV12</stp>
        <stp>AMZN US Equity</stp>
        <stp>CF_DISPOSAL_OF_INTANGIBLE_ASSETS</stp>
        <stp>FQ4 2012</stp>
        <stp>FQ4 2012</stp>
        <stp>[AMZ_2009-2018.xlsx]Cash Flow - Standardized!R25C18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5" s="4"/>
      </tp>
      <tp>
        <v>0.18</v>
        <stp/>
        <stp>##V3_BDHV12</stp>
        <stp>AMZN US Equity</stp>
        <stp>IS_DIL_EPS_CONT_OPS</stp>
        <stp>FQ1 2013</stp>
        <stp>FQ1 2013</stp>
        <stp>[AMZ_2009-2018.xlsx]Income - Adjusted!R57C19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57" s="2"/>
      </tp>
      <tp>
        <v>3.27</v>
        <stp/>
        <stp>##V3_BDHV12</stp>
        <stp>AMZN US Equity</stp>
        <stp>IS_DIL_EPS_CONT_OPS</stp>
        <stp>FQ1 2018</stp>
        <stp>FQ1 2018</stp>
        <stp>[AMZ_2009-2018.xlsx]Income - Adjusted!R57C39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57" s="2"/>
      </tp>
      <tp>
        <v>-3603</v>
        <stp/>
        <stp>##V3_BDHV12</stp>
        <stp>AMZN US Equity</stp>
        <stp>CF_NET_CHNG_CASH</stp>
        <stp>FQ1 2013</stp>
        <stp>FQ1 2013</stp>
        <stp>[AMZ_2009-2018.xlsx]Cash Flow - Standardized!R55C19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5" s="4"/>
      </tp>
      <tp>
        <v>-464</v>
        <stp/>
        <stp>##V3_BDHV12</stp>
        <stp>AMZN US Equity</stp>
        <stp>PRETAX_INC</stp>
        <stp>FQ3 2014</stp>
        <stp>FQ3 2014</stp>
        <stp>[AMZ_2009-2018.xlsx]Income - Adjusted!R25C25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5" s="2"/>
      </tp>
      <tp>
        <v>8510</v>
        <stp/>
        <stp>##V3_BDHV12</stp>
        <stp>AMZN US Equity</stp>
        <stp>OTHER_NONCUR_LIABS_SUB_DETAILED</stp>
        <stp>FQ2 2015</stp>
        <stp>FQ2 2015</stp>
        <stp>[AMZ_2009-2018.xlsx]Bal Sheet - Standardized!R55C28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5" s="3"/>
      </tp>
      <tp>
        <v>0</v>
        <stp/>
        <stp>##V3_BDHV12</stp>
        <stp>AMZN US Equity</stp>
        <stp>CF_DISPOSAL_OF_INTANGIBLE_ASSETS</stp>
        <stp>FQ2 2016</stp>
        <stp>FQ2 2016</stp>
        <stp>[AMZ_2009-2018.xlsx]Cash Flow - Standardized!R25C32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5" s="4"/>
      </tp>
      <tp>
        <v>0.17</v>
        <stp/>
        <stp>##V3_BDHV12</stp>
        <stp>AMZN US Equity</stp>
        <stp>IS_DIL_EPS_CONT_OPS</stp>
        <stp>FQ3 2015</stp>
        <stp>FQ3 2015</stp>
        <stp>[AMZ_2009-2018.xlsx]Income - Adjusted!R57C29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57" s="2"/>
      </tp>
      <tp>
        <v>0</v>
        <stp/>
        <stp>##V3_BDHV12</stp>
        <stp>AMZN US Equity</stp>
        <stp>CF_DISPOSAL_OF_INTANGIBLE_ASSETS</stp>
        <stp>FQ1 2014</stp>
        <stp>FQ1 2014</stp>
        <stp>[AMZ_2009-2018.xlsx]Cash Flow - Standardized!R25C23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5" s="4"/>
      </tp>
      <tp>
        <v>953</v>
        <stp/>
        <stp>##V3_BDHV12</stp>
        <stp>AMZN US Equity</stp>
        <stp>PRETAX_INC</stp>
        <stp>FQ1 2017</stp>
        <stp>FQ1 2017</stp>
        <stp>[AMZ_2009-2018.xlsx]Income - Adjusted!R25C35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25" s="2"/>
      </tp>
      <tp>
        <v>84</v>
        <stp/>
        <stp>##V3_BDHV12</stp>
        <stp>AMZN US Equity</stp>
        <stp>PRETAX_INC</stp>
        <stp>FQ1 2012</stp>
        <stp>FQ1 2012</stp>
        <stp>[AMZ_2009-2018.xlsx]Income - Adjusted!R25C15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5" s="2"/>
      </tp>
      <tp>
        <v>-5.3818999999999999</v>
        <stp/>
        <stp>##V3_BDHV12</stp>
        <stp>AMZN US Equity</stp>
        <stp>CASH_FLOW_PER_SH</stp>
        <stp>FQ1 2012</stp>
        <stp>FQ1 2012</stp>
        <stp>[AMZ_2009-2018.xlsx]Per Share!R22C15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22" s="5"/>
      </tp>
      <tp>
        <v>-3.3940999999999999</v>
        <stp/>
        <stp>##V3_BDHV12</stp>
        <stp>AMZN US Equity</stp>
        <stp>CASH_FLOW_PER_SH</stp>
        <stp>FQ1 2017</stp>
        <stp>FQ1 2017</stp>
        <stp>[AMZ_2009-2018.xlsx]Per Share!R22C35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22" s="5"/>
      </tp>
      <tp>
        <v>0</v>
        <stp/>
        <stp>##V3_BDHV12</stp>
        <stp>AMZN US Equity</stp>
        <stp>CF_DISPOSAL_OF_INTANGIBLE_ASSETS</stp>
        <stp>FQ3 2017</stp>
        <stp>FQ3 2017</stp>
        <stp>[AMZ_2009-2018.xlsx]Cash Flow - Standardized!R25C37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5" s="4"/>
      </tp>
      <tp>
        <v>3.8143000000000002</v>
        <stp/>
        <stp>##V3_BDHV12</stp>
        <stp>AMZN US Equity</stp>
        <stp>CASH_FLOW_PER_SH</stp>
        <stp>FQ3 2014</stp>
        <stp>FQ3 2014</stp>
        <stp>[AMZ_2009-2018.xlsx]Per Share!R22C25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22" s="5"/>
      </tp>
      <tp>
        <v>6.4931000000000001</v>
        <stp/>
        <stp>##V3_BDHV12</stp>
        <stp>AMZN US Equity</stp>
        <stp>TANG_BOOK_VAL_PER_SH</stp>
        <stp>FQ2 2009</stp>
        <stp>FQ2 2009</stp>
        <stp>[AMZ_2009-2018.xlsx]Per Share!R27C4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27" s="5"/>
      </tp>
      <tp>
        <v>-2949</v>
        <stp/>
        <stp>##V3_BDHV12</stp>
        <stp>AMZN US Equity</stp>
        <stp>CHG_IN_FXD_&amp;_INTANG_AST_DETAILED</stp>
        <stp>FQ2 2018</stp>
        <stp>FQ2 2018</stp>
        <stp>[AMZ_2009-2018.xlsx]Cash Flow - Standardized!R22C40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2" s="4"/>
      </tp>
      <tp>
        <v>59</v>
        <stp/>
        <stp>##V3_BDHV12</stp>
        <stp>AMZN US Equity</stp>
        <stp>OTHER_NON_CASH_ADJ_LESS_DETAILED</stp>
        <stp>FQ1 2012</stp>
        <stp>FQ1 2012</stp>
        <stp>[AMZ_2009-2018.xlsx]Cash Flow - Standardized!R12C15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2" s="4"/>
      </tp>
      <tp>
        <v>0</v>
        <stp/>
        <stp>##V3_BDHV12</stp>
        <stp>AMZN US Equity</stp>
        <stp>MINORITY_NONCONTROLLING_INTEREST</stp>
        <stp>FQ3 2009</stp>
        <stp>FQ3 2009</stp>
        <stp>[AMZ_2009-2018.xlsx]Bal Sheet - Standardized!R72C5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2" s="3"/>
      </tp>
      <tp>
        <v>115</v>
        <stp/>
        <stp>##V3_BDHV12</stp>
        <stp>AMZN US Equity</stp>
        <stp>OTHER_NON_CASH_ADJ_LESS_DETAILED</stp>
        <stp>FQ4 2015</stp>
        <stp>FQ4 2015</stp>
        <stp>[AMZ_2009-2018.xlsx]Cash Flow - Standardized!R12C30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2" s="4"/>
      </tp>
      <tp>
        <v>10317</v>
        <stp/>
        <stp>##V3_BDHV12</stp>
        <stp>AMZN US Equity</stp>
        <stp>IS_COG_AND_SERVICES_SOLD</stp>
        <stp>FQ4 2010</stp>
        <stp>FQ4 2010</stp>
        <stp>[AMZ_2009-2018.xlsx]Income - Adjusted!R9C10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9" s="2"/>
      </tp>
      <tp>
        <v>7608</v>
        <stp/>
        <stp>##V3_BDHV12</stp>
        <stp>AMZN US Equity</stp>
        <stp>IS_COG_AND_SERVICES_SOLD</stp>
        <stp>FQ1 2011</stp>
        <stp>FQ1 2011</stp>
        <stp>[AMZ_2009-2018.xlsx]Income - Adjusted!R9C11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9" s="2"/>
      </tp>
      <tp>
        <v>27549</v>
        <stp/>
        <stp>##V3_BDHV12</stp>
        <stp>AMZN US Equity</stp>
        <stp>IS_COG_AND_SERVICES_SOLD</stp>
        <stp>FQ3 2017</stp>
        <stp>FQ3 2017</stp>
        <stp>[AMZ_2009-2018.xlsx]Income - Adjusted!R9C37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9" s="2"/>
      </tp>
      <tp>
        <v>13399</v>
        <stp/>
        <stp>##V3_BDHV12</stp>
        <stp>AMZN US Equity</stp>
        <stp>IS_COG_AND_SERVICES_SOLD</stp>
        <stp>FQ2 2014</stp>
        <stp>FQ2 2014</stp>
        <stp>[AMZ_2009-2018.xlsx]Income - Adjusted!R9C24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9" s="2"/>
      </tp>
      <tp>
        <v>3</v>
        <stp/>
        <stp>##V3_BDHV12</stp>
        <stp>AMZN US Equity</stp>
        <stp>OTHER_NON_CASH_ADJ_LESS_DETAILED</stp>
        <stp>FQ2 2011</stp>
        <stp>FQ2 2011</stp>
        <stp>[AMZ_2009-2018.xlsx]Cash Flow - Standardized!R12C12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2" s="4"/>
      </tp>
      <tp>
        <v>0</v>
        <stp/>
        <stp>##V3_BDHV12</stp>
        <stp>AMZN US Equity</stp>
        <stp>MINORITY_NONCONTROLLING_INTEREST</stp>
        <stp>FQ2 2010</stp>
        <stp>FQ2 2010</stp>
        <stp>[AMZ_2009-2018.xlsx]Bal Sheet - Standardized!R72C8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2" s="3"/>
      </tp>
      <tp>
        <v>114</v>
        <stp/>
        <stp>##V3_BDHV12</stp>
        <stp>AMZN US Equity</stp>
        <stp>OTHER_NON_CASH_ADJ_LESS_DETAILED</stp>
        <stp>FQ4 2014</stp>
        <stp>FQ4 2014</stp>
        <stp>[AMZ_2009-2018.xlsx]Cash Flow - Standardized!R12C26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2" s="4"/>
      </tp>
      <tp>
        <v>17</v>
        <stp/>
        <stp>##V3_BDHV12</stp>
        <stp>AMZN US Equity</stp>
        <stp>OTHER_NON_CASH_ADJ_LESS_DETAILED</stp>
        <stp>FQ3 2013</stp>
        <stp>FQ3 2013</stp>
        <stp>[AMZ_2009-2018.xlsx]Cash Flow - Standardized!R12C21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2" s="4"/>
      </tp>
      <tp>
        <v>2754</v>
        <stp/>
        <stp>##V3_BDHV12</stp>
        <stp>AMZN US Equity</stp>
        <stp>IS_OPEX_R&amp;D</stp>
        <stp>FQ1 2015</stp>
        <stp>FQ1 2015</stp>
        <stp>[AMZ_2009-2018.xlsx]Income - Adjusted!R16C27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6" s="2"/>
      </tp>
      <tp>
        <v>3197</v>
        <stp/>
        <stp>##V3_BDHV12</stp>
        <stp>AMZN US Equity</stp>
        <stp>IS_OPEX_R&amp;D</stp>
        <stp>FQ3 2015</stp>
        <stp>FQ3 2015</stp>
        <stp>[AMZ_2009-2018.xlsx]Income - Adjusted!R16C29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6" s="2"/>
      </tp>
      <tp>
        <v>619</v>
        <stp/>
        <stp>##V3_BDHV12</stp>
        <stp>AMZN US Equity</stp>
        <stp>EBITDA</stp>
        <stp>FQ4 2011</stp>
        <stp>FQ4 2011</stp>
        <stp>[AMZ_2009-2018.xlsx]Cash Flow - Standardized!R61C14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61" s="4"/>
      </tp>
      <tp>
        <v>2860</v>
        <stp/>
        <stp>##V3_BDHV12</stp>
        <stp>AMZN US Equity</stp>
        <stp>EBITDA</stp>
        <stp>FQ4 2015</stp>
        <stp>FQ4 2015</stp>
        <stp>[AMZ_2009-2018.xlsx]Cash Flow - Standardized!R61C30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61" s="4"/>
      </tp>
      <tp>
        <v>2659</v>
        <stp/>
        <stp>##V3_BDHV12</stp>
        <stp>AMZN US Equity</stp>
        <stp>EBITDA</stp>
        <stp>FQ3 2016</stp>
        <stp>FQ3 2016</stp>
        <stp>[AMZ_2009-2018.xlsx]Cash Flow - Standardized!R61C33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61" s="4"/>
      </tp>
      <tp>
        <v>526</v>
        <stp/>
        <stp>##V3_BDHV12</stp>
        <stp>AMZN US Equity</stp>
        <stp>EBITDA</stp>
        <stp>FQ3 2012</stp>
        <stp>FQ3 2012</stp>
        <stp>[AMZ_2009-2018.xlsx]Cash Flow - Standardized!R61C17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61" s="4"/>
      </tp>
      <tp>
        <v>5</v>
        <stp/>
        <stp>##V3_BDHV12</stp>
        <stp>AMZN US Equity</stp>
        <stp>BS_COMMON_STOCK</stp>
        <stp>FQ1 2018</stp>
        <stp>FQ1 2018</stp>
        <stp>[AMZ_2009-2018.xlsx]Bal Sheet - Standardized!R66C39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6" s="3"/>
      </tp>
      <tp>
        <v>3020</v>
        <stp/>
        <stp>##V3_BDHV12</stp>
        <stp>AMZN US Equity</stp>
        <stp>IS_OPEX_R&amp;D</stp>
        <stp>FQ2 2015</stp>
        <stp>FQ2 2015</stp>
        <stp>[AMZ_2009-2018.xlsx]Income - Adjusted!R16C28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6" s="2"/>
      </tp>
      <tp>
        <v>0</v>
        <stp/>
        <stp>##V3_BDHV12</stp>
        <stp>AMZN US Equity</stp>
        <stp>EQY_DPS</stp>
        <stp>FQ4 2009</stp>
        <stp>FQ4 2009</stp>
        <stp>[AMZ_2009-2018.xlsx]Income - Adjusted!R69C6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69" s="2"/>
      </tp>
      <tp>
        <v>0</v>
        <stp/>
        <stp>##V3_BDHV12</stp>
        <stp>AMZN US Equity</stp>
        <stp>IS_TOT_CASH_COM_DVD</stp>
        <stp>FQ1 2018</stp>
        <stp>FQ1 2018</stp>
        <stp>[AMZ_2009-2018.xlsx]Income - Adjusted!R70C39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0" s="2"/>
      </tp>
      <tp t="s">
        <v>—</v>
        <stp/>
        <stp>##V3_BDHV12</stp>
        <stp>AMZN US Equity</stp>
        <stp>IS_MERGER_ACQUISITION_EXPENSE</stp>
        <stp>FQ2 2010</stp>
        <stp>FQ2 2010</stp>
        <stp>[AMZ_2009-2018.xlsx]Income - Adjusted!R27C8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7" s="2"/>
      </tp>
      <tp>
        <v>0.42</v>
        <stp/>
        <stp>##V3_BDHV12</stp>
        <stp>AMZN US Equity</stp>
        <stp>IS_EARN_BEF_XO_ITEMS_PER_SH</stp>
        <stp>FQ2 2011</stp>
        <stp>FQ2 2011</stp>
        <stp>[AMZ_2009-2018.xlsx]Per Share!R15C12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15" s="5"/>
      </tp>
      <tp>
        <v>1.81</v>
        <stp/>
        <stp>##V3_BDHV12</stp>
        <stp>AMZN US Equity</stp>
        <stp>IS_EARN_BEF_XO_ITEMS_PER_SH</stp>
        <stp>FQ2 2016</stp>
        <stp>FQ2 2016</stp>
        <stp>[AMZ_2009-2018.xlsx]Per Share!R15C32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15" s="5"/>
      </tp>
      <tp>
        <v>0.52</v>
        <stp/>
        <stp>##V3_BDHV12</stp>
        <stp>AMZN US Equity</stp>
        <stp>IS_EARN_BEF_XO_ITEMS_PER_SH</stp>
        <stp>FQ4 2013</stp>
        <stp>FQ4 2013</stp>
        <stp>[AMZ_2009-2018.xlsx]Per Share!R15C22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15" s="5"/>
      </tp>
      <tp t="s">
        <v>—</v>
        <stp/>
        <stp>##V3_BDHV12</stp>
        <stp>AMZN US Equity</stp>
        <stp>IS_GAIN_LOSS_ON_INVESTMENTS</stp>
        <stp>FQ2 2017</stp>
        <stp>FQ2 2017</stp>
        <stp>[AMZ_2009-2018.xlsx]Income - Adjusted!R29C36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9" s="2"/>
      </tp>
      <tp t="s">
        <v>—</v>
        <stp/>
        <stp>##V3_BDHV12</stp>
        <stp>AMZN US Equity</stp>
        <stp>IS_GAIN_LOSS_ON_INVESTMENTS</stp>
        <stp>FQ3 2017</stp>
        <stp>FQ3 2017</stp>
        <stp>[AMZ_2009-2018.xlsx]Income - Adjusted!R29C37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9" s="2"/>
      </tp>
      <tp t="s">
        <v>—</v>
        <stp/>
        <stp>##V3_BDHV12</stp>
        <stp>AMZN US Equity</stp>
        <stp>IS_GAIN_LOSS_ON_INVESTMENTS</stp>
        <stp>FQ1 2017</stp>
        <stp>FQ1 2017</stp>
        <stp>[AMZ_2009-2018.xlsx]Income - Adjusted!R29C35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9" s="2"/>
      </tp>
      <tp>
        <v>0</v>
        <stp/>
        <stp>##V3_BDHV12</stp>
        <stp>AMZN US Equity</stp>
        <stp>CF_NET_CASH_DISCONT_OPS_OPER</stp>
        <stp>FQ4 2009</stp>
        <stp>FQ4 2009</stp>
        <stp>[AMZ_2009-2018.xlsx]Cash Flow - Standardized!R18C6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8" s="4"/>
      </tp>
      <tp t="s">
        <v>—</v>
        <stp/>
        <stp>##V3_BDHV12</stp>
        <stp>AMZN US Equity</stp>
        <stp>IS_DEPR_EXP</stp>
        <stp>FQ1 2013</stp>
        <stp>FQ1 2013</stp>
        <stp>[AMZ_2009-2018.xlsx]Income - Adjusted!R72C19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2" s="2"/>
      </tp>
      <tp>
        <v>83.66</v>
        <stp/>
        <stp>##V3_BDHV12</stp>
        <stp>AMZN US Equity</stp>
        <stp>PX_LAST</stp>
        <stp>FQ2 2009</stp>
        <stp>FQ2 2009</stp>
        <stp>[AMZ_2009-2018.xlsx]Stock Value!R6C4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6" s="6"/>
      </tp>
      <tp t="s">
        <v>—</v>
        <stp/>
        <stp>##V3_BDHV12</stp>
        <stp>AMZN US Equity</stp>
        <stp>IS_GAIN_LOSS_ON_INVESTMENTS</stp>
        <stp>FQ4 2017</stp>
        <stp>FQ4 2017</stp>
        <stp>[AMZ_2009-2018.xlsx]Income - Adjusted!R29C38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9" s="2"/>
      </tp>
      <tp>
        <v>3463</v>
        <stp/>
        <stp>##V3_BDHV12</stp>
        <stp>AMZN US Equity</stp>
        <stp>IS_OTHER_OPERATING_EXPENSES</stp>
        <stp>FQ4 2014</stp>
        <stp>FQ4 2014</stp>
        <stp>[AMZ_2009-2018.xlsx]Income - Adjusted!R17C26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7" s="2"/>
      </tp>
      <tp>
        <v>4</v>
        <stp/>
        <stp>##V3_BDHV12</stp>
        <stp>AMZN US Equity</stp>
        <stp>IS_SH_PRO_EQY_MT_INV_NET_OF_TAX</stp>
        <stp>FQ2 2015</stp>
        <stp>FQ2 2015</stp>
        <stp>[AMZ_2009-2018.xlsx]Income - Adjusted!R33C28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33" s="2"/>
      </tp>
      <tp>
        <v>46</v>
        <stp/>
        <stp>##V3_BDHV12</stp>
        <stp>AMZN US Equity</stp>
        <stp>IS_SH_PRO_EQY_MT_INV_NET_OF_TAX</stp>
        <stp>FQ4 2012</stp>
        <stp>FQ4 2012</stp>
        <stp>[AMZ_2009-2018.xlsx]Income - Adjusted!R33C18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33" s="2"/>
      </tp>
      <tp>
        <v>0</v>
        <stp/>
        <stp>##V3_BDHV12</stp>
        <stp>AMZN US Equity</stp>
        <stp>IS_SH_PRO_EQY_MT_INV_NET_OF_TAX</stp>
        <stp>FQ4 2017</stp>
        <stp>FQ4 2017</stp>
        <stp>[AMZ_2009-2018.xlsx]Income - Adjusted!R33C38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33" s="2"/>
      </tp>
      <tp>
        <v>0.87</v>
        <stp/>
        <stp>##V3_BDHV12</stp>
        <stp>AMZN US Equity</stp>
        <stp>IS_EARN_BEF_XO_ITEMS_PER_SH</stp>
        <stp>FQ4 2009</stp>
        <stp>FQ4 2009</stp>
        <stp>[AMZ_2009-2018.xlsx]Per Share!R15C6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15" s="5"/>
      </tp>
      <tp>
        <v>5224</v>
        <stp/>
        <stp>##V3_BDHV12</stp>
        <stp>AMZN US Equity</stp>
        <stp>IS_OTHER_OPERATING_EXPENSES</stp>
        <stp>FQ2 2017</stp>
        <stp>FQ2 2017</stp>
        <stp>[AMZ_2009-2018.xlsx]Income - Adjusted!R17C36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7" s="2"/>
      </tp>
      <tp>
        <v>1288</v>
        <stp/>
        <stp>##V3_BDHV12</stp>
        <stp>AMZN US Equity</stp>
        <stp>IS_OTHER_OPERATING_EXPENSES</stp>
        <stp>FQ2 2012</stp>
        <stp>FQ2 2012</stp>
        <stp>[AMZ_2009-2018.xlsx]Income - Adjusted!R17C16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7" s="2"/>
      </tp>
      <tp>
        <v>-41</v>
        <stp/>
        <stp>##V3_BDHV12</stp>
        <stp>AMZN US Equity</stp>
        <stp>EARN_FOR_COMMON</stp>
        <stp>FQ3 2013</stp>
        <stp>FQ3 2013</stp>
        <stp>[AMZ_2009-2018.xlsx]Income - Adjusted!R43C21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43" s="2"/>
      </tp>
      <tp>
        <v>513</v>
        <stp/>
        <stp>##V3_BDHV12</stp>
        <stp>AMZN US Equity</stp>
        <stp>EARN_FOR_COMMON</stp>
        <stp>FQ1 2016</stp>
        <stp>FQ1 2016</stp>
        <stp>[AMZ_2009-2018.xlsx]Income - Adjusted!R43C31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43" s="2"/>
      </tp>
      <tp>
        <v>201</v>
        <stp/>
        <stp>##V3_BDHV12</stp>
        <stp>AMZN US Equity</stp>
        <stp>EARN_FOR_COMMON</stp>
        <stp>FQ1 2011</stp>
        <stp>FQ1 2011</stp>
        <stp>[AMZ_2009-2018.xlsx]Income - Adjusted!R43C11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43" s="2"/>
      </tp>
      <tp>
        <v>0</v>
        <stp/>
        <stp>##V3_BDHV12</stp>
        <stp>AMZN US Equity</stp>
        <stp>MIN_NONCONTROL_INTEREST_CREDITS</stp>
        <stp>FQ4 2017</stp>
        <stp>FQ4 2017</stp>
        <stp>[AMZ_2009-2018.xlsx]Income - Adjusted!R39C38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39" s="2"/>
      </tp>
      <tp>
        <v>0</v>
        <stp/>
        <stp>##V3_BDHV12</stp>
        <stp>AMZN US Equity</stp>
        <stp>MIN_NONCONTROL_INTEREST_CREDITS</stp>
        <stp>FQ4 2012</stp>
        <stp>FQ4 2012</stp>
        <stp>[AMZ_2009-2018.xlsx]Income - Adjusted!R39C18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39" s="2"/>
      </tp>
      <tp>
        <v>0</v>
        <stp/>
        <stp>##V3_BDHV12</stp>
        <stp>AMZN US Equity</stp>
        <stp>MIN_NONCONTROL_INTEREST_CREDITS</stp>
        <stp>FQ2 2015</stp>
        <stp>FQ2 2015</stp>
        <stp>[AMZ_2009-2018.xlsx]Income - Adjusted!R39C28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39" s="2"/>
      </tp>
      <tp>
        <v>0</v>
        <stp/>
        <stp>##V3_BDHV12</stp>
        <stp>AMZN US Equity</stp>
        <stp>CF_DECR_CAP_STOCK</stp>
        <stp>FQ3 2016</stp>
        <stp>FQ3 2016</stp>
        <stp>[AMZ_2009-2018.xlsx]Cash Flow - Standardized!R48C33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8" s="4"/>
      </tp>
      <tp>
        <v>0</v>
        <stp/>
        <stp>##V3_BDHV12</stp>
        <stp>AMZN US Equity</stp>
        <stp>CF_INCR_CAP_STOCK</stp>
        <stp>FQ3 2016</stp>
        <stp>FQ3 2016</stp>
        <stp>[AMZ_2009-2018.xlsx]Cash Flow - Standardized!R47C33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7" s="4"/>
      </tp>
      <tp>
        <v>0</v>
        <stp/>
        <stp>##V3_BDHV12</stp>
        <stp>AMZN US Equity</stp>
        <stp>CF_DECR_CAP_STOCK</stp>
        <stp>FQ1 2015</stp>
        <stp>FQ1 2015</stp>
        <stp>[AMZ_2009-2018.xlsx]Cash Flow - Standardized!R48C27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8" s="4"/>
      </tp>
      <tp>
        <v>22</v>
        <stp/>
        <stp>##V3_BDHV12</stp>
        <stp>AMZN US Equity</stp>
        <stp>CF_INCR_CAP_STOCK</stp>
        <stp>FQ1 2015</stp>
        <stp>FQ1 2015</stp>
        <stp>[AMZ_2009-2018.xlsx]Cash Flow - Standardized!R47C27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7" s="4"/>
      </tp>
      <tp>
        <v>0</v>
        <stp/>
        <stp>##V3_BDHV12</stp>
        <stp>AMZN US Equity</stp>
        <stp>CF_DECR_CAP_STOCK</stp>
        <stp>FQ2 2017</stp>
        <stp>FQ2 2017</stp>
        <stp>[AMZ_2009-2018.xlsx]Cash Flow - Standardized!R48C36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8" s="4"/>
      </tp>
      <tp>
        <v>0</v>
        <stp/>
        <stp>##V3_BDHV12</stp>
        <stp>AMZN US Equity</stp>
        <stp>CF_INCR_CAP_STOCK</stp>
        <stp>FQ2 2017</stp>
        <stp>FQ2 2017</stp>
        <stp>[AMZ_2009-2018.xlsx]Cash Flow - Standardized!R47C36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7" s="4"/>
      </tp>
      <tp>
        <v>42</v>
        <stp/>
        <stp>##V3_BDHV12</stp>
        <stp>AMZN US Equity</stp>
        <stp>BS_CURR_PORTION_LT_DEBT</stp>
        <stp>FQ1 2010</stp>
        <stp>FQ1 2010</stp>
        <stp>[AMZ_2009-2018.xlsx]Bal Sheet - Standardized!R46C7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6" s="3"/>
      </tp>
      <tp>
        <v>455</v>
        <stp/>
        <stp>##V3_BDHV12</stp>
        <stp>AMZN US Equity</stp>
        <stp>IS_SH_FOR_DILUTED_EPS</stp>
        <stp>FQ2 2010</stp>
        <stp>FQ2 2010</stp>
        <stp>[AMZ_2009-2018.xlsx]Income - Adjusted!R54C8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54" s="2"/>
      </tp>
      <tp>
        <v>1101</v>
        <stp/>
        <stp>##V3_BDHV12</stp>
        <stp>AMZN US Equity</stp>
        <stp>OTHER_NONCURRENT_LIABS_DETAILED</stp>
        <stp>FQ4 2010</stp>
        <stp>FQ4 2010</stp>
        <stp>[AMZ_2009-2018.xlsx]Bal Sheet - Standardized!R61C10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1" s="3"/>
      </tp>
      <tp>
        <v>2252</v>
        <stp/>
        <stp>##V3_BDHV12</stp>
        <stp>AMZN US Equity</stp>
        <stp>OTHER_NONCURRENT_LIABS_DETAILED</stp>
        <stp>FQ4 2013</stp>
        <stp>FQ4 2013</stp>
        <stp>[AMZ_2009-2018.xlsx]Bal Sheet - Standardized!R61C22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1" s="3"/>
      </tp>
      <tp>
        <v>6142</v>
        <stp/>
        <stp>##V3_BDHV12</stp>
        <stp>AMZN US Equity</stp>
        <stp>OTHER_NONCURRENT_LIABS_DETAILED</stp>
        <stp>FQ3 2014</stp>
        <stp>FQ3 2014</stp>
        <stp>[AMZ_2009-2018.xlsx]Bal Sheet - Standardized!R61C25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1" s="3"/>
      </tp>
      <tp>
        <v>3301</v>
        <stp/>
        <stp>##V3_BDHV12</stp>
        <stp>AMZN US Equity</stp>
        <stp>OTHER_NONCUR_LIABS_SUB_DETAILED</stp>
        <stp>FQ4 2015</stp>
        <stp>FQ4 2015</stp>
        <stp>[AMZ_2009-2018.xlsx]Bal Sheet - Standardized!R55C30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5" s="3"/>
      </tp>
      <tp>
        <v>5905</v>
        <stp/>
        <stp>##V3_BDHV12</stp>
        <stp>AMZN US Equity</stp>
        <stp>OTHER_NONCURRENT_LIABS_DETAILED</stp>
        <stp>FQ1 2017</stp>
        <stp>FQ1 2017</stp>
        <stp>[AMZ_2009-2018.xlsx]Bal Sheet - Standardized!R61C35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1" s="3"/>
      </tp>
      <tp>
        <v>-17</v>
        <stp/>
        <stp>##V3_BDHV12</stp>
        <stp>AMZN US Equity</stp>
        <stp>CF_NET_CHNG_CASH</stp>
        <stp>FQ2 2014</stp>
        <stp>FQ2 2014</stp>
        <stp>[AMZ_2009-2018.xlsx]Cash Flow - Standardized!R55C24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5" s="4"/>
      </tp>
      <tp>
        <v>0</v>
        <stp/>
        <stp>##V3_BDHV12</stp>
        <stp>AMZN US Equity</stp>
        <stp>CF_DISPOSAL_OF_INTANGIBLE_ASSETS</stp>
        <stp>FQ4 2017</stp>
        <stp>FQ4 2017</stp>
        <stp>[AMZ_2009-2018.xlsx]Cash Flow - Standardized!R25C38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5" s="4"/>
      </tp>
      <tp>
        <v>25172</v>
        <stp/>
        <stp>##V3_BDHV12</stp>
        <stp>AMZN US Equity</stp>
        <stp>BS_ACCT_PAYABLE</stp>
        <stp>FQ1 2018</stp>
        <stp>FQ1 2018</stp>
        <stp>[AMZ_2009-2018.xlsx]Bal Sheet - Standardized!R39C39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9" s="3"/>
      </tp>
      <tp>
        <v>2580</v>
        <stp/>
        <stp>##V3_BDHV12</stp>
        <stp>AMZN US Equity</stp>
        <stp>OTHER_NONCUR_LIABS_SUB_DETAILED</stp>
        <stp>FQ1 2012</stp>
        <stp>FQ1 2012</stp>
        <stp>[AMZ_2009-2018.xlsx]Bal Sheet - Standardized!R55C15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5" s="3"/>
      </tp>
      <tp>
        <v>-3420</v>
        <stp/>
        <stp>##V3_BDHV12</stp>
        <stp>AMZN US Equity</stp>
        <stp>CF_NET_CHNG_CASH</stp>
        <stp>FQ1 2016</stp>
        <stp>FQ1 2016</stp>
        <stp>[AMZ_2009-2018.xlsx]Cash Flow - Standardized!R55C31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5" s="4"/>
      </tp>
      <tp>
        <v>3186</v>
        <stp/>
        <stp>##V3_BDHV12</stp>
        <stp>AMZN US Equity</stp>
        <stp>OTHER_NONCUR_LIABS_SUB_DETAILED</stp>
        <stp>FQ4 2014</stp>
        <stp>FQ4 2014</stp>
        <stp>[AMZ_2009-2018.xlsx]Bal Sheet - Standardized!R55C26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5" s="3"/>
      </tp>
      <tp>
        <v>3596</v>
        <stp/>
        <stp>##V3_BDHV12</stp>
        <stp>AMZN US Equity</stp>
        <stp>OTHER_NONCUR_LIABS_SUB_DETAILED</stp>
        <stp>FQ3 2013</stp>
        <stp>FQ3 2013</stp>
        <stp>[AMZ_2009-2018.xlsx]Bal Sheet - Standardized!R55C21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5" s="3"/>
      </tp>
      <tp>
        <v>2446</v>
        <stp/>
        <stp>##V3_BDHV12</stp>
        <stp>AMZN US Equity</stp>
        <stp>CF_NET_CHNG_CASH</stp>
        <stp>FQ4 2011</stp>
        <stp>FQ4 2011</stp>
        <stp>[AMZ_2009-2018.xlsx]Cash Flow - Standardized!R55C14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5" s="4"/>
      </tp>
      <tp>
        <v>2131</v>
        <stp/>
        <stp>##V3_BDHV12</stp>
        <stp>AMZN US Equity</stp>
        <stp>OTHER_NONCUR_LIABS_SUB_DETAILED</stp>
        <stp>FQ2 2011</stp>
        <stp>FQ2 2011</stp>
        <stp>[AMZ_2009-2018.xlsx]Bal Sheet - Standardized!R55C12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5" s="3"/>
      </tp>
      <tp>
        <v>0</v>
        <stp/>
        <stp>##V3_BDHV12</stp>
        <stp>AMZN US Equity</stp>
        <stp>CF_DISPOSAL_OF_INTANGIBLE_ASSETS</stp>
        <stp>FQ3 2012</stp>
        <stp>FQ3 2012</stp>
        <stp>[AMZ_2009-2018.xlsx]Cash Flow - Standardized!R25C17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5" s="4"/>
      </tp>
      <tp>
        <v>1179</v>
        <stp/>
        <stp>##V3_BDHV12</stp>
        <stp>AMZN US Equity</stp>
        <stp>PRETAX_INC</stp>
        <stp>FQ2 2016</stp>
        <stp>FQ2 2016</stp>
        <stp>[AMZ_2009-2018.xlsx]Income - Adjusted!R25C32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25" s="2"/>
      </tp>
      <tp>
        <v>225</v>
        <stp/>
        <stp>##V3_BDHV12</stp>
        <stp>AMZN US Equity</stp>
        <stp>PRETAX_INC</stp>
        <stp>FQ2 2011</stp>
        <stp>FQ2 2011</stp>
        <stp>[AMZ_2009-2018.xlsx]Income - Adjusted!R25C12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5" s="2"/>
      </tp>
      <tp>
        <v>12.179</v>
        <stp/>
        <stp>##V3_BDHV12</stp>
        <stp>AMZN US Equity</stp>
        <stp>CASH_FLOW_PER_SH</stp>
        <stp>FQ4 2013</stp>
        <stp>FQ4 2013</stp>
        <stp>[AMZ_2009-2018.xlsx]Per Share!R22C22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22" s="5"/>
      </tp>
      <tp>
        <v>8510</v>
        <stp/>
        <stp>##V3_BDHV12</stp>
        <stp>AMZN US Equity</stp>
        <stp>OTHER_NONCURRENT_LIABS_DETAILED</stp>
        <stp>FQ2 2015</stp>
        <stp>FQ2 2015</stp>
        <stp>[AMZ_2009-2018.xlsx]Bal Sheet - Standardized!R61C28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1" s="3"/>
      </tp>
      <tp>
        <v>440</v>
        <stp/>
        <stp>##V3_BDHV12</stp>
        <stp>AMZN US Equity</stp>
        <stp>CF_NET_CHNG_CASH</stp>
        <stp>FQ3 2015</stp>
        <stp>FQ3 2015</stp>
        <stp>[AMZ_2009-2018.xlsx]Cash Flow - Standardized!R55C29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5" s="4"/>
      </tp>
      <tp>
        <v>5.7925000000000004</v>
        <stp/>
        <stp>##V3_BDHV12</stp>
        <stp>AMZN US Equity</stp>
        <stp>TANG_BOOK_VAL_PER_SH</stp>
        <stp>FQ1 2009</stp>
        <stp>FQ1 2009</stp>
        <stp>[AMZ_2009-2018.xlsx]Per Share!R27C3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27" s="5"/>
      </tp>
      <tp>
        <v>451</v>
        <stp/>
        <stp>##V3_BDHV12</stp>
        <stp>AMZN US Equity</stp>
        <stp>PRETAX_INC</stp>
        <stp>FQ4 2013</stp>
        <stp>FQ4 2013</stp>
        <stp>[AMZ_2009-2018.xlsx]Income - Adjusted!R25C22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5" s="2"/>
      </tp>
      <tp>
        <v>0.93379999999999996</v>
        <stp/>
        <stp>##V3_BDHV12</stp>
        <stp>AMZN US Equity</stp>
        <stp>CASH_FLOW_PER_SH</stp>
        <stp>FQ2 2011</stp>
        <stp>FQ2 2011</stp>
        <stp>[AMZ_2009-2018.xlsx]Per Share!R22C12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22" s="5"/>
      </tp>
      <tp>
        <v>7.5644999999999998</v>
        <stp/>
        <stp>##V3_BDHV12</stp>
        <stp>AMZN US Equity</stp>
        <stp>CASH_FLOW_PER_SH</stp>
        <stp>FQ2 2016</stp>
        <stp>FQ2 2016</stp>
        <stp>[AMZ_2009-2018.xlsx]Per Share!R22C32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22" s="5"/>
      </tp>
      <tp>
        <v>579</v>
        <stp/>
        <stp>##V3_BDHV12</stp>
        <stp>AMZN US Equity</stp>
        <stp>IS_OPEX_R&amp;D</stp>
        <stp>FQ1 2011</stp>
        <stp>FQ1 2011</stp>
        <stp>[AMZ_2009-2018.xlsx]Income - Adjusted!R16C11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6" s="2"/>
      </tp>
      <tp>
        <v>231</v>
        <stp/>
        <stp>##V3_BDHV12</stp>
        <stp>AMZN US Equity</stp>
        <stp>IS_INC_BEF_XO_ITEM</stp>
        <stp>FQ3 2010</stp>
        <stp>FQ3 2010</stp>
        <stp>[AMZ_2009-2018.xlsx]Income - Adjusted!R34C9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4" s="2"/>
      </tp>
      <tp>
        <v>769</v>
        <stp/>
        <stp>##V3_BDHV12</stp>
        <stp>AMZN US Equity</stp>
        <stp>IS_OPEX_R&amp;D</stp>
        <stp>FQ3 2011</stp>
        <stp>FQ3 2011</stp>
        <stp>[AMZ_2009-2018.xlsx]Income - Adjusted!R16C13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6" s="2"/>
      </tp>
      <tp>
        <v>698</v>
        <stp/>
        <stp>##V3_BDHV12</stp>
        <stp>AMZN US Equity</stp>
        <stp>IS_OPEX_R&amp;D</stp>
        <stp>FQ2 2011</stp>
        <stp>FQ2 2011</stp>
        <stp>[AMZ_2009-2018.xlsx]Income - Adjusted!R16C12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6" s="2"/>
      </tp>
      <tp>
        <v>18866</v>
        <stp/>
        <stp>##V3_BDHV12</stp>
        <stp>AMZN US Equity</stp>
        <stp>IS_COG_AND_SERVICES_SOLD</stp>
        <stp>FQ1 2016</stp>
        <stp>FQ1 2016</stp>
        <stp>[AMZ_2009-2018.xlsx]Income - Adjusted!R9C31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9" s="2"/>
      </tp>
      <tp>
        <v>14055</v>
        <stp/>
        <stp>##V3_BDHV12</stp>
        <stp>AMZN US Equity</stp>
        <stp>IS_COG_AND_SERVICES_SOLD</stp>
        <stp>FQ1 2014</stp>
        <stp>FQ1 2014</stp>
        <stp>[AMZ_2009-2018.xlsx]Income - Adjusted!R9C23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9" s="2"/>
      </tp>
      <tp>
        <v>10027</v>
        <stp/>
        <stp>##V3_BDHV12</stp>
        <stp>AMZN US Equity</stp>
        <stp>IS_COG_AND_SERVICES_SOLD</stp>
        <stp>FQ1 2012</stp>
        <stp>FQ1 2012</stp>
        <stp>[AMZ_2009-2018.xlsx]Income - Adjusted!R9C15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9" s="2"/>
      </tp>
      <tp>
        <v>862</v>
        <stp/>
        <stp>##V3_BDHV12</stp>
        <stp>AMZN US Equity</stp>
        <stp>IS_OPEX_R&amp;D</stp>
        <stp>FQ4 2011</stp>
        <stp>FQ4 2011</stp>
        <stp>[AMZ_2009-2018.xlsx]Income - Adjusted!R16C14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6" s="2"/>
      </tp>
      <tp>
        <v>0</v>
        <stp/>
        <stp>##V3_BDHV12</stp>
        <stp>AMZN US Equity</stp>
        <stp>MINORITY_NONCONTROLLING_INTEREST</stp>
        <stp>FQ4 2009</stp>
        <stp>FQ4 2009</stp>
        <stp>[AMZ_2009-2018.xlsx]Bal Sheet - Standardized!R72C6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2" s="3"/>
      </tp>
      <tp>
        <v>2</v>
        <stp/>
        <stp>##V3_BDHV12</stp>
        <stp>AMZN US Equity</stp>
        <stp>OTHER_NON_CASH_ADJ_LESS_DETAILED</stp>
        <stp>FQ1 2017</stp>
        <stp>FQ1 2017</stp>
        <stp>[AMZ_2009-2018.xlsx]Cash Flow - Standardized!R12C35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2" s="4"/>
      </tp>
      <tp>
        <v>91</v>
        <stp/>
        <stp>##V3_BDHV12</stp>
        <stp>AMZN US Equity</stp>
        <stp>OTHER_NON_CASH_ADJ_LESS_DETAILED</stp>
        <stp>FQ4 2013</stp>
        <stp>FQ4 2013</stp>
        <stp>[AMZ_2009-2018.xlsx]Cash Flow - Standardized!R12C22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2" s="4"/>
      </tp>
      <tp>
        <v>70</v>
        <stp/>
        <stp>##V3_BDHV12</stp>
        <stp>AMZN US Equity</stp>
        <stp>OTHER_NON_CASH_ADJ_LESS_DETAILED</stp>
        <stp>FQ3 2014</stp>
        <stp>FQ3 2014</stp>
        <stp>[AMZ_2009-2018.xlsx]Cash Flow - Standardized!R12C25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2" s="4"/>
      </tp>
      <tp>
        <v>12</v>
        <stp/>
        <stp>##V3_BDHV12</stp>
        <stp>AMZN US Equity</stp>
        <stp>OTHER_NON_CASH_ADJ_LESS_DETAILED</stp>
        <stp>FQ4 2010</stp>
        <stp>FQ4 2010</stp>
        <stp>[AMZ_2009-2018.xlsx]Cash Flow - Standardized!R12C10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2" s="4"/>
      </tp>
      <tp>
        <v>1970</v>
        <stp/>
        <stp>##V3_BDHV12</stp>
        <stp>AMZN US Equity</stp>
        <stp>EBITDA</stp>
        <stp>FQ4 2014</stp>
        <stp>FQ4 2014</stp>
        <stp>[AMZ_2009-2018.xlsx]Cash Flow - Standardized!R61C26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61" s="4"/>
      </tp>
      <tp>
        <v>3552</v>
        <stp/>
        <stp>##V3_BDHV12</stp>
        <stp>AMZN US Equity</stp>
        <stp>EBITDA</stp>
        <stp>FQ4 2016</stp>
        <stp>FQ4 2016</stp>
        <stp>[AMZ_2009-2018.xlsx]Cash Flow - Standardized!R61C34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61" s="4"/>
      </tp>
      <tp>
        <v>1681</v>
        <stp/>
        <stp>##V3_BDHV12</stp>
        <stp>AMZN US Equity</stp>
        <stp>EBITDA</stp>
        <stp>FQ1 2015</stp>
        <stp>FQ1 2015</stp>
        <stp>[AMZ_2009-2018.xlsx]Cash Flow - Standardized!R61C27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61" s="4"/>
      </tp>
      <tp>
        <v>3440</v>
        <stp/>
        <stp>##V3_BDHV12</stp>
        <stp>AMZN US Equity</stp>
        <stp>EBITDA</stp>
        <stp>FQ1 2017</stp>
        <stp>FQ1 2017</stp>
        <stp>[AMZ_2009-2018.xlsx]Cash Flow - Standardized!R61C35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61" s="4"/>
      </tp>
      <tp>
        <v>809</v>
        <stp/>
        <stp>##V3_BDHV12</stp>
        <stp>AMZN US Equity</stp>
        <stp>EBITDA</stp>
        <stp>FQ3 2013</stp>
        <stp>FQ3 2013</stp>
        <stp>[AMZ_2009-2018.xlsx]Cash Flow - Standardized!R61C21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61" s="4"/>
      </tp>
      <tp>
        <v>357</v>
        <stp/>
        <stp>##V3_BDHV12</stp>
        <stp>AMZN US Equity</stp>
        <stp>EBITDA</stp>
        <stp>FQ3 2011</stp>
        <stp>FQ3 2011</stp>
        <stp>[AMZ_2009-2018.xlsx]Cash Flow - Standardized!R61C13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61" s="4"/>
      </tp>
      <tp>
        <v>61</v>
        <stp/>
        <stp>##V3_BDHV12</stp>
        <stp>AMZN US Equity</stp>
        <stp>OTHER_NON_CASH_ADJ_LESS_DETAILED</stp>
        <stp>FQ2 2015</stp>
        <stp>FQ2 2015</stp>
        <stp>[AMZ_2009-2018.xlsx]Cash Flow - Standardized!R12C28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2" s="4"/>
      </tp>
      <tp>
        <v>0</v>
        <stp/>
        <stp>##V3_BDHV12</stp>
        <stp>AMZN US Equity</stp>
        <stp>EQY_DPS</stp>
        <stp>FQ2 2010</stp>
        <stp>FQ2 2010</stp>
        <stp>[AMZ_2009-2018.xlsx]Income - Adjusted!R69C8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69" s="2"/>
      </tp>
      <tp t="s">
        <v>—</v>
        <stp/>
        <stp>##V3_BDHV12</stp>
        <stp>AMZN US Equity</stp>
        <stp>IS_MERGER_ACQUISITION_EXPENSE</stp>
        <stp>FQ3 2010</stp>
        <stp>FQ3 2010</stp>
        <stp>[AMZ_2009-2018.xlsx]Income - Adjusted!R27C9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7" s="2"/>
      </tp>
      <tp>
        <v>0.23</v>
        <stp/>
        <stp>##V3_BDHV12</stp>
        <stp>AMZN US Equity</stp>
        <stp>IS_EARN_BEF_XO_ITEMS_PER_SH</stp>
        <stp>FQ1 2014</stp>
        <stp>FQ1 2014</stp>
        <stp>[AMZ_2009-2018.xlsx]Per Share!R15C23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15" s="5"/>
      </tp>
      <tp>
        <v>0.14000000000000001</v>
        <stp/>
        <stp>##V3_BDHV12</stp>
        <stp>AMZN US Equity</stp>
        <stp>IS_EARN_BEF_XO_ITEMS_PER_SH</stp>
        <stp>FQ3 2011</stp>
        <stp>FQ3 2011</stp>
        <stp>[AMZ_2009-2018.xlsx]Per Share!R15C13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15" s="5"/>
      </tp>
      <tp>
        <v>0.53</v>
        <stp/>
        <stp>##V3_BDHV12</stp>
        <stp>AMZN US Equity</stp>
        <stp>IS_EARN_BEF_XO_ITEMS_PER_SH</stp>
        <stp>FQ3 2016</stp>
        <stp>FQ3 2016</stp>
        <stp>[AMZ_2009-2018.xlsx]Per Share!R15C33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15" s="5"/>
      </tp>
      <tp>
        <v>5</v>
        <stp/>
        <stp>##V3_BDHV12</stp>
        <stp>AMZN US Equity</stp>
        <stp>IS_GAIN_LOSS_ON_INVESTMENTS</stp>
        <stp>FQ4 2016</stp>
        <stp>FQ4 2016</stp>
        <stp>[AMZ_2009-2018.xlsx]Income - Adjusted!R29C34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9" s="2"/>
      </tp>
      <tp t="s">
        <v>—</v>
        <stp/>
        <stp>##V3_BDHV12</stp>
        <stp>AMZN US Equity</stp>
        <stp>IS_DEPR_EXP</stp>
        <stp>FQ4 2012</stp>
        <stp>FQ4 2012</stp>
        <stp>[AMZ_2009-2018.xlsx]Income - Adjusted!R72C18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2" s="2"/>
      </tp>
      <tp t="s">
        <v>—</v>
        <stp/>
        <stp>##V3_BDHV12</stp>
        <stp>AMZN US Equity</stp>
        <stp>IS_GAIN_LOSS_ON_INVESTMENTS</stp>
        <stp>FQ2 2016</stp>
        <stp>FQ2 2016</stp>
        <stp>[AMZ_2009-2018.xlsx]Income - Adjusted!R29C32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9" s="2"/>
      </tp>
      <tp t="s">
        <v>—</v>
        <stp/>
        <stp>##V3_BDHV12</stp>
        <stp>AMZN US Equity</stp>
        <stp>IS_GAIN_LOSS_ON_INVESTMENTS</stp>
        <stp>FQ3 2016</stp>
        <stp>FQ3 2016</stp>
        <stp>[AMZ_2009-2018.xlsx]Income - Adjusted!R29C33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9" s="2"/>
      </tp>
      <tp t="s">
        <v>—</v>
        <stp/>
        <stp>##V3_BDHV12</stp>
        <stp>AMZN US Equity</stp>
        <stp>IS_GAIN_LOSS_ON_INVESTMENTS</stp>
        <stp>FQ1 2016</stp>
        <stp>FQ1 2016</stp>
        <stp>[AMZ_2009-2018.xlsx]Income - Adjusted!R29C31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9" s="2"/>
      </tp>
      <tp t="s">
        <v>—</v>
        <stp/>
        <stp>##V3_BDHV12</stp>
        <stp>AMZN US Equity</stp>
        <stp>IS_DEPR_EXP</stp>
        <stp>FQ1 2012</stp>
        <stp>FQ1 2012</stp>
        <stp>[AMZ_2009-2018.xlsx]Income - Adjusted!R72C15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2" s="2"/>
      </tp>
      <tp t="s">
        <v>—</v>
        <stp/>
        <stp>##V3_BDHV12</stp>
        <stp>AMZN US Equity</stp>
        <stp>IS_DEPR_EXP</stp>
        <stp>FQ2 2012</stp>
        <stp>FQ2 2012</stp>
        <stp>[AMZ_2009-2018.xlsx]Income - Adjusted!R72C16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2" s="2"/>
      </tp>
      <tp t="s">
        <v>—</v>
        <stp/>
        <stp>##V3_BDHV12</stp>
        <stp>AMZN US Equity</stp>
        <stp>IS_DEPR_EXP</stp>
        <stp>FQ3 2012</stp>
        <stp>FQ3 2012</stp>
        <stp>[AMZ_2009-2018.xlsx]Income - Adjusted!R72C17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2" s="2"/>
      </tp>
      <tp>
        <v>93.36</v>
        <stp/>
        <stp>##V3_BDHV12</stp>
        <stp>AMZN US Equity</stp>
        <stp>PX_LAST</stp>
        <stp>FQ3 2009</stp>
        <stp>FQ3 2009</stp>
        <stp>[AMZ_2009-2018.xlsx]Stock Value!R6C5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6" s="6"/>
      </tp>
      <tp t="s">
        <v>—</v>
        <stp/>
        <stp>##V3_BDHV12</stp>
        <stp>AMZN US Equity</stp>
        <stp>IS_SH_PRO_EQY_MT_INV_NET_OF_TAX</stp>
        <stp>FQ1 2018</stp>
        <stp>FQ1 2018</stp>
        <stp>[AMZ_2009-2018.xlsx]Income - Adjusted!R33C39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33" s="2"/>
      </tp>
      <tp>
        <v>17</v>
        <stp/>
        <stp>##V3_BDHV12</stp>
        <stp>AMZN US Equity</stp>
        <stp>IS_SH_PRO_EQY_MT_INV_NET_OF_TAX</stp>
        <stp>FQ1 2013</stp>
        <stp>FQ1 2013</stp>
        <stp>[AMZ_2009-2018.xlsx]Income - Adjusted!R33C19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33" s="2"/>
      </tp>
      <tp>
        <v>7</v>
        <stp/>
        <stp>##V3_BDHV12</stp>
        <stp>AMZN US Equity</stp>
        <stp>IS_SH_PRO_EQY_MT_INV_NET_OF_TAX</stp>
        <stp>FQ3 2015</stp>
        <stp>FQ3 2015</stp>
        <stp>[AMZ_2009-2018.xlsx]Income - Adjusted!R33C29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33" s="2"/>
      </tp>
      <tp>
        <v>2803</v>
        <stp/>
        <stp>##V3_BDHV12</stp>
        <stp>AMZN US Equity</stp>
        <stp>IS_OTHER_OPERATING_EXPENSES</stp>
        <stp>FQ1 2015</stp>
        <stp>FQ1 2015</stp>
        <stp>[AMZ_2009-2018.xlsx]Income - Adjusted!R17C27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7" s="2"/>
      </tp>
      <tp>
        <v>-12.755800000000001</v>
        <stp/>
        <stp>##V3_BDHV12</stp>
        <stp>AMZN US Equity</stp>
        <stp>CASH_CONVERSION_CYCLE</stp>
        <stp>FQ2 2010</stp>
        <stp>FQ2 2010</stp>
        <stp>[AMZ_2009-2018.xlsx]Bal Sheet - Standardized!R87C8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87" s="3"/>
      </tp>
      <tp>
        <v>-17.5411</v>
        <stp/>
        <stp>##V3_BDHV12</stp>
        <stp>AMZN US Equity</stp>
        <stp>CASH_CONVERSION_CYCLE</stp>
        <stp>FQ3 2010</stp>
        <stp>FQ3 2010</stp>
        <stp>[AMZ_2009-2018.xlsx]Bal Sheet - Standardized!R87C9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87" s="3"/>
      </tp>
      <tp>
        <v>-14.6965</v>
        <stp/>
        <stp>##V3_BDHV12</stp>
        <stp>AMZN US Equity</stp>
        <stp>CASH_CONVERSION_CYCLE</stp>
        <stp>FQ1 2010</stp>
        <stp>FQ1 2010</stp>
        <stp>[AMZ_2009-2018.xlsx]Bal Sheet - Standardized!R87C7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87" s="3"/>
      </tp>
      <tp>
        <v>6465</v>
        <stp/>
        <stp>##V3_BDHV12</stp>
        <stp>AMZN US Equity</stp>
        <stp>IS_OTHER_OPERATING_EXPENSES</stp>
        <stp>FQ3 2017</stp>
        <stp>FQ3 2017</stp>
        <stp>[AMZ_2009-2018.xlsx]Income - Adjusted!R17C37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7" s="2"/>
      </tp>
      <tp>
        <v>1553</v>
        <stp/>
        <stp>##V3_BDHV12</stp>
        <stp>AMZN US Equity</stp>
        <stp>IS_OTHER_OPERATING_EXPENSES</stp>
        <stp>FQ3 2012</stp>
        <stp>FQ3 2012</stp>
        <stp>[AMZ_2009-2018.xlsx]Income - Adjusted!R17C17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7" s="2"/>
      </tp>
      <tp>
        <v>416</v>
        <stp/>
        <stp>##V3_BDHV12</stp>
        <stp>AMZN US Equity</stp>
        <stp>EARN_FOR_COMMON</stp>
        <stp>FQ4 2010</stp>
        <stp>FQ4 2010</stp>
        <stp>[AMZ_2009-2018.xlsx]Income - Adjusted!R43C10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43" s="2"/>
      </tp>
      <tp>
        <v>482</v>
        <stp/>
        <stp>##V3_BDHV12</stp>
        <stp>AMZN US Equity</stp>
        <stp>EARN_FOR_COMMON</stp>
        <stp>FQ4 2015</stp>
        <stp>FQ4 2015</stp>
        <stp>[AMZ_2009-2018.xlsx]Income - Adjusted!R43C30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43" s="2"/>
      </tp>
      <tp>
        <v>-7</v>
        <stp/>
        <stp>##V3_BDHV12</stp>
        <stp>AMZN US Equity</stp>
        <stp>EARN_FOR_COMMON</stp>
        <stp>FQ2 2013</stp>
        <stp>FQ2 2013</stp>
        <stp>[AMZ_2009-2018.xlsx]Income - Adjusted!R43C20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43" s="2"/>
      </tp>
      <tp>
        <v>2534</v>
        <stp/>
        <stp>##V3_BDHV12</stp>
        <stp>AMZN US Equity</stp>
        <stp>EARN_FOR_COMMON</stp>
        <stp>FQ2 2018</stp>
        <stp>FQ2 2018</stp>
        <stp>[AMZ_2009-2018.xlsx]Income - Adjusted!R43C40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43" s="2"/>
      </tp>
      <tp>
        <v>0</v>
        <stp/>
        <stp>##V3_BDHV12</stp>
        <stp>AMZN US Equity</stp>
        <stp>MIN_NONCONTROL_INTEREST_CREDITS</stp>
        <stp>FQ1 2018</stp>
        <stp>FQ1 2018</stp>
        <stp>[AMZ_2009-2018.xlsx]Income - Adjusted!R39C39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39" s="2"/>
      </tp>
      <tp>
        <v>0</v>
        <stp/>
        <stp>##V3_BDHV12</stp>
        <stp>AMZN US Equity</stp>
        <stp>MIN_NONCONTROL_INTEREST_CREDITS</stp>
        <stp>FQ1 2013</stp>
        <stp>FQ1 2013</stp>
        <stp>[AMZ_2009-2018.xlsx]Income - Adjusted!R39C19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39" s="2"/>
      </tp>
      <tp>
        <v>0</v>
        <stp/>
        <stp>##V3_BDHV12</stp>
        <stp>AMZN US Equity</stp>
        <stp>CF_DECR_CAP_STOCK</stp>
        <stp>FQ4 2012</stp>
        <stp>FQ4 2012</stp>
        <stp>[AMZ_2009-2018.xlsx]Cash Flow - Standardized!R48C18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8" s="4"/>
      </tp>
      <tp>
        <v>239</v>
        <stp/>
        <stp>##V3_BDHV12</stp>
        <stp>AMZN US Equity</stp>
        <stp>CF_INCR_CAP_STOCK</stp>
        <stp>FQ4 2012</stp>
        <stp>FQ4 2012</stp>
        <stp>[AMZ_2009-2018.xlsx]Cash Flow - Standardized!R47C18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7" s="4"/>
      </tp>
      <tp>
        <v>0</v>
        <stp/>
        <stp>##V3_BDHV12</stp>
        <stp>AMZN US Equity</stp>
        <stp>MIN_NONCONTROL_INTEREST_CREDITS</stp>
        <stp>FQ3 2015</stp>
        <stp>FQ3 2015</stp>
        <stp>[AMZ_2009-2018.xlsx]Income - Adjusted!R39C29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39" s="2"/>
      </tp>
      <tp>
        <v>0</v>
        <stp/>
        <stp>##V3_BDHV12</stp>
        <stp>AMZN US Equity</stp>
        <stp>CF_DECR_CAP_STOCK</stp>
        <stp>FQ1 2014</stp>
        <stp>FQ1 2014</stp>
        <stp>[AMZ_2009-2018.xlsx]Cash Flow - Standardized!R48C23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8" s="4"/>
      </tp>
      <tp>
        <v>121</v>
        <stp/>
        <stp>##V3_BDHV12</stp>
        <stp>AMZN US Equity</stp>
        <stp>CF_INCR_CAP_STOCK</stp>
        <stp>FQ1 2014</stp>
        <stp>FQ1 2014</stp>
        <stp>[AMZ_2009-2018.xlsx]Cash Flow - Standardized!R47C23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7" s="4"/>
      </tp>
      <tp>
        <v>0</v>
        <stp/>
        <stp>##V3_BDHV12</stp>
        <stp>AMZN US Equity</stp>
        <stp>CF_DECR_CAP_STOCK</stp>
        <stp>FQ2 2016</stp>
        <stp>FQ2 2016</stp>
        <stp>[AMZ_2009-2018.xlsx]Cash Flow - Standardized!R48C32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8" s="4"/>
      </tp>
      <tp>
        <v>0</v>
        <stp/>
        <stp>##V3_BDHV12</stp>
        <stp>AMZN US Equity</stp>
        <stp>CF_INCR_CAP_STOCK</stp>
        <stp>FQ2 2016</stp>
        <stp>FQ2 2016</stp>
        <stp>[AMZ_2009-2018.xlsx]Cash Flow - Standardized!R47C32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7" s="4"/>
      </tp>
      <tp>
        <v>0</v>
        <stp/>
        <stp>##V3_BDHV12</stp>
        <stp>AMZN US Equity</stp>
        <stp>CF_DECR_CAP_STOCK</stp>
        <stp>FQ3 2017</stp>
        <stp>FQ3 2017</stp>
        <stp>[AMZ_2009-2018.xlsx]Cash Flow - Standardized!R48C37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8" s="4"/>
      </tp>
      <tp>
        <v>0</v>
        <stp/>
        <stp>##V3_BDHV12</stp>
        <stp>AMZN US Equity</stp>
        <stp>CF_INCR_CAP_STOCK</stp>
        <stp>FQ3 2017</stp>
        <stp>FQ3 2017</stp>
        <stp>[AMZ_2009-2018.xlsx]Cash Flow - Standardized!R47C37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7" s="4"/>
      </tp>
      <tp>
        <v>59</v>
        <stp/>
        <stp>##V3_BDHV12</stp>
        <stp>AMZN US Equity</stp>
        <stp>BS_CURR_PORTION_LT_DEBT</stp>
        <stp>FQ1 2009</stp>
        <stp>FQ1 2009</stp>
        <stp>[AMZ_2009-2018.xlsx]Bal Sheet - Standardized!R46C3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6" s="3"/>
      </tp>
      <tp>
        <v>456</v>
        <stp/>
        <stp>##V3_BDHV12</stp>
        <stp>AMZN US Equity</stp>
        <stp>IS_SH_FOR_DILUTED_EPS</stp>
        <stp>FQ3 2010</stp>
        <stp>FQ3 2010</stp>
        <stp>[AMZ_2009-2018.xlsx]Income - Adjusted!R54C9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54" s="2"/>
      </tp>
      <tp>
        <v>952</v>
        <stp/>
        <stp>##V3_BDHV12</stp>
        <stp>AMZN US Equity</stp>
        <stp>OTHER_NONCUR_LIABS_SUB_DETAILED</stp>
        <stp>FQ4 2009</stp>
        <stp>FQ4 2009</stp>
        <stp>[AMZ_2009-2018.xlsx]Bal Sheet - Standardized!R55C6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5" s="3"/>
      </tp>
      <tp>
        <v>5426</v>
        <stp/>
        <stp>##V3_BDHV12</stp>
        <stp>AMZN US Equity</stp>
        <stp>OTHER_NONCURRENT_LIABS_DETAILED</stp>
        <stp>FQ2 2014</stp>
        <stp>FQ2 2014</stp>
        <stp>[AMZ_2009-2018.xlsx]Bal Sheet - Standardized!R61C24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1" s="3"/>
      </tp>
      <tp>
        <v>-3633</v>
        <stp/>
        <stp>##V3_BDHV12</stp>
        <stp>AMZN US Equity</stp>
        <stp>CF_NET_CHNG_CASH</stp>
        <stp>FQ1 2017</stp>
        <stp>FQ1 2017</stp>
        <stp>[AMZ_2009-2018.xlsx]Cash Flow - Standardized!R55C35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5" s="4"/>
      </tp>
      <tp>
        <v>2238</v>
        <stp/>
        <stp>##V3_BDHV12</stp>
        <stp>AMZN US Equity</stp>
        <stp>CF_NET_CHNG_CASH</stp>
        <stp>FQ4 2010</stp>
        <stp>FQ4 2010</stp>
        <stp>[AMZ_2009-2018.xlsx]Cash Flow - Standardized!R55C10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5" s="4"/>
      </tp>
      <tp>
        <v>201</v>
        <stp/>
        <stp>##V3_BDHV12</stp>
        <stp>AMZN US Equity</stp>
        <stp>CF_NET_CHNG_CASH</stp>
        <stp>FQ3 2014</stp>
        <stp>FQ3 2014</stp>
        <stp>[AMZ_2009-2018.xlsx]Cash Flow - Standardized!R55C25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5" s="4"/>
      </tp>
      <tp>
        <v>4786</v>
        <stp/>
        <stp>##V3_BDHV12</stp>
        <stp>AMZN US Equity</stp>
        <stp>CF_NET_CHNG_CASH</stp>
        <stp>FQ4 2013</stp>
        <stp>FQ4 2013</stp>
        <stp>[AMZ_2009-2018.xlsx]Cash Flow - Standardized!R55C22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5" s="4"/>
      </tp>
      <tp>
        <v>0</v>
        <stp/>
        <stp>##V3_BDHV12</stp>
        <stp>AMZN US Equity</stp>
        <stp>CF_CASH_FOR_DIVESTITURES</stp>
        <stp>FQ2 2018</stp>
        <stp>FQ2 2018</stp>
        <stp>[AMZ_2009-2018.xlsx]Cash Flow - Standardized!R33C40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3" s="4"/>
      </tp>
      <tp>
        <v>0</v>
        <stp/>
        <stp>##V3_BDHV12</stp>
        <stp>AMZN US Equity</stp>
        <stp>CF_NET_CASH_DISCONTINUED_OPS_FIN</stp>
        <stp>FQ1 2018</stp>
        <stp>FQ1 2018</stp>
        <stp>[AMZ_2009-2018.xlsx]Cash Flow - Standardized!R50C39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0" s="4"/>
      </tp>
      <tp>
        <v>1210</v>
        <stp/>
        <stp>##V3_BDHV12</stp>
        <stp>AMZN US Equity</stp>
        <stp>OTHER_NONCURRENT_LIABS_DETAILED</stp>
        <stp>FQ4 2011</stp>
        <stp>FQ4 2011</stp>
        <stp>[AMZ_2009-2018.xlsx]Bal Sheet - Standardized!R61C14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1" s="3"/>
      </tp>
      <tp>
        <v>-1090</v>
        <stp/>
        <stp>##V3_BDHV12</stp>
        <stp>AMZN US Equity</stp>
        <stp>CF_CHANGE_IN_INVENTORIES</stp>
        <stp>FQ2 2018</stp>
        <stp>FQ2 2018</stp>
        <stp>[AMZ_2009-2018.xlsx]Cash Flow - Standardized!R15C40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5" s="4"/>
      </tp>
      <tp>
        <v>0</v>
        <stp/>
        <stp>##V3_BDHV12</stp>
        <stp>AMZN US Equity</stp>
        <stp>CF_CASH_FOR_JOINT_VENTURES_ASSOC</stp>
        <stp>FQ1 2018</stp>
        <stp>FQ1 2018</stp>
        <stp>[AMZ_2009-2018.xlsx]Cash Flow - Standardized!R35C39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5" s="4"/>
      </tp>
      <tp>
        <v>2310</v>
        <stp/>
        <stp>##V3_BDHV12</stp>
        <stp>AMZN US Equity</stp>
        <stp>OTHER_NONCUR_LIABS_SUB_DETAILED</stp>
        <stp>FQ3 2011</stp>
        <stp>FQ3 2011</stp>
        <stp>[AMZ_2009-2018.xlsx]Bal Sheet - Standardized!R55C13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5" s="3"/>
      </tp>
      <tp>
        <v>3966</v>
        <stp/>
        <stp>##V3_BDHV12</stp>
        <stp>AMZN US Equity</stp>
        <stp>OTHER_NONCURRENT_LIABS_DETAILED</stp>
        <stp>FQ1 2016</stp>
        <stp>FQ1 2016</stp>
        <stp>[AMZ_2009-2018.xlsx]Bal Sheet - Standardized!R61C31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1" s="3"/>
      </tp>
      <tp>
        <v>3113</v>
        <stp/>
        <stp>##V3_BDHV12</stp>
        <stp>AMZN US Equity</stp>
        <stp>OTHER_NONCUR_LIABS_SUB_DETAILED</stp>
        <stp>FQ2 2013</stp>
        <stp>FQ2 2013</stp>
        <stp>[AMZ_2009-2018.xlsx]Bal Sheet - Standardized!R55C20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5" s="3"/>
      </tp>
      <tp>
        <v>491</v>
        <stp/>
        <stp>##V3_BDHV12</stp>
        <stp>AMZN US Equity</stp>
        <stp>PRETAX_INC</stp>
        <stp>FQ3 2016</stp>
        <stp>FQ3 2016</stp>
        <stp>[AMZ_2009-2018.xlsx]Income - Adjusted!R25C33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25" s="2"/>
      </tp>
      <tp>
        <v>130</v>
        <stp/>
        <stp>##V3_BDHV12</stp>
        <stp>AMZN US Equity</stp>
        <stp>PRETAX_INC</stp>
        <stp>FQ3 2011</stp>
        <stp>FQ3 2011</stp>
        <stp>[AMZ_2009-2018.xlsx]Income - Adjusted!R25C13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5" s="2"/>
      </tp>
      <tp>
        <v>0</v>
        <stp/>
        <stp>##V3_BDHV12</stp>
        <stp>AMZN US Equity</stp>
        <stp>CF_DISPOSAL_OF_INTANGIBLE_ASSETS</stp>
        <stp>FQ2 2012</stp>
        <stp>FQ2 2012</stp>
        <stp>[AMZ_2009-2018.xlsx]Cash Flow - Standardized!R25C16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5" s="4"/>
      </tp>
      <tp>
        <v>120</v>
        <stp/>
        <stp>##V3_BDHV12</stp>
        <stp>AMZN US Equity</stp>
        <stp>PRETAX_INC</stp>
        <stp>FQ1 2014</stp>
        <stp>FQ1 2014</stp>
        <stp>[AMZ_2009-2018.xlsx]Income - Adjusted!R25C23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5" s="2"/>
      </tp>
      <tp>
        <v>8900</v>
        <stp/>
        <stp>##V3_BDHV12</stp>
        <stp>AMZN US Equity</stp>
        <stp>OTHER_NONCURRENT_LIABS_DETAILED</stp>
        <stp>FQ3 2015</stp>
        <stp>FQ3 2015</stp>
        <stp>[AMZ_2009-2018.xlsx]Bal Sheet - Standardized!R61C29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1" s="3"/>
      </tp>
      <tp>
        <v>-5.4390999999999998</v>
        <stp/>
        <stp>##V3_BDHV12</stp>
        <stp>AMZN US Equity</stp>
        <stp>CASH_FLOW_PER_SH</stp>
        <stp>FQ1 2014</stp>
        <stp>FQ1 2014</stp>
        <stp>[AMZ_2009-2018.xlsx]Per Share!R22C23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22" s="5"/>
      </tp>
      <tp>
        <v>0</v>
        <stp/>
        <stp>##V3_BDHV12</stp>
        <stp>AMZN US Equity</stp>
        <stp>CF_NET_CASH_DISCONTINUED_OPS_INV</stp>
        <stp>FQ1 2018</stp>
        <stp>FQ1 2018</stp>
        <stp>[AMZ_2009-2018.xlsx]Cash Flow - Standardized!R37C39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7" s="4"/>
      </tp>
      <tp>
        <v>0</v>
        <stp/>
        <stp>##V3_BDHV12</stp>
        <stp>AMZN US Equity</stp>
        <stp>CF_DISPOSAL_OF_INTANGIBLE_ASSETS</stp>
        <stp>FQ1 2011</stp>
        <stp>FQ1 2011</stp>
        <stp>[AMZ_2009-2018.xlsx]Cash Flow - Standardized!R25C11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5" s="4"/>
      </tp>
      <tp>
        <v>2573</v>
        <stp/>
        <stp>##V3_BDHV12</stp>
        <stp>AMZN US Equity</stp>
        <stp>OTHER_NONCUR_LIABS_SUB_DETAILED</stp>
        <stp>FQ1 2013</stp>
        <stp>FQ1 2013</stp>
        <stp>[AMZ_2009-2018.xlsx]Bal Sheet - Standardized!R55C19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5" s="3"/>
      </tp>
      <tp>
        <v>1.7555000000000001</v>
        <stp/>
        <stp>##V3_BDHV12</stp>
        <stp>AMZN US Equity</stp>
        <stp>CASH_FLOW_PER_SH</stp>
        <stp>FQ3 2011</stp>
        <stp>FQ3 2011</stp>
        <stp>[AMZ_2009-2018.xlsx]Per Share!R22C13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22" s="5"/>
      </tp>
      <tp>
        <v>9.8291000000000004</v>
        <stp/>
        <stp>##V3_BDHV12</stp>
        <stp>AMZN US Equity</stp>
        <stp>CASH_FLOW_PER_SH</stp>
        <stp>FQ3 2016</stp>
        <stp>FQ3 2016</stp>
        <stp>[AMZ_2009-2018.xlsx]Per Share!R22C33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22" s="5"/>
      </tp>
      <tp>
        <v>32</v>
        <stp/>
        <stp>##V3_BDHV12</stp>
        <stp>AMZN US Equity</stp>
        <stp>CF_NET_CHNG_CASH</stp>
        <stp>FQ2 2015</stp>
        <stp>FQ2 2015</stp>
        <stp>[AMZ_2009-2018.xlsx]Cash Flow - Standardized!R55C28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5" s="4"/>
      </tp>
      <tp>
        <v>0</v>
        <stp/>
        <stp>##V3_BDHV12</stp>
        <stp>AMZN US Equity</stp>
        <stp>CF_DISPOSAL_OF_INTANGIBLE_ASSETS</stp>
        <stp>FQ4 2016</stp>
        <stp>FQ4 2016</stp>
        <stp>[AMZ_2009-2018.xlsx]Cash Flow - Standardized!R25C34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5" s="4"/>
      </tp>
      <tp>
        <v>1734</v>
        <stp/>
        <stp>##V3_BDHV12</stp>
        <stp>AMZN US Equity</stp>
        <stp>IS_OPEX_R&amp;D</stp>
        <stp>FQ3 2013</stp>
        <stp>FQ3 2013</stp>
        <stp>[AMZ_2009-2018.xlsx]Income - Adjusted!R16C21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6" s="2"/>
      </tp>
      <tp>
        <v>207</v>
        <stp/>
        <stp>##V3_BDHV12</stp>
        <stp>AMZN US Equity</stp>
        <stp>IS_INC_BEF_XO_ITEM</stp>
        <stp>FQ2 2010</stp>
        <stp>FQ2 2010</stp>
        <stp>[AMZ_2009-2018.xlsx]Income - Adjusted!R34C8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4" s="2"/>
      </tp>
      <tp>
        <v>-7</v>
        <stp/>
        <stp>##V3_BDHV12</stp>
        <stp>AMZN US Equity</stp>
        <stp>OTHER_NON_CASH_ADJ_LESS_DETAILED</stp>
        <stp>FQ1 2016</stp>
        <stp>FQ1 2016</stp>
        <stp>[AMZ_2009-2018.xlsx]Cash Flow - Standardized!R12C31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2" s="4"/>
      </tp>
      <tp>
        <v>1586</v>
        <stp/>
        <stp>##V3_BDHV12</stp>
        <stp>AMZN US Equity</stp>
        <stp>IS_OPEX_R&amp;D</stp>
        <stp>FQ2 2013</stp>
        <stp>FQ2 2013</stp>
        <stp>[AMZ_2009-2018.xlsx]Income - Adjusted!R16C20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6" s="2"/>
      </tp>
      <tp>
        <v>519</v>
        <stp/>
        <stp>##V3_BDHV12</stp>
        <stp>AMZN US Equity</stp>
        <stp>IS_OPEX_R&amp;D</stp>
        <stp>FQ4 2010</stp>
        <stp>FQ4 2010</stp>
        <stp>[AMZ_2009-2018.xlsx]Income - Adjusted!R16C10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6" s="2"/>
      </tp>
      <tp>
        <v>27</v>
        <stp/>
        <stp>##V3_BDHV12</stp>
        <stp>AMZN US Equity</stp>
        <stp>OTHER_NON_CASH_ADJ_LESS_DETAILED</stp>
        <stp>FQ4 2011</stp>
        <stp>FQ4 2011</stp>
        <stp>[AMZ_2009-2018.xlsx]Cash Flow - Standardized!R12C14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2" s="4"/>
      </tp>
      <tp>
        <v>1862</v>
        <stp/>
        <stp>##V3_BDHV12</stp>
        <stp>AMZN US Equity</stp>
        <stp>IS_OPEX_R&amp;D</stp>
        <stp>FQ4 2013</stp>
        <stp>FQ4 2013</stp>
        <stp>[AMZ_2009-2018.xlsx]Income - Adjusted!R16C22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6" s="2"/>
      </tp>
      <tp>
        <v>19</v>
        <stp/>
        <stp>##V3_BDHV12</stp>
        <stp>AMZN US Equity</stp>
        <stp>OTHER_NON_CASH_ADJ_LESS_DETAILED</stp>
        <stp>FQ2 2014</stp>
        <stp>FQ2 2014</stp>
        <stp>[AMZ_2009-2018.xlsx]Cash Flow - Standardized!R12C24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2" s="4"/>
      </tp>
      <tp>
        <v>445</v>
        <stp/>
        <stp>##V3_BDHV12</stp>
        <stp>AMZN US Equity</stp>
        <stp>EBITDA</stp>
        <stp>FQ2 2011</stp>
        <stp>FQ2 2011</stp>
        <stp>[AMZ_2009-2018.xlsx]Cash Flow - Standardized!R61C12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61" s="4"/>
      </tp>
      <tp>
        <v>835</v>
        <stp/>
        <stp>##V3_BDHV12</stp>
        <stp>AMZN US Equity</stp>
        <stp>EBITDA</stp>
        <stp>FQ2 2013</stp>
        <stp>FQ2 2013</stp>
        <stp>[AMZ_2009-2018.xlsx]Cash Flow - Standardized!R61C20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61" s="4"/>
      </tp>
      <tp>
        <v>0</v>
        <stp/>
        <stp>##V3_BDHV12</stp>
        <stp>AMZN US Equity</stp>
        <stp>IS_DISCONTINUED_OPERATIONS</stp>
        <stp>FQ1 2009</stp>
        <stp>FQ1 2009</stp>
        <stp>[AMZ_2009-2018.xlsx]Income - Adjusted!R36C3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2"/>
      </tp>
      <tp>
        <v>-488</v>
        <stp/>
        <stp>##V3_BDHV12</stp>
        <stp>AMZN US Equity</stp>
        <stp>INC_DEC_IN_OT_OP_AST_LIAB_DETAIL</stp>
        <stp>FQ2 2018</stp>
        <stp>FQ2 2018</stp>
        <stp>[AMZ_2009-2018.xlsx]Cash Flow - Standardized!R17C40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7" s="4"/>
      </tp>
      <tp>
        <v>0</v>
        <stp/>
        <stp>##V3_BDHV12</stp>
        <stp>AMZN US Equity</stp>
        <stp>EQY_DPS</stp>
        <stp>FQ3 2010</stp>
        <stp>FQ3 2010</stp>
        <stp>[AMZ_2009-2018.xlsx]Income - Adjusted!R69C9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69" s="2"/>
      </tp>
      <tp>
        <v>92</v>
        <stp/>
        <stp>##V3_BDHV12</stp>
        <stp>AMZN US Equity</stp>
        <stp>OTHER_NON_CASH_ADJ_LESS_DETAILED</stp>
        <stp>FQ3 2015</stp>
        <stp>FQ3 2015</stp>
        <stp>[AMZ_2009-2018.xlsx]Cash Flow - Standardized!R12C29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2" s="4"/>
      </tp>
      <tp>
        <v>5.21</v>
        <stp/>
        <stp>##V3_BDHV12</stp>
        <stp>AMZN US Equity</stp>
        <stp>IS_EARN_BEF_XO_ITEMS_PER_SH</stp>
        <stp>FQ2 2018</stp>
        <stp>FQ2 2018</stp>
        <stp>[AMZ_2009-2018.xlsx]Per Share!R15C40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15" s="5"/>
      </tp>
      <tp>
        <v>-0.02</v>
        <stp/>
        <stp>##V3_BDHV12</stp>
        <stp>AMZN US Equity</stp>
        <stp>IS_EARN_BEF_XO_ITEMS_PER_SH</stp>
        <stp>FQ2 2013</stp>
        <stp>FQ2 2013</stp>
        <stp>[AMZ_2009-2018.xlsx]Per Share!R15C20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15" s="5"/>
      </tp>
      <tp>
        <v>1.03</v>
        <stp/>
        <stp>##V3_BDHV12</stp>
        <stp>AMZN US Equity</stp>
        <stp>IS_EARN_BEF_XO_ITEMS_PER_SH</stp>
        <stp>FQ4 2015</stp>
        <stp>FQ4 2015</stp>
        <stp>[AMZ_2009-2018.xlsx]Per Share!R15C30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15" s="5"/>
      </tp>
      <tp>
        <v>0.93</v>
        <stp/>
        <stp>##V3_BDHV12</stp>
        <stp>AMZN US Equity</stp>
        <stp>IS_EARN_BEF_XO_ITEMS_PER_SH</stp>
        <stp>FQ4 2010</stp>
        <stp>FQ4 2010</stp>
        <stp>[AMZ_2009-2018.xlsx]Per Share!R15C10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15" s="5"/>
      </tp>
      <tp t="s">
        <v>—</v>
        <stp/>
        <stp>##V3_BDHV12</stp>
        <stp>AMZN US Equity</stp>
        <stp>IS_GAIN_LOSS_ON_INVESTMENTS</stp>
        <stp>FQ4 2014</stp>
        <stp>FQ4 2014</stp>
        <stp>[AMZ_2009-2018.xlsx]Income - Adjusted!R29C26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9" s="2"/>
      </tp>
      <tp t="s">
        <v>—</v>
        <stp/>
        <stp>##V3_BDHV12</stp>
        <stp>AMZN US Equity</stp>
        <stp>IS_GAIN_LOSS_ON_INVESTMENTS</stp>
        <stp>FQ2 2014</stp>
        <stp>FQ2 2014</stp>
        <stp>[AMZ_2009-2018.xlsx]Income - Adjusted!R29C24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9" s="2"/>
      </tp>
      <tp t="s">
        <v>—</v>
        <stp/>
        <stp>##V3_BDHV12</stp>
        <stp>AMZN US Equity</stp>
        <stp>IS_GAIN_LOSS_ON_INVESTMENTS</stp>
        <stp>FQ3 2014</stp>
        <stp>FQ3 2014</stp>
        <stp>[AMZ_2009-2018.xlsx]Income - Adjusted!R29C25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9" s="2"/>
      </tp>
      <tp t="s">
        <v>—</v>
        <stp/>
        <stp>##V3_BDHV12</stp>
        <stp>AMZN US Equity</stp>
        <stp>IS_GAIN_LOSS_ON_INVESTMENTS</stp>
        <stp>FQ1 2014</stp>
        <stp>FQ1 2014</stp>
        <stp>[AMZ_2009-2018.xlsx]Income - Adjusted!R29C23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9" s="2"/>
      </tp>
      <tp>
        <v>3</v>
        <stp/>
        <stp>##V3_BDHV12</stp>
        <stp>AMZN US Equity</stp>
        <stp>IS_GAIN_LOSS_ON_INVESTMENTS</stp>
        <stp>FQ4 2015</stp>
        <stp>FQ4 2015</stp>
        <stp>[AMZ_2009-2018.xlsx]Income - Adjusted!R29C30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9" s="2"/>
      </tp>
      <tp t="s">
        <v>—</v>
        <stp/>
        <stp>##V3_BDHV12</stp>
        <stp>AMZN US Equity</stp>
        <stp>IS_DEPR_EXP</stp>
        <stp>FQ4 2011</stp>
        <stp>FQ4 2011</stp>
        <stp>[AMZ_2009-2018.xlsx]Income - Adjusted!R72C14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2" s="2"/>
      </tp>
      <tp>
        <v>134.52000000000001</v>
        <stp/>
        <stp>##V3_BDHV12</stp>
        <stp>AMZN US Equity</stp>
        <stp>PX_LAST</stp>
        <stp>FQ4 2009</stp>
        <stp>FQ4 2009</stp>
        <stp>[AMZ_2009-2018.xlsx]Stock Value!R6C6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6" s="6"/>
      </tp>
      <tp t="s">
        <v>—</v>
        <stp/>
        <stp>##V3_BDHV12</stp>
        <stp>AMZN US Equity</stp>
        <stp>IS_DEPR_EXP</stp>
        <stp>FQ1 2011</stp>
        <stp>FQ1 2011</stp>
        <stp>[AMZ_2009-2018.xlsx]Income - Adjusted!R72C11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2" s="2"/>
      </tp>
      <tp t="s">
        <v>—</v>
        <stp/>
        <stp>##V3_BDHV12</stp>
        <stp>AMZN US Equity</stp>
        <stp>IS_DEPR_EXP</stp>
        <stp>FQ2 2011</stp>
        <stp>FQ2 2011</stp>
        <stp>[AMZ_2009-2018.xlsx]Income - Adjusted!R72C12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2" s="2"/>
      </tp>
      <tp t="s">
        <v>—</v>
        <stp/>
        <stp>##V3_BDHV12</stp>
        <stp>AMZN US Equity</stp>
        <stp>IS_DEPR_EXP</stp>
        <stp>FQ3 2011</stp>
        <stp>FQ3 2011</stp>
        <stp>[AMZ_2009-2018.xlsx]Income - Adjusted!R72C13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2" s="2"/>
      </tp>
      <tp>
        <v>1702</v>
        <stp/>
        <stp>##V3_BDHV12</stp>
        <stp>AMZN US Equity</stp>
        <stp>IS_OTHER_OPERATING_EXPENSES</stp>
        <stp>FQ4 2011</stp>
        <stp>FQ4 2011</stp>
        <stp>[AMZ_2009-2018.xlsx]Income - Adjusted!R17C14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7" s="2"/>
      </tp>
      <tp>
        <v>5753</v>
        <stp/>
        <stp>##V3_BDHV12</stp>
        <stp>AMZN US Equity</stp>
        <stp>IS_OTHER_OPERATING_EXPENSES</stp>
        <stp>FQ4 2016</stp>
        <stp>FQ4 2016</stp>
        <stp>[AMZ_2009-2018.xlsx]Income - Adjusted!R17C34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7" s="2"/>
      </tp>
      <tp>
        <v>0.33</v>
        <stp/>
        <stp>##V3_BDHV12</stp>
        <stp>AMZN US Equity</stp>
        <stp>IS_EARN_BEF_XO_ITEMS_PER_SH</stp>
        <stp>FQ2 2009</stp>
        <stp>FQ2 2009</stp>
        <stp>[AMZ_2009-2018.xlsx]Per Share!R15C4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15" s="5"/>
      </tp>
      <tp>
        <v>2410</v>
        <stp/>
        <stp>##V3_BDHV12</stp>
        <stp>AMZN US Equity</stp>
        <stp>IS_OTHER_OPERATING_EXPENSES</stp>
        <stp>FQ2 2014</stp>
        <stp>FQ2 2014</stp>
        <stp>[AMZ_2009-2018.xlsx]Income - Adjusted!R17C24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7" s="2"/>
      </tp>
      <tp>
        <v>252</v>
        <stp/>
        <stp>##V3_BDHV12</stp>
        <stp>AMZN US Equity</stp>
        <stp>EARN_FOR_COMMON</stp>
        <stp>FQ3 2016</stp>
        <stp>FQ3 2016</stp>
        <stp>[AMZ_2009-2018.xlsx]Income - Adjusted!R43C33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43" s="2"/>
      </tp>
      <tp>
        <v>63</v>
        <stp/>
        <stp>##V3_BDHV12</stp>
        <stp>AMZN US Equity</stp>
        <stp>EARN_FOR_COMMON</stp>
        <stp>FQ3 2011</stp>
        <stp>FQ3 2011</stp>
        <stp>[AMZ_2009-2018.xlsx]Income - Adjusted!R43C13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43" s="2"/>
      </tp>
      <tp>
        <v>108</v>
        <stp/>
        <stp>##V3_BDHV12</stp>
        <stp>AMZN US Equity</stp>
        <stp>EARN_FOR_COMMON</stp>
        <stp>FQ1 2014</stp>
        <stp>FQ1 2014</stp>
        <stp>[AMZ_2009-2018.xlsx]Income - Adjusted!R43C23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43" s="2"/>
      </tp>
      <tp>
        <v>0</v>
        <stp/>
        <stp>##V3_BDHV12</stp>
        <stp>AMZN US Equity</stp>
        <stp>CF_DECR_CAP_STOCK</stp>
        <stp>FQ3 2015</stp>
        <stp>FQ3 2015</stp>
        <stp>[AMZ_2009-2018.xlsx]Cash Flow - Standardized!R48C29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8" s="4"/>
      </tp>
      <tp>
        <v>95</v>
        <stp/>
        <stp>##V3_BDHV12</stp>
        <stp>AMZN US Equity</stp>
        <stp>CF_INCR_CAP_STOCK</stp>
        <stp>FQ3 2015</stp>
        <stp>FQ3 2015</stp>
        <stp>[AMZ_2009-2018.xlsx]Cash Flow - Standardized!R47C29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7" s="4"/>
      </tp>
      <tp>
        <v>0</v>
        <stp/>
        <stp>##V3_BDHV12</stp>
        <stp>AMZN US Equity</stp>
        <stp>CF_DECR_CAP_STOCK</stp>
        <stp>FQ1 2016</stp>
        <stp>FQ1 2016</stp>
        <stp>[AMZ_2009-2018.xlsx]Cash Flow - Standardized!R48C31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8" s="4"/>
      </tp>
      <tp>
        <v>0</v>
        <stp/>
        <stp>##V3_BDHV12</stp>
        <stp>AMZN US Equity</stp>
        <stp>CF_INCR_CAP_STOCK</stp>
        <stp>FQ1 2016</stp>
        <stp>FQ1 2016</stp>
        <stp>[AMZ_2009-2018.xlsx]Cash Flow - Standardized!R47C31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7" s="4"/>
      </tp>
      <tp>
        <v>-277</v>
        <stp/>
        <stp>##V3_BDHV12</stp>
        <stp>AMZN US Equity</stp>
        <stp>CF_DECR_CAP_STOCK</stp>
        <stp>FQ4 2011</stp>
        <stp>FQ4 2011</stp>
        <stp>[AMZ_2009-2018.xlsx]Cash Flow - Standardized!R48C14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8" s="4"/>
      </tp>
      <tp>
        <v>1</v>
        <stp/>
        <stp>##V3_BDHV12</stp>
        <stp>AMZN US Equity</stp>
        <stp>CF_INCR_CAP_STOCK</stp>
        <stp>FQ4 2011</stp>
        <stp>FQ4 2011</stp>
        <stp>[AMZ_2009-2018.xlsx]Cash Flow - Standardized!R47C14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7" s="4"/>
      </tp>
      <tp>
        <v>0</v>
        <stp/>
        <stp>##V3_BDHV12</stp>
        <stp>AMZN US Equity</stp>
        <stp>CF_DECR_CAP_STOCK</stp>
        <stp>FQ2 2014</stp>
        <stp>FQ2 2014</stp>
        <stp>[AMZ_2009-2018.xlsx]Cash Flow - Standardized!R48C24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8" s="4"/>
      </tp>
      <tp>
        <v>0</v>
        <stp/>
        <stp>##V3_BDHV12</stp>
        <stp>AMZN US Equity</stp>
        <stp>CF_INCR_CAP_STOCK</stp>
        <stp>FQ2 2014</stp>
        <stp>FQ2 2014</stp>
        <stp>[AMZ_2009-2018.xlsx]Cash Flow - Standardized!R47C24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7" s="4"/>
      </tp>
      <tp t="s">
        <v>—</v>
        <stp/>
        <stp>##V3_BDHV12</stp>
        <stp>AMZN US Equity</stp>
        <stp>BS_CURR_PORTION_LT_DEBT</stp>
        <stp>FQ2 2009</stp>
        <stp>FQ2 2009</stp>
        <stp>[AMZ_2009-2018.xlsx]Bal Sheet - Standardized!R46C4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6" s="3"/>
      </tp>
      <tp>
        <v>-2164</v>
        <stp/>
        <stp>##V3_BDHV12</stp>
        <stp>AMZN US Equity</stp>
        <stp>PROC_FR_REPAYMNTS_BOR_DETAILED</stp>
        <stp>FQ1 2018</stp>
        <stp>FQ1 2018</stp>
        <stp>[AMZ_2009-2018.xlsx]Cash Flow - Standardized!R42C39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2" s="4"/>
      </tp>
      <tp t="s">
        <v>—</v>
        <stp/>
        <stp>##V3_BDHV12</stp>
        <stp>AMZN US Equity</stp>
        <stp>BS_CURR_PORTION_LT_DEBT</stp>
        <stp>FQ3 2010</stp>
        <stp>FQ3 2010</stp>
        <stp>[AMZ_2009-2018.xlsx]Bal Sheet - Standardized!R46C9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6" s="3"/>
      </tp>
      <tp>
        <v>437</v>
        <stp/>
        <stp>##V3_BDHV12</stp>
        <stp>AMZN US Equity</stp>
        <stp>IS_SH_FOR_DILUTED_EPS</stp>
        <stp>FQ1 2009</stp>
        <stp>FQ1 2009</stp>
        <stp>[AMZ_2009-2018.xlsx]Income - Adjusted!R54C3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54" s="2"/>
      </tp>
      <tp>
        <v>6927</v>
        <stp/>
        <stp>##V3_BDHV12</stp>
        <stp>AMZN US Equity</stp>
        <stp>OTHER_NONCURRENT_LIABS_DETAILED</stp>
        <stp>FQ3 2017</stp>
        <stp>FQ3 2017</stp>
        <stp>[AMZ_2009-2018.xlsx]Bal Sheet - Standardized!R61C37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1" s="3"/>
      </tp>
      <tp>
        <v>-4320</v>
        <stp/>
        <stp>##V3_BDHV12</stp>
        <stp>AMZN US Equity</stp>
        <stp>CF_NET_CHNG_CASH</stp>
        <stp>FQ1 2015</stp>
        <stp>FQ1 2015</stp>
        <stp>[AMZ_2009-2018.xlsx]Cash Flow - Standardized!R55C27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5" s="4"/>
      </tp>
      <tp>
        <v>2676</v>
        <stp/>
        <stp>##V3_BDHV12</stp>
        <stp>AMZN US Equity</stp>
        <stp>OTHER_NONCUR_LIABS_SUB_DETAILED</stp>
        <stp>FQ3 2012</stp>
        <stp>FQ3 2012</stp>
        <stp>[AMZ_2009-2018.xlsx]Bal Sheet - Standardized!R55C17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5" s="3"/>
      </tp>
      <tp>
        <v>-2450</v>
        <stp/>
        <stp>##V3_BDHV12</stp>
        <stp>AMZN US Equity</stp>
        <stp>CF_NET_CHNG_CASH</stp>
        <stp>FQ2 2017</stp>
        <stp>FQ2 2017</stp>
        <stp>[AMZ_2009-2018.xlsx]Cash Flow - Standardized!R55C36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5" s="4"/>
      </tp>
      <tp>
        <v>4639</v>
        <stp/>
        <stp>##V3_BDHV12</stp>
        <stp>AMZN US Equity</stp>
        <stp>OTHER_NONCURRENT_LIABS_DETAILED</stp>
        <stp>FQ2 2016</stp>
        <stp>FQ2 2016</stp>
        <stp>[AMZ_2009-2018.xlsx]Bal Sheet - Standardized!R61C32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1" s="3"/>
      </tp>
      <tp>
        <v>4532</v>
        <stp/>
        <stp>##V3_BDHV12</stp>
        <stp>AMZN US Equity</stp>
        <stp>OTHER_NONCURRENT_LIABS_DETAILED</stp>
        <stp>FQ1 2014</stp>
        <stp>FQ1 2014</stp>
        <stp>[AMZ_2009-2018.xlsx]Bal Sheet - Standardized!R61C23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1" s="3"/>
      </tp>
      <tp>
        <v>1135</v>
        <stp/>
        <stp>##V3_BDHV12</stp>
        <stp>AMZN US Equity</stp>
        <stp>CF_NET_CHNG_CASH</stp>
        <stp>FQ3 2016</stp>
        <stp>FQ3 2016</stp>
        <stp>[AMZ_2009-2018.xlsx]Cash Flow - Standardized!R55C33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5" s="4"/>
      </tp>
      <tp>
        <v>0</v>
        <stp/>
        <stp>##V3_BDHV12</stp>
        <stp>AMZN US Equity</stp>
        <stp>CF_DISPOSAL_OF_INTANGIBLE_ASSETS</stp>
        <stp>FQ4 2015</stp>
        <stp>FQ4 2015</stp>
        <stp>[AMZ_2009-2018.xlsx]Cash Flow - Standardized!R25C30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5" s="4"/>
      </tp>
      <tp>
        <v>17</v>
        <stp/>
        <stp>##V3_BDHV12</stp>
        <stp>AMZN US Equity</stp>
        <stp>PRETAX_INC</stp>
        <stp>FQ2 2013</stp>
        <stp>FQ2 2013</stp>
        <stp>[AMZ_2009-2018.xlsx]Income - Adjusted!R25C20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5" s="2"/>
      </tp>
      <tp>
        <v>2605</v>
        <stp/>
        <stp>##V3_BDHV12</stp>
        <stp>AMZN US Equity</stp>
        <stp>PRETAX_INC</stp>
        <stp>FQ2 2018</stp>
        <stp>FQ2 2018</stp>
        <stp>[AMZ_2009-2018.xlsx]Income - Adjusted!R25C40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25" s="2"/>
      </tp>
      <tp>
        <v>18.748899999999999</v>
        <stp/>
        <stp>##V3_BDHV12</stp>
        <stp>AMZN US Equity</stp>
        <stp>CASH_FLOW_PER_SH</stp>
        <stp>FQ4 2015</stp>
        <stp>FQ4 2015</stp>
        <stp>[AMZ_2009-2018.xlsx]Per Share!R22C30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22" s="5"/>
      </tp>
      <tp>
        <v>7.7332999999999998</v>
        <stp/>
        <stp>##V3_BDHV12</stp>
        <stp>AMZN US Equity</stp>
        <stp>CASH_FLOW_PER_SH</stp>
        <stp>FQ4 2010</stp>
        <stp>FQ4 2010</stp>
        <stp>[AMZ_2009-2018.xlsx]Per Share!R22C10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22" s="5"/>
      </tp>
      <tp>
        <v>1531</v>
        <stp/>
        <stp>##V3_BDHV12</stp>
        <stp>AMZN US Equity</stp>
        <stp>OTHER_NONCURRENT_LIABS_DETAILED</stp>
        <stp>FQ4 2012</stp>
        <stp>FQ4 2012</stp>
        <stp>[AMZ_2009-2018.xlsx]Bal Sheet - Standardized!R61C18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1" s="3"/>
      </tp>
      <tp>
        <v>0</v>
        <stp/>
        <stp>##V3_BDHV12</stp>
        <stp>AMZN US Equity</stp>
        <stp>CF_DISPOSAL_OF_INTANGIBLE_ASSETS</stp>
        <stp>FQ1 2012</stp>
        <stp>FQ1 2012</stp>
        <stp>[AMZ_2009-2018.xlsx]Cash Flow - Standardized!R25C15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5" s="4"/>
      </tp>
      <tp>
        <v>7792</v>
        <stp/>
        <stp>##V3_BDHV12</stp>
        <stp>AMZN US Equity</stp>
        <stp>OTHER_NONCUR_LIABS_SUB_DETAILED</stp>
        <stp>FQ4 2017</stp>
        <stp>FQ4 2017</stp>
        <stp>[AMZ_2009-2018.xlsx]Bal Sheet - Standardized!R55C38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5" s="3"/>
      </tp>
      <tp>
        <v>6.0190999999999999</v>
        <stp/>
        <stp>##V3_BDHV12</stp>
        <stp>AMZN US Equity</stp>
        <stp>EBITDA_MARGIN</stp>
        <stp>FQ1 2009</stp>
        <stp>FQ1 2009</stp>
        <stp>[AMZ_2009-2018.xlsx]Cash Flow - Standardized!R62C3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62" s="4"/>
      </tp>
      <tp>
        <v>5.8959000000000001</v>
        <stp/>
        <stp>##V3_BDHV12</stp>
        <stp>AMZN US Equity</stp>
        <stp>EBITDA_MARGIN</stp>
        <stp>FQ3 2009</stp>
        <stp>FQ3 2009</stp>
        <stp>[AMZ_2009-2018.xlsx]Cash Flow - Standardized!R62C5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62" s="4"/>
      </tp>
      <tp>
        <v>5.6661000000000001</v>
        <stp/>
        <stp>##V3_BDHV12</stp>
        <stp>AMZN US Equity</stp>
        <stp>EBITDA_MARGIN</stp>
        <stp>FQ2 2009</stp>
        <stp>FQ2 2009</stp>
        <stp>[AMZ_2009-2018.xlsx]Cash Flow - Standardized!R62C4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62" s="4"/>
      </tp>
      <tp>
        <v>6.1939000000000002</v>
        <stp/>
        <stp>##V3_BDHV12</stp>
        <stp>AMZN US Equity</stp>
        <stp>EBITDA_MARGIN</stp>
        <stp>FQ4 2009</stp>
        <stp>FQ4 2009</stp>
        <stp>[AMZ_2009-2018.xlsx]Cash Flow - Standardized!R62C6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62" s="4"/>
      </tp>
      <tp>
        <v>19794</v>
        <stp/>
        <stp>##V3_BDHV12</stp>
        <stp>AMZN US Equity</stp>
        <stp>BS_TOTAL_CAPITAL_LEASES</stp>
        <stp>FQ1 2018</stp>
        <stp>FQ1 2018</stp>
        <stp>[AMZ_2009-2018.xlsx]Bal Sheet - Standardized!R82C39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82" s="3"/>
      </tp>
      <tp>
        <v>0</v>
        <stp/>
        <stp>##V3_BDHV12</stp>
        <stp>AMZN US Equity</stp>
        <stp>CF_DISPOSAL_OF_INTANGIBLE_ASSETS</stp>
        <stp>FQ2 2011</stp>
        <stp>FQ2 2011</stp>
        <stp>[AMZ_2009-2018.xlsx]Cash Flow - Standardized!R25C12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5" s="4"/>
      </tp>
      <tp>
        <v>10.330400000000001</v>
        <stp/>
        <stp>##V3_BDHV12</stp>
        <stp>AMZN US Equity</stp>
        <stp>TANG_BOOK_VAL_PER_SH</stp>
        <stp>FQ2 2010</stp>
        <stp>FQ2 2010</stp>
        <stp>[AMZ_2009-2018.xlsx]Per Share!R27C8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27" s="5"/>
      </tp>
      <tp>
        <v>0</v>
        <stp/>
        <stp>##V3_BDHV12</stp>
        <stp>AMZN US Equity</stp>
        <stp>CF_DISPOSAL_OF_INTANGIBLE_ASSETS</stp>
        <stp>FQ4 2014</stp>
        <stp>FQ4 2014</stp>
        <stp>[AMZ_2009-2018.xlsx]Cash Flow - Standardized!R25C26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5" s="4"/>
      </tp>
      <tp>
        <v>0</v>
        <stp/>
        <stp>##V3_BDHV12</stp>
        <stp>AMZN US Equity</stp>
        <stp>CF_DISPOSAL_OF_INTANGIBLE_ASSETS</stp>
        <stp>FQ3 2013</stp>
        <stp>FQ3 2013</stp>
        <stp>[AMZ_2009-2018.xlsx]Cash Flow - Standardized!R25C21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5" s="4"/>
      </tp>
      <tp>
        <v>506</v>
        <stp/>
        <stp>##V3_BDHV12</stp>
        <stp>AMZN US Equity</stp>
        <stp>PRETAX_INC</stp>
        <stp>FQ4 2010</stp>
        <stp>FQ4 2010</stp>
        <stp>[AMZ_2009-2018.xlsx]Income - Adjusted!R25C10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5" s="2"/>
      </tp>
      <tp>
        <v>941</v>
        <stp/>
        <stp>##V3_BDHV12</stp>
        <stp>AMZN US Equity</stp>
        <stp>PRETAX_INC</stp>
        <stp>FQ4 2015</stp>
        <stp>FQ4 2015</stp>
        <stp>[AMZ_2009-2018.xlsx]Income - Adjusted!R25C30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25" s="2"/>
      </tp>
      <tp>
        <v>15.327199999999999</v>
        <stp/>
        <stp>##V3_BDHV12</stp>
        <stp>AMZN US Equity</stp>
        <stp>CASH_FLOW_PER_SH</stp>
        <stp>FQ2 2018</stp>
        <stp>FQ2 2018</stp>
        <stp>[AMZ_2009-2018.xlsx]Per Share!R22C40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22" s="5"/>
      </tp>
      <tp>
        <v>1.9298</v>
        <stp/>
        <stp>##V3_BDHV12</stp>
        <stp>AMZN US Equity</stp>
        <stp>CASH_FLOW_PER_SH</stp>
        <stp>FQ2 2013</stp>
        <stp>FQ2 2013</stp>
        <stp>[AMZ_2009-2018.xlsx]Per Share!R22C20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22" s="5"/>
      </tp>
      <tp>
        <v>-15</v>
        <stp/>
        <stp>##V3_BDHV12</stp>
        <stp>AMZN US Equity</stp>
        <stp>OTHER_NON_CASH_ADJ_LESS_DETAILED</stp>
        <stp>FQ1 2014</stp>
        <stp>FQ1 2014</stp>
        <stp>[AMZ_2009-2018.xlsx]Cash Flow - Standardized!R12C23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2" s="4"/>
      </tp>
      <tp>
        <v>13830</v>
        <stp/>
        <stp>##V3_BDHV12</stp>
        <stp>AMZN US Equity</stp>
        <stp>IS_COG_AND_SERVICES_SOLD</stp>
        <stp>FQ4 2011</stp>
        <stp>FQ4 2011</stp>
        <stp>[AMZ_2009-2018.xlsx]Income - Adjusted!R9C14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9" s="2"/>
      </tp>
      <tp>
        <v>24341</v>
        <stp/>
        <stp>##V3_BDHV12</stp>
        <stp>AMZN US Equity</stp>
        <stp>IS_COG_AND_SERVICES_SOLD</stp>
        <stp>FQ4 2015</stp>
        <stp>FQ4 2015</stp>
        <stp>[AMZ_2009-2018.xlsx]Income - Adjusted!R9C30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9" s="2"/>
      </tp>
      <tp>
        <v>21260</v>
        <stp/>
        <stp>##V3_BDHV12</stp>
        <stp>AMZN US Equity</stp>
        <stp>IS_COG_AND_SERVICES_SOLD</stp>
        <stp>FQ3 2016</stp>
        <stp>FQ3 2016</stp>
        <stp>[AMZ_2009-2018.xlsx]Income - Adjusted!R9C33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9" s="2"/>
      </tp>
      <tp>
        <v>10319</v>
        <stp/>
        <stp>##V3_BDHV12</stp>
        <stp>AMZN US Equity</stp>
        <stp>IS_COG_AND_SERVICES_SOLD</stp>
        <stp>FQ3 2012</stp>
        <stp>FQ3 2012</stp>
        <stp>[AMZ_2009-2018.xlsx]Income - Adjusted!R9C17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9" s="2"/>
      </tp>
      <tp>
        <v>85</v>
        <stp/>
        <stp>##V3_BDHV12</stp>
        <stp>AMZN US Equity</stp>
        <stp>OTHER_NON_CASH_ADJ_LESS_DETAILED</stp>
        <stp>FQ2 2016</stp>
        <stp>FQ2 2016</stp>
        <stp>[AMZ_2009-2018.xlsx]Cash Flow - Standardized!R12C32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2" s="4"/>
      </tp>
      <tp>
        <v>-85</v>
        <stp/>
        <stp>##V3_BDHV12</stp>
        <stp>AMZN US Equity</stp>
        <stp>OTHER_NON_CASH_ADJ_LESS_DETAILED</stp>
        <stp>FQ3 2017</stp>
        <stp>FQ3 2017</stp>
        <stp>[AMZ_2009-2018.xlsx]Cash Flow - Standardized!R12C37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2" s="4"/>
      </tp>
      <tp>
        <v>1383</v>
        <stp/>
        <stp>##V3_BDHV12</stp>
        <stp>AMZN US Equity</stp>
        <stp>IS_OPEX_R&amp;D</stp>
        <stp>FQ1 2013</stp>
        <stp>FQ1 2013</stp>
        <stp>[AMZ_2009-2018.xlsx]Income - Adjusted!R16C19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6" s="2"/>
      </tp>
      <tp>
        <v>644</v>
        <stp/>
        <stp>##V3_BDHV12</stp>
        <stp>AMZN US Equity</stp>
        <stp>EBITDA</stp>
        <stp>FQ4 2010</stp>
        <stp>FQ4 2010</stp>
        <stp>[AMZ_2009-2018.xlsx]Cash Flow - Standardized!R61C10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61" s="4"/>
      </tp>
      <tp>
        <v>524</v>
        <stp/>
        <stp>##V3_BDHV12</stp>
        <stp>AMZN US Equity</stp>
        <stp>EBITDA</stp>
        <stp>FQ1 2011</stp>
        <stp>FQ1 2011</stp>
        <stp>[AMZ_2009-2018.xlsx]Cash Flow - Standardized!R61C11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61" s="4"/>
      </tp>
      <tp>
        <v>1094</v>
        <stp/>
        <stp>##V3_BDHV12</stp>
        <stp>AMZN US Equity</stp>
        <stp>EBITDA</stp>
        <stp>FQ2 2014</stp>
        <stp>FQ2 2014</stp>
        <stp>[AMZ_2009-2018.xlsx]Cash Flow - Standardized!R61C24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61" s="4"/>
      </tp>
      <tp>
        <v>3259</v>
        <stp/>
        <stp>##V3_BDHV12</stp>
        <stp>AMZN US Equity</stp>
        <stp>EBITDA</stp>
        <stp>FQ3 2017</stp>
        <stp>FQ3 2017</stp>
        <stp>[AMZ_2009-2018.xlsx]Cash Flow - Standardized!R61C37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61" s="4"/>
      </tp>
      <tp>
        <v>0</v>
        <stp/>
        <stp>##V3_BDHV12</stp>
        <stp>AMZN US Equity</stp>
        <stp>EQY_DPS</stp>
        <stp>FQ1 2009</stp>
        <stp>FQ1 2009</stp>
        <stp>[AMZ_2009-2018.xlsx]Income - Adjusted!R69C3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69" s="2"/>
      </tp>
      <tp>
        <v>0</v>
        <stp/>
        <stp>##V3_BDHV12</stp>
        <stp>AMZN US Equity</stp>
        <stp>IS_DISCONTINUED_OPERATIONS</stp>
        <stp>FQ2 2009</stp>
        <stp>FQ2 2009</stp>
        <stp>[AMZ_2009-2018.xlsx]Income - Adjusted!R36C4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6" s="2"/>
      </tp>
      <tp>
        <v>135</v>
        <stp/>
        <stp>##V3_BDHV12</stp>
        <stp>AMZN US Equity</stp>
        <stp>OTHER_NON_CASH_ADJ_LESS_DETAILED</stp>
        <stp>FQ4 2012</stp>
        <stp>FQ4 2012</stp>
        <stp>[AMZ_2009-2018.xlsx]Cash Flow - Standardized!R12C18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2" s="4"/>
      </tp>
      <tp>
        <v>299</v>
        <stp/>
        <stp>##V3_BDHV12</stp>
        <stp>AMZN US Equity</stp>
        <stp>IS_INC_BEF_XO_ITEM</stp>
        <stp>FQ1 2010</stp>
        <stp>FQ1 2010</stp>
        <stp>[AMZ_2009-2018.xlsx]Income - Adjusted!R34C7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4" s="2"/>
      </tp>
      <tp>
        <v>0.66</v>
        <stp/>
        <stp>##V3_BDHV12</stp>
        <stp>AMZN US Equity</stp>
        <stp>IS_DIL_EPS_BEF_XO</stp>
        <stp>FQ1 2010</stp>
        <stp>FQ1 2010</stp>
        <stp>[AMZ_2009-2018.xlsx]Per Share!R18C7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18" s="5"/>
      </tp>
      <tp t="s">
        <v>—</v>
        <stp/>
        <stp>##V3_BDHV12</stp>
        <stp>AMZN US Equity</stp>
        <stp>IS_MERGER_ACQUISITION_EXPENSE</stp>
        <stp>FQ1 2010</stp>
        <stp>FQ1 2010</stp>
        <stp>[AMZ_2009-2018.xlsx]Income - Adjusted!R27C7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7" s="2"/>
      </tp>
      <tp>
        <v>0.44</v>
        <stp/>
        <stp>##V3_BDHV12</stp>
        <stp>AMZN US Equity</stp>
        <stp>IS_EARN_BEF_XO_ITEMS_PER_SH</stp>
        <stp>FQ1 2011</stp>
        <stp>FQ1 2011</stp>
        <stp>[AMZ_2009-2018.xlsx]Per Share!R15C11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15" s="5"/>
      </tp>
      <tp>
        <v>1.0900000000000001</v>
        <stp/>
        <stp>##V3_BDHV12</stp>
        <stp>AMZN US Equity</stp>
        <stp>IS_EARN_BEF_XO_ITEMS_PER_SH</stp>
        <stp>FQ1 2016</stp>
        <stp>FQ1 2016</stp>
        <stp>[AMZ_2009-2018.xlsx]Per Share!R15C31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15" s="5"/>
      </tp>
      <tp>
        <v>-0.09</v>
        <stp/>
        <stp>##V3_BDHV12</stp>
        <stp>AMZN US Equity</stp>
        <stp>IS_EARN_BEF_XO_ITEMS_PER_SH</stp>
        <stp>FQ3 2013</stp>
        <stp>FQ3 2013</stp>
        <stp>[AMZ_2009-2018.xlsx]Per Share!R15C21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15" s="5"/>
      </tp>
      <tp>
        <v>1</v>
        <stp/>
        <stp>##V3_BDHV12</stp>
        <stp>AMZN US Equity</stp>
        <stp>IS_GAIN_LOSS_ON_INVESTMENTS</stp>
        <stp>FQ1 2015</stp>
        <stp>FQ1 2015</stp>
        <stp>[AMZ_2009-2018.xlsx]Income - Adjusted!R29C27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9" s="2"/>
      </tp>
      <tp t="s">
        <v>—</v>
        <stp/>
        <stp>##V3_BDHV12</stp>
        <stp>AMZN US Equity</stp>
        <stp>IS_DEPR_EXP</stp>
        <stp>FQ2 2013</stp>
        <stp>FQ2 2013</stp>
        <stp>[AMZ_2009-2018.xlsx]Income - Adjusted!R72C20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2" s="2"/>
      </tp>
      <tp t="s">
        <v>—</v>
        <stp/>
        <stp>##V3_BDHV12</stp>
        <stp>AMZN US Equity</stp>
        <stp>IS_DEPR_EXP</stp>
        <stp>FQ4 2010</stp>
        <stp>FQ4 2010</stp>
        <stp>[AMZ_2009-2018.xlsx]Income - Adjusted!R72C10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2" s="2"/>
      </tp>
      <tp t="s">
        <v>—</v>
        <stp/>
        <stp>##V3_BDHV12</stp>
        <stp>AMZN US Equity</stp>
        <stp>IS_DEPR_EXP</stp>
        <stp>FQ3 2013</stp>
        <stp>FQ3 2013</stp>
        <stp>[AMZ_2009-2018.xlsx]Income - Adjusted!R72C21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2" s="2"/>
      </tp>
      <tp t="s">
        <v>—</v>
        <stp/>
        <stp>##V3_BDHV12</stp>
        <stp>AMZN US Equity</stp>
        <stp>IS_DEPR_EXP</stp>
        <stp>FQ4 2013</stp>
        <stp>FQ4 2013</stp>
        <stp>[AMZ_2009-2018.xlsx]Income - Adjusted!R72C22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2" s="2"/>
      </tp>
      <tp>
        <v>1</v>
        <stp/>
        <stp>##V3_BDHV12</stp>
        <stp>AMZN US Equity</stp>
        <stp>IS_GAIN_LOSS_ON_INVESTMENTS</stp>
        <stp>FQ2 2015</stp>
        <stp>FQ2 2015</stp>
        <stp>[AMZ_2009-2018.xlsx]Income - Adjusted!R29C28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9" s="2"/>
      </tp>
      <tp t="s">
        <v>—</v>
        <stp/>
        <stp>##V3_BDHV12</stp>
        <stp>AMZN US Equity</stp>
        <stp>IS_GAIN_LOSS_ON_INVESTMENTS</stp>
        <stp>FQ3 2015</stp>
        <stp>FQ3 2015</stp>
        <stp>[AMZ_2009-2018.xlsx]Income - Adjusted!R29C29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9" s="2"/>
      </tp>
      <tp>
        <v>135.77000000000001</v>
        <stp/>
        <stp>##V3_BDHV12</stp>
        <stp>AMZN US Equity</stp>
        <stp>PX_LAST</stp>
        <stp>FQ1 2010</stp>
        <stp>FQ1 2010</stp>
        <stp>[AMZ_2009-2018.xlsx]Stock Value!R6C7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6" s="6"/>
      </tp>
      <tp>
        <v>4741</v>
        <stp/>
        <stp>##V3_BDHV12</stp>
        <stp>AMZN US Equity</stp>
        <stp>IS_OTHER_OPERATING_EXPENSES</stp>
        <stp>FQ1 2017</stp>
        <stp>FQ1 2017</stp>
        <stp>[AMZ_2009-2018.xlsx]Income - Adjusted!R17C35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7" s="2"/>
      </tp>
      <tp>
        <v>1341</v>
        <stp/>
        <stp>##V3_BDHV12</stp>
        <stp>AMZN US Equity</stp>
        <stp>IS_OTHER_OPERATING_EXPENSES</stp>
        <stp>FQ1 2012</stp>
        <stp>FQ1 2012</stp>
        <stp>[AMZ_2009-2018.xlsx]Income - Adjusted!R17C15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7" s="2"/>
      </tp>
      <tp>
        <v>2674</v>
        <stp/>
        <stp>##V3_BDHV12</stp>
        <stp>AMZN US Equity</stp>
        <stp>IS_OTHER_OPERATING_EXPENSES</stp>
        <stp>FQ3 2014</stp>
        <stp>FQ3 2014</stp>
        <stp>[AMZ_2009-2018.xlsx]Income - Adjusted!R17C25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7" s="2"/>
      </tp>
      <tp>
        <v>0.46</v>
        <stp/>
        <stp>##V3_BDHV12</stp>
        <stp>AMZN US Equity</stp>
        <stp>IS_EARN_BEF_XO_ITEMS_PER_SH</stp>
        <stp>FQ3 2009</stp>
        <stp>FQ3 2009</stp>
        <stp>[AMZ_2009-2018.xlsx]Per Share!R15C5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15" s="5"/>
      </tp>
      <tp>
        <v>5741</v>
        <stp/>
        <stp>##V3_BDHV12</stp>
        <stp>AMZN US Equity</stp>
        <stp>BS_SH_CAP_AND_APIC</stp>
        <stp>FQ4 2009</stp>
        <stp>FQ4 2009</stp>
        <stp>[AMZ_2009-2018.xlsx]Bal Sheet - Standardized!R65C6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5" s="3"/>
      </tp>
      <tp>
        <v>239</v>
        <stp/>
        <stp>##V3_BDHV12</stp>
        <stp>AMZN US Equity</stp>
        <stp>EARN_FOR_COMMON</stp>
        <stp>FQ4 2013</stp>
        <stp>FQ4 2013</stp>
        <stp>[AMZ_2009-2018.xlsx]Income - Adjusted!R43C22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43" s="2"/>
      </tp>
      <tp>
        <v>1915</v>
        <stp/>
        <stp>##V3_BDHV12</stp>
        <stp>AMZN US Equity</stp>
        <stp>BS_GROSS_FIX_ASSET</stp>
        <stp>FQ4 2009</stp>
        <stp>FQ4 2009</stp>
        <stp>[AMZ_2009-2018.xlsx]Bal Sheet - Standardized!R24C6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4" s="3"/>
      </tp>
      <tp>
        <v>857</v>
        <stp/>
        <stp>##V3_BDHV12</stp>
        <stp>AMZN US Equity</stp>
        <stp>EARN_FOR_COMMON</stp>
        <stp>FQ2 2016</stp>
        <stp>FQ2 2016</stp>
        <stp>[AMZ_2009-2018.xlsx]Income - Adjusted!R43C32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43" s="2"/>
      </tp>
      <tp>
        <v>191</v>
        <stp/>
        <stp>##V3_BDHV12</stp>
        <stp>AMZN US Equity</stp>
        <stp>EARN_FOR_COMMON</stp>
        <stp>FQ2 2011</stp>
        <stp>FQ2 2011</stp>
        <stp>[AMZ_2009-2018.xlsx]Income - Adjusted!R43C12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43" s="2"/>
      </tp>
      <tp>
        <v>0</v>
        <stp/>
        <stp>##V3_BDHV12</stp>
        <stp>AMZN US Equity</stp>
        <stp>CF_DECR_CAP_STOCK</stp>
        <stp>FQ2 2015</stp>
        <stp>FQ2 2015</stp>
        <stp>[AMZ_2009-2018.xlsx]Cash Flow - Standardized!R48C28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8" s="4"/>
      </tp>
      <tp>
        <v>95</v>
        <stp/>
        <stp>##V3_BDHV12</stp>
        <stp>AMZN US Equity</stp>
        <stp>CF_INCR_CAP_STOCK</stp>
        <stp>FQ2 2015</stp>
        <stp>FQ2 2015</stp>
        <stp>[AMZ_2009-2018.xlsx]Cash Flow - Standardized!R47C28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7" s="4"/>
      </tp>
      <tp>
        <v>0</v>
        <stp/>
        <stp>##V3_BDHV12</stp>
        <stp>AMZN US Equity</stp>
        <stp>CF_DECR_CAP_STOCK</stp>
        <stp>FQ1 2017</stp>
        <stp>FQ1 2017</stp>
        <stp>[AMZ_2009-2018.xlsx]Cash Flow - Standardized!R48C35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8" s="4"/>
      </tp>
      <tp>
        <v>0</v>
        <stp/>
        <stp>##V3_BDHV12</stp>
        <stp>AMZN US Equity</stp>
        <stp>CF_INCR_CAP_STOCK</stp>
        <stp>FQ1 2017</stp>
        <stp>FQ1 2017</stp>
        <stp>[AMZ_2009-2018.xlsx]Cash Flow - Standardized!R47C35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7" s="4"/>
      </tp>
      <tp>
        <v>0</v>
        <stp/>
        <stp>##V3_BDHV12</stp>
        <stp>AMZN US Equity</stp>
        <stp>CF_DECR_CAP_STOCK</stp>
        <stp>FQ4 2010</stp>
        <stp>FQ4 2010</stp>
        <stp>[AMZ_2009-2018.xlsx]Cash Flow - Standardized!R48C10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8" s="4"/>
      </tp>
      <tp>
        <v>23</v>
        <stp/>
        <stp>##V3_BDHV12</stp>
        <stp>AMZN US Equity</stp>
        <stp>CF_INCR_CAP_STOCK</stp>
        <stp>FQ4 2010</stp>
        <stp>FQ4 2010</stp>
        <stp>[AMZ_2009-2018.xlsx]Cash Flow - Standardized!R47C10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7" s="4"/>
      </tp>
      <tp>
        <v>0</v>
        <stp/>
        <stp>##V3_BDHV12</stp>
        <stp>AMZN US Equity</stp>
        <stp>CF_DECR_CAP_STOCK</stp>
        <stp>FQ3 2014</stp>
        <stp>FQ3 2014</stp>
        <stp>[AMZ_2009-2018.xlsx]Cash Flow - Standardized!R48C25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8" s="4"/>
      </tp>
      <tp>
        <v>0</v>
        <stp/>
        <stp>##V3_BDHV12</stp>
        <stp>AMZN US Equity</stp>
        <stp>CF_DECR_CAP_STOCK</stp>
        <stp>FQ4 2013</stp>
        <stp>FQ4 2013</stp>
        <stp>[AMZ_2009-2018.xlsx]Cash Flow - Standardized!R48C22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8" s="4"/>
      </tp>
      <tp>
        <v>0</v>
        <stp/>
        <stp>##V3_BDHV12</stp>
        <stp>AMZN US Equity</stp>
        <stp>CF_INCR_CAP_STOCK</stp>
        <stp>FQ3 2014</stp>
        <stp>FQ3 2014</stp>
        <stp>[AMZ_2009-2018.xlsx]Cash Flow - Standardized!R47C25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7" s="4"/>
      </tp>
      <tp>
        <v>78</v>
        <stp/>
        <stp>##V3_BDHV12</stp>
        <stp>AMZN US Equity</stp>
        <stp>CF_INCR_CAP_STOCK</stp>
        <stp>FQ4 2013</stp>
        <stp>FQ4 2013</stp>
        <stp>[AMZ_2009-2018.xlsx]Cash Flow - Standardized!R47C22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7" s="4"/>
      </tp>
      <tp t="s">
        <v>—</v>
        <stp/>
        <stp>##V3_BDHV12</stp>
        <stp>AMZN US Equity</stp>
        <stp>BS_CURR_PORTION_LT_DEBT</stp>
        <stp>FQ3 2009</stp>
        <stp>FQ3 2009</stp>
        <stp>[AMZ_2009-2018.xlsx]Bal Sheet - Standardized!R46C5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6" s="3"/>
      </tp>
      <tp t="s">
        <v>—</v>
        <stp/>
        <stp>##V3_BDHV12</stp>
        <stp>AMZN US Equity</stp>
        <stp>BS_CURR_PORTION_LT_DEBT</stp>
        <stp>FQ2 2010</stp>
        <stp>FQ2 2010</stp>
        <stp>[AMZ_2009-2018.xlsx]Bal Sheet - Standardized!R46C8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6" s="3"/>
      </tp>
      <tp>
        <v>2553</v>
        <stp/>
        <stp>##V3_BDHV12</stp>
        <stp>AMZN US Equity</stp>
        <stp>OTHER_NONCUR_LIABS_SUB_DETAILED</stp>
        <stp>FQ2 2012</stp>
        <stp>FQ2 2012</stp>
        <stp>[AMZ_2009-2018.xlsx]Bal Sheet - Standardized!R55C16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5" s="3"/>
      </tp>
      <tp>
        <v>6564</v>
        <stp/>
        <stp>##V3_BDHV12</stp>
        <stp>AMZN US Equity</stp>
        <stp>OTHER_NONCURRENT_LIABS_DETAILED</stp>
        <stp>FQ2 2017</stp>
        <stp>FQ2 2017</stp>
        <stp>[AMZ_2009-2018.xlsx]Bal Sheet - Standardized!R61C36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1" s="3"/>
      </tp>
      <tp>
        <v>7768</v>
        <stp/>
        <stp>##V3_BDHV12</stp>
        <stp>AMZN US Equity</stp>
        <stp>OTHER_NONCURRENT_LIABS_DETAILED</stp>
        <stp>FQ1 2015</stp>
        <stp>FQ1 2015</stp>
        <stp>[AMZ_2009-2018.xlsx]Bal Sheet - Standardized!R61C27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1" s="3"/>
      </tp>
      <tp>
        <v>-436</v>
        <stp/>
        <stp>##V3_BDHV12</stp>
        <stp>AMZN US Equity</stp>
        <stp>CF_NET_CHNG_CASH</stp>
        <stp>FQ3 2017</stp>
        <stp>FQ3 2017</stp>
        <stp>[AMZ_2009-2018.xlsx]Cash Flow - Standardized!R55C37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5" s="4"/>
      </tp>
      <tp>
        <v>1805</v>
        <stp/>
        <stp>##V3_BDHV12</stp>
        <stp>AMZN US Equity</stp>
        <stp>OTHER_NONCUR_LIABS_SUB_DETAILED</stp>
        <stp>FQ1 2011</stp>
        <stp>FQ1 2011</stp>
        <stp>[AMZ_2009-2018.xlsx]Bal Sheet - Standardized!R55C11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5" s="3"/>
      </tp>
      <tp>
        <v>4512</v>
        <stp/>
        <stp>##V3_BDHV12</stp>
        <stp>AMZN US Equity</stp>
        <stp>OTHER_NONCURRENT_LIABS_DETAILED</stp>
        <stp>FQ3 2016</stp>
        <stp>FQ3 2016</stp>
        <stp>[AMZ_2009-2018.xlsx]Bal Sheet - Standardized!R61C33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1" s="3"/>
      </tp>
      <tp>
        <v>-3584</v>
        <stp/>
        <stp>##V3_BDHV12</stp>
        <stp>AMZN US Equity</stp>
        <stp>CF_NET_CHNG_CASH</stp>
        <stp>FQ1 2014</stp>
        <stp>FQ1 2014</stp>
        <stp>[AMZ_2009-2018.xlsx]Cash Flow - Standardized!R55C23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5" s="4"/>
      </tp>
      <tp>
        <v>51</v>
        <stp/>
        <stp>##V3_BDHV12</stp>
        <stp>AMZN US Equity</stp>
        <stp>CF_NET_CHNG_CASH</stp>
        <stp>FQ2 2016</stp>
        <stp>FQ2 2016</stp>
        <stp>[AMZ_2009-2018.xlsx]Cash Flow - Standardized!R55C32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5" s="4"/>
      </tp>
      <tp>
        <v>5088</v>
        <stp/>
        <stp>##V3_BDHV12</stp>
        <stp>AMZN US Equity</stp>
        <stp>OTHER_NONCUR_LIABS_SUB_DETAILED</stp>
        <stp>FQ4 2016</stp>
        <stp>FQ4 2016</stp>
        <stp>[AMZ_2009-2018.xlsx]Bal Sheet - Standardized!R55C34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5" s="3"/>
      </tp>
      <tp>
        <v>-2727</v>
        <stp/>
        <stp>##V3_BDHV12</stp>
        <stp>AMZN US Equity</stp>
        <stp>CHG_IN_FXD_&amp;_INTANG_AST_DETAILED</stp>
        <stp>FQ1 2018</stp>
        <stp>FQ1 2018</stp>
        <stp>[AMZ_2009-2018.xlsx]Cash Flow - Standardized!R22C39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2" s="4"/>
      </tp>
      <tp>
        <v>0</v>
        <stp/>
        <stp>##V3_BDHV12</stp>
        <stp>AMZN US Equity</stp>
        <stp>CF_DISPOSAL_OF_INTANGIBLE_ASSETS</stp>
        <stp>FQ1 2013</stp>
        <stp>FQ1 2013</stp>
        <stp>[AMZ_2009-2018.xlsx]Cash Flow - Standardized!R25C19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5" s="4"/>
      </tp>
      <tp>
        <v>5104</v>
        <stp/>
        <stp>##V3_BDHV12</stp>
        <stp>AMZN US Equity</stp>
        <stp>CF_NET_CHNG_CASH</stp>
        <stp>FQ4 2012</stp>
        <stp>FQ4 2012</stp>
        <stp>[AMZ_2009-2018.xlsx]Cash Flow - Standardized!R55C18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5" s="4"/>
      </tp>
      <tp>
        <v>-43</v>
        <stp/>
        <stp>##V3_BDHV12</stp>
        <stp>AMZN US Equity</stp>
        <stp>PRETAX_INC</stp>
        <stp>FQ3 2013</stp>
        <stp>FQ3 2013</stp>
        <stp>[AMZ_2009-2018.xlsx]Income - Adjusted!R25C21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5" s="2"/>
      </tp>
      <tp>
        <v>1056</v>
        <stp/>
        <stp>##V3_BDHV12</stp>
        <stp>AMZN US Equity</stp>
        <stp>PRETAX_INC</stp>
        <stp>FQ1 2016</stp>
        <stp>FQ1 2016</stp>
        <stp>[AMZ_2009-2018.xlsx]Income - Adjusted!R25C31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25" s="2"/>
      </tp>
      <tp>
        <v>307</v>
        <stp/>
        <stp>##V3_BDHV12</stp>
        <stp>AMZN US Equity</stp>
        <stp>PRETAX_INC</stp>
        <stp>FQ1 2011</stp>
        <stp>FQ1 2011</stp>
        <stp>[AMZ_2009-2018.xlsx]Income - Adjusted!R25C11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5" s="2"/>
      </tp>
      <tp>
        <v>-3.5165999999999999</v>
        <stp/>
        <stp>##V3_BDHV12</stp>
        <stp>AMZN US Equity</stp>
        <stp>CASH_FLOW_PER_SH</stp>
        <stp>FQ1 2011</stp>
        <stp>FQ1 2011</stp>
        <stp>[AMZ_2009-2018.xlsx]Per Share!R22C11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22" s="5"/>
      </tp>
      <tp>
        <v>-4.1464999999999996</v>
        <stp/>
        <stp>##V3_BDHV12</stp>
        <stp>AMZN US Equity</stp>
        <stp>CASH_FLOW_PER_SH</stp>
        <stp>FQ1 2016</stp>
        <stp>FQ1 2016</stp>
        <stp>[AMZ_2009-2018.xlsx]Per Share!R22C31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22" s="5"/>
      </tp>
      <tp>
        <v>0</v>
        <stp/>
        <stp>##V3_BDHV12</stp>
        <stp>AMZN US Equity</stp>
        <stp>CF_DISPOSAL_OF_INTANGIBLE_ASSETS</stp>
        <stp>FQ2 2013</stp>
        <stp>FQ2 2013</stp>
        <stp>[AMZ_2009-2018.xlsx]Cash Flow - Standardized!R25C20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5" s="4"/>
      </tp>
      <tp>
        <v>3.0371999999999999</v>
        <stp/>
        <stp>##V3_BDHV12</stp>
        <stp>AMZN US Equity</stp>
        <stp>CASH_FLOW_PER_SH</stp>
        <stp>FQ3 2013</stp>
        <stp>FQ3 2013</stp>
        <stp>[AMZ_2009-2018.xlsx]Per Share!R22C21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22" s="5"/>
      </tp>
      <tp>
        <v>11.4031</v>
        <stp/>
        <stp>##V3_BDHV12</stp>
        <stp>AMZN US Equity</stp>
        <stp>TANG_BOOK_VAL_PER_SH</stp>
        <stp>FQ3 2010</stp>
        <stp>FQ3 2010</stp>
        <stp>[AMZ_2009-2018.xlsx]Per Share!R27C9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27" s="5"/>
      </tp>
      <tp>
        <v>0</v>
        <stp/>
        <stp>##V3_BDHV12</stp>
        <stp>AMZN US Equity</stp>
        <stp>CF_DISPOSAL_OF_INTANGIBLE_ASSETS</stp>
        <stp>FQ3 2011</stp>
        <stp>FQ3 2011</stp>
        <stp>[AMZ_2009-2018.xlsx]Cash Flow - Standardized!R25C13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5" s="4"/>
      </tp>
      <tp>
        <v>5</v>
        <stp/>
        <stp>##V3_BDHV12</stp>
        <stp>AMZN US Equity</stp>
        <stp>BS_COMMON_STOCK</stp>
        <stp>FQ2 2018</stp>
        <stp>FQ2 2018</stp>
        <stp>[AMZ_2009-2018.xlsx]Bal Sheet - Standardized!R66C40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6" s="3"/>
      </tp>
      <tp>
        <v>1936</v>
        <stp/>
        <stp>##V3_BDHV12</stp>
        <stp>AMZN US Equity</stp>
        <stp>BS_CASH_NEAR_CASH_ITEM</stp>
        <stp>FQ2 2009</stp>
        <stp>FQ2 2009</stp>
        <stp>[AMZ_2009-2018.xlsx]Bal Sheet - Standardized!R8C4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8" s="3"/>
      </tp>
      <tp>
        <v>2514</v>
        <stp/>
        <stp>##V3_BDHV12</stp>
        <stp>AMZN US Equity</stp>
        <stp>BS_CASH_NEAR_CASH_ITEM</stp>
        <stp>FQ3 2009</stp>
        <stp>FQ3 2009</stp>
        <stp>[AMZ_2009-2018.xlsx]Bal Sheet - Standardized!R8C5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8" s="3"/>
      </tp>
      <tp>
        <v>8</v>
        <stp/>
        <stp>##V3_BDHV12</stp>
        <stp>AMZN US Equity</stp>
        <stp>OTHER_NON_CASH_ADJ_LESS_DETAILED</stp>
        <stp>FQ3 2016</stp>
        <stp>FQ3 2016</stp>
        <stp>[AMZ_2009-2018.xlsx]Cash Flow - Standardized!R12C33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2" s="4"/>
      </tp>
      <tp>
        <v>1844</v>
        <stp/>
        <stp>##V3_BDHV12</stp>
        <stp>AMZN US Equity</stp>
        <stp>BS_CASH_NEAR_CASH_ITEM</stp>
        <stp>FQ1 2010</stp>
        <stp>FQ1 2010</stp>
        <stp>[AMZ_2009-2018.xlsx]Bal Sheet - Standardized!R8C7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8" s="3"/>
      </tp>
      <tp>
        <v>19180</v>
        <stp/>
        <stp>##V3_BDHV12</stp>
        <stp>AMZN US Equity</stp>
        <stp>IS_COG_AND_SERVICES_SOLD</stp>
        <stp>FQ2 2016</stp>
        <stp>FQ2 2016</stp>
        <stp>[AMZ_2009-2018.xlsx]Income - Adjusted!R9C32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9" s="2"/>
      </tp>
      <tp>
        <v>9488</v>
        <stp/>
        <stp>##V3_BDHV12</stp>
        <stp>AMZN US Equity</stp>
        <stp>IS_COG_AND_SERVICES_SOLD</stp>
        <stp>FQ2 2012</stp>
        <stp>FQ2 2012</stp>
        <stp>[AMZ_2009-2018.xlsx]Income - Adjusted!R9C16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9" s="2"/>
      </tp>
      <tp>
        <v>945</v>
        <stp/>
        <stp>##V3_BDHV12</stp>
        <stp>AMZN US Equity</stp>
        <stp>IS_OPEX_R&amp;D</stp>
        <stp>FQ1 2012</stp>
        <stp>FQ1 2012</stp>
        <stp>[AMZ_2009-2018.xlsx]Income - Adjusted!R16C15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6" s="2"/>
      </tp>
      <tp>
        <v>136</v>
        <stp/>
        <stp>##V3_BDHV12</stp>
        <stp>AMZN US Equity</stp>
        <stp>OTHER_NON_CASH_ADJ_LESS_DETAILED</stp>
        <stp>FQ1 2015</stp>
        <stp>FQ1 2015</stp>
        <stp>[AMZ_2009-2018.xlsx]Cash Flow - Standardized!R12C27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2" s="4"/>
      </tp>
      <tp>
        <v>1192</v>
        <stp/>
        <stp>##V3_BDHV12</stp>
        <stp>AMZN US Equity</stp>
        <stp>IS_OPEX_R&amp;D</stp>
        <stp>FQ3 2012</stp>
        <stp>FQ3 2012</stp>
        <stp>[AMZ_2009-2018.xlsx]Income - Adjusted!R16C17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6" s="2"/>
      </tp>
      <tp>
        <v>3444</v>
        <stp/>
        <stp>##V3_BDHV12</stp>
        <stp>AMZN US Equity</stp>
        <stp>BS_CASH_NEAR_CASH_ITEM</stp>
        <stp>FQ4 2009</stp>
        <stp>FQ4 2009</stp>
        <stp>[AMZ_2009-2018.xlsx]Bal Sheet - Standardized!R8C6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8" s="3"/>
      </tp>
      <tp>
        <v>1701</v>
        <stp/>
        <stp>##V3_BDHV12</stp>
        <stp>AMZN US Equity</stp>
        <stp>BS_CASH_NEAR_CASH_ITEM</stp>
        <stp>FQ1 2009</stp>
        <stp>FQ1 2009</stp>
        <stp>[AMZ_2009-2018.xlsx]Bal Sheet - Standardized!R8C3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3"/>
      </tp>
      <tp>
        <v>-60</v>
        <stp/>
        <stp>##V3_BDHV12</stp>
        <stp>AMZN US Equity</stp>
        <stp>OTHER_NON_CASH_ADJ_LESS_DETAILED</stp>
        <stp>FQ2 2017</stp>
        <stp>FQ2 2017</stp>
        <stp>[AMZ_2009-2018.xlsx]Cash Flow - Standardized!R12C36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2" s="4"/>
      </tp>
      <tp>
        <v>1082</v>
        <stp/>
        <stp>##V3_BDHV12</stp>
        <stp>AMZN US Equity</stp>
        <stp>IS_OPEX_R&amp;D</stp>
        <stp>FQ2 2012</stp>
        <stp>FQ2 2012</stp>
        <stp>[AMZ_2009-2018.xlsx]Income - Adjusted!R16C16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6" s="2"/>
      </tp>
      <tp>
        <v>1473</v>
        <stp/>
        <stp>##V3_BDHV12</stp>
        <stp>AMZN US Equity</stp>
        <stp>EBITDA</stp>
        <stp>FQ4 2013</stp>
        <stp>FQ4 2013</stp>
        <stp>[AMZ_2009-2018.xlsx]Cash Flow - Standardized!R61C22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61" s="4"/>
      </tp>
      <tp>
        <v>5598</v>
        <stp/>
        <stp>##V3_BDHV12</stp>
        <stp>AMZN US Equity</stp>
        <stp>EBITDA</stp>
        <stp>FQ1 2018</stp>
        <stp>FQ1 2018</stp>
        <stp>[AMZ_2009-2018.xlsx]Cash Flow - Standardized!R61C39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61" s="4"/>
      </tp>
      <tp>
        <v>3261</v>
        <stp/>
        <stp>##V3_BDHV12</stp>
        <stp>AMZN US Equity</stp>
        <stp>EBITDA</stp>
        <stp>FQ2 2017</stp>
        <stp>FQ2 2017</stp>
        <stp>[AMZ_2009-2018.xlsx]Cash Flow - Standardized!R61C36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61" s="4"/>
      </tp>
      <tp>
        <v>703</v>
        <stp/>
        <stp>##V3_BDHV12</stp>
        <stp>AMZN US Equity</stp>
        <stp>EBITDA</stp>
        <stp>FQ3 2014</stp>
        <stp>FQ3 2014</stp>
        <stp>[AMZ_2009-2018.xlsx]Cash Flow - Standardized!R61C25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61" s="4"/>
      </tp>
      <tp>
        <v>1345</v>
        <stp/>
        <stp>##V3_BDHV12</stp>
        <stp>AMZN US Equity</stp>
        <stp>IS_OPEX_R&amp;D</stp>
        <stp>FQ4 2012</stp>
        <stp>FQ4 2012</stp>
        <stp>[AMZ_2009-2018.xlsx]Income - Adjusted!R16C18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6" s="2"/>
      </tp>
      <tp>
        <v>0</v>
        <stp/>
        <stp>##V3_BDHV12</stp>
        <stp>AMZN US Equity</stp>
        <stp>IS_DISCONTINUED_OPERATIONS</stp>
        <stp>FQ3 2009</stp>
        <stp>FQ3 2009</stp>
        <stp>[AMZ_2009-2018.xlsx]Income - Adjusted!R36C5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6" s="2"/>
      </tp>
      <tp>
        <v>1629</v>
        <stp/>
        <stp>##V3_BDHV12</stp>
        <stp>AMZN US Equity</stp>
        <stp>BS_CASH_NEAR_CASH_ITEM</stp>
        <stp>FQ2 2010</stp>
        <stp>FQ2 2010</stp>
        <stp>[AMZ_2009-2018.xlsx]Bal Sheet - Standardized!R8C8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8" s="3"/>
      </tp>
      <tp>
        <v>1539</v>
        <stp/>
        <stp>##V3_BDHV12</stp>
        <stp>AMZN US Equity</stp>
        <stp>BS_CASH_NEAR_CASH_ITEM</stp>
        <stp>FQ3 2010</stp>
        <stp>FQ3 2010</stp>
        <stp>[AMZ_2009-2018.xlsx]Bal Sheet - Standardized!R8C9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8" s="3"/>
      </tp>
      <tp>
        <v>0.19839999999999999</v>
        <stp/>
        <stp>##V3_BDHV12</stp>
        <stp>AMZN US Equity</stp>
        <stp>IS_BASIC_EPS_CONT_OPS</stp>
        <stp>FQ2 2015</stp>
        <stp>FQ2 2015</stp>
        <stp>[AMZ_2009-2018.xlsx]Per Share!R16C28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16" s="5"/>
      </tp>
      <tp t="s">
        <v>—</v>
        <stp/>
        <stp>##V3_BDHV12</stp>
        <stp>AMZN US Equity</stp>
        <stp>BS_GROSS_FIX_ASSET</stp>
        <stp>FQ3 2012</stp>
        <stp>FQ3 2012</stp>
        <stp>[AMZ_2009-2018.xlsx]Bal Sheet - Standardized!R24C17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4" s="3"/>
      </tp>
      <tp>
        <v>0.26869999999999999</v>
        <stp/>
        <stp>##V3_BDHV12</stp>
        <stp>AMZN US Equity</stp>
        <stp>IS_BASIC_EPS_CONT_OPS</stp>
        <stp>FQ4 2012</stp>
        <stp>FQ4 2012</stp>
        <stp>[AMZ_2009-2018.xlsx]Per Share!R16C18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16" s="5"/>
      </tp>
      <tp>
        <v>2.2090999999999998</v>
        <stp/>
        <stp>##V3_BDHV12</stp>
        <stp>AMZN US Equity</stp>
        <stp>IS_BASIC_EPS_CONT_OPS</stp>
        <stp>FQ4 2017</stp>
        <stp>FQ4 2017</stp>
        <stp>[AMZ_2009-2018.xlsx]Per Share!R16C38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16" s="5"/>
      </tp>
      <tp>
        <v>68573</v>
        <stp/>
        <stp>##V3_BDHV12</stp>
        <stp>AMZN US Equity</stp>
        <stp>BS_GROSS_FIX_ASSET</stp>
        <stp>FQ4 2017</stp>
        <stp>FQ4 2017</stp>
        <stp>[AMZ_2009-2018.xlsx]Bal Sheet - Standardized!R24C38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4" s="3"/>
      </tp>
      <tp>
        <v>449</v>
        <stp/>
        <stp>##V3_BDHV12</stp>
        <stp>AMZN US Equity</stp>
        <stp>BS_SH_OUT</stp>
        <stp>FQ3 2010</stp>
        <stp>FQ3 2010</stp>
        <stp>[AMZ_2009-2018.xlsx]Bal Sheet - Standardized!R78C9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78" s="3"/>
      </tp>
      <tp>
        <v>448</v>
        <stp/>
        <stp>##V3_BDHV12</stp>
        <stp>AMZN US Equity</stp>
        <stp>BS_SH_OUT</stp>
        <stp>FQ2 2010</stp>
        <stp>FQ2 2010</stp>
        <stp>[AMZ_2009-2018.xlsx]Bal Sheet - Standardized!R78C8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78" s="3"/>
      </tp>
      <tp>
        <v>22568</v>
        <stp/>
        <stp>##V3_BDHV12</stp>
        <stp>AMZN US Equity</stp>
        <stp>BS_SH_CAP_AND_APIC</stp>
        <stp>FQ1 2018</stp>
        <stp>FQ1 2018</stp>
        <stp>[AMZ_2009-2018.xlsx]Bal Sheet - Standardized!R65C39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5" s="3"/>
      </tp>
      <tp>
        <v>-140</v>
        <stp/>
        <stp>##V3_BDHV12</stp>
        <stp>AMZN US Equity</stp>
        <stp>ACQUIS_FXD_&amp;_INTANG_DETAILED</stp>
        <stp>FQ1 2010</stp>
        <stp>FQ1 2010</stp>
        <stp>[AMZ_2009-2018.xlsx]Cash Flow - Standardized!R26C7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6" s="4"/>
      </tp>
      <tp>
        <v>444</v>
        <stp/>
        <stp>##V3_BDHV12</stp>
        <stp>AMZN US Equity</stp>
        <stp>BS_SH_OUT</stp>
        <stp>FQ4 2009</stp>
        <stp>FQ4 2009</stp>
        <stp>[AMZ_2009-2018.xlsx]Bal Sheet - Standardized!R78C6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78" s="3"/>
      </tp>
      <tp>
        <v>429</v>
        <stp/>
        <stp>##V3_BDHV12</stp>
        <stp>AMZN US Equity</stp>
        <stp>BS_SH_OUT</stp>
        <stp>FQ1 2009</stp>
        <stp>FQ1 2009</stp>
        <stp>[AMZ_2009-2018.xlsx]Bal Sheet - Standardized!R78C3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78" s="3"/>
      </tp>
      <tp>
        <v>1182</v>
        <stp/>
        <stp>##V3_BDHV12</stp>
        <stp>AMZN US Equity</stp>
        <stp>CF_STOCK_BASED_COMPENSATION</stp>
        <stp>FQ1 2018</stp>
        <stp>FQ1 2018</stp>
        <stp>[AMZ_2009-2018.xlsx]Cash Flow - Standardized!R10C39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0" s="4"/>
      </tp>
      <tp>
        <v>4308</v>
        <stp/>
        <stp>##V3_BDHV12</stp>
        <stp>AMZN US Equity</stp>
        <stp>BS_MKT_SEC_OTHER_ST_INVEST</stp>
        <stp>FQ2 2011</stp>
        <stp>FQ2 2011</stp>
        <stp>[AMZ_2009-2018.xlsx]Bal Sheet - Standardized!R9C12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9" s="3"/>
      </tp>
      <tp>
        <v>3544</v>
        <stp/>
        <stp>##V3_BDHV12</stp>
        <stp>AMZN US Equity</stp>
        <stp>BS_MKT_SEC_OTHER_ST_INVEST</stp>
        <stp>FQ1 2015</stp>
        <stp>FQ1 2015</stp>
        <stp>[AMZ_2009-2018.xlsx]Bal Sheet - Standardized!R9C27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9" s="3"/>
      </tp>
      <tp>
        <v>3592</v>
        <stp/>
        <stp>##V3_BDHV12</stp>
        <stp>AMZN US Equity</stp>
        <stp>BS_MKT_SEC_OTHER_ST_INVEST</stp>
        <stp>FQ1 2014</stp>
        <stp>FQ1 2014</stp>
        <stp>[AMZ_2009-2018.xlsx]Bal Sheet - Standardized!R9C23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9" s="3"/>
      </tp>
      <tp>
        <v>2635</v>
        <stp/>
        <stp>##V3_BDHV12</stp>
        <stp>AMZN US Equity</stp>
        <stp>BS_MKT_SEC_OTHER_ST_INVEST</stp>
        <stp>FQ2 2012</stp>
        <stp>FQ2 2012</stp>
        <stp>[AMZ_2009-2018.xlsx]Bal Sheet - Standardized!R9C16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9" s="3"/>
      </tp>
      <tp>
        <v>113068.05499999999</v>
        <stp/>
        <stp>##V3_BDHV12</stp>
        <stp>AMZN US Equity</stp>
        <stp>ACTUAL_SALES_PER_EMPL</stp>
        <stp>FQ2 2016</stp>
        <stp>FQ2 2016</stp>
        <stp>[AMZ_2009-2018.xlsx]Income - Adjusted!R68C32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F68" s="2"/>
      </tp>
      <tp>
        <v>99254.7071</v>
        <stp/>
        <stp>##V3_BDHV12</stp>
        <stp>AMZN US Equity</stp>
        <stp>ACTUAL_SALES_PER_EMPL</stp>
        <stp>FQ2 2017</stp>
        <stp>FQ2 2017</stp>
        <stp>[AMZ_2009-2018.xlsx]Income - Adjusted!R68C36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J68" s="2"/>
      </tp>
      <tp>
        <v>145852.18700000001</v>
        <stp/>
        <stp>##V3_BDHV12</stp>
        <stp>AMZN US Equity</stp>
        <stp>ACTUAL_SALES_PER_EMPL</stp>
        <stp>FQ2 2014</stp>
        <stp>FQ2 2014</stp>
        <stp>[AMZ_2009-2018.xlsx]Income - Adjusted!R68C24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X68" s="2"/>
      </tp>
      <tp t="s">
        <v>—</v>
        <stp/>
        <stp>##V3_BDHV12</stp>
        <stp>AMZN US Equity</stp>
        <stp>ACTUAL_SALES_PER_EMPL</stp>
        <stp>FQ2 2015</stp>
        <stp>FQ2 2015</stp>
        <stp>[AMZ_2009-2018.xlsx]Income - Adjusted!R68C28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B68" s="2"/>
      </tp>
      <tp>
        <v>185730.82490000001</v>
        <stp/>
        <stp>##V3_BDHV12</stp>
        <stp>AMZN US Equity</stp>
        <stp>ACTUAL_SALES_PER_EMPL</stp>
        <stp>FQ2 2012</stp>
        <stp>FQ2 2012</stp>
        <stp>[AMZ_2009-2018.xlsx]Income - Adjusted!R68C16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P68" s="2"/>
      </tp>
      <tp>
        <v>161896.90719999999</v>
        <stp/>
        <stp>##V3_BDHV12</stp>
        <stp>AMZN US Equity</stp>
        <stp>ACTUAL_SALES_PER_EMPL</stp>
        <stp>FQ2 2013</stp>
        <stp>FQ2 2013</stp>
        <stp>[AMZ_2009-2018.xlsx]Income - Adjusted!R68C20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T68" s="2"/>
      </tp>
      <tp>
        <v>52440</v>
        <stp/>
        <stp>##V3_BDHV12</stp>
        <stp>AMZN US Equity</stp>
        <stp>BS_TOT_ASSET</stp>
        <stp>FQ2 2015</stp>
        <stp>FQ2 2015</stp>
        <stp>[AMZ_2009-2018.xlsx]Bal Sheet - Standardized!R35C28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5" s="3"/>
      </tp>
      <tp>
        <v>229467.5926</v>
        <stp/>
        <stp>##V3_BDHV12</stp>
        <stp>AMZN US Equity</stp>
        <stp>ACTUAL_SALES_PER_EMPL</stp>
        <stp>FQ2 2011</stp>
        <stp>FQ2 2011</stp>
        <stp>[AMZ_2009-2018.xlsx]Income - Adjusted!R68C12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L68" s="2"/>
      </tp>
      <tp>
        <v>80969</v>
        <stp/>
        <stp>##V3_BDHV12</stp>
        <stp>AMZN US Equity</stp>
        <stp>BS_TOT_ASSET</stp>
        <stp>FQ1 2017</stp>
        <stp>FQ1 2017</stp>
        <stp>[AMZ_2009-2018.xlsx]Bal Sheet - Standardized!R35C35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5" s="3"/>
      </tp>
      <tp>
        <v>40159</v>
        <stp/>
        <stp>##V3_BDHV12</stp>
        <stp>AMZN US Equity</stp>
        <stp>BS_TOT_ASSET</stp>
        <stp>FQ4 2013</stp>
        <stp>FQ4 2013</stp>
        <stp>[AMZ_2009-2018.xlsx]Bal Sheet - Standardized!R35C22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5" s="3"/>
      </tp>
      <tp>
        <v>40419</v>
        <stp/>
        <stp>##V3_BDHV12</stp>
        <stp>AMZN US Equity</stp>
        <stp>BS_TOT_ASSET</stp>
        <stp>FQ3 2014</stp>
        <stp>FQ3 2014</stp>
        <stp>[AMZ_2009-2018.xlsx]Bal Sheet - Standardized!R35C25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5" s="3"/>
      </tp>
      <tp>
        <v>18797</v>
        <stp/>
        <stp>##V3_BDHV12</stp>
        <stp>AMZN US Equity</stp>
        <stp>BS_TOT_ASSET</stp>
        <stp>FQ4 2010</stp>
        <stp>FQ4 2010</stp>
        <stp>[AMZ_2009-2018.xlsx]Bal Sheet - Standardized!R35C10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5" s="3"/>
      </tp>
      <tp t="s">
        <v>—</v>
        <stp/>
        <stp>##V3_BDHV12</stp>
        <stp>AMZN US Equity</stp>
        <stp>EBITA</stp>
        <stp>FQ3 2015</stp>
        <stp>FQ3 2015</stp>
        <stp>[AMZ_2009-2018.xlsx]Income - Adjusted!R63C29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63" s="2"/>
      </tp>
      <tp>
        <v>91863.817999999999</v>
        <stp/>
        <stp>##V3_BDHV12</stp>
        <stp>AMZN US Equity</stp>
        <stp>ACTUAL_SALES_PER_EMPL</stp>
        <stp>FQ2 2018</stp>
        <stp>FQ2 2018</stp>
        <stp>[AMZ_2009-2018.xlsx]Income - Adjusted!R68C40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N68" s="2"/>
      </tp>
      <tp t="s">
        <v>—</v>
        <stp/>
        <stp>##V3_BDHV12</stp>
        <stp>AMZN US Equity</stp>
        <stp>EBITA</stp>
        <stp>FQ1 2018</stp>
        <stp>FQ1 2018</stp>
        <stp>[AMZ_2009-2018.xlsx]Income - Adjusted!R63C39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63" s="2"/>
      </tp>
      <tp t="s">
        <v>—</v>
        <stp/>
        <stp>##V3_BDHV12</stp>
        <stp>AMZN US Equity</stp>
        <stp>EBITA</stp>
        <stp>FQ1 2013</stp>
        <stp>FQ1 2013</stp>
        <stp>[AMZ_2009-2018.xlsx]Income - Adjusted!R63C19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63" s="2"/>
      </tp>
      <tp>
        <v>-19</v>
        <stp/>
        <stp>##V3_BDHV12</stp>
        <stp>AMZN US Equity</stp>
        <stp>CF_NT_CSH_RCVD_PD_FOR_ACQUIS_DIV</stp>
        <stp>FQ1 2010</stp>
        <stp>FQ1 2010</stp>
        <stp>[AMZ_2009-2018.xlsx]Cash Flow - Standardized!R32C7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2" s="4"/>
      </tp>
      <tp t="s">
        <v>—</v>
        <stp/>
        <stp>##V3_BDHV12</stp>
        <stp>AMZN US Equity</stp>
        <stp>IS_CAP_INT_EXP</stp>
        <stp>FQ1 2018</stp>
        <stp>FQ1 2018</stp>
        <stp>[AMZ_2009-2018.xlsx]Income - Adjusted!R71C39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1" s="2"/>
      </tp>
      <tp>
        <v>-1238</v>
        <stp/>
        <stp>##V3_BDHV12</stp>
        <stp>AMZN US Equity</stp>
        <stp>CF_FREE_CASH_FLOW</stp>
        <stp>FQ1 2010</stp>
        <stp>FQ1 2010</stp>
        <stp>[AMZ_2009-2018.xlsx]Cash Flow - Standardized!R65C7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5" s="4"/>
      </tp>
      <tp>
        <v>0</v>
        <stp/>
        <stp>##V3_BDHV12</stp>
        <stp>AMZN US Equity</stp>
        <stp>IS_EXTRAORD_ITEMS_&amp;_ACCTG_CHNG</stp>
        <stp>FQ4 2010</stp>
        <stp>FQ4 2010</stp>
        <stp>[AMZ_2009-2018.xlsx]Income - Adjusted!R37C10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7" s="2"/>
      </tp>
      <tp>
        <v>0</v>
        <stp/>
        <stp>##V3_BDHV12</stp>
        <stp>AMZN US Equity</stp>
        <stp>IS_EXTRAORD_ITEMS_&amp;_ACCTG_CHNG</stp>
        <stp>FQ2 2013</stp>
        <stp>FQ2 2013</stp>
        <stp>[AMZ_2009-2018.xlsx]Income - Adjusted!R37C20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7" s="2"/>
      </tp>
      <tp>
        <v>0</v>
        <stp/>
        <stp>##V3_BDHV12</stp>
        <stp>AMZN US Equity</stp>
        <stp>IS_EXTRAORD_ITEMS_&amp;_ACCTG_CHNG</stp>
        <stp>FQ3 2013</stp>
        <stp>FQ3 2013</stp>
        <stp>[AMZ_2009-2018.xlsx]Income - Adjusted!R37C21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7" s="2"/>
      </tp>
      <tp>
        <v>0</v>
        <stp/>
        <stp>##V3_BDHV12</stp>
        <stp>AMZN US Equity</stp>
        <stp>IS_EXTRAORD_ITEMS_&amp;_ACCTG_CHNG</stp>
        <stp>FQ4 2013</stp>
        <stp>FQ4 2013</stp>
        <stp>[AMZ_2009-2018.xlsx]Income - Adjusted!R37C22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7" s="2"/>
      </tp>
      <tp>
        <v>659</v>
        <stp/>
        <stp>##V3_BDHV12</stp>
        <stp>AMZN US Equity</stp>
        <stp>INC_DEC_IN_OT_OP_AST_LIAB_DETAIL</stp>
        <stp>FQ4 2009</stp>
        <stp>FQ4 2009</stp>
        <stp>[AMZ_2009-2018.xlsx]Cash Flow - Standardized!R17C6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7" s="4"/>
      </tp>
      <tp>
        <v>124600</v>
        <stp/>
        <stp>##V3_BDHV12</stp>
        <stp>AMZN US Equity</stp>
        <stp>NUM_OF_EMPLOYEES</stp>
        <stp>FQ1 2014</stp>
        <stp>FQ1 2014</stp>
        <stp>[AMZ_2009-2018.xlsx]Bal Sheet - Standardized!R89C23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89" s="3"/>
      </tp>
      <tp>
        <v>245200</v>
        <stp/>
        <stp>##V3_BDHV12</stp>
        <stp>AMZN US Equity</stp>
        <stp>NUM_OF_EMPLOYEES</stp>
        <stp>FQ1 2016</stp>
        <stp>FQ1 2016</stp>
        <stp>[AMZ_2009-2018.xlsx]Bal Sheet - Standardized!R89C31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89" s="3"/>
      </tp>
      <tp>
        <v>65600</v>
        <stp/>
        <stp>##V3_BDHV12</stp>
        <stp>AMZN US Equity</stp>
        <stp>NUM_OF_EMPLOYEES</stp>
        <stp>FQ1 2012</stp>
        <stp>FQ1 2012</stp>
        <stp>[AMZ_2009-2018.xlsx]Bal Sheet - Standardized!R89C15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89" s="3"/>
      </tp>
      <tp>
        <v>0</v>
        <stp/>
        <stp>##V3_BDHV12</stp>
        <stp>AMZN US Equity</stp>
        <stp>OTHER_CURRENT_ASSETS_DETAILED</stp>
        <stp>FQ1 2018</stp>
        <stp>FQ1 2018</stp>
        <stp>[AMZ_2009-2018.xlsx]Bal Sheet - Standardized!R18C39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8" s="3"/>
      </tp>
      <tp>
        <v>368.34</v>
        <stp/>
        <stp>##V3_BDHV12</stp>
        <stp>AMZN US Equity</stp>
        <stp>PX_LOW</stp>
        <stp>FQ2 2015</stp>
        <stp>FQ2 2015</stp>
        <stp>[AMZ_2009-2018.xlsx]Stock Value!R10C28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10" s="6"/>
      </tp>
      <tp>
        <v>425.57</v>
        <stp/>
        <stp>##V3_BDHV12</stp>
        <stp>AMZN US Equity</stp>
        <stp>PX_LOW</stp>
        <stp>FQ3 2015</stp>
        <stp>FQ3 2015</stp>
        <stp>[AMZ_2009-2018.xlsx]Stock Value!R10C29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10" s="6"/>
      </tp>
      <tp>
        <v>53.547600000000003</v>
        <stp/>
        <stp>##V3_BDHV12</stp>
        <stp>AMZN US Equity</stp>
        <stp>NET_DEBT_TO_SHRHLDR_EQTY</stp>
        <stp>FQ2 2018</stp>
        <stp>FQ2 2018</stp>
        <stp>[AMZ_2009-2018.xlsx]Bal Sheet - Standardized!R84C40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84" s="3"/>
      </tp>
      <tp>
        <v>79</v>
        <stp/>
        <stp>##V3_BDHV12</stp>
        <stp>AMZN US Equity</stp>
        <stp>IS_INC_TAX_EXP</stp>
        <stp>FQ3 2010</stp>
        <stp>FQ3 2010</stp>
        <stp>[AMZ_2009-2018.xlsx]Income - Adjusted!R32C9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32" s="2"/>
      </tp>
      <tp>
        <v>0.18</v>
        <stp/>
        <stp>##V3_BDHV12</stp>
        <stp>AMZN US Equity</stp>
        <stp>IS_BASIC_EPS_CONT_OPS</stp>
        <stp>FQ1 2013</stp>
        <stp>FQ1 2013</stp>
        <stp>[AMZ_2009-2018.xlsx]Per Share!R16C19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16" s="5"/>
      </tp>
      <tp>
        <v>3.36</v>
        <stp/>
        <stp>##V3_BDHV12</stp>
        <stp>AMZN US Equity</stp>
        <stp>IS_BASIC_EPS_CONT_OPS</stp>
        <stp>FQ1 2018</stp>
        <stp>FQ1 2018</stp>
        <stp>[AMZ_2009-2018.xlsx]Per Share!R16C39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16" s="5"/>
      </tp>
      <tp t="s">
        <v>—</v>
        <stp/>
        <stp>##V3_BDHV12</stp>
        <stp>AMZN US Equity</stp>
        <stp>BS_GROSS_FIX_ASSET</stp>
        <stp>FQ1 2011</stp>
        <stp>FQ1 2011</stp>
        <stp>[AMZ_2009-2018.xlsx]Bal Sheet - Standardized!R24C11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4" s="3"/>
      </tp>
      <tp>
        <v>0.17</v>
        <stp/>
        <stp>##V3_BDHV12</stp>
        <stp>AMZN US Equity</stp>
        <stp>IS_BASIC_EPS_CONT_OPS</stp>
        <stp>FQ3 2015</stp>
        <stp>FQ3 2015</stp>
        <stp>[AMZ_2009-2018.xlsx]Per Share!R16C29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16" s="5"/>
      </tp>
      <tp>
        <v>42441</v>
        <stp/>
        <stp>##V3_BDHV12</stp>
        <stp>AMZN US Equity</stp>
        <stp>BS_GROSS_FIX_ASSET</stp>
        <stp>FQ4 2016</stp>
        <stp>FQ4 2016</stp>
        <stp>[AMZ_2009-2018.xlsx]Bal Sheet - Standardized!R24C34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4" s="3"/>
      </tp>
      <tp t="s">
        <v>—</v>
        <stp/>
        <stp>##V3_BDHV12</stp>
        <stp>AMZN US Equity</stp>
        <stp>BS_GROSS_FIX_ASSET</stp>
        <stp>FQ2 2012</stp>
        <stp>FQ2 2012</stp>
        <stp>[AMZ_2009-2018.xlsx]Bal Sheet - Standardized!R24C16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4" s="3"/>
      </tp>
      <tp>
        <v>-55</v>
        <stp/>
        <stp>##V3_BDHV12</stp>
        <stp>AMZN US Equity</stp>
        <stp>ACQUIS_FXD_&amp;_INTANG_DETAILED</stp>
        <stp>FQ1 2009</stp>
        <stp>FQ1 2009</stp>
        <stp>[AMZ_2009-2018.xlsx]Cash Flow - Standardized!R26C3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4"/>
      </tp>
      <tp>
        <v>248</v>
        <stp/>
        <stp>##V3_BDHV12</stp>
        <stp>AMZN US Equity</stp>
        <stp>CF_EFFECT_FOREIGN_EXCHANGES</stp>
        <stp>FQ1 2018</stp>
        <stp>FQ1 2018</stp>
        <stp>[AMZ_2009-2018.xlsx]Cash Flow - Standardized!R53C39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3" s="4"/>
      </tp>
      <tp>
        <v>3503</v>
        <stp/>
        <stp>##V3_BDHV12</stp>
        <stp>AMZN US Equity</stp>
        <stp>BS_MKT_SEC_OTHER_ST_INVEST</stp>
        <stp>FQ3 2011</stp>
        <stp>FQ3 2011</stp>
        <stp>[AMZ_2009-2018.xlsx]Bal Sheet - Standardized!R9C13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9" s="3"/>
      </tp>
      <tp>
        <v>8287</v>
        <stp/>
        <stp>##V3_BDHV12</stp>
        <stp>AMZN US Equity</stp>
        <stp>BS_MKT_SEC_OTHER_ST_INVEST</stp>
        <stp>FQ1 2018</stp>
        <stp>FQ1 2018</stp>
        <stp>[AMZ_2009-2018.xlsx]Bal Sheet - Standardized!R9C39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9" s="3"/>
      </tp>
      <tp>
        <v>6091</v>
        <stp/>
        <stp>##V3_BDHV12</stp>
        <stp>AMZN US Equity</stp>
        <stp>BS_MKT_SEC_OTHER_ST_INVEST</stp>
        <stp>FQ1 2017</stp>
        <stp>FQ1 2017</stp>
        <stp>[AMZ_2009-2018.xlsx]Bal Sheet - Standardized!R9C35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9" s="3"/>
      </tp>
      <tp>
        <v>3389</v>
        <stp/>
        <stp>##V3_BDHV12</stp>
        <stp>AMZN US Equity</stp>
        <stp>BS_MKT_SEC_OTHER_ST_INVEST</stp>
        <stp>FQ1 2016</stp>
        <stp>FQ1 2016</stp>
        <stp>[AMZ_2009-2018.xlsx]Bal Sheet - Standardized!R9C31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9" s="3"/>
      </tp>
      <tp>
        <v>2268</v>
        <stp/>
        <stp>##V3_BDHV12</stp>
        <stp>AMZN US Equity</stp>
        <stp>BS_MKT_SEC_OTHER_ST_INVEST</stp>
        <stp>FQ3 2012</stp>
        <stp>FQ3 2012</stp>
        <stp>[AMZ_2009-2018.xlsx]Bal Sheet - Standardized!R9C17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9" s="3"/>
      </tp>
      <tp>
        <v>80723.380699999994</v>
        <stp/>
        <stp>##V3_BDHV12</stp>
        <stp>AMZN US Equity</stp>
        <stp>ACTUAL_SALES_PER_EMPL</stp>
        <stp>FQ3 2017</stp>
        <stp>FQ3 2017</stp>
        <stp>[AMZ_2009-2018.xlsx]Income - Adjusted!R68C37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K68" s="2"/>
      </tp>
      <tp>
        <v>106629.7262</v>
        <stp/>
        <stp>##V3_BDHV12</stp>
        <stp>AMZN US Equity</stp>
        <stp>ACTUAL_SALES_PER_EMPL</stp>
        <stp>FQ3 2016</stp>
        <stp>FQ3 2016</stp>
        <stp>[AMZ_2009-2018.xlsx]Income - Adjusted!R68C33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G68" s="2"/>
      </tp>
      <tp>
        <v>114019.78419999999</v>
        <stp/>
        <stp>##V3_BDHV12</stp>
        <stp>AMZN US Equity</stp>
        <stp>ACTUAL_SALES_PER_EMPL</stp>
        <stp>FQ3 2015</stp>
        <stp>FQ3 2015</stp>
        <stp>[AMZ_2009-2018.xlsx]Income - Adjusted!R68C29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C68" s="2"/>
      </tp>
      <tp>
        <v>137652.17389999999</v>
        <stp/>
        <stp>##V3_BDHV12</stp>
        <stp>AMZN US Equity</stp>
        <stp>ACTUAL_SALES_PER_EMPL</stp>
        <stp>FQ3 2014</stp>
        <stp>FQ3 2014</stp>
        <stp>[AMZ_2009-2018.xlsx]Income - Adjusted!R68C25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Y68" s="2"/>
      </tp>
      <tp>
        <v>155664.84520000001</v>
        <stp/>
        <stp>##V3_BDHV12</stp>
        <stp>AMZN US Equity</stp>
        <stp>ACTUAL_SALES_PER_EMPL</stp>
        <stp>FQ3 2013</stp>
        <stp>FQ3 2013</stp>
        <stp>[AMZ_2009-2018.xlsx]Income - Adjusted!R68C21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U68" s="2"/>
      </tp>
      <tp>
        <v>169606.87959999999</v>
        <stp/>
        <stp>##V3_BDHV12</stp>
        <stp>AMZN US Equity</stp>
        <stp>ACTUAL_SALES_PER_EMPL</stp>
        <stp>FQ3 2012</stp>
        <stp>FQ3 2012</stp>
        <stp>[AMZ_2009-2018.xlsx]Income - Adjusted!R68C17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Q68" s="2"/>
      </tp>
      <tp>
        <v>212007.79730000001</v>
        <stp/>
        <stp>##V3_BDHV12</stp>
        <stp>AMZN US Equity</stp>
        <stp>ACTUAL_SALES_PER_EMPL</stp>
        <stp>FQ3 2011</stp>
        <stp>FQ3 2011</stp>
        <stp>[AMZ_2009-2018.xlsx]Income - Adjusted!R68C13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M68" s="2"/>
      </tp>
      <tp>
        <v>56230</v>
        <stp/>
        <stp>##V3_BDHV12</stp>
        <stp>AMZN US Equity</stp>
        <stp>BS_TOT_ASSET</stp>
        <stp>FQ3 2015</stp>
        <stp>FQ3 2015</stp>
        <stp>[AMZ_2009-2018.xlsx]Bal Sheet - Standardized!R35C29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5" s="3"/>
      </tp>
      <tp>
        <v>37898</v>
        <stp/>
        <stp>##V3_BDHV12</stp>
        <stp>AMZN US Equity</stp>
        <stp>BS_TOT_ASSET</stp>
        <stp>FQ2 2014</stp>
        <stp>FQ2 2014</stp>
        <stp>[AMZ_2009-2018.xlsx]Bal Sheet - Standardized!R35C24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5" s="3"/>
      </tp>
      <tp t="s">
        <v>—</v>
        <stp/>
        <stp>##V3_BDHV12</stp>
        <stp>AMZN US Equity</stp>
        <stp>EBITA</stp>
        <stp>FQ4 2012</stp>
        <stp>FQ4 2012</stp>
        <stp>[AMZ_2009-2018.xlsx]Income - Adjusted!R63C18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63" s="2"/>
      </tp>
      <tp t="s">
        <v>—</v>
        <stp/>
        <stp>##V3_BDHV12</stp>
        <stp>AMZN US Equity</stp>
        <stp>EBITA</stp>
        <stp>FQ4 2017</stp>
        <stp>FQ4 2017</stp>
        <stp>[AMZ_2009-2018.xlsx]Income - Adjusted!R63C38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63" s="2"/>
      </tp>
      <tp>
        <v>61128</v>
        <stp/>
        <stp>##V3_BDHV12</stp>
        <stp>AMZN US Equity</stp>
        <stp>BS_TOT_ASSET</stp>
        <stp>FQ1 2016</stp>
        <stp>FQ1 2016</stp>
        <stp>[AMZ_2009-2018.xlsx]Bal Sheet - Standardized!R35C31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5" s="3"/>
      </tp>
      <tp t="s">
        <v>—</v>
        <stp/>
        <stp>##V3_BDHV12</stp>
        <stp>AMZN US Equity</stp>
        <stp>EBITA</stp>
        <stp>FQ2 2015</stp>
        <stp>FQ2 2015</stp>
        <stp>[AMZ_2009-2018.xlsx]Income - Adjusted!R63C28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63" s="2"/>
      </tp>
      <tp>
        <v>25278</v>
        <stp/>
        <stp>##V3_BDHV12</stp>
        <stp>AMZN US Equity</stp>
        <stp>BS_TOT_ASSET</stp>
        <stp>FQ4 2011</stp>
        <stp>FQ4 2011</stp>
        <stp>[AMZ_2009-2018.xlsx]Bal Sheet - Standardized!R35C14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5" s="3"/>
      </tp>
      <tp>
        <v>4651</v>
        <stp/>
        <stp>##V3_BDHV12</stp>
        <stp>AMZN US Equity</stp>
        <stp>IS_SALES_AND_SERVICES_REVENUES</stp>
        <stp>FQ2 2009</stp>
        <stp>FQ2 2009</stp>
        <stp>[AMZ_2009-2018.xlsx]Income - Adjusted!R7C4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7" s="2"/>
      </tp>
      <tp>
        <v>5449</v>
        <stp/>
        <stp>##V3_BDHV12</stp>
        <stp>AMZN US Equity</stp>
        <stp>IS_SALES_AND_SERVICES_REVENUES</stp>
        <stp>FQ3 2009</stp>
        <stp>FQ3 2009</stp>
        <stp>[AMZ_2009-2018.xlsx]Income - Adjusted!R7C5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7" s="2"/>
      </tp>
      <tp>
        <v>-640</v>
        <stp/>
        <stp>##V3_BDHV12</stp>
        <stp>AMZN US Equity</stp>
        <stp>CF_FREE_CASH_FLOW</stp>
        <stp>FQ1 2009</stp>
        <stp>FQ1 2009</stp>
        <stp>[AMZ_2009-2018.xlsx]Cash Flow - Standardized!R65C3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5" s="4"/>
      </tp>
      <tp>
        <v>4889</v>
        <stp/>
        <stp>##V3_BDHV12</stp>
        <stp>AMZN US Equity</stp>
        <stp>SALES_REV_TURN</stp>
        <stp>FQ1 2009</stp>
        <stp>FQ1 2009</stp>
        <stp>[AMZ_2009-2018.xlsx]Income - Adjusted!R6C3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2"/>
      </tp>
      <tp>
        <v>9519</v>
        <stp/>
        <stp>##V3_BDHV12</stp>
        <stp>AMZN US Equity</stp>
        <stp>SALES_REV_TURN</stp>
        <stp>FQ4 2009</stp>
        <stp>FQ4 2009</stp>
        <stp>[AMZ_2009-2018.xlsx]Income - Adjusted!R6C6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2"/>
      </tp>
      <tp>
        <v>8.6542999999999992</v>
        <stp/>
        <stp>##V3_BDHV12</stp>
        <stp>AMZN US Equity</stp>
        <stp>FREE_CASH_FLOW_PER_SH</stp>
        <stp>FQ2 2018</stp>
        <stp>FQ2 2018</stp>
        <stp>[AMZ_2009-2018.xlsx]Cash Flow - Standardized!R68C40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68" s="4"/>
      </tp>
      <tp>
        <v>-15</v>
        <stp/>
        <stp>##V3_BDHV12</stp>
        <stp>AMZN US Equity</stp>
        <stp>CF_NT_CSH_RCVD_PD_FOR_ACQUIS_DIV</stp>
        <stp>FQ1 2009</stp>
        <stp>FQ1 2009</stp>
        <stp>[AMZ_2009-2018.xlsx]Cash Flow - Standardized!R32C3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4"/>
      </tp>
      <tp>
        <v>7560</v>
        <stp/>
        <stp>##V3_BDHV12</stp>
        <stp>AMZN US Equity</stp>
        <stp>SALES_REV_TURN</stp>
        <stp>FQ3 2010</stp>
        <stp>FQ3 2010</stp>
        <stp>[AMZ_2009-2018.xlsx]Income - Adjusted!R6C9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2"/>
      </tp>
      <tp>
        <v>6566</v>
        <stp/>
        <stp>##V3_BDHV12</stp>
        <stp>AMZN US Equity</stp>
        <stp>SALES_REV_TURN</stp>
        <stp>FQ2 2010</stp>
        <stp>FQ2 2010</stp>
        <stp>[AMZ_2009-2018.xlsx]Income - Adjusted!R6C8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2"/>
      </tp>
      <tp>
        <v>0</v>
        <stp/>
        <stp>##V3_BDHV12</stp>
        <stp>AMZN US Equity</stp>
        <stp>IS_EXTRAORD_ITEMS_&amp;_ACCTG_CHNG</stp>
        <stp>FQ1 2011</stp>
        <stp>FQ1 2011</stp>
        <stp>[AMZ_2009-2018.xlsx]Income - Adjusted!R37C11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7" s="2"/>
      </tp>
      <tp>
        <v>0</v>
        <stp/>
        <stp>##V3_BDHV12</stp>
        <stp>AMZN US Equity</stp>
        <stp>IS_EXTRAORD_ITEMS_&amp;_ACCTG_CHNG</stp>
        <stp>FQ2 2011</stp>
        <stp>FQ2 2011</stp>
        <stp>[AMZ_2009-2018.xlsx]Income - Adjusted!R37C12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7" s="2"/>
      </tp>
      <tp>
        <v>0</v>
        <stp/>
        <stp>##V3_BDHV12</stp>
        <stp>AMZN US Equity</stp>
        <stp>IS_EXTRAORD_ITEMS_&amp;_ACCTG_CHNG</stp>
        <stp>FQ3 2011</stp>
        <stp>FQ3 2011</stp>
        <stp>[AMZ_2009-2018.xlsx]Income - Adjusted!R37C13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7" s="2"/>
      </tp>
      <tp>
        <v>0</v>
        <stp/>
        <stp>##V3_BDHV12</stp>
        <stp>AMZN US Equity</stp>
        <stp>IS_EXTRAORD_ITEMS_&amp;_ACCTG_CHNG</stp>
        <stp>FQ4 2011</stp>
        <stp>FQ4 2011</stp>
        <stp>[AMZ_2009-2018.xlsx]Income - Adjusted!R37C14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7" s="2"/>
      </tp>
      <tp>
        <v>218.18</v>
        <stp/>
        <stp>##V3_BDHV12</stp>
        <stp>AMZN US Equity</stp>
        <stp>PX_LOW</stp>
        <stp>FQ4 2012</stp>
        <stp>FQ4 2012</stp>
        <stp>[AMZ_2009-2018.xlsx]Stock Value!R10C18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10" s="6"/>
      </tp>
      <tp>
        <v>88</v>
        <stp/>
        <stp>##V3_BDHV12</stp>
        <stp>AMZN US Equity</stp>
        <stp>IS_INC_TAX_EXP</stp>
        <stp>FQ2 2010</stp>
        <stp>FQ2 2010</stp>
        <stp>[AMZ_2009-2018.xlsx]Income - Adjusted!R32C8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32" s="2"/>
      </tp>
      <tp>
        <v>11801</v>
        <stp/>
        <stp>##V3_BDHV12</stp>
        <stp>AMZN US Equity</stp>
        <stp>IS_COGS_TO_FE_AND_PP_AND_G</stp>
        <stp>FQ1 2013</stp>
        <stp>FQ1 2013</stp>
        <stp>[AMZ_2009-2018.xlsx]Income - Adjusted!R8C19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8" s="2"/>
      </tp>
      <tp>
        <v>16136</v>
        <stp/>
        <stp>##V3_BDHV12</stp>
        <stp>AMZN US Equity</stp>
        <stp>IS_COGS_TO_FE_AND_PP_AND_G</stp>
        <stp>FQ4 2012</stp>
        <stp>FQ4 2012</stp>
        <stp>[AMZ_2009-2018.xlsx]Income - Adjusted!R8C18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8" s="2"/>
      </tp>
      <tp>
        <v>401</v>
        <stp/>
        <stp>##V3_BDHV12</stp>
        <stp>AMZN US Equity</stp>
        <stp>PRETAX_INC</stp>
        <stp>FQ1 2010</stp>
        <stp>FQ1 2010</stp>
        <stp>[AMZ_2009-2018.xlsx]Income - Adjusted!R25C7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5" s="2"/>
      </tp>
      <tp t="s">
        <v>—</v>
        <stp/>
        <stp>##V3_BDHV12</stp>
        <stp>AMZN US Equity</stp>
        <stp>BS_GROSS_FIX_ASSET</stp>
        <stp>FQ2 2011</stp>
        <stp>FQ2 2011</stp>
        <stp>[AMZ_2009-2018.xlsx]Bal Sheet - Standardized!R24C12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4" s="3"/>
      </tp>
      <tp>
        <v>22730</v>
        <stp/>
        <stp>##V3_BDHV12</stp>
        <stp>AMZN US Equity</stp>
        <stp>BS_GROSS_FIX_ASSET</stp>
        <stp>FQ4 2014</stp>
        <stp>FQ4 2014</stp>
        <stp>[AMZ_2009-2018.xlsx]Bal Sheet - Standardized!R24C26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4" s="3"/>
      </tp>
      <tp t="s">
        <v>—</v>
        <stp/>
        <stp>##V3_BDHV12</stp>
        <stp>AMZN US Equity</stp>
        <stp>BS_GROSS_FIX_ASSET</stp>
        <stp>FQ3 2013</stp>
        <stp>FQ3 2013</stp>
        <stp>[AMZ_2009-2018.xlsx]Bal Sheet - Standardized!R24C21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4" s="3"/>
      </tp>
      <tp>
        <v>30053</v>
        <stp/>
        <stp>##V3_BDHV12</stp>
        <stp>AMZN US Equity</stp>
        <stp>BS_GROSS_FIX_ASSET</stp>
        <stp>FQ4 2015</stp>
        <stp>FQ4 2015</stp>
        <stp>[AMZ_2009-2018.xlsx]Bal Sheet - Standardized!R24C30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4" s="3"/>
      </tp>
      <tp t="s">
        <v>—</v>
        <stp/>
        <stp>##V3_BDHV12</stp>
        <stp>AMZN US Equity</stp>
        <stp>BS_GROSS_FIX_ASSET</stp>
        <stp>FQ1 2012</stp>
        <stp>FQ1 2012</stp>
        <stp>[AMZ_2009-2018.xlsx]Bal Sheet - Standardized!R24C15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4" s="3"/>
      </tp>
      <tp>
        <v>3.5183999999999997</v>
        <stp/>
        <stp>##V3_BDHV12</stp>
        <stp>AMZN US Equity</stp>
        <stp>OPER_MARGIN</stp>
        <stp>FQ4 2017</stp>
        <stp>FQ4 2017</stp>
        <stp>[AMZ_2009-2018.xlsx]Income - Adjusted!R66C38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L66" s="2"/>
      </tp>
      <tp>
        <v>2.8692000000000002</v>
        <stp/>
        <stp>##V3_BDHV12</stp>
        <stp>AMZN US Equity</stp>
        <stp>OPER_MARGIN</stp>
        <stp>FQ4 2016</stp>
        <stp>FQ4 2016</stp>
        <stp>[AMZ_2009-2018.xlsx]Income - Adjusted!R66C34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H66" s="2"/>
      </tp>
      <tp>
        <v>3.0996000000000001</v>
        <stp/>
        <stp>##V3_BDHV12</stp>
        <stp>AMZN US Equity</stp>
        <stp>OPER_MARGIN</stp>
        <stp>FQ4 2015</stp>
        <stp>FQ4 2015</stp>
        <stp>[AMZ_2009-2018.xlsx]Income - Adjusted!R66C30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D66" s="2"/>
      </tp>
      <tp>
        <v>2.0150999999999999</v>
        <stp/>
        <stp>##V3_BDHV12</stp>
        <stp>AMZN US Equity</stp>
        <stp>OPER_MARGIN</stp>
        <stp>FQ4 2014</stp>
        <stp>FQ4 2014</stp>
        <stp>[AMZ_2009-2018.xlsx]Income - Adjusted!R66C26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Z66" s="2"/>
      </tp>
      <tp>
        <v>1.9931999999999999</v>
        <stp/>
        <stp>##V3_BDHV12</stp>
        <stp>AMZN US Equity</stp>
        <stp>OPER_MARGIN</stp>
        <stp>FQ4 2013</stp>
        <stp>FQ4 2013</stp>
        <stp>[AMZ_2009-2018.xlsx]Income - Adjusted!R66C22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V66" s="2"/>
      </tp>
      <tp>
        <v>1.9043000000000001</v>
        <stp/>
        <stp>##V3_BDHV12</stp>
        <stp>AMZN US Equity</stp>
        <stp>OPER_MARGIN</stp>
        <stp>FQ4 2012</stp>
        <stp>FQ4 2012</stp>
        <stp>[AMZ_2009-2018.xlsx]Income - Adjusted!R66C18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R66" s="2"/>
      </tp>
      <tp>
        <v>1.4916</v>
        <stp/>
        <stp>##V3_BDHV12</stp>
        <stp>AMZN US Equity</stp>
        <stp>OPER_MARGIN</stp>
        <stp>FQ4 2011</stp>
        <stp>FQ4 2011</stp>
        <stp>[AMZ_2009-2018.xlsx]Income - Adjusted!R66C14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N66" s="2"/>
      </tp>
      <tp>
        <v>3.6608000000000001</v>
        <stp/>
        <stp>##V3_BDHV12</stp>
        <stp>AMZN US Equity</stp>
        <stp>OPER_MARGIN</stp>
        <stp>FQ4 2010</stp>
        <stp>FQ4 2010</stp>
        <stp>[AMZ_2009-2018.xlsx]Income - Adjusted!R66C10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J66" s="2"/>
      </tp>
      <tp>
        <v>-315</v>
        <stp/>
        <stp>##V3_BDHV12</stp>
        <stp>AMZN US Equity</stp>
        <stp>ACQUIS_FXD_&amp;_INTANG_DETAILED</stp>
        <stp>FQ3 2010</stp>
        <stp>FQ3 2010</stp>
        <stp>[AMZ_2009-2018.xlsx]Cash Flow - Standardized!R26C9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6" s="4"/>
      </tp>
      <tp>
        <v>40.5625</v>
        <stp/>
        <stp>##V3_BDHV12</stp>
        <stp>AMZN US Equity</stp>
        <stp>TCE_RATIO</stp>
        <stp>FQ1 2010</stp>
        <stp>FQ1 2010</stp>
        <stp>[AMZ_2009-2018.xlsx]Bal Sheet - Standardized!R85C7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85" s="3"/>
      </tp>
      <tp>
        <v>-78</v>
        <stp/>
        <stp>##V3_BDHV12</stp>
        <stp>AMZN US Equity</stp>
        <stp>ACQUIS_FXD_&amp;_INTANG_DETAILED</stp>
        <stp>FQ2 2009</stp>
        <stp>FQ2 2009</stp>
        <stp>[AMZ_2009-2018.xlsx]Cash Flow - Standardized!R26C4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6" s="4"/>
      </tp>
      <tp>
        <v>3719</v>
        <stp/>
        <stp>##V3_BDHV12</stp>
        <stp>AMZN US Equity</stp>
        <stp>BS_MKT_SEC_OTHER_ST_INVEST</stp>
        <stp>FQ3 2015</stp>
        <stp>FQ3 2015</stp>
        <stp>[AMZ_2009-2018.xlsx]Bal Sheet - Standardized!R9C29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9" s="3"/>
      </tp>
      <tp>
        <v>3817</v>
        <stp/>
        <stp>##V3_BDHV12</stp>
        <stp>AMZN US Equity</stp>
        <stp>BS_MKT_SEC_OTHER_ST_INVEST</stp>
        <stp>FQ3 2013</stp>
        <stp>FQ3 2013</stp>
        <stp>[AMZ_2009-2018.xlsx]Bal Sheet - Standardized!R9C21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9" s="3"/>
      </tp>
      <tp>
        <v>8248</v>
        <stp/>
        <stp>##V3_BDHV12</stp>
        <stp>AMZN US Equity</stp>
        <stp>BS_MKT_SEC_OTHER_ST_INVEST</stp>
        <stp>FQ2 2017</stp>
        <stp>FQ2 2017</stp>
        <stp>[AMZ_2009-2018.xlsx]Bal Sheet - Standardized!R9C36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9" s="3"/>
      </tp>
      <tp>
        <v>1625</v>
        <stp/>
        <stp>##V3_BDHV12</stp>
        <stp>AMZN US Equity</stp>
        <stp>BS_MKT_SEC_OTHER_ST_INVEST</stp>
        <stp>FQ3 2014</stp>
        <stp>FQ3 2014</stp>
        <stp>[AMZ_2009-2018.xlsx]Bal Sheet - Standardized!R9C25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9" s="3"/>
      </tp>
      <tp>
        <v>0</v>
        <stp/>
        <stp>##V3_BDHV12</stp>
        <stp>AMZN US Equity</stp>
        <stp>OTHER_CURRENT_LIABS_DETAILED</stp>
        <stp>FQ2 2018</stp>
        <stp>FQ2 2018</stp>
        <stp>[AMZ_2009-2018.xlsx]Bal Sheet - Standardized!R50C40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0" s="3"/>
      </tp>
      <tp>
        <v>4019</v>
        <stp/>
        <stp>##V3_BDHV12</stp>
        <stp>AMZN US Equity</stp>
        <stp>BS_MKT_SEC_OTHER_ST_INVEST</stp>
        <stp>FQ2 2016</stp>
        <stp>FQ2 2016</stp>
        <stp>[AMZ_2009-2018.xlsx]Bal Sheet - Standardized!R9C32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9" s="3"/>
      </tp>
      <tp>
        <v>32555</v>
        <stp/>
        <stp>##V3_BDHV12</stp>
        <stp>AMZN US Equity</stp>
        <stp>BS_TOT_ASSET</stp>
        <stp>FQ4 2012</stp>
        <stp>FQ4 2012</stp>
        <stp>[AMZ_2009-2018.xlsx]Bal Sheet - Standardized!R35C18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5" s="3"/>
      </tp>
      <tp>
        <v>115267</v>
        <stp/>
        <stp>##V3_BDHV12</stp>
        <stp>AMZN US Equity</stp>
        <stp>BS_TOT_ASSET</stp>
        <stp>FQ3 2017</stp>
        <stp>FQ3 2017</stp>
        <stp>[AMZ_2009-2018.xlsx]Bal Sheet - Standardized!R35C37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5" s="3"/>
      </tp>
      <tp>
        <v>36364</v>
        <stp/>
        <stp>##V3_BDHV12</stp>
        <stp>AMZN US Equity</stp>
        <stp>BS_TOT_ASSET</stp>
        <stp>FQ1 2014</stp>
        <stp>FQ1 2014</stp>
        <stp>[AMZ_2009-2018.xlsx]Bal Sheet - Standardized!R35C23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5" s="3"/>
      </tp>
      <tp>
        <v>65076</v>
        <stp/>
        <stp>##V3_BDHV12</stp>
        <stp>AMZN US Equity</stp>
        <stp>BS_TOT_ASSET</stp>
        <stp>FQ2 2016</stp>
        <stp>FQ2 2016</stp>
        <stp>[AMZ_2009-2018.xlsx]Bal Sheet - Standardized!R35C32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5" s="3"/>
      </tp>
      <tp>
        <v>540</v>
        <stp/>
        <stp>##V3_BDHV12</stp>
        <stp>AMZN US Equity</stp>
        <stp>CF_FREE_CASH_FLOW</stp>
        <stp>FQ3 2010</stp>
        <stp>FQ3 2010</stp>
        <stp>[AMZ_2009-2018.xlsx]Cash Flow - Standardized!R65C9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5" s="4"/>
      </tp>
      <tp t="s">
        <v>—</v>
        <stp/>
        <stp>##V3_BDHV12</stp>
        <stp>AMZN US Equity</stp>
        <stp>BS_DERIV_&amp;_HEDGING_ASSETS_ST</stp>
        <stp>FQ1 2018</stp>
        <stp>FQ1 2018</stp>
        <stp>[AMZ_2009-2018.xlsx]Bal Sheet - Standardized!R19C39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9" s="3"/>
      </tp>
      <tp t="s">
        <v>—</v>
        <stp/>
        <stp>##V3_BDHV12</stp>
        <stp>AMZN US Equity</stp>
        <stp>BS_DERIV_&amp;_HEDGING_ASSETS_LT</stp>
        <stp>FQ1 2018</stp>
        <stp>FQ1 2018</stp>
        <stp>[AMZ_2009-2018.xlsx]Bal Sheet - Standardized!R32C39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2" s="3"/>
      </tp>
      <tp>
        <v>390</v>
        <stp/>
        <stp>##V3_BDHV12</stp>
        <stp>AMZN US Equity</stp>
        <stp>CF_FREE_CASH_FLOW</stp>
        <stp>FQ2 2009</stp>
        <stp>FQ2 2009</stp>
        <stp>[AMZ_2009-2018.xlsx]Cash Flow - Standardized!R65C4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5" s="4"/>
      </tp>
      <tp>
        <v>-42</v>
        <stp/>
        <stp>##V3_BDHV12</stp>
        <stp>AMZN US Equity</stp>
        <stp>CF_NT_CSH_RCVD_PD_FOR_ACQUIS_DIV</stp>
        <stp>FQ3 2010</stp>
        <stp>FQ3 2010</stp>
        <stp>[AMZ_2009-2018.xlsx]Cash Flow - Standardized!R32C9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2" s="4"/>
      </tp>
      <tp>
        <v>-19</v>
        <stp/>
        <stp>##V3_BDHV12</stp>
        <stp>AMZN US Equity</stp>
        <stp>CF_NT_CSH_RCVD_PD_FOR_ACQUIS_DIV</stp>
        <stp>FQ2 2009</stp>
        <stp>FQ2 2009</stp>
        <stp>[AMZ_2009-2018.xlsx]Cash Flow - Standardized!R32C4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2" s="4"/>
      </tp>
      <tp t="s">
        <v>—</v>
        <stp/>
        <stp>##V3_BDHV12</stp>
        <stp>AMZN US Equity</stp>
        <stp>NUM_OF_EMPLOYEES</stp>
        <stp>FQ3 2009</stp>
        <stp>FQ3 2009</stp>
        <stp>[AMZ_2009-2018.xlsx]Bal Sheet - Standardized!R89C5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89" s="3"/>
      </tp>
      <tp t="s">
        <v>—</v>
        <stp/>
        <stp>##V3_BDHV12</stp>
        <stp>AMZN US Equity</stp>
        <stp>NUM_OF_EMPLOYEES</stp>
        <stp>FQ2 2009</stp>
        <stp>FQ2 2009</stp>
        <stp>[AMZ_2009-2018.xlsx]Bal Sheet - Standardized!R89C4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89" s="3"/>
      </tp>
      <tp>
        <v>0</v>
        <stp/>
        <stp>##V3_BDHV12</stp>
        <stp>AMZN US Equity</stp>
        <stp>IS_EXTRAORD_ITEMS_&amp;_ACCTG_CHNG</stp>
        <stp>FQ1 2012</stp>
        <stp>FQ1 2012</stp>
        <stp>[AMZ_2009-2018.xlsx]Income - Adjusted!R37C15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7" s="2"/>
      </tp>
      <tp>
        <v>0</v>
        <stp/>
        <stp>##V3_BDHV12</stp>
        <stp>AMZN US Equity</stp>
        <stp>IS_EXTRAORD_ITEMS_&amp;_ACCTG_CHNG</stp>
        <stp>FQ2 2012</stp>
        <stp>FQ2 2012</stp>
        <stp>[AMZ_2009-2018.xlsx]Income - Adjusted!R37C16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7" s="2"/>
      </tp>
      <tp>
        <v>0</v>
        <stp/>
        <stp>##V3_BDHV12</stp>
        <stp>AMZN US Equity</stp>
        <stp>IS_EXTRAORD_ITEMS_&amp;_ACCTG_CHNG</stp>
        <stp>FQ3 2012</stp>
        <stp>FQ3 2012</stp>
        <stp>[AMZ_2009-2018.xlsx]Income - Adjusted!R37C17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7" s="2"/>
      </tp>
      <tp>
        <v>0</v>
        <stp/>
        <stp>##V3_BDHV12</stp>
        <stp>AMZN US Equity</stp>
        <stp>IS_EXTRAORD_ITEMS_&amp;_ACCTG_CHNG</stp>
        <stp>FQ4 2012</stp>
        <stp>FQ4 2012</stp>
        <stp>[AMZ_2009-2018.xlsx]Income - Adjusted!R37C18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7" s="2"/>
      </tp>
      <tp>
        <v>0</v>
        <stp/>
        <stp>##V3_BDHV12</stp>
        <stp>AMZN US Equity</stp>
        <stp>CF_NET_CASH_DISCONTINUED_OPS_FIN</stp>
        <stp>FQ4 2009</stp>
        <stp>FQ4 2009</stp>
        <stp>[AMZ_2009-2018.xlsx]Cash Flow - Standardized!R50C6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0" s="4"/>
      </tp>
      <tp>
        <v>306800</v>
        <stp/>
        <stp>##V3_BDHV12</stp>
        <stp>AMZN US Equity</stp>
        <stp>NUM_OF_EMPLOYEES</stp>
        <stp>FQ3 2016</stp>
        <stp>FQ3 2016</stp>
        <stp>[AMZ_2009-2018.xlsx]Bal Sheet - Standardized!R89C33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89" s="3"/>
      </tp>
      <tp>
        <v>81400</v>
        <stp/>
        <stp>##V3_BDHV12</stp>
        <stp>AMZN US Equity</stp>
        <stp>NUM_OF_EMPLOYEES</stp>
        <stp>FQ3 2012</stp>
        <stp>FQ3 2012</stp>
        <stp>[AMZ_2009-2018.xlsx]Bal Sheet - Standardized!R89C17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89" s="3"/>
      </tp>
      <tp>
        <v>56200</v>
        <stp/>
        <stp>##V3_BDHV12</stp>
        <stp>AMZN US Equity</stp>
        <stp>NUM_OF_EMPLOYEES</stp>
        <stp>FQ4 2011</stp>
        <stp>FQ4 2011</stp>
        <stp>[AMZ_2009-2018.xlsx]Bal Sheet - Standardized!R89C14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89" s="3"/>
      </tp>
      <tp>
        <v>230800</v>
        <stp/>
        <stp>##V3_BDHV12</stp>
        <stp>AMZN US Equity</stp>
        <stp>NUM_OF_EMPLOYEES</stp>
        <stp>FQ4 2015</stp>
        <stp>FQ4 2015</stp>
        <stp>[AMZ_2009-2018.xlsx]Bal Sheet - Standardized!R89C30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89" s="3"/>
      </tp>
      <tp>
        <v>-79.150400000000005</v>
        <stp/>
        <stp>##V3_BDHV12</stp>
        <stp>AMZN US Equity</stp>
        <stp>NET_DEBT_TO_SHRHLDR_EQTY</stp>
        <stp>FQ4 2012</stp>
        <stp>FQ4 2012</stp>
        <stp>[AMZ_2009-2018.xlsx]Bal Sheet - Standardized!R84C18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84" s="3"/>
      </tp>
      <tp>
        <v>-49.845799999999997</v>
        <stp/>
        <stp>##V3_BDHV12</stp>
        <stp>AMZN US Equity</stp>
        <stp>NET_DEBT_TO_SHRHLDR_EQTY</stp>
        <stp>FQ1 2013</stp>
        <stp>FQ1 2013</stp>
        <stp>[AMZ_2009-2018.xlsx]Bal Sheet - Standardized!R84C19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84" s="3"/>
      </tp>
      <tp t="s">
        <v>—</v>
        <stp/>
        <stp>##V3_BDHV12</stp>
        <stp>AMZN US Equity</stp>
        <stp>BS_GROSS_FIX_ASSET</stp>
        <stp>FQ2 2013</stp>
        <stp>FQ2 2013</stp>
        <stp>[AMZ_2009-2018.xlsx]Bal Sheet - Standardized!R24C20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4" s="3"/>
      </tp>
      <tp t="s">
        <v>—</v>
        <stp/>
        <stp>##V3_BDHV12</stp>
        <stp>AMZN US Equity</stp>
        <stp>IS_OTHER_ONE_TIME_ITEMS</stp>
        <stp>FQ4 2009</stp>
        <stp>FQ4 2009</stp>
        <stp>[AMZ_2009-2018.xlsx]Income - Adjusted!R30C6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0" s="2"/>
      </tp>
      <tp t="s">
        <v>—</v>
        <stp/>
        <stp>##V3_BDHV12</stp>
        <stp>AMZN US Equity</stp>
        <stp>BS_GROSS_FIX_ASSET</stp>
        <stp>FQ3 2011</stp>
        <stp>FQ3 2011</stp>
        <stp>[AMZ_2009-2018.xlsx]Bal Sheet - Standardized!R24C13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4" s="3"/>
      </tp>
      <tp t="s">
        <v>—</v>
        <stp/>
        <stp>##V3_BDHV12</stp>
        <stp>AMZN US Equity</stp>
        <stp>BS_GROSS_FIX_ASSET</stp>
        <stp>FQ1 2013</stp>
        <stp>FQ1 2013</stp>
        <stp>[AMZ_2009-2018.xlsx]Bal Sheet - Standardized!R24C19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4" s="3"/>
      </tp>
      <tp>
        <v>-196</v>
        <stp/>
        <stp>##V3_BDHV12</stp>
        <stp>AMZN US Equity</stp>
        <stp>ACQUIS_FXD_&amp;_INTANG_DETAILED</stp>
        <stp>FQ2 2010</stp>
        <stp>FQ2 2010</stp>
        <stp>[AMZ_2009-2018.xlsx]Cash Flow - Standardized!R26C8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6" s="4"/>
      </tp>
      <tp>
        <v>24028</v>
        <stp/>
        <stp>##V3_BDHV12</stp>
        <stp>AMZN US Equity</stp>
        <stp>BS_ADD_PAID_IN_CAP</stp>
        <stp>FQ2 2018</stp>
        <stp>FQ2 2018</stp>
        <stp>[AMZ_2009-2018.xlsx]Bal Sheet - Standardized!R67C40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7" s="3"/>
      </tp>
      <tp>
        <v>-103</v>
        <stp/>
        <stp>##V3_BDHV12</stp>
        <stp>AMZN US Equity</stp>
        <stp>ACQUIS_FXD_&amp;_INTANG_DETAILED</stp>
        <stp>FQ3 2009</stp>
        <stp>FQ3 2009</stp>
        <stp>[AMZ_2009-2018.xlsx]Cash Flow - Standardized!R26C5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6" s="4"/>
      </tp>
      <tp>
        <v>0</v>
        <stp/>
        <stp>##V3_BDHV12</stp>
        <stp>AMZN US Equity</stp>
        <stp>OTHER_CURRENT_LIABS_DETAILED</stp>
        <stp>FQ4 2009</stp>
        <stp>FQ4 2009</stp>
        <stp>[AMZ_2009-2018.xlsx]Bal Sheet - Standardized!R50C6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0" s="3"/>
      </tp>
      <tp>
        <v>3414</v>
        <stp/>
        <stp>##V3_BDHV12</stp>
        <stp>AMZN US Equity</stp>
        <stp>BS_MKT_SEC_OTHER_ST_INVEST</stp>
        <stp>FQ1 2013</stp>
        <stp>FQ1 2013</stp>
        <stp>[AMZ_2009-2018.xlsx]Bal Sheet - Standardized!R9C19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9" s="3"/>
      </tp>
      <tp>
        <v>3732</v>
        <stp/>
        <stp>##V3_BDHV12</stp>
        <stp>AMZN US Equity</stp>
        <stp>BS_MKT_SEC_OTHER_ST_INVEST</stp>
        <stp>FQ2 2015</stp>
        <stp>FQ2 2015</stp>
        <stp>[AMZ_2009-2018.xlsx]Bal Sheet - Standardized!R9C28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9" s="3"/>
      </tp>
      <tp>
        <v>3759</v>
        <stp/>
        <stp>##V3_BDHV12</stp>
        <stp>AMZN US Equity</stp>
        <stp>BS_MKT_SEC_OTHER_ST_INVEST</stp>
        <stp>FQ2 2013</stp>
        <stp>FQ2 2013</stp>
        <stp>[AMZ_2009-2018.xlsx]Bal Sheet - Standardized!R9C20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9" s="3"/>
      </tp>
      <tp>
        <v>4240</v>
        <stp/>
        <stp>##V3_BDHV12</stp>
        <stp>AMZN US Equity</stp>
        <stp>BS_MKT_SEC_OTHER_ST_INVEST</stp>
        <stp>FQ1 2011</stp>
        <stp>FQ1 2011</stp>
        <stp>[AMZ_2009-2018.xlsx]Bal Sheet - Standardized!R9C11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9" s="3"/>
      </tp>
      <tp>
        <v>11543</v>
        <stp/>
        <stp>##V3_BDHV12</stp>
        <stp>AMZN US Equity</stp>
        <stp>BS_MKT_SEC_OTHER_ST_INVEST</stp>
        <stp>FQ3 2017</stp>
        <stp>FQ3 2017</stp>
        <stp>[AMZ_2009-2018.xlsx]Bal Sheet - Standardized!R9C37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9" s="3"/>
      </tp>
      <tp>
        <v>2929</v>
        <stp/>
        <stp>##V3_BDHV12</stp>
        <stp>AMZN US Equity</stp>
        <stp>BS_MKT_SEC_OTHER_ST_INVEST</stp>
        <stp>FQ2 2014</stp>
        <stp>FQ2 2014</stp>
        <stp>[AMZ_2009-2018.xlsx]Bal Sheet - Standardized!R9C24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9" s="3"/>
      </tp>
      <tp>
        <v>14200</v>
        <stp/>
        <stp>##V3_BDHV12</stp>
        <stp>AMZN US Equity</stp>
        <stp>LT_CAPITAL_LEASE_OBLIGATIONS</stp>
        <stp>FQ2 2018</stp>
        <stp>FQ2 2018</stp>
        <stp>[AMZ_2009-2018.xlsx]Bal Sheet - Standardized!R54C40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4" s="3"/>
      </tp>
      <tp>
        <v>4691</v>
        <stp/>
        <stp>##V3_BDHV12</stp>
        <stp>AMZN US Equity</stp>
        <stp>BS_MKT_SEC_OTHER_ST_INVEST</stp>
        <stp>FQ3 2016</stp>
        <stp>FQ3 2016</stp>
        <stp>[AMZ_2009-2018.xlsx]Bal Sheet - Standardized!R9C33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9" s="3"/>
      </tp>
      <tp>
        <v>3427</v>
        <stp/>
        <stp>##V3_BDHV12</stp>
        <stp>AMZN US Equity</stp>
        <stp>BS_MKT_SEC_OTHER_ST_INVEST</stp>
        <stp>FQ1 2012</stp>
        <stp>FQ1 2012</stp>
        <stp>[AMZ_2009-2018.xlsx]Bal Sheet - Standardized!R9C15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9" s="3"/>
      </tp>
      <tp>
        <v>137678.7879</v>
        <stp/>
        <stp>##V3_BDHV12</stp>
        <stp>AMZN US Equity</stp>
        <stp>ACTUAL_SALES_PER_EMPL</stp>
        <stp>FQ1 2015</stp>
        <stp>FQ1 2015</stp>
        <stp>[AMZ_2009-2018.xlsx]Income - Adjusted!R68C27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A68" s="2"/>
      </tp>
      <tp>
        <v>158434.992</v>
        <stp/>
        <stp>##V3_BDHV12</stp>
        <stp>AMZN US Equity</stp>
        <stp>ACTUAL_SALES_PER_EMPL</stp>
        <stp>FQ1 2014</stp>
        <stp>FQ1 2014</stp>
        <stp>[AMZ_2009-2018.xlsx]Income - Adjusted!R68C23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W68" s="2"/>
      </tp>
      <tp>
        <v>101749.2877</v>
        <stp/>
        <stp>##V3_BDHV12</stp>
        <stp>AMZN US Equity</stp>
        <stp>ACTUAL_SALES_PER_EMPL</stp>
        <stp>FQ1 2017</stp>
        <stp>FQ1 2017</stp>
        <stp>[AMZ_2009-2018.xlsx]Income - Adjusted!R68C35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I68" s="2"/>
      </tp>
      <tp>
        <v>118792.8222</v>
        <stp/>
        <stp>##V3_BDHV12</stp>
        <stp>AMZN US Equity</stp>
        <stp>ACTUAL_SALES_PER_EMPL</stp>
        <stp>FQ1 2016</stp>
        <stp>FQ1 2016</stp>
        <stp>[AMZ_2009-2018.xlsx]Income - Adjusted!R68C31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E68" s="2"/>
      </tp>
      <tp>
        <v>260079.1557</v>
        <stp/>
        <stp>##V3_BDHV12</stp>
        <stp>AMZN US Equity</stp>
        <stp>ACTUAL_SALES_PER_EMPL</stp>
        <stp>FQ1 2011</stp>
        <stp>FQ1 2011</stp>
        <stp>[AMZ_2009-2018.xlsx]Income - Adjusted!R68C11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K68" s="2"/>
      </tp>
      <tp>
        <v>176013.14350000001</v>
        <stp/>
        <stp>##V3_BDHV12</stp>
        <stp>AMZN US Equity</stp>
        <stp>ACTUAL_SALES_PER_EMPL</stp>
        <stp>FQ1 2013</stp>
        <stp>FQ1 2013</stp>
        <stp>[AMZ_2009-2018.xlsx]Income - Adjusted!R68C19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S68" s="2"/>
      </tp>
      <tp>
        <v>200990.85370000001</v>
        <stp/>
        <stp>##V3_BDHV12</stp>
        <stp>AMZN US Equity</stp>
        <stp>ACTUAL_SALES_PER_EMPL</stp>
        <stp>FQ1 2012</stp>
        <stp>FQ1 2012</stp>
        <stp>[AMZ_2009-2018.xlsx]Income - Adjusted!R68C15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O68" s="2"/>
      </tp>
      <tp t="s">
        <v>—</v>
        <stp/>
        <stp>##V3_BDHV12</stp>
        <stp>AMZN US Equity</stp>
        <stp>INVTRY_RAW_MATERIALS</stp>
        <stp>FQ1 2018</stp>
        <stp>FQ1 2018</stp>
        <stp>[AMZ_2009-2018.xlsx]Bal Sheet - Standardized!R14C39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4" s="3"/>
      </tp>
      <tp>
        <v>50075</v>
        <stp/>
        <stp>##V3_BDHV12</stp>
        <stp>AMZN US Equity</stp>
        <stp>BS_TOT_ASSET</stp>
        <stp>FQ1 2015</stp>
        <stp>FQ1 2015</stp>
        <stp>[AMZ_2009-2018.xlsx]Bal Sheet - Standardized!R35C27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5" s="3"/>
      </tp>
      <tp>
        <v>87781</v>
        <stp/>
        <stp>##V3_BDHV12</stp>
        <stp>AMZN US Equity</stp>
        <stp>BS_TOT_ASSET</stp>
        <stp>FQ2 2017</stp>
        <stp>FQ2 2017</stp>
        <stp>[AMZ_2009-2018.xlsx]Bal Sheet - Standardized!R35C36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5" s="3"/>
      </tp>
      <tp>
        <v>90644.645699999994</v>
        <stp/>
        <stp>##V3_BDHV12</stp>
        <stp>AMZN US Equity</stp>
        <stp>ACTUAL_SALES_PER_EMPL</stp>
        <stp>FQ1 2018</stp>
        <stp>FQ1 2018</stp>
        <stp>[AMZ_2009-2018.xlsx]Income - Adjusted!R68C39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M68" s="2"/>
      </tp>
      <tp>
        <v>70897</v>
        <stp/>
        <stp>##V3_BDHV12</stp>
        <stp>AMZN US Equity</stp>
        <stp>BS_TOT_ASSET</stp>
        <stp>FQ3 2016</stp>
        <stp>FQ3 2016</stp>
        <stp>[AMZ_2009-2018.xlsx]Bal Sheet - Standardized!R35C33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5" s="3"/>
      </tp>
      <tp>
        <v>54</v>
        <stp/>
        <stp>##V3_BDHV12</stp>
        <stp>AMZN US Equity</stp>
        <stp>CF_FREE_CASH_FLOW</stp>
        <stp>FQ2 2010</stp>
        <stp>FQ2 2010</stp>
        <stp>[AMZ_2009-2018.xlsx]Cash Flow - Standardized!R65C8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5" s="4"/>
      </tp>
      <tp>
        <v>-6.6856999999999998</v>
        <stp/>
        <stp>##V3_BDHV12</stp>
        <stp>AMZN US Equity</stp>
        <stp>FREE_CASH_FLOW_PER_SH</stp>
        <stp>FQ1 2013</stp>
        <stp>FQ1 2013</stp>
        <stp>[AMZ_2009-2018.xlsx]Cash Flow - Standardized!R68C19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68" s="4"/>
      </tp>
      <tp>
        <v>6.7313000000000001</v>
        <stp/>
        <stp>##V3_BDHV12</stp>
        <stp>AMZN US Equity</stp>
        <stp>FREE_CASH_FLOW_PER_SH</stp>
        <stp>FQ4 2012</stp>
        <stp>FQ4 2012</stp>
        <stp>[AMZ_2009-2018.xlsx]Cash Flow - Standardized!R68C18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68" s="4"/>
      </tp>
      <tp>
        <v>696</v>
        <stp/>
        <stp>##V3_BDHV12</stp>
        <stp>AMZN US Equity</stp>
        <stp>CF_FREE_CASH_FLOW</stp>
        <stp>FQ3 2009</stp>
        <stp>FQ3 2009</stp>
        <stp>[AMZ_2009-2018.xlsx]Cash Flow - Standardized!R65C5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5" s="4"/>
      </tp>
      <tp>
        <v>-21</v>
        <stp/>
        <stp>##V3_BDHV12</stp>
        <stp>AMZN US Equity</stp>
        <stp>CF_NT_CSH_RCVD_PD_FOR_ACQUIS_DIV</stp>
        <stp>FQ2 2010</stp>
        <stp>FQ2 2010</stp>
        <stp>[AMZ_2009-2018.xlsx]Cash Flow - Standardized!R32C8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2" s="4"/>
      </tp>
      <tp>
        <v>-5</v>
        <stp/>
        <stp>##V3_BDHV12</stp>
        <stp>AMZN US Equity</stp>
        <stp>CF_NT_CSH_RCVD_PD_FOR_ACQUIS_DIV</stp>
        <stp>FQ3 2009</stp>
        <stp>FQ3 2009</stp>
        <stp>[AMZ_2009-2018.xlsx]Cash Flow - Standardized!R32C5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2" s="4"/>
      </tp>
      <tp>
        <v>0</v>
        <stp/>
        <stp>##V3_BDHV12</stp>
        <stp>AMZN US Equity</stp>
        <stp>CF_DECR_CAP_STOCK</stp>
        <stp>FQ4 2009</stp>
        <stp>FQ4 2009</stp>
        <stp>[AMZ_2009-2018.xlsx]Cash Flow - Standardized!R48C6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8" s="4"/>
      </tp>
      <tp>
        <v>0</v>
        <stp/>
        <stp>##V3_BDHV12</stp>
        <stp>AMZN US Equity</stp>
        <stp>IS_EXTRAORD_ITEMS_&amp;_ACCTG_CHNG</stp>
        <stp>FQ1 2013</stp>
        <stp>FQ1 2013</stp>
        <stp>[AMZ_2009-2018.xlsx]Income - Adjusted!R37C19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7" s="2"/>
      </tp>
      <tp>
        <v>268900</v>
        <stp/>
        <stp>##V3_BDHV12</stp>
        <stp>AMZN US Equity</stp>
        <stp>NUM_OF_EMPLOYEES</stp>
        <stp>FQ2 2016</stp>
        <stp>FQ2 2016</stp>
        <stp>[AMZ_2009-2018.xlsx]Bal Sheet - Standardized!R89C32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89" s="3"/>
      </tp>
      <tp>
        <v>69100</v>
        <stp/>
        <stp>##V3_BDHV12</stp>
        <stp>AMZN US Equity</stp>
        <stp>NUM_OF_EMPLOYEES</stp>
        <stp>FQ2 2012</stp>
        <stp>FQ2 2012</stp>
        <stp>[AMZ_2009-2018.xlsx]Bal Sheet - Standardized!R89C16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89" s="3"/>
      </tp>
      <tp>
        <v>69</v>
        <stp/>
        <stp>##V3_BDHV12</stp>
        <stp>AMZN US Equity</stp>
        <stp>IS_INC_TAX_EXP</stp>
        <stp>FQ1 2009</stp>
        <stp>FQ1 2009</stp>
        <stp>[AMZ_2009-2018.xlsx]Income - Adjusted!R32C3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2"/>
      </tp>
      <tp>
        <v>30632</v>
        <stp/>
        <stp>##V3_BDHV12</stp>
        <stp>AMZN US Equity</stp>
        <stp>IS_COGS_TO_FE_AND_PP_AND_G</stp>
        <stp>FQ2 2018</stp>
        <stp>FQ2 2018</stp>
        <stp>[AMZ_2009-2018.xlsx]Income - Adjusted!R8C40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8" s="2"/>
      </tp>
      <tp t="s">
        <v>—</v>
        <stp/>
        <stp>##V3_BDHV12</stp>
        <stp>AMZN US Equity</stp>
        <stp>BS_GROSS_FIX_ASSET</stp>
        <stp>FQ2 2014</stp>
        <stp>FQ2 2014</stp>
        <stp>[AMZ_2009-2018.xlsx]Bal Sheet - Standardized!R24C24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4" s="3"/>
      </tp>
      <tp t="s">
        <v>—</v>
        <stp/>
        <stp>##V3_BDHV12</stp>
        <stp>AMZN US Equity</stp>
        <stp>IS_OTHER_ONE_TIME_ITEMS</stp>
        <stp>FQ3 2009</stp>
        <stp>FQ3 2009</stp>
        <stp>[AMZ_2009-2018.xlsx]Income - Adjusted!R30C5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0" s="2"/>
      </tp>
      <tp>
        <v>5.6403999999999996</v>
        <stp/>
        <stp>##V3_BDHV12</stp>
        <stp>AMZN US Equity</stp>
        <stp>OPER_MARGIN</stp>
        <stp>FQ2 2018</stp>
        <stp>FQ2 2018</stp>
        <stp>[AMZ_2009-2018.xlsx]Income - Adjusted!R66C40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N66" s="2"/>
      </tp>
      <tp>
        <v>5786</v>
        <stp/>
        <stp>##V3_BDHV12</stp>
        <stp>AMZN US Equity</stp>
        <stp>BS_GROSS_FIX_ASSET</stp>
        <stp>FQ4 2011</stp>
        <stp>FQ4 2011</stp>
        <stp>[AMZ_2009-2018.xlsx]Bal Sheet - Standardized!R24C14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4" s="3"/>
      </tp>
      <tp t="s">
        <v>—</v>
        <stp/>
        <stp>##V3_BDHV12</stp>
        <stp>AMZN US Equity</stp>
        <stp>BS_GROSS_FIX_ASSET</stp>
        <stp>FQ1 2016</stp>
        <stp>FQ1 2016</stp>
        <stp>[AMZ_2009-2018.xlsx]Bal Sheet - Standardized!R24C31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4" s="3"/>
      </tp>
      <tp>
        <v>2.0276000000000001</v>
        <stp/>
        <stp>##V3_BDHV12</stp>
        <stp>AMZN US Equity</stp>
        <stp>OPER_MARGIN</stp>
        <stp>FQ2 2011</stp>
        <stp>FQ2 2011</stp>
        <stp>[AMZ_2009-2018.xlsx]Income - Adjusted!R66C12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L66" s="2"/>
      </tp>
      <tp>
        <v>0.50309999999999999</v>
        <stp/>
        <stp>##V3_BDHV12</stp>
        <stp>AMZN US Equity</stp>
        <stp>OPER_MARGIN</stp>
        <stp>FQ2 2013</stp>
        <stp>FQ2 2013</stp>
        <stp>[AMZ_2009-2018.xlsx]Income - Adjusted!R66C20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T66" s="2"/>
      </tp>
      <tp>
        <v>1.6129</v>
        <stp/>
        <stp>##V3_BDHV12</stp>
        <stp>AMZN US Equity</stp>
        <stp>OPER_MARGIN</stp>
        <stp>FQ2 2012</stp>
        <stp>FQ2 2012</stp>
        <stp>[AMZ_2009-2018.xlsx]Income - Adjusted!R66C16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P66" s="2"/>
      </tp>
      <tp>
        <v>2.0013000000000001</v>
        <stp/>
        <stp>##V3_BDHV12</stp>
        <stp>AMZN US Equity</stp>
        <stp>OPER_MARGIN</stp>
        <stp>FQ2 2015</stp>
        <stp>FQ2 2015</stp>
        <stp>[AMZ_2009-2018.xlsx]Income - Adjusted!R66C28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B66" s="2"/>
      </tp>
      <tp t="s">
        <v>—</v>
        <stp/>
        <stp>##V3_BDHV12</stp>
        <stp>AMZN US Equity</stp>
        <stp>BS_GROSS_FIX_ASSET</stp>
        <stp>FQ3 2015</stp>
        <stp>FQ3 2015</stp>
        <stp>[AMZ_2009-2018.xlsx]Bal Sheet - Standardized!R24C29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4" s="3"/>
      </tp>
      <tp>
        <v>-7.7600000000000002E-2</v>
        <stp/>
        <stp>##V3_BDHV12</stp>
        <stp>AMZN US Equity</stp>
        <stp>OPER_MARGIN</stp>
        <stp>FQ2 2014</stp>
        <stp>FQ2 2014</stp>
        <stp>[AMZ_2009-2018.xlsx]Income - Adjusted!R66C24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X66" s="2"/>
      </tp>
      <tp>
        <v>1.6545999999999998</v>
        <stp/>
        <stp>##V3_BDHV12</stp>
        <stp>AMZN US Equity</stp>
        <stp>OPER_MARGIN</stp>
        <stp>FQ2 2017</stp>
        <stp>FQ2 2017</stp>
        <stp>[AMZ_2009-2018.xlsx]Income - Adjusted!R66C36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J66" s="2"/>
      </tp>
      <tp>
        <v>4.2263999999999999</v>
        <stp/>
        <stp>##V3_BDHV12</stp>
        <stp>AMZN US Equity</stp>
        <stp>OPER_MARGIN</stp>
        <stp>FQ2 2016</stp>
        <stp>FQ2 2016</stp>
        <stp>[AMZ_2009-2018.xlsx]Income - Adjusted!R66C32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F66" s="2"/>
      </tp>
      <tp>
        <v>432</v>
        <stp/>
        <stp>##V3_BDHV12</stp>
        <stp>AMZN US Equity</stp>
        <stp>BS_SH_OUT</stp>
        <stp>FQ2 2009</stp>
        <stp>FQ2 2009</stp>
        <stp>[AMZ_2009-2018.xlsx]Bal Sheet - Standardized!R78C4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78" s="3"/>
      </tp>
      <tp>
        <v>433</v>
        <stp/>
        <stp>##V3_BDHV12</stp>
        <stp>AMZN US Equity</stp>
        <stp>BS_SH_OUT</stp>
        <stp>FQ3 2009</stp>
        <stp>FQ3 2009</stp>
        <stp>[AMZ_2009-2018.xlsx]Bal Sheet - Standardized!R78C5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78" s="3"/>
      </tp>
      <tp>
        <v>-137</v>
        <stp/>
        <stp>##V3_BDHV12</stp>
        <stp>AMZN US Equity</stp>
        <stp>ACQUIS_FXD_&amp;_INTANG_DETAILED</stp>
        <stp>FQ4 2009</stp>
        <stp>FQ4 2009</stp>
        <stp>[AMZ_2009-2018.xlsx]Cash Flow - Standardized!R26C6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6" s="4"/>
      </tp>
      <tp>
        <v>24033</v>
        <stp/>
        <stp>##V3_BDHV12</stp>
        <stp>AMZN US Equity</stp>
        <stp>BS_SH_CAP_AND_APIC</stp>
        <stp>FQ2 2018</stp>
        <stp>FQ2 2018</stp>
        <stp>[AMZ_2009-2018.xlsx]Bal Sheet - Standardized!R65C40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5" s="3"/>
      </tp>
      <tp>
        <v>0</v>
        <stp/>
        <stp>##V3_BDHV12</stp>
        <stp>AMZN US Equity</stp>
        <stp>OTHER_CURRENT_LIABS_DETAILED</stp>
        <stp>FQ2 2010</stp>
        <stp>FQ2 2010</stp>
        <stp>[AMZ_2009-2018.xlsx]Bal Sheet - Standardized!R50C8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0" s="3"/>
      </tp>
      <tp>
        <v>10464</v>
        <stp/>
        <stp>##V3_BDHV12</stp>
        <stp>AMZN US Equity</stp>
        <stp>BS_MKT_SEC_OTHER_ST_INVEST</stp>
        <stp>FQ4 2017</stp>
        <stp>FQ4 2017</stp>
        <stp>[AMZ_2009-2018.xlsx]Bal Sheet - Standardized!R9C38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9" s="3"/>
      </tp>
      <tp>
        <v>0</v>
        <stp/>
        <stp>##V3_BDHV12</stp>
        <stp>AMZN US Equity</stp>
        <stp>OTHER_CURRENT_LIABS_DETAILED</stp>
        <stp>FQ3 2009</stp>
        <stp>FQ3 2009</stp>
        <stp>[AMZ_2009-2018.xlsx]Bal Sheet - Standardized!R50C5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0" s="3"/>
      </tp>
      <tp>
        <v>3918</v>
        <stp/>
        <stp>##V3_BDHV12</stp>
        <stp>AMZN US Equity</stp>
        <stp>BS_MKT_SEC_OTHER_ST_INVEST</stp>
        <stp>FQ4 2015</stp>
        <stp>FQ4 2015</stp>
        <stp>[AMZ_2009-2018.xlsx]Bal Sheet - Standardized!R9C30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9" s="3"/>
      </tp>
      <tp>
        <v>1468</v>
        <stp/>
        <stp>##V3_BDHV12</stp>
        <stp>AMZN US Equity</stp>
        <stp>CF_STOCK_BASED_COMPENSATION</stp>
        <stp>FQ2 2018</stp>
        <stp>FQ2 2018</stp>
        <stp>[AMZ_2009-2018.xlsx]Cash Flow - Standardized!R10C40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0" s="4"/>
      </tp>
      <tp>
        <v>6647</v>
        <stp/>
        <stp>##V3_BDHV12</stp>
        <stp>AMZN US Equity</stp>
        <stp>BS_MKT_SEC_OTHER_ST_INVEST</stp>
        <stp>FQ4 2016</stp>
        <stp>FQ4 2016</stp>
        <stp>[AMZ_2009-2018.xlsx]Bal Sheet - Standardized!R9C34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9" s="3"/>
      </tp>
      <tp>
        <v>83402</v>
        <stp/>
        <stp>##V3_BDHV12</stp>
        <stp>AMZN US Equity</stp>
        <stp>BS_TOT_ASSET</stp>
        <stp>FQ4 2016</stp>
        <stp>FQ4 2016</stp>
        <stp>[AMZ_2009-2018.xlsx]Bal Sheet - Standardized!R35C34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5" s="3"/>
      </tp>
      <tp>
        <v>16882</v>
        <stp/>
        <stp>##V3_BDHV12</stp>
        <stp>AMZN US Equity</stp>
        <stp>BS_TOT_ASSET</stp>
        <stp>FQ1 2011</stp>
        <stp>FQ1 2011</stp>
        <stp>[AMZ_2009-2018.xlsx]Bal Sheet - Standardized!R35C11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5" s="3"/>
      </tp>
      <tp>
        <v>21022</v>
        <stp/>
        <stp>##V3_BDHV12</stp>
        <stp>AMZN US Equity</stp>
        <stp>BS_TOT_ASSET</stp>
        <stp>FQ2 2012</stp>
        <stp>FQ2 2012</stp>
        <stp>[AMZ_2009-2018.xlsx]Bal Sheet - Standardized!R35C16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5" s="3"/>
      </tp>
      <tp>
        <v>2473</v>
        <stp/>
        <stp>##V3_BDHV12</stp>
        <stp>AMZN US Equity</stp>
        <stp>CF_FREE_CASH_FLOW</stp>
        <stp>FQ4 2009</stp>
        <stp>FQ4 2009</stp>
        <stp>[AMZ_2009-2018.xlsx]Cash Flow - Standardized!R65C6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5" s="4"/>
      </tp>
      <tp>
        <v>1.6787999999999998</v>
        <stp/>
        <stp>##V3_BDHV12</stp>
        <stp>AMZN US Equity</stp>
        <stp>FREE_CASH_FLOW_PER_SH</stp>
        <stp>FQ2 2015</stp>
        <stp>FQ2 2015</stp>
        <stp>[AMZ_2009-2018.xlsx]Cash Flow - Standardized!R68C28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68" s="4"/>
      </tp>
      <tp>
        <v>1</v>
        <stp/>
        <stp>##V3_BDHV12</stp>
        <stp>AMZN US Equity</stp>
        <stp>CF_NT_CSH_RCVD_PD_FOR_ACQUIS_DIV</stp>
        <stp>FQ4 2009</stp>
        <stp>FQ4 2009</stp>
        <stp>[AMZ_2009-2018.xlsx]Cash Flow - Standardized!R32C6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2" s="4"/>
      </tp>
      <tp>
        <v>0</v>
        <stp/>
        <stp>##V3_BDHV12</stp>
        <stp>AMZN US Equity</stp>
        <stp>IS_EXTRAORD_ITEMS_&amp;_ACCTG_CHNG</stp>
        <stp>FQ1 2016</stp>
        <stp>FQ1 2016</stp>
        <stp>[AMZ_2009-2018.xlsx]Income - Adjusted!R37C31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7" s="2"/>
      </tp>
      <tp>
        <v>0</v>
        <stp/>
        <stp>##V3_BDHV12</stp>
        <stp>AMZN US Equity</stp>
        <stp>IS_EXTRAORD_ITEMS_&amp;_ACCTG_CHNG</stp>
        <stp>FQ2 2016</stp>
        <stp>FQ2 2016</stp>
        <stp>[AMZ_2009-2018.xlsx]Income - Adjusted!R37C32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7" s="2"/>
      </tp>
      <tp>
        <v>-400</v>
        <stp/>
        <stp>##V3_BDHV12</stp>
        <stp>AMZN US Equity</stp>
        <stp>INC_DEC_IN_OT_OP_AST_LIAB_DETAIL</stp>
        <stp>FQ1 2010</stp>
        <stp>FQ1 2010</stp>
        <stp>[AMZ_2009-2018.xlsx]Cash Flow - Standardized!R17C7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7" s="4"/>
      </tp>
      <tp>
        <v>0</v>
        <stp/>
        <stp>##V3_BDHV12</stp>
        <stp>AMZN US Equity</stp>
        <stp>IS_EXTRAORD_ITEMS_&amp;_ACCTG_CHNG</stp>
        <stp>FQ3 2016</stp>
        <stp>FQ3 2016</stp>
        <stp>[AMZ_2009-2018.xlsx]Income - Adjusted!R37C33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7" s="2"/>
      </tp>
      <tp>
        <v>0</v>
        <stp/>
        <stp>##V3_BDHV12</stp>
        <stp>AMZN US Equity</stp>
        <stp>CF_DECR_CAP_STOCK</stp>
        <stp>FQ3 2009</stp>
        <stp>FQ3 2009</stp>
        <stp>[AMZ_2009-2018.xlsx]Cash Flow - Standardized!R48C5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8" s="4"/>
      </tp>
      <tp>
        <v>0</v>
        <stp/>
        <stp>##V3_BDHV12</stp>
        <stp>AMZN US Equity</stp>
        <stp>IS_EXTRAORD_ITEMS_&amp;_ACCTG_CHNG</stp>
        <stp>FQ4 2016</stp>
        <stp>FQ4 2016</stp>
        <stp>[AMZ_2009-2018.xlsx]Income - Adjusted!R37C34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7" s="2"/>
      </tp>
      <tp>
        <v>0</v>
        <stp/>
        <stp>##V3_BDHV12</stp>
        <stp>AMZN US Equity</stp>
        <stp>CF_DECR_CAP_STOCK</stp>
        <stp>FQ2 2010</stp>
        <stp>FQ2 2010</stp>
        <stp>[AMZ_2009-2018.xlsx]Cash Flow - Standardized!R48C8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8" s="4"/>
      </tp>
      <tp>
        <v>0</v>
        <stp/>
        <stp>##V3_BDHV12</stp>
        <stp>AMZN US Equity</stp>
        <stp>CF_NET_CASH_DISCONTINUED_OPS_FIN</stp>
        <stp>FQ3 2010</stp>
        <stp>FQ3 2010</stp>
        <stp>[AMZ_2009-2018.xlsx]Cash Flow - Standardized!R50C9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0" s="4"/>
      </tp>
      <tp>
        <v>0</v>
        <stp/>
        <stp>##V3_BDHV12</stp>
        <stp>AMZN US Equity</stp>
        <stp>CF_NET_CASH_DISCONTINUED_OPS_FIN</stp>
        <stp>FQ2 2009</stp>
        <stp>FQ2 2009</stp>
        <stp>[AMZ_2009-2018.xlsx]Cash Flow - Standardized!R50C4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0" s="4"/>
      </tp>
      <tp>
        <v>97000</v>
        <stp/>
        <stp>##V3_BDHV12</stp>
        <stp>AMZN US Equity</stp>
        <stp>NUM_OF_EMPLOYEES</stp>
        <stp>FQ2 2013</stp>
        <stp>FQ2 2013</stp>
        <stp>[AMZ_2009-2018.xlsx]Bal Sheet - Standardized!R89C20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89" s="3"/>
      </tp>
      <tp>
        <v>43200</v>
        <stp/>
        <stp>##V3_BDHV12</stp>
        <stp>AMZN US Equity</stp>
        <stp>NUM_OF_EMPLOYEES</stp>
        <stp>FQ2 2011</stp>
        <stp>FQ2 2011</stp>
        <stp>[AMZ_2009-2018.xlsx]Bal Sheet - Standardized!R89C12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89" s="3"/>
      </tp>
      <tp>
        <v>0</v>
        <stp/>
        <stp>##V3_BDHV12</stp>
        <stp>AMZN US Equity</stp>
        <stp>OTHER_CURRENT_ASSETS_DETAILED</stp>
        <stp>FQ2 2018</stp>
        <stp>FQ2 2018</stp>
        <stp>[AMZ_2009-2018.xlsx]Bal Sheet - Standardized!R18C40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8" s="3"/>
      </tp>
      <tp>
        <v>252.07</v>
        <stp/>
        <stp>##V3_BDHV12</stp>
        <stp>AMZN US Equity</stp>
        <stp>PX_LOW</stp>
        <stp>FQ1 2013</stp>
        <stp>FQ1 2013</stp>
        <stp>[AMZ_2009-2018.xlsx]Stock Value!R10C19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10" s="6"/>
      </tp>
      <tp>
        <v>950.37</v>
        <stp/>
        <stp>##V3_BDHV12</stp>
        <stp>AMZN US Equity</stp>
        <stp>PX_LOW</stp>
        <stp>FQ4 2017</stp>
        <stp>FQ4 2017</stp>
        <stp>[AMZ_2009-2018.xlsx]Stock Value!R10C38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10" s="6"/>
      </tp>
      <tp>
        <v>-40.772300000000001</v>
        <stp/>
        <stp>##V3_BDHV12</stp>
        <stp>AMZN US Equity</stp>
        <stp>NET_DEBT_TO_SHRHLDR_EQTY</stp>
        <stp>FQ3 2015</stp>
        <stp>FQ3 2015</stp>
        <stp>[AMZ_2009-2018.xlsx]Bal Sheet - Standardized!R84C29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84" s="3"/>
      </tp>
      <tp>
        <v>39</v>
        <stp/>
        <stp>##V3_BDHV12</stp>
        <stp>AMZN US Equity</stp>
        <stp>IS_INC_TAX_EXP</stp>
        <stp>FQ2 2009</stp>
        <stp>FQ2 2009</stp>
        <stp>[AMZ_2009-2018.xlsx]Income - Adjusted!R32C4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32" s="2"/>
      </tp>
      <tp>
        <v>38494</v>
        <stp/>
        <stp>##V3_BDHV12</stp>
        <stp>AMZN US Equity</stp>
        <stp>IS_COGS_TO_FE_AND_PP_AND_G</stp>
        <stp>FQ4 2017</stp>
        <stp>FQ4 2017</stp>
        <stp>[AMZ_2009-2018.xlsx]Income - Adjusted!R8C38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8" s="2"/>
      </tp>
      <tp>
        <v>14809</v>
        <stp/>
        <stp>##V3_BDHV12</stp>
        <stp>AMZN US Equity</stp>
        <stp>BS_GROSS_FIX_ASSET</stp>
        <stp>FQ4 2013</stp>
        <stp>FQ4 2013</stp>
        <stp>[AMZ_2009-2018.xlsx]Bal Sheet - Standardized!R24C22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4" s="3"/>
      </tp>
      <tp t="s">
        <v>—</v>
        <stp/>
        <stp>##V3_BDHV12</stp>
        <stp>AMZN US Equity</stp>
        <stp>BS_GROSS_FIX_ASSET</stp>
        <stp>FQ3 2014</stp>
        <stp>FQ3 2014</stp>
        <stp>[AMZ_2009-2018.xlsx]Bal Sheet - Standardized!R24C25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4" s="3"/>
      </tp>
      <tp t="s">
        <v>—</v>
        <stp/>
        <stp>##V3_BDHV12</stp>
        <stp>AMZN US Equity</stp>
        <stp>IS_OTHER_ONE_TIME_ITEMS</stp>
        <stp>FQ2 2009</stp>
        <stp>FQ2 2009</stp>
        <stp>[AMZ_2009-2018.xlsx]Income - Adjusted!R30C4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0" s="2"/>
      </tp>
      <tp>
        <v>3256</v>
        <stp/>
        <stp>##V3_BDHV12</stp>
        <stp>AMZN US Equity</stp>
        <stp>BS_GROSS_FIX_ASSET</stp>
        <stp>FQ4 2010</stp>
        <stp>FQ4 2010</stp>
        <stp>[AMZ_2009-2018.xlsx]Bal Sheet - Standardized!R24C10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4" s="3"/>
      </tp>
      <tp t="s">
        <v>—</v>
        <stp/>
        <stp>##V3_BDHV12</stp>
        <stp>AMZN US Equity</stp>
        <stp>BS_GROSS_FIX_ASSET</stp>
        <stp>FQ1 2017</stp>
        <stp>FQ1 2017</stp>
        <stp>[AMZ_2009-2018.xlsx]Bal Sheet - Standardized!R24C35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4" s="3"/>
      </tp>
      <tp>
        <v>0.72640000000000005</v>
        <stp/>
        <stp>##V3_BDHV12</stp>
        <stp>AMZN US Equity</stp>
        <stp>OPER_MARGIN</stp>
        <stp>FQ3 2011</stp>
        <stp>FQ3 2011</stp>
        <stp>[AMZ_2009-2018.xlsx]Income - Adjusted!R66C13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M66" s="2"/>
      </tp>
      <tp>
        <v>-0.20280000000000001</v>
        <stp/>
        <stp>##V3_BDHV12</stp>
        <stp>AMZN US Equity</stp>
        <stp>OPER_MARGIN</stp>
        <stp>FQ3 2012</stp>
        <stp>FQ3 2012</stp>
        <stp>[AMZ_2009-2018.xlsx]Income - Adjusted!R66C17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Q66" s="2"/>
      </tp>
      <tp>
        <v>-0.14630000000000001</v>
        <stp/>
        <stp>##V3_BDHV12</stp>
        <stp>AMZN US Equity</stp>
        <stp>OPER_MARGIN</stp>
        <stp>FQ3 2013</stp>
        <stp>FQ3 2013</stp>
        <stp>[AMZ_2009-2018.xlsx]Income - Adjusted!R66C21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U66" s="2"/>
      </tp>
      <tp t="s">
        <v>—</v>
        <stp/>
        <stp>##V3_BDHV12</stp>
        <stp>AMZN US Equity</stp>
        <stp>BS_GROSS_FIX_ASSET</stp>
        <stp>FQ2 2015</stp>
        <stp>FQ2 2015</stp>
        <stp>[AMZ_2009-2018.xlsx]Bal Sheet - Standardized!R24C28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4" s="3"/>
      </tp>
      <tp>
        <v>-1.8174000000000001</v>
        <stp/>
        <stp>##V3_BDHV12</stp>
        <stp>AMZN US Equity</stp>
        <stp>OPER_MARGIN</stp>
        <stp>FQ3 2014</stp>
        <stp>FQ3 2014</stp>
        <stp>[AMZ_2009-2018.xlsx]Income - Adjusted!R66C25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Y66" s="2"/>
      </tp>
      <tp>
        <v>1.6011</v>
        <stp/>
        <stp>##V3_BDHV12</stp>
        <stp>AMZN US Equity</stp>
        <stp>OPER_MARGIN</stp>
        <stp>FQ3 2015</stp>
        <stp>FQ3 2015</stp>
        <stp>[AMZ_2009-2018.xlsx]Income - Adjusted!R66C29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C66" s="2"/>
      </tp>
      <tp>
        <v>1.7577</v>
        <stp/>
        <stp>##V3_BDHV12</stp>
        <stp>AMZN US Equity</stp>
        <stp>OPER_MARGIN</stp>
        <stp>FQ3 2016</stp>
        <stp>FQ3 2016</stp>
        <stp>[AMZ_2009-2018.xlsx]Income - Adjusted!R66C33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G66" s="2"/>
      </tp>
      <tp>
        <v>0.79330000000000001</v>
        <stp/>
        <stp>##V3_BDHV12</stp>
        <stp>AMZN US Equity</stp>
        <stp>OPER_MARGIN</stp>
        <stp>FQ3 2017</stp>
        <stp>FQ3 2017</stp>
        <stp>[AMZ_2009-2018.xlsx]Income - Adjusted!R66C37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K66" s="2"/>
      </tp>
      <tp>
        <v>-443</v>
        <stp/>
        <stp>##V3_BDHV12</stp>
        <stp>AMZN US Equity</stp>
        <stp>CF_EFFECT_FOREIGN_EXCHANGES</stp>
        <stp>FQ2 2018</stp>
        <stp>FQ2 2018</stp>
        <stp>[AMZ_2009-2018.xlsx]Cash Flow - Standardized!R53C40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3" s="4"/>
      </tp>
      <tp>
        <v>0</v>
        <stp/>
        <stp>##V3_BDHV12</stp>
        <stp>AMZN US Equity</stp>
        <stp>OTHER_CURRENT_LIABS_DETAILED</stp>
        <stp>FQ3 2010</stp>
        <stp>FQ3 2010</stp>
        <stp>[AMZ_2009-2018.xlsx]Bal Sheet - Standardized!R50C9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0" s="3"/>
      </tp>
      <tp>
        <v>7227</v>
        <stp/>
        <stp>##V3_BDHV12</stp>
        <stp>AMZN US Equity</stp>
        <stp>BS_MKT_SEC_OTHER_ST_INVEST</stp>
        <stp>FQ2 2018</stp>
        <stp>FQ2 2018</stp>
        <stp>[AMZ_2009-2018.xlsx]Bal Sheet - Standardized!R9C40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9" s="3"/>
      </tp>
      <tp>
        <v>0</v>
        <stp/>
        <stp>##V3_BDHV12</stp>
        <stp>AMZN US Equity</stp>
        <stp>OTHER_CURRENT_LIABS_DETAILED</stp>
        <stp>FQ2 2009</stp>
        <stp>FQ2 2009</stp>
        <stp>[AMZ_2009-2018.xlsx]Bal Sheet - Standardized!R50C4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0" s="3"/>
      </tp>
      <tp>
        <v>3789</v>
        <stp/>
        <stp>##V3_BDHV12</stp>
        <stp>AMZN US Equity</stp>
        <stp>BS_MKT_SEC_OTHER_ST_INVEST</stp>
        <stp>FQ4 2013</stp>
        <stp>FQ4 2013</stp>
        <stp>[AMZ_2009-2018.xlsx]Bal Sheet - Standardized!R9C22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9" s="3"/>
      </tp>
      <tp>
        <v>2859</v>
        <stp/>
        <stp>##V3_BDHV12</stp>
        <stp>AMZN US Equity</stp>
        <stp>BS_MKT_SEC_OTHER_ST_INVEST</stp>
        <stp>FQ4 2014</stp>
        <stp>FQ4 2014</stp>
        <stp>[AMZ_2009-2018.xlsx]Bal Sheet - Standardized!R9C26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9" s="3"/>
      </tp>
      <tp>
        <v>131310</v>
        <stp/>
        <stp>##V3_BDHV12</stp>
        <stp>AMZN US Equity</stp>
        <stp>BS_TOT_ASSET</stp>
        <stp>FQ4 2017</stp>
        <stp>FQ4 2017</stp>
        <stp>[AMZ_2009-2018.xlsx]Bal Sheet - Standardized!R35C38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5" s="3"/>
      </tp>
      <tp>
        <v>22834</v>
        <stp/>
        <stp>##V3_BDHV12</stp>
        <stp>AMZN US Equity</stp>
        <stp>BS_TOT_ASSET</stp>
        <stp>FQ3 2012</stp>
        <stp>FQ3 2012</stp>
        <stp>[AMZ_2009-2018.xlsx]Bal Sheet - Standardized!R35C17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5" s="3"/>
      </tp>
      <tp>
        <v>4889</v>
        <stp/>
        <stp>##V3_BDHV12</stp>
        <stp>AMZN US Equity</stp>
        <stp>IS_SALES_AND_SERVICES_REVENUES</stp>
        <stp>FQ1 2009</stp>
        <stp>FQ1 2009</stp>
        <stp>[AMZ_2009-2018.xlsx]Income - Adjusted!R7C3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7" s="2"/>
      </tp>
      <tp>
        <v>9519</v>
        <stp/>
        <stp>##V3_BDHV12</stp>
        <stp>AMZN US Equity</stp>
        <stp>IS_SALES_AND_SERVICES_REVENUES</stp>
        <stp>FQ4 2009</stp>
        <stp>FQ4 2009</stp>
        <stp>[AMZ_2009-2018.xlsx]Income - Adjusted!R7C6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7" s="2"/>
      </tp>
      <tp>
        <v>4651</v>
        <stp/>
        <stp>##V3_BDHV12</stp>
        <stp>AMZN US Equity</stp>
        <stp>SALES_REV_TURN</stp>
        <stp>FQ2 2009</stp>
        <stp>FQ2 2009</stp>
        <stp>[AMZ_2009-2018.xlsx]Income - Adjusted!R6C4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2"/>
      </tp>
      <tp>
        <v>5449</v>
        <stp/>
        <stp>##V3_BDHV12</stp>
        <stp>AMZN US Equity</stp>
        <stp>SALES_REV_TURN</stp>
        <stp>FQ3 2009</stp>
        <stp>FQ3 2009</stp>
        <stp>[AMZ_2009-2018.xlsx]Income - Adjusted!R6C5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2"/>
      </tp>
      <tp>
        <v>3.0234999999999999</v>
        <stp/>
        <stp>##V3_BDHV12</stp>
        <stp>AMZN US Equity</stp>
        <stp>FREE_CASH_FLOW_PER_SH</stp>
        <stp>FQ3 2015</stp>
        <stp>FQ3 2015</stp>
        <stp>[AMZ_2009-2018.xlsx]Cash Flow - Standardized!R68C29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68" s="4"/>
      </tp>
      <tp>
        <v>7560</v>
        <stp/>
        <stp>##V3_BDHV12</stp>
        <stp>AMZN US Equity</stp>
        <stp>IS_SALES_AND_SERVICES_REVENUES</stp>
        <stp>FQ3 2010</stp>
        <stp>FQ3 2010</stp>
        <stp>[AMZ_2009-2018.xlsx]Income - Adjusted!R7C9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7" s="2"/>
      </tp>
      <tp>
        <v>6566</v>
        <stp/>
        <stp>##V3_BDHV12</stp>
        <stp>AMZN US Equity</stp>
        <stp>IS_SALES_AND_SERVICES_REVENUES</stp>
        <stp>FQ2 2010</stp>
        <stp>FQ2 2010</stp>
        <stp>[AMZ_2009-2018.xlsx]Income - Adjusted!R7C8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7" s="2"/>
      </tp>
      <tp>
        <v>0</v>
        <stp/>
        <stp>##V3_BDHV12</stp>
        <stp>AMZN US Equity</stp>
        <stp>CF_DECR_CAP_STOCK</stp>
        <stp>FQ2 2009</stp>
        <stp>FQ2 2009</stp>
        <stp>[AMZ_2009-2018.xlsx]Cash Flow - Standardized!R48C4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8" s="4"/>
      </tp>
      <tp>
        <v>0</v>
        <stp/>
        <stp>##V3_BDHV12</stp>
        <stp>AMZN US Equity</stp>
        <stp>IS_EXTRAORD_ITEMS_&amp;_ACCTG_CHNG</stp>
        <stp>FQ1 2017</stp>
        <stp>FQ1 2017</stp>
        <stp>[AMZ_2009-2018.xlsx]Income - Adjusted!R37C35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7" s="2"/>
      </tp>
      <tp>
        <v>0</v>
        <stp/>
        <stp>##V3_BDHV12</stp>
        <stp>AMZN US Equity</stp>
        <stp>IS_EXTRAORD_ITEMS_&amp;_ACCTG_CHNG</stp>
        <stp>FQ2 2017</stp>
        <stp>FQ2 2017</stp>
        <stp>[AMZ_2009-2018.xlsx]Income - Adjusted!R37C36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7" s="2"/>
      </tp>
      <tp>
        <v>0</v>
        <stp/>
        <stp>##V3_BDHV12</stp>
        <stp>AMZN US Equity</stp>
        <stp>IS_EXTRAORD_ITEMS_&amp;_ACCTG_CHNG</stp>
        <stp>FQ3 2017</stp>
        <stp>FQ3 2017</stp>
        <stp>[AMZ_2009-2018.xlsx]Income - Adjusted!R37C37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7" s="2"/>
      </tp>
      <tp>
        <v>0</v>
        <stp/>
        <stp>##V3_BDHV12</stp>
        <stp>AMZN US Equity</stp>
        <stp>CF_DECR_CAP_STOCK</stp>
        <stp>FQ3 2010</stp>
        <stp>FQ3 2010</stp>
        <stp>[AMZ_2009-2018.xlsx]Cash Flow - Standardized!R48C9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8" s="4"/>
      </tp>
      <tp>
        <v>0</v>
        <stp/>
        <stp>##V3_BDHV12</stp>
        <stp>AMZN US Equity</stp>
        <stp>IS_EXTRAORD_ITEMS_&amp;_ACCTG_CHNG</stp>
        <stp>FQ4 2017</stp>
        <stp>FQ4 2017</stp>
        <stp>[AMZ_2009-2018.xlsx]Income - Adjusted!R37C38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7" s="2"/>
      </tp>
      <tp>
        <v>0</v>
        <stp/>
        <stp>##V3_BDHV12</stp>
        <stp>AMZN US Equity</stp>
        <stp>CF_NET_CASH_DISCONTINUED_OPS_FIN</stp>
        <stp>FQ2 2010</stp>
        <stp>FQ2 2010</stp>
        <stp>[AMZ_2009-2018.xlsx]Cash Flow - Standardized!R50C8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0" s="4"/>
      </tp>
      <tp>
        <v>-23</v>
        <stp/>
        <stp>##V3_BDHV12</stp>
        <stp>AMZN US Equity</stp>
        <stp>INC_DEC_IN_OT_OP_AST_LIAB_DETAIL</stp>
        <stp>FQ1 2009</stp>
        <stp>FQ1 2009</stp>
        <stp>[AMZ_2009-2018.xlsx]Cash Flow - Standardized!R17C3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4"/>
      </tp>
      <tp>
        <v>0</v>
        <stp/>
        <stp>##V3_BDHV12</stp>
        <stp>AMZN US Equity</stp>
        <stp>CF_NET_CASH_DISCONTINUED_OPS_FIN</stp>
        <stp>FQ3 2009</stp>
        <stp>FQ3 2009</stp>
        <stp>[AMZ_2009-2018.xlsx]Cash Flow - Standardized!R50C5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0" s="4"/>
      </tp>
      <tp>
        <v>51300</v>
        <stp/>
        <stp>##V3_BDHV12</stp>
        <stp>AMZN US Equity</stp>
        <stp>NUM_OF_EMPLOYEES</stp>
        <stp>FQ3 2011</stp>
        <stp>FQ3 2011</stp>
        <stp>[AMZ_2009-2018.xlsx]Bal Sheet - Standardized!R89C13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89" s="3"/>
      </tp>
      <tp>
        <v>109800</v>
        <stp/>
        <stp>##V3_BDHV12</stp>
        <stp>AMZN US Equity</stp>
        <stp>NUM_OF_EMPLOYEES</stp>
        <stp>FQ3 2013</stp>
        <stp>FQ3 2013</stp>
        <stp>[AMZ_2009-2018.xlsx]Bal Sheet - Standardized!R89C21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89" s="3"/>
      </tp>
      <tp>
        <v>165000</v>
        <stp/>
        <stp>##V3_BDHV12</stp>
        <stp>AMZN US Equity</stp>
        <stp>NUM_OF_EMPLOYEES</stp>
        <stp>FQ1 2015</stp>
        <stp>FQ1 2015</stp>
        <stp>[AMZ_2009-2018.xlsx]Bal Sheet - Standardized!R89C27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89" s="3"/>
      </tp>
      <tp>
        <v>351000</v>
        <stp/>
        <stp>##V3_BDHV12</stp>
        <stp>AMZN US Equity</stp>
        <stp>NUM_OF_EMPLOYEES</stp>
        <stp>FQ1 2017</stp>
        <stp>FQ1 2017</stp>
        <stp>[AMZ_2009-2018.xlsx]Bal Sheet - Standardized!R89C35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89" s="3"/>
      </tp>
      <tp>
        <v>154100</v>
        <stp/>
        <stp>##V3_BDHV12</stp>
        <stp>AMZN US Equity</stp>
        <stp>NUM_OF_EMPLOYEES</stp>
        <stp>FQ4 2014</stp>
        <stp>FQ4 2014</stp>
        <stp>[AMZ_2009-2018.xlsx]Bal Sheet - Standardized!R89C26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89" s="3"/>
      </tp>
      <tp>
        <v>341400</v>
        <stp/>
        <stp>##V3_BDHV12</stp>
        <stp>AMZN US Equity</stp>
        <stp>NUM_OF_EMPLOYEES</stp>
        <stp>FQ4 2016</stp>
        <stp>FQ4 2016</stp>
        <stp>[AMZ_2009-2018.xlsx]Bal Sheet - Standardized!R89C34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89" s="3"/>
      </tp>
      <tp>
        <v>-38.171300000000002</v>
        <stp/>
        <stp>##V3_BDHV12</stp>
        <stp>AMZN US Equity</stp>
        <stp>NET_DEBT_TO_SHRHLDR_EQTY</stp>
        <stp>FQ2 2015</stp>
        <stp>FQ2 2015</stp>
        <stp>[AMZ_2009-2018.xlsx]Bal Sheet - Standardized!R84C28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84" s="3"/>
      </tp>
      <tp>
        <v>1352.88</v>
        <stp/>
        <stp>##V3_BDHV12</stp>
        <stp>AMZN US Equity</stp>
        <stp>PX_LOW</stp>
        <stp>FQ2 2018</stp>
        <stp>FQ2 2018</stp>
        <stp>[AMZ_2009-2018.xlsx]Stock Value!R10C40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10" s="6"/>
      </tp>
      <tp>
        <v>60</v>
        <stp/>
        <stp>##V3_BDHV12</stp>
        <stp>AMZN US Equity</stp>
        <stp>IS_INC_TAX_EXP</stp>
        <stp>FQ3 2009</stp>
        <stp>FQ3 2009</stp>
        <stp>[AMZ_2009-2018.xlsx]Income - Adjusted!R32C5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32" s="2"/>
      </tp>
      <tp t="s">
        <v>—</v>
        <stp/>
        <stp>##V3_BDHV12</stp>
        <stp>AMZN US Equity</stp>
        <stp>BS_GROSS_FIX_ASSET</stp>
        <stp>FQ2 2017</stp>
        <stp>FQ2 2017</stp>
        <stp>[AMZ_2009-2018.xlsx]Bal Sheet - Standardized!R24C36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4" s="3"/>
      </tp>
      <tp t="s">
        <v>—</v>
        <stp/>
        <stp>##V3_BDHV12</stp>
        <stp>AMZN US Equity</stp>
        <stp>BS_GROSS_FIX_ASSET</stp>
        <stp>FQ1 2015</stp>
        <stp>FQ1 2015</stp>
        <stp>[AMZ_2009-2018.xlsx]Bal Sheet - Standardized!R24C27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4" s="3"/>
      </tp>
      <tp t="s">
        <v>—</v>
        <stp/>
        <stp>##V3_BDHV12</stp>
        <stp>AMZN US Equity</stp>
        <stp>BS_GROSS_FIX_ASSET</stp>
        <stp>FQ3 2016</stp>
        <stp>FQ3 2016</stp>
        <stp>[AMZ_2009-2018.xlsx]Bal Sheet - Standardized!R24C33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4" s="3"/>
      </tp>
      <tp t="s">
        <v>—</v>
        <stp/>
        <stp>##V3_BDHV12</stp>
        <stp>AMZN US Equity</stp>
        <stp>IS_OTHER_ONE_TIME_ITEMS</stp>
        <stp>FQ1 2009</stp>
        <stp>FQ1 2009</stp>
        <stp>[AMZ_2009-2018.xlsx]Income - Adjusted!R30C3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2"/>
      </tp>
      <tp>
        <v>0</v>
        <stp/>
        <stp>##V3_BDHV12</stp>
        <stp>AMZN US Equity</stp>
        <stp>OTHER_CURRENT_LIABS_DETAILED</stp>
        <stp>FQ1 2009</stp>
        <stp>FQ1 2009</stp>
        <stp>[AMZ_2009-2018.xlsx]Bal Sheet - Standardized!R50C3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0" s="3"/>
      </tp>
      <tp>
        <v>0</v>
        <stp/>
        <stp>##V3_BDHV12</stp>
        <stp>AMZN US Equity</stp>
        <stp>OTHER_CURRENT_LIABS_DETAILED</stp>
        <stp>FQ1 2018</stp>
        <stp>FQ1 2018</stp>
        <stp>[AMZ_2009-2018.xlsx]Bal Sheet - Standardized!R50C39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0" s="3"/>
      </tp>
      <tp>
        <v>3364</v>
        <stp/>
        <stp>##V3_BDHV12</stp>
        <stp>AMZN US Equity</stp>
        <stp>BS_MKT_SEC_OTHER_ST_INVEST</stp>
        <stp>FQ4 2012</stp>
        <stp>FQ4 2012</stp>
        <stp>[AMZ_2009-2018.xlsx]Bal Sheet - Standardized!R9C18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9" s="3"/>
      </tp>
      <tp>
        <v>4307</v>
        <stp/>
        <stp>##V3_BDHV12</stp>
        <stp>AMZN US Equity</stp>
        <stp>BS_MKT_SEC_OTHER_ST_INVEST</stp>
        <stp>FQ4 2011</stp>
        <stp>FQ4 2011</stp>
        <stp>[AMZ_2009-2018.xlsx]Bal Sheet - Standardized!R9C14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9" s="3"/>
      </tp>
      <tp>
        <v>4985</v>
        <stp/>
        <stp>##V3_BDHV12</stp>
        <stp>AMZN US Equity</stp>
        <stp>BS_MKT_SEC_OTHER_ST_INVEST</stp>
        <stp>FQ4 2010</stp>
        <stp>FQ4 2010</stp>
        <stp>[AMZ_2009-2018.xlsx]Bal Sheet - Standardized!R9C10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9" s="3"/>
      </tp>
      <tp>
        <v>384213.64990000002</v>
        <stp/>
        <stp>##V3_BDHV12</stp>
        <stp>AMZN US Equity</stp>
        <stp>ACTUAL_SALES_PER_EMPL</stp>
        <stp>FQ4 2010</stp>
        <stp>FQ4 2010</stp>
        <stp>[AMZ_2009-2018.xlsx]Income - Adjusted!R68C10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J68" s="2"/>
      </tp>
      <tp>
        <v>310160.14230000001</v>
        <stp/>
        <stp>##V3_BDHV12</stp>
        <stp>AMZN US Equity</stp>
        <stp>ACTUAL_SALES_PER_EMPL</stp>
        <stp>FQ4 2011</stp>
        <stp>FQ4 2011</stp>
        <stp>[AMZ_2009-2018.xlsx]Income - Adjusted!R68C14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N68" s="2"/>
      </tp>
      <tp>
        <v>28377</v>
        <stp/>
        <stp>##V3_BDHV12</stp>
        <stp>AMZN US Equity</stp>
        <stp>BS_TOT_ASSET</stp>
        <stp>FQ1 2013</stp>
        <stp>FQ1 2013</stp>
        <stp>[AMZ_2009-2018.xlsx]Bal Sheet - Standardized!R35C19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5" s="3"/>
      </tp>
      <tp>
        <v>240588.2353</v>
        <stp/>
        <stp>##V3_BDHV12</stp>
        <stp>AMZN US Equity</stp>
        <stp>ACTUAL_SALES_PER_EMPL</stp>
        <stp>FQ4 2012</stp>
        <stp>FQ4 2012</stp>
        <stp>[AMZ_2009-2018.xlsx]Income - Adjusted!R68C18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R68" s="2"/>
      </tp>
      <tp>
        <v>218132.99230000001</v>
        <stp/>
        <stp>##V3_BDHV12</stp>
        <stp>AMZN US Equity</stp>
        <stp>ACTUAL_SALES_PER_EMPL</stp>
        <stp>FQ4 2013</stp>
        <stp>FQ4 2013</stp>
        <stp>[AMZ_2009-2018.xlsx]Income - Adjusted!R68C22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V68" s="2"/>
      </tp>
      <tp>
        <v>190317.97529999999</v>
        <stp/>
        <stp>##V3_BDHV12</stp>
        <stp>AMZN US Equity</stp>
        <stp>ACTUAL_SALES_PER_EMPL</stp>
        <stp>FQ4 2014</stp>
        <stp>FQ4 2014</stp>
        <stp>[AMZ_2009-2018.xlsx]Income - Adjusted!R68C26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Z68" s="2"/>
      </tp>
      <tp>
        <v>154883.01560000001</v>
        <stp/>
        <stp>##V3_BDHV12</stp>
        <stp>AMZN US Equity</stp>
        <stp>ACTUAL_SALES_PER_EMPL</stp>
        <stp>FQ4 2015</stp>
        <stp>FQ4 2015</stp>
        <stp>[AMZ_2009-2018.xlsx]Income - Adjusted!R68C30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D68" s="2"/>
      </tp>
      <tp>
        <v>128122.43700000001</v>
        <stp/>
        <stp>##V3_BDHV12</stp>
        <stp>AMZN US Equity</stp>
        <stp>ACTUAL_SALES_PER_EMPL</stp>
        <stp>FQ4 2016</stp>
        <stp>FQ4 2016</stp>
        <stp>[AMZ_2009-2018.xlsx]Income - Adjusted!R68C34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H68" s="2"/>
      </tp>
      <tp>
        <v>106807.42049999999</v>
        <stp/>
        <stp>##V3_BDHV12</stp>
        <stp>AMZN US Equity</stp>
        <stp>ACTUAL_SALES_PER_EMPL</stp>
        <stp>FQ4 2017</stp>
        <stp>FQ4 2017</stp>
        <stp>[AMZ_2009-2018.xlsx]Income - Adjusted!R68C38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L68" s="2"/>
      </tp>
      <tp>
        <v>29623</v>
        <stp/>
        <stp>##V3_BDHV12</stp>
        <stp>AMZN US Equity</stp>
        <stp>BS_TOT_ASSET</stp>
        <stp>FQ2 2013</stp>
        <stp>FQ2 2013</stp>
        <stp>[AMZ_2009-2018.xlsx]Bal Sheet - Standardized!R35C20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5" s="3"/>
      </tp>
      <tp>
        <v>19054</v>
        <stp/>
        <stp>##V3_BDHV12</stp>
        <stp>AMZN US Equity</stp>
        <stp>BS_TOT_ASSET</stp>
        <stp>FQ3 2011</stp>
        <stp>FQ3 2011</stp>
        <stp>[AMZ_2009-2018.xlsx]Bal Sheet - Standardized!R35C13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5" s="3"/>
      </tp>
      <tp>
        <v>18.0642</v>
        <stp/>
        <stp>##V3_BDHV12</stp>
        <stp>AMZN US Equity</stp>
        <stp>FREE_CASH_FLOW_PER_SH</stp>
        <stp>FQ4 2017</stp>
        <stp>FQ4 2017</stp>
        <stp>[AMZ_2009-2018.xlsx]Cash Flow - Standardized!R68C38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68" s="4"/>
      </tp>
      <tp t="s">
        <v>—</v>
        <stp/>
        <stp>##V3_BDHV12</stp>
        <stp>AMZN US Equity</stp>
        <stp>BS_DERIV_&amp;_HEDGING_ASSETS_ST</stp>
        <stp>FQ2 2018</stp>
        <stp>FQ2 2018</stp>
        <stp>[AMZ_2009-2018.xlsx]Bal Sheet - Standardized!R19C40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9" s="3"/>
      </tp>
      <tp t="s">
        <v>—</v>
        <stp/>
        <stp>##V3_BDHV12</stp>
        <stp>AMZN US Equity</stp>
        <stp>BS_DERIV_&amp;_HEDGING_ASSETS_LT</stp>
        <stp>FQ2 2018</stp>
        <stp>FQ2 2018</stp>
        <stp>[AMZ_2009-2018.xlsx]Bal Sheet - Standardized!R32C40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2" s="3"/>
      </tp>
      <tp t="s">
        <v>—</v>
        <stp/>
        <stp>##V3_BDHV12</stp>
        <stp>AMZN US Equity</stp>
        <stp>NUM_OF_EMPLOYEES</stp>
        <stp>FQ1 2009</stp>
        <stp>FQ1 2009</stp>
        <stp>[AMZ_2009-2018.xlsx]Bal Sheet - Standardized!R89C3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89" s="3"/>
      </tp>
      <tp>
        <v>24300</v>
        <stp/>
        <stp>##V3_BDHV12</stp>
        <stp>AMZN US Equity</stp>
        <stp>NUM_OF_EMPLOYEES</stp>
        <stp>FQ4 2009</stp>
        <stp>FQ4 2009</stp>
        <stp>[AMZ_2009-2018.xlsx]Bal Sheet - Standardized!R89C6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89" s="3"/>
      </tp>
      <tp>
        <v>0</v>
        <stp/>
        <stp>##V3_BDHV12</stp>
        <stp>AMZN US Equity</stp>
        <stp>CF_NET_CASH_DISCONTINUED_OPS_FIN</stp>
        <stp>FQ1 2010</stp>
        <stp>FQ1 2010</stp>
        <stp>[AMZ_2009-2018.xlsx]Cash Flow - Standardized!R50C7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0" s="4"/>
      </tp>
      <tp>
        <v>0</v>
        <stp/>
        <stp>##V3_BDHV12</stp>
        <stp>AMZN US Equity</stp>
        <stp>IS_EXTRAORD_ITEMS_&amp;_ACCTG_CHNG</stp>
        <stp>FQ1 2015</stp>
        <stp>FQ1 2015</stp>
        <stp>[AMZ_2009-2018.xlsx]Income - Adjusted!R37C27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7" s="2"/>
      </tp>
      <tp>
        <v>0</v>
        <stp/>
        <stp>##V3_BDHV12</stp>
        <stp>AMZN US Equity</stp>
        <stp>CF_DECR_CAP_STOCK</stp>
        <stp>FQ1 2009</stp>
        <stp>FQ1 2009</stp>
        <stp>[AMZ_2009-2018.xlsx]Cash Flow - Standardized!R48C3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8" s="4"/>
      </tp>
      <tp>
        <v>0</v>
        <stp/>
        <stp>##V3_BDHV12</stp>
        <stp>AMZN US Equity</stp>
        <stp>IS_EXTRAORD_ITEMS_&amp;_ACCTG_CHNG</stp>
        <stp>FQ2 2015</stp>
        <stp>FQ2 2015</stp>
        <stp>[AMZ_2009-2018.xlsx]Income - Adjusted!R37C28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7" s="2"/>
      </tp>
      <tp t="s">
        <v>—</v>
        <stp/>
        <stp>##V3_BDHV12</stp>
        <stp>AMZN US Equity</stp>
        <stp>NUM_OF_EMPLOYEES</stp>
        <stp>FQ2 2010</stp>
        <stp>FQ2 2010</stp>
        <stp>[AMZ_2009-2018.xlsx]Bal Sheet - Standardized!R89C8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89" s="3"/>
      </tp>
      <tp t="s">
        <v>—</v>
        <stp/>
        <stp>##V3_BDHV12</stp>
        <stp>AMZN US Equity</stp>
        <stp>NUM_OF_EMPLOYEES</stp>
        <stp>FQ3 2010</stp>
        <stp>FQ3 2010</stp>
        <stp>[AMZ_2009-2018.xlsx]Bal Sheet - Standardized!R89C9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89" s="3"/>
      </tp>
      <tp>
        <v>0</v>
        <stp/>
        <stp>##V3_BDHV12</stp>
        <stp>AMZN US Equity</stp>
        <stp>IS_EXTRAORD_ITEMS_&amp;_ACCTG_CHNG</stp>
        <stp>FQ3 2015</stp>
        <stp>FQ3 2015</stp>
        <stp>[AMZ_2009-2018.xlsx]Income - Adjusted!R37C29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7" s="2"/>
      </tp>
      <tp>
        <v>76</v>
        <stp/>
        <stp>##V3_BDHV12</stp>
        <stp>AMZN US Equity</stp>
        <stp>INC_DEC_IN_OT_OP_AST_LIAB_DETAIL</stp>
        <stp>FQ2 2009</stp>
        <stp>FQ2 2009</stp>
        <stp>[AMZ_2009-2018.xlsx]Cash Flow - Standardized!R17C4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7" s="4"/>
      </tp>
      <tp>
        <v>144</v>
        <stp/>
        <stp>##V3_BDHV12</stp>
        <stp>AMZN US Equity</stp>
        <stp>INC_DEC_IN_OT_OP_AST_LIAB_DETAIL</stp>
        <stp>FQ3 2010</stp>
        <stp>FQ3 2010</stp>
        <stp>[AMZ_2009-2018.xlsx]Cash Flow - Standardized!R17C9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7" s="4"/>
      </tp>
      <tp>
        <v>382400</v>
        <stp/>
        <stp>##V3_BDHV12</stp>
        <stp>AMZN US Equity</stp>
        <stp>NUM_OF_EMPLOYEES</stp>
        <stp>FQ2 2017</stp>
        <stp>FQ2 2017</stp>
        <stp>[AMZ_2009-2018.xlsx]Bal Sheet - Standardized!R89C36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89" s="3"/>
      </tp>
      <tp>
        <v>149500</v>
        <stp/>
        <stp>##V3_BDHV12</stp>
        <stp>AMZN US Equity</stp>
        <stp>NUM_OF_EMPLOYEES</stp>
        <stp>FQ3 2014</stp>
        <stp>FQ3 2014</stp>
        <stp>[AMZ_2009-2018.xlsx]Bal Sheet - Standardized!R89C25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89" s="3"/>
      </tp>
      <tp>
        <v>563100</v>
        <stp/>
        <stp>##V3_BDHV12</stp>
        <stp>AMZN US Equity</stp>
        <stp>NUM_OF_EMPLOYEES</stp>
        <stp>FQ1 2018</stp>
        <stp>FQ1 2018</stp>
        <stp>[AMZ_2009-2018.xlsx]Bal Sheet - Standardized!R89C39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89" s="3"/>
      </tp>
      <tp>
        <v>117300</v>
        <stp/>
        <stp>##V3_BDHV12</stp>
        <stp>AMZN US Equity</stp>
        <stp>NUM_OF_EMPLOYEES</stp>
        <stp>FQ4 2013</stp>
        <stp>FQ4 2013</stp>
        <stp>[AMZ_2009-2018.xlsx]Bal Sheet - Standardized!R89C22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89" s="3"/>
      </tp>
      <tp>
        <v>85</v>
        <stp/>
        <stp>##V3_BDHV12</stp>
        <stp>AMZN US Equity</stp>
        <stp>IS_INC_TAX_EXP</stp>
        <stp>FQ4 2009</stp>
        <stp>FQ4 2009</stp>
        <stp>[AMZ_2009-2018.xlsx]Income - Adjusted!R32C6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32" s="2"/>
      </tp>
      <tp>
        <v>15160</v>
        <stp/>
        <stp>##V3_BDHV12</stp>
        <stp>AMZN US Equity</stp>
        <stp>IS_COGS_TO_FE_AND_PP_AND_G</stp>
        <stp>FQ2 2015</stp>
        <stp>FQ2 2015</stp>
        <stp>[AMZ_2009-2018.xlsx]Income - Adjusted!R8C28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8" s="2"/>
      </tp>
      <tp t="s">
        <v>—</v>
        <stp/>
        <stp>##V3_BDHV12</stp>
        <stp>AMZN US Equity</stp>
        <stp>BS_GROSS_FIX_ASSET</stp>
        <stp>FQ3 2017</stp>
        <stp>FQ3 2017</stp>
        <stp>[AMZ_2009-2018.xlsx]Bal Sheet - Standardized!R24C37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4" s="3"/>
      </tp>
      <tp>
        <v>3.7753000000000001</v>
        <stp/>
        <stp>##V3_BDHV12</stp>
        <stp>AMZN US Equity</stp>
        <stp>OPER_MARGIN</stp>
        <stp>FQ1 2018</stp>
        <stp>FQ1 2018</stp>
        <stp>[AMZ_2009-2018.xlsx]Income - Adjusted!R66C39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M66" s="2"/>
      </tp>
      <tp t="s">
        <v>—</v>
        <stp/>
        <stp>##V3_BDHV12</stp>
        <stp>AMZN US Equity</stp>
        <stp>BS_GROSS_FIX_ASSET</stp>
        <stp>FQ2 2016</stp>
        <stp>FQ2 2016</stp>
        <stp>[AMZ_2009-2018.xlsx]Bal Sheet - Standardized!R24C32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4" s="3"/>
      </tp>
      <tp t="s">
        <v>—</v>
        <stp/>
        <stp>##V3_BDHV12</stp>
        <stp>AMZN US Equity</stp>
        <stp>BS_GROSS_FIX_ASSET</stp>
        <stp>FQ1 2014</stp>
        <stp>FQ1 2014</stp>
        <stp>[AMZ_2009-2018.xlsx]Bal Sheet - Standardized!R24C23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4" s="3"/>
      </tp>
      <tp>
        <v>1.4561999999999999</v>
        <stp/>
        <stp>##V3_BDHV12</stp>
        <stp>AMZN US Equity</stp>
        <stp>OPER_MARGIN</stp>
        <stp>FQ1 2012</stp>
        <stp>FQ1 2012</stp>
        <stp>[AMZ_2009-2018.xlsx]Income - Adjusted!R66C15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O66" s="2"/>
      </tp>
      <tp>
        <v>1.1263000000000001</v>
        <stp/>
        <stp>##V3_BDHV12</stp>
        <stp>AMZN US Equity</stp>
        <stp>OPER_MARGIN</stp>
        <stp>FQ1 2013</stp>
        <stp>FQ1 2013</stp>
        <stp>[AMZ_2009-2018.xlsx]Income - Adjusted!R66C19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S66" s="2"/>
      </tp>
      <tp>
        <v>9582</v>
        <stp/>
        <stp>##V3_BDHV12</stp>
        <stp>AMZN US Equity</stp>
        <stp>BS_GROSS_FIX_ASSET</stp>
        <stp>FQ4 2012</stp>
        <stp>FQ4 2012</stp>
        <stp>[AMZ_2009-2018.xlsx]Bal Sheet - Standardized!R24C18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4" s="3"/>
      </tp>
      <tp>
        <v>3.2667000000000002</v>
        <stp/>
        <stp>##V3_BDHV12</stp>
        <stp>AMZN US Equity</stp>
        <stp>OPER_MARGIN</stp>
        <stp>FQ1 2011</stp>
        <stp>FQ1 2011</stp>
        <stp>[AMZ_2009-2018.xlsx]Income - Adjusted!R66C11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K66" s="2"/>
      </tp>
      <tp>
        <v>3.6768999999999998</v>
        <stp/>
        <stp>##V3_BDHV12</stp>
        <stp>AMZN US Equity</stp>
        <stp>OPER_MARGIN</stp>
        <stp>FQ1 2016</stp>
        <stp>FQ1 2016</stp>
        <stp>[AMZ_2009-2018.xlsx]Income - Adjusted!R66C31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E66" s="2"/>
      </tp>
      <tp>
        <v>2.8140000000000001</v>
        <stp/>
        <stp>##V3_BDHV12</stp>
        <stp>AMZN US Equity</stp>
        <stp>OPER_MARGIN</stp>
        <stp>FQ1 2017</stp>
        <stp>FQ1 2017</stp>
        <stp>[AMZ_2009-2018.xlsx]Income - Adjusted!R66C35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I66" s="2"/>
      </tp>
      <tp>
        <v>0.73960000000000004</v>
        <stp/>
        <stp>##V3_BDHV12</stp>
        <stp>AMZN US Equity</stp>
        <stp>OPER_MARGIN</stp>
        <stp>FQ1 2014</stp>
        <stp>FQ1 2014</stp>
        <stp>[AMZ_2009-2018.xlsx]Income - Adjusted!R66C23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W66" s="2"/>
      </tp>
      <tp>
        <v>1.1225000000000001</v>
        <stp/>
        <stp>##V3_BDHV12</stp>
        <stp>AMZN US Equity</stp>
        <stp>OPER_MARGIN</stp>
        <stp>FQ1 2015</stp>
        <stp>FQ1 2015</stp>
        <stp>[AMZ_2009-2018.xlsx]Income - Adjusted!R66C27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A66" s="2"/>
      </tp>
      <tp>
        <v>22563</v>
        <stp/>
        <stp>##V3_BDHV12</stp>
        <stp>AMZN US Equity</stp>
        <stp>BS_ADD_PAID_IN_CAP</stp>
        <stp>FQ1 2018</stp>
        <stp>FQ1 2018</stp>
        <stp>[AMZ_2009-2018.xlsx]Bal Sheet - Standardized!R67C39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7" s="3"/>
      </tp>
      <tp>
        <v>13300</v>
        <stp/>
        <stp>##V3_BDHV12</stp>
        <stp>AMZN US Equity</stp>
        <stp>LT_CAPITAL_LEASE_OBLIGATIONS</stp>
        <stp>FQ1 2018</stp>
        <stp>FQ1 2018</stp>
        <stp>[AMZ_2009-2018.xlsx]Bal Sheet - Standardized!R54C39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4" s="3"/>
      </tp>
      <tp>
        <v>0</v>
        <stp/>
        <stp>##V3_BDHV12</stp>
        <stp>AMZN US Equity</stp>
        <stp>OTHER_CURRENT_LIABS_DETAILED</stp>
        <stp>FQ1 2010</stp>
        <stp>FQ1 2010</stp>
        <stp>[AMZ_2009-2018.xlsx]Bal Sheet - Standardized!R50C7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0" s="3"/>
      </tp>
      <tp t="s">
        <v>—</v>
        <stp/>
        <stp>##V3_BDHV12</stp>
        <stp>AMZN US Equity</stp>
        <stp>INVTRY_RAW_MATERIALS</stp>
        <stp>FQ2 2018</stp>
        <stp>FQ2 2018</stp>
        <stp>[AMZ_2009-2018.xlsx]Bal Sheet - Standardized!R14C40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4" s="3"/>
      </tp>
      <tp>
        <v>17941</v>
        <stp/>
        <stp>##V3_BDHV12</stp>
        <stp>AMZN US Equity</stp>
        <stp>BS_TOT_ASSET</stp>
        <stp>FQ2 2011</stp>
        <stp>FQ2 2011</stp>
        <stp>[AMZ_2009-2018.xlsx]Bal Sheet - Standardized!R35C12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5" s="3"/>
      </tp>
      <tp>
        <v>54505</v>
        <stp/>
        <stp>##V3_BDHV12</stp>
        <stp>AMZN US Equity</stp>
        <stp>BS_TOT_ASSET</stp>
        <stp>FQ4 2014</stp>
        <stp>FQ4 2014</stp>
        <stp>[AMZ_2009-2018.xlsx]Bal Sheet - Standardized!R35C26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5" s="3"/>
      </tp>
      <tp>
        <v>31861</v>
        <stp/>
        <stp>##V3_BDHV12</stp>
        <stp>AMZN US Equity</stp>
        <stp>BS_TOT_ASSET</stp>
        <stp>FQ3 2013</stp>
        <stp>FQ3 2013</stp>
        <stp>[AMZ_2009-2018.xlsx]Bal Sheet - Standardized!R35C21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5" s="3"/>
      </tp>
      <tp>
        <v>20339</v>
        <stp/>
        <stp>##V3_BDHV12</stp>
        <stp>AMZN US Equity</stp>
        <stp>BS_TOT_ASSET</stp>
        <stp>FQ1 2012</stp>
        <stp>FQ1 2012</stp>
        <stp>[AMZ_2009-2018.xlsx]Bal Sheet - Standardized!R35C15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5" s="3"/>
      </tp>
      <tp>
        <v>64747</v>
        <stp/>
        <stp>##V3_BDHV12</stp>
        <stp>AMZN US Equity</stp>
        <stp>BS_TOT_ASSET</stp>
        <stp>FQ4 2015</stp>
        <stp>FQ4 2015</stp>
        <stp>[AMZ_2009-2018.xlsx]Bal Sheet - Standardized!R35C30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5" s="3"/>
      </tp>
      <tp t="s">
        <v>—</v>
        <stp/>
        <stp>##V3_BDHV12</stp>
        <stp>AMZN US Equity</stp>
        <stp>IS_CAP_INT_EXP</stp>
        <stp>FQ2 2018</stp>
        <stp>FQ2 2018</stp>
        <stp>[AMZ_2009-2018.xlsx]Income - Adjusted!R71C40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1" s="2"/>
      </tp>
      <tp>
        <v>0</v>
        <stp/>
        <stp>##V3_BDHV12</stp>
        <stp>AMZN US Equity</stp>
        <stp>IS_EXTRAORD_ITEMS_&amp;_ACCTG_CHNG</stp>
        <stp>FQ4 2015</stp>
        <stp>FQ4 2015</stp>
        <stp>[AMZ_2009-2018.xlsx]Income - Adjusted!R37C30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7" s="2"/>
      </tp>
      <tp>
        <v>0</v>
        <stp/>
        <stp>##V3_BDHV12</stp>
        <stp>AMZN US Equity</stp>
        <stp>IS_EXTRAORD_ITEMS_&amp;_ACCTG_CHNG</stp>
        <stp>FQ1 2014</stp>
        <stp>FQ1 2014</stp>
        <stp>[AMZ_2009-2018.xlsx]Income - Adjusted!R37C23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7" s="2"/>
      </tp>
      <tp>
        <v>0</v>
        <stp/>
        <stp>##V3_BDHV12</stp>
        <stp>AMZN US Equity</stp>
        <stp>IS_EXTRAORD_ITEMS_&amp;_ACCTG_CHNG</stp>
        <stp>FQ2 2014</stp>
        <stp>FQ2 2014</stp>
        <stp>[AMZ_2009-2018.xlsx]Income - Adjusted!R37C24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7" s="2"/>
      </tp>
      <tp>
        <v>0</v>
        <stp/>
        <stp>##V3_BDHV12</stp>
        <stp>AMZN US Equity</stp>
        <stp>IS_EXTRAORD_ITEMS_&amp;_ACCTG_CHNG</stp>
        <stp>FQ3 2014</stp>
        <stp>FQ3 2014</stp>
        <stp>[AMZ_2009-2018.xlsx]Income - Adjusted!R37C25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7" s="2"/>
      </tp>
      <tp>
        <v>0</v>
        <stp/>
        <stp>##V3_BDHV12</stp>
        <stp>AMZN US Equity</stp>
        <stp>IS_EXTRAORD_ITEMS_&amp;_ACCTG_CHNG</stp>
        <stp>FQ4 2014</stp>
        <stp>FQ4 2014</stp>
        <stp>[AMZ_2009-2018.xlsx]Income - Adjusted!R37C26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7" s="2"/>
      </tp>
      <tp>
        <v>51</v>
        <stp/>
        <stp>##V3_BDHV12</stp>
        <stp>AMZN US Equity</stp>
        <stp>INC_DEC_IN_OT_OP_AST_LIAB_DETAIL</stp>
        <stp>FQ3 2009</stp>
        <stp>FQ3 2009</stp>
        <stp>[AMZ_2009-2018.xlsx]Cash Flow - Standardized!R17C5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7" s="4"/>
      </tp>
      <tp>
        <v>0</v>
        <stp/>
        <stp>##V3_BDHV12</stp>
        <stp>AMZN US Equity</stp>
        <stp>CF_NET_CASH_DISCONTINUED_OPS_FIN</stp>
        <stp>FQ1 2009</stp>
        <stp>FQ1 2009</stp>
        <stp>[AMZ_2009-2018.xlsx]Cash Flow - Standardized!R50C3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0" s="4"/>
      </tp>
      <tp>
        <v>0</v>
        <stp/>
        <stp>##V3_BDHV12</stp>
        <stp>AMZN US Equity</stp>
        <stp>CF_DECR_CAP_STOCK</stp>
        <stp>FQ1 2010</stp>
        <stp>FQ1 2010</stp>
        <stp>[AMZ_2009-2018.xlsx]Cash Flow - Standardized!R48C7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8" s="4"/>
      </tp>
      <tp>
        <v>147</v>
        <stp/>
        <stp>##V3_BDHV12</stp>
        <stp>AMZN US Equity</stp>
        <stp>INC_DEC_IN_OT_OP_AST_LIAB_DETAIL</stp>
        <stp>FQ2 2010</stp>
        <stp>FQ2 2010</stp>
        <stp>[AMZ_2009-2018.xlsx]Cash Flow - Standardized!R17C8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7" s="4"/>
      </tp>
      <tp>
        <v>132600</v>
        <stp/>
        <stp>##V3_BDHV12</stp>
        <stp>AMZN US Equity</stp>
        <stp>NUM_OF_EMPLOYEES</stp>
        <stp>FQ2 2014</stp>
        <stp>FQ2 2014</stp>
        <stp>[AMZ_2009-2018.xlsx]Bal Sheet - Standardized!R89C24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89" s="3"/>
      </tp>
      <tp>
        <v>541900</v>
        <stp/>
        <stp>##V3_BDHV12</stp>
        <stp>AMZN US Equity</stp>
        <stp>NUM_OF_EMPLOYEES</stp>
        <stp>FQ3 2017</stp>
        <stp>FQ3 2017</stp>
        <stp>[AMZ_2009-2018.xlsx]Bal Sheet - Standardized!R89C37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89" s="3"/>
      </tp>
      <tp>
        <v>37900</v>
        <stp/>
        <stp>##V3_BDHV12</stp>
        <stp>AMZN US Equity</stp>
        <stp>NUM_OF_EMPLOYEES</stp>
        <stp>FQ1 2011</stp>
        <stp>FQ1 2011</stp>
        <stp>[AMZ_2009-2018.xlsx]Bal Sheet - Standardized!R89C11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89" s="3"/>
      </tp>
      <tp>
        <v>33700</v>
        <stp/>
        <stp>##V3_BDHV12</stp>
        <stp>AMZN US Equity</stp>
        <stp>NUM_OF_EMPLOYEES</stp>
        <stp>FQ4 2010</stp>
        <stp>FQ4 2010</stp>
        <stp>[AMZ_2009-2018.xlsx]Bal Sheet - Standardized!R89C10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89" s="3"/>
      </tp>
      <tp>
        <v>47.497199999999999</v>
        <stp/>
        <stp>##V3_BDHV12</stp>
        <stp>AMZN US Equity</stp>
        <stp>NET_DEBT_TO_SHRHLDR_EQTY</stp>
        <stp>FQ4 2017</stp>
        <stp>FQ4 2017</stp>
        <stp>[AMZ_2009-2018.xlsx]Bal Sheet - Standardized!R84C38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84" s="3"/>
      </tp>
      <tp>
        <v>16755</v>
        <stp/>
        <stp>##V3_BDHV12</stp>
        <stp>AMZN US Equity</stp>
        <stp>IS_COGS_TO_FE_AND_PP_AND_G</stp>
        <stp>FQ3 2015</stp>
        <stp>FQ3 2015</stp>
        <stp>[AMZ_2009-2018.xlsx]Income - Adjusted!R8C29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8" s="2"/>
      </tp>
      <tp>
        <v>-0.02</v>
        <stp/>
        <stp>##V3_BDHV12</stp>
        <stp>AMZN US Equity</stp>
        <stp>IS_BASIC_EPS_CONT_OPS</stp>
        <stp>FQ2 2013</stp>
        <stp>FQ2 2013</stp>
        <stp>[AMZ_2009-2018.xlsx]Per Share!R16C20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16" s="5"/>
      </tp>
      <tp>
        <v>3.9877000000000002</v>
        <stp/>
        <stp>##V3_BDHV12</stp>
        <stp>AMZN US Equity</stp>
        <stp>IS_BASIC_EPS_CONT_OPS</stp>
        <stp>FQ2 2018</stp>
        <stp>FQ2 2018</stp>
        <stp>[AMZ_2009-2018.xlsx]Per Share!R16C40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16" s="5"/>
      </tp>
      <tp>
        <v>0.93</v>
        <stp/>
        <stp>##V3_BDHV12</stp>
        <stp>AMZN US Equity</stp>
        <stp>IS_BASIC_EPS_CONT_OPS</stp>
        <stp>FQ4 2010</stp>
        <stp>FQ4 2010</stp>
        <stp>[AMZ_2009-2018.xlsx]Per Share!R16C10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16" s="5"/>
      </tp>
      <tp>
        <v>1.0297000000000001</v>
        <stp/>
        <stp>##V3_BDHV12</stp>
        <stp>AMZN US Equity</stp>
        <stp>IS_BASIC_EPS_CONT_OPS</stp>
        <stp>FQ4 2015</stp>
        <stp>FQ4 2015</stp>
        <stp>[AMZ_2009-2018.xlsx]Per Share!R16C30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16" s="5"/>
      </tp>
      <tp>
        <v>7197</v>
        <stp/>
        <stp>##V3_BDHV12</stp>
        <stp>AMZN US Equity</stp>
        <stp>BS_SH_CAP_AND_APIC</stp>
        <stp>FQ1 2012</stp>
        <stp>FQ1 2012</stp>
        <stp>[AMZ_2009-2018.xlsx]Bal Sheet - Standardized!R65C15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5" s="3"/>
      </tp>
      <tp>
        <v>13399</v>
        <stp/>
        <stp>##V3_BDHV12</stp>
        <stp>AMZN US Equity</stp>
        <stp>BS_SH_CAP_AND_APIC</stp>
        <stp>FQ4 2015</stp>
        <stp>FQ4 2015</stp>
        <stp>[AMZ_2009-2018.xlsx]Bal Sheet - Standardized!R65C30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5" s="3"/>
      </tp>
      <tp>
        <v>11140</v>
        <stp/>
        <stp>##V3_BDHV12</stp>
        <stp>AMZN US Equity</stp>
        <stp>BS_SH_CAP_AND_APIC</stp>
        <stp>FQ4 2014</stp>
        <stp>FQ4 2014</stp>
        <stp>[AMZ_2009-2018.xlsx]Bal Sheet - Standardized!R65C26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5" s="3"/>
      </tp>
      <tp>
        <v>9180</v>
        <stp/>
        <stp>##V3_BDHV12</stp>
        <stp>AMZN US Equity</stp>
        <stp>BS_SH_CAP_AND_APIC</stp>
        <stp>FQ3 2013</stp>
        <stp>FQ3 2013</stp>
        <stp>[AMZ_2009-2018.xlsx]Bal Sheet - Standardized!R65C21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5" s="3"/>
      </tp>
      <tp>
        <v>6680</v>
        <stp/>
        <stp>##V3_BDHV12</stp>
        <stp>AMZN US Equity</stp>
        <stp>BS_SH_CAP_AND_APIC</stp>
        <stp>FQ2 2011</stp>
        <stp>FQ2 2011</stp>
        <stp>[AMZ_2009-2018.xlsx]Bal Sheet - Standardized!R65C12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5" s="3"/>
      </tp>
      <tp>
        <v>17976</v>
        <stp/>
        <stp>##V3_BDHV12</stp>
        <stp>AMZN US Equity</stp>
        <stp>BS_ADD_PAID_IN_CAP</stp>
        <stp>FQ1 2017</stp>
        <stp>FQ1 2017</stp>
        <stp>[AMZ_2009-2018.xlsx]Bal Sheet - Standardized!R67C35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7" s="3"/>
      </tp>
      <tp>
        <v>10827</v>
        <stp/>
        <stp>##V3_BDHV12</stp>
        <stp>AMZN US Equity</stp>
        <stp>BS_ADD_PAID_IN_CAP</stp>
        <stp>FQ3 2014</stp>
        <stp>FQ3 2014</stp>
        <stp>[AMZ_2009-2018.xlsx]Bal Sheet - Standardized!R67C25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7" s="3"/>
      </tp>
      <tp>
        <v>9573</v>
        <stp/>
        <stp>##V3_BDHV12</stp>
        <stp>AMZN US Equity</stp>
        <stp>BS_ADD_PAID_IN_CAP</stp>
        <stp>FQ4 2013</stp>
        <stp>FQ4 2013</stp>
        <stp>[AMZ_2009-2018.xlsx]Bal Sheet - Standardized!R67C22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7" s="3"/>
      </tp>
      <tp>
        <v>6325</v>
        <stp/>
        <stp>##V3_BDHV12</stp>
        <stp>AMZN US Equity</stp>
        <stp>BS_ADD_PAID_IN_CAP</stp>
        <stp>FQ4 2010</stp>
        <stp>FQ4 2010</stp>
        <stp>[AMZ_2009-2018.xlsx]Bal Sheet - Standardized!R67C10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7" s="3"/>
      </tp>
      <tp>
        <v>12233</v>
        <stp/>
        <stp>##V3_BDHV12</stp>
        <stp>AMZN US Equity</stp>
        <stp>BS_ADD_PAID_IN_CAP</stp>
        <stp>FQ2 2015</stp>
        <stp>FQ2 2015</stp>
        <stp>[AMZ_2009-2018.xlsx]Bal Sheet - Standardized!R67C28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7" s="3"/>
      </tp>
      <tp>
        <v>0</v>
        <stp/>
        <stp>##V3_BDHV12</stp>
        <stp>AMZN US Equity</stp>
        <stp>OTHER_CURRENT_LIABS_DETAILED</stp>
        <stp>FQ4 2011</stp>
        <stp>FQ4 2011</stp>
        <stp>[AMZ_2009-2018.xlsx]Bal Sheet - Standardized!R50C14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0" s="3"/>
      </tp>
      <tp>
        <v>129</v>
        <stp/>
        <stp>##V3_BDHV12</stp>
        <stp>AMZN US Equity</stp>
        <stp>CF_STOCK_BASED_COMPENSATION</stp>
        <stp>FQ2 2011</stp>
        <stp>FQ2 2011</stp>
        <stp>[AMZ_2009-2018.xlsx]Cash Flow - Standardized!R10C12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0" s="4"/>
      </tp>
      <tp>
        <v>-124</v>
        <stp/>
        <stp>##V3_BDHV12</stp>
        <stp>AMZN US Equity</stp>
        <stp>CF_EFFECT_FOREIGN_EXCHANGES</stp>
        <stp>FQ1 2013</stp>
        <stp>FQ1 2013</stp>
        <stp>[AMZ_2009-2018.xlsx]Cash Flow - Standardized!R53C19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3" s="4"/>
      </tp>
      <tp>
        <v>523</v>
        <stp/>
        <stp>##V3_BDHV12</stp>
        <stp>AMZN US Equity</stp>
        <stp>CF_STOCK_BASED_COMPENSATION</stp>
        <stp>FQ4 2014</stp>
        <stp>FQ4 2014</stp>
        <stp>[AMZ_2009-2018.xlsx]Cash Flow - Standardized!R10C26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0" s="4"/>
      </tp>
      <tp>
        <v>281</v>
        <stp/>
        <stp>##V3_BDHV12</stp>
        <stp>AMZN US Equity</stp>
        <stp>CF_STOCK_BASED_COMPENSATION</stp>
        <stp>FQ3 2013</stp>
        <stp>FQ3 2013</stp>
        <stp>[AMZ_2009-2018.xlsx]Cash Flow - Standardized!R10C21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0" s="4"/>
      </tp>
      <tp>
        <v>0</v>
        <stp/>
        <stp>##V3_BDHV12</stp>
        <stp>AMZN US Equity</stp>
        <stp>OTHER_CURRENT_LIABS_DETAILED</stp>
        <stp>FQ1 2016</stp>
        <stp>FQ1 2016</stp>
        <stp>[AMZ_2009-2018.xlsx]Bal Sheet - Standardized!R50C31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0" s="3"/>
      </tp>
      <tp>
        <v>699</v>
        <stp/>
        <stp>##V3_BDHV12</stp>
        <stp>AMZN US Equity</stp>
        <stp>CF_STOCK_BASED_COMPENSATION</stp>
        <stp>FQ4 2015</stp>
        <stp>FQ4 2015</stp>
        <stp>[AMZ_2009-2018.xlsx]Cash Flow - Standardized!R10C30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0" s="4"/>
      </tp>
      <tp>
        <v>0</v>
        <stp/>
        <stp>##V3_BDHV12</stp>
        <stp>AMZN US Equity</stp>
        <stp>OTHER_CURRENT_LIABS_DETAILED</stp>
        <stp>FQ2 2014</stp>
        <stp>FQ2 2014</stp>
        <stp>[AMZ_2009-2018.xlsx]Bal Sheet - Standardized!R50C24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0" s="3"/>
      </tp>
      <tp>
        <v>8300</v>
        <stp/>
        <stp>##V3_BDHV12</stp>
        <stp>AMZN US Equity</stp>
        <stp>LT_CAPITAL_LEASE_OBLIGATIONS</stp>
        <stp>FQ1 2017</stp>
        <stp>FQ1 2017</stp>
        <stp>[AMZ_2009-2018.xlsx]Bal Sheet - Standardized!R54C35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4" s="3"/>
      </tp>
      <tp t="s">
        <v>—</v>
        <stp/>
        <stp>##V3_BDHV12</stp>
        <stp>AMZN US Equity</stp>
        <stp>LT_CAPITAL_LEASE_OBLIGATIONS</stp>
        <stp>FQ3 2014</stp>
        <stp>FQ3 2014</stp>
        <stp>[AMZ_2009-2018.xlsx]Bal Sheet - Standardized!R54C25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4" s="3"/>
      </tp>
      <tp>
        <v>1435</v>
        <stp/>
        <stp>##V3_BDHV12</stp>
        <stp>AMZN US Equity</stp>
        <stp>LT_CAPITAL_LEASE_OBLIGATIONS</stp>
        <stp>FQ4 2013</stp>
        <stp>FQ4 2013</stp>
        <stp>[AMZ_2009-2018.xlsx]Bal Sheet - Standardized!R54C22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4" s="3"/>
      </tp>
      <tp>
        <v>120</v>
        <stp/>
        <stp>##V3_BDHV12</stp>
        <stp>AMZN US Equity</stp>
        <stp>CF_STOCK_BASED_COMPENSATION</stp>
        <stp>FQ1 2012</stp>
        <stp>FQ1 2012</stp>
        <stp>[AMZ_2009-2018.xlsx]Cash Flow - Standardized!R10C15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0" s="4"/>
      </tp>
      <tp>
        <v>276</v>
        <stp/>
        <stp>##V3_BDHV12</stp>
        <stp>AMZN US Equity</stp>
        <stp>LT_CAPITAL_LEASE_OBLIGATIONS</stp>
        <stp>FQ4 2010</stp>
        <stp>FQ4 2010</stp>
        <stp>[AMZ_2009-2018.xlsx]Bal Sheet - Standardized!R54C10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4" s="3"/>
      </tp>
      <tp>
        <v>0</v>
        <stp/>
        <stp>##V3_BDHV12</stp>
        <stp>AMZN US Equity</stp>
        <stp>OTHER_CURRENT_LIABS_DETAILED</stp>
        <stp>FQ3 2015</stp>
        <stp>FQ3 2015</stp>
        <stp>[AMZ_2009-2018.xlsx]Bal Sheet - Standardized!R50C29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0" s="3"/>
      </tp>
      <tp t="s">
        <v>—</v>
        <stp/>
        <stp>##V3_BDHV12</stp>
        <stp>AMZN US Equity</stp>
        <stp>INVTRY_RAW_MATERIALS</stp>
        <stp>FQ1 2010</stp>
        <stp>FQ1 2010</stp>
        <stp>[AMZ_2009-2018.xlsx]Bal Sheet - Standardized!R14C7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4" s="3"/>
      </tp>
      <tp>
        <v>-28</v>
        <stp/>
        <stp>##V3_BDHV12</stp>
        <stp>AMZN US Equity</stp>
        <stp>CF_EFFECT_FOREIGN_EXCHANGES</stp>
        <stp>FQ2 2013</stp>
        <stp>FQ2 2013</stp>
        <stp>[AMZ_2009-2018.xlsx]Cash Flow - Standardized!R53C20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3" s="4"/>
      </tp>
      <tp t="s">
        <v>—</v>
        <stp/>
        <stp>##V3_BDHV12</stp>
        <stp>AMZN US Equity</stp>
        <stp>LT_CAPITAL_LEASE_OBLIGATIONS</stp>
        <stp>FQ2 2015</stp>
        <stp>FQ2 2015</stp>
        <stp>[AMZ_2009-2018.xlsx]Bal Sheet - Standardized!R54C28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4" s="3"/>
      </tp>
      <tp>
        <v>-39</v>
        <stp/>
        <stp>##V3_BDHV12</stp>
        <stp>AMZN US Equity</stp>
        <stp>CF_EFFECT_FOREIGN_EXCHANGES</stp>
        <stp>FQ3 2011</stp>
        <stp>FQ3 2011</stp>
        <stp>[AMZ_2009-2018.xlsx]Cash Flow - Standardized!R53C13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3" s="4"/>
      </tp>
      <tp>
        <v>4.5190000000000001</v>
        <stp/>
        <stp>##V3_BDHV12</stp>
        <stp>AMZN US Equity</stp>
        <stp>EBITDA_MARGIN</stp>
        <stp>FQ3 2011</stp>
        <stp>FQ3 2011</stp>
        <stp>[AMZ_2009-2018.xlsx]Income - Adjusted!R62C13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M62" s="2"/>
      </tp>
      <tp>
        <v>4.3418999999999999</v>
        <stp/>
        <stp>##V3_BDHV12</stp>
        <stp>AMZN US Equity</stp>
        <stp>EBITDA_MARGIN</stp>
        <stp>FQ3 2012</stp>
        <stp>FQ3 2012</stp>
        <stp>[AMZ_2009-2018.xlsx]Income - Adjusted!R62C17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Q62" s="2"/>
      </tp>
      <tp>
        <v>5.1215999999999999</v>
        <stp/>
        <stp>##V3_BDHV12</stp>
        <stp>AMZN US Equity</stp>
        <stp>EBITDA_MARGIN</stp>
        <stp>FQ3 2013</stp>
        <stp>FQ3 2013</stp>
        <stp>[AMZ_2009-2018.xlsx]Income - Adjusted!R62C21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U62" s="2"/>
      </tp>
      <tp>
        <v>5.3914</v>
        <stp/>
        <stp>##V3_BDHV12</stp>
        <stp>AMZN US Equity</stp>
        <stp>EBITDA_MARGIN</stp>
        <stp>FQ3 2014</stp>
        <stp>FQ3 2014</stp>
        <stp>[AMZ_2009-2018.xlsx]Income - Adjusted!R62C25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Y62" s="2"/>
      </tp>
      <tp>
        <v>7.5793999999999997</v>
        <stp/>
        <stp>##V3_BDHV12</stp>
        <stp>AMZN US Equity</stp>
        <stp>EBITDA_MARGIN</stp>
        <stp>FQ3 2015</stp>
        <stp>FQ3 2015</stp>
        <stp>[AMZ_2009-2018.xlsx]Income - Adjusted!R62C29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C62" s="2"/>
      </tp>
      <tp>
        <v>9.0716000000000001</v>
        <stp/>
        <stp>##V3_BDHV12</stp>
        <stp>AMZN US Equity</stp>
        <stp>EBITDA_MARGIN</stp>
        <stp>FQ3 2016</stp>
        <stp>FQ3 2016</stp>
        <stp>[AMZ_2009-2018.xlsx]Income - Adjusted!R62C33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G62" s="2"/>
      </tp>
      <tp>
        <v>0</v>
        <stp/>
        <stp>##V3_BDHV12</stp>
        <stp>AMZN US Equity</stp>
        <stp>BS_LT_INVEST</stp>
        <stp>FQ4 2009</stp>
        <stp>FQ4 2009</stp>
        <stp>[AMZ_2009-2018.xlsx]Bal Sheet - Standardized!R26C6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6" s="3"/>
      </tp>
      <tp>
        <v>8.3844999999999992</v>
        <stp/>
        <stp>##V3_BDHV12</stp>
        <stp>AMZN US Equity</stp>
        <stp>EBITDA_MARGIN</stp>
        <stp>FQ3 2017</stp>
        <stp>FQ3 2017</stp>
        <stp>[AMZ_2009-2018.xlsx]Income - Adjusted!R62C37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K62" s="2"/>
      </tp>
      <tp t="s">
        <v>—</v>
        <stp/>
        <stp>##V3_BDHV12</stp>
        <stp>AMZN US Equity</stp>
        <stp>INVTRY_RAW_MATERIALS</stp>
        <stp>FQ1 2011</stp>
        <stp>FQ1 2011</stp>
        <stp>[AMZ_2009-2018.xlsx]Bal Sheet - Standardized!R14C11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4" s="3"/>
      </tp>
      <tp t="s">
        <v>—</v>
        <stp/>
        <stp>##V3_BDHV12</stp>
        <stp>AMZN US Equity</stp>
        <stp>INVTRY_RAW_MATERIALS</stp>
        <stp>FQ4 2016</stp>
        <stp>FQ4 2016</stp>
        <stp>[AMZ_2009-2018.xlsx]Bal Sheet - Standardized!R14C34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4" s="3"/>
      </tp>
      <tp t="s">
        <v>—</v>
        <stp/>
        <stp>##V3_BDHV12</stp>
        <stp>AMZN US Equity</stp>
        <stp>INVTRY_RAW_MATERIALS</stp>
        <stp>FQ2 2012</stp>
        <stp>FQ2 2012</stp>
        <stp>[AMZ_2009-2018.xlsx]Bal Sheet - Standardized!R14C16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4" s="3"/>
      </tp>
      <tp t="s">
        <v>—</v>
        <stp/>
        <stp>##V3_BDHV12</stp>
        <stp>AMZN US Equity</stp>
        <stp>EBITA</stp>
        <stp>FQ3 2013</stp>
        <stp>FQ3 2013</stp>
        <stp>[AMZ_2009-2018.xlsx]Income - Adjusted!R63C21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63" s="2"/>
      </tp>
      <tp t="s">
        <v>—</v>
        <stp/>
        <stp>##V3_BDHV12</stp>
        <stp>AMZN US Equity</stp>
        <stp>EBITA</stp>
        <stp>FQ1 2016</stp>
        <stp>FQ1 2016</stp>
        <stp>[AMZ_2009-2018.xlsx]Income - Adjusted!R63C31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63" s="2"/>
      </tp>
      <tp t="s">
        <v>—</v>
        <stp/>
        <stp>##V3_BDHV12</stp>
        <stp>AMZN US Equity</stp>
        <stp>EBITA</stp>
        <stp>FQ1 2011</stp>
        <stp>FQ1 2011</stp>
        <stp>[AMZ_2009-2018.xlsx]Income - Adjusted!R63C11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63" s="2"/>
      </tp>
      <tp>
        <v>0</v>
        <stp/>
        <stp>##V3_BDHV12</stp>
        <stp>AMZN US Equity</stp>
        <stp>IS_CAP_INT_EXP</stp>
        <stp>FQ2 2012</stp>
        <stp>FQ2 2012</stp>
        <stp>[AMZ_2009-2018.xlsx]Income - Adjusted!R71C16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1" s="2"/>
      </tp>
      <tp t="s">
        <v>—</v>
        <stp/>
        <stp>##V3_BDHV12</stp>
        <stp>AMZN US Equity</stp>
        <stp>BS_DERIV_&amp;_HEDGING_ASSETS_ST</stp>
        <stp>FQ3 2012</stp>
        <stp>FQ3 2012</stp>
        <stp>[AMZ_2009-2018.xlsx]Bal Sheet - Standardized!R19C17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9" s="3"/>
      </tp>
      <tp>
        <v>0</v>
        <stp/>
        <stp>##V3_BDHV12</stp>
        <stp>AMZN US Equity</stp>
        <stp>IS_CAP_INT_EXP</stp>
        <stp>FQ3 2012</stp>
        <stp>FQ3 2012</stp>
        <stp>[AMZ_2009-2018.xlsx]Income - Adjusted!R71C17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1" s="2"/>
      </tp>
      <tp t="s">
        <v>—</v>
        <stp/>
        <stp>##V3_BDHV12</stp>
        <stp>AMZN US Equity</stp>
        <stp>BS_DERIV_&amp;_HEDGING_ASSETS_LT</stp>
        <stp>FQ3 2012</stp>
        <stp>FQ3 2012</stp>
        <stp>[AMZ_2009-2018.xlsx]Bal Sheet - Standardized!R32C17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2" s="3"/>
      </tp>
      <tp t="s">
        <v>—</v>
        <stp/>
        <stp>##V3_BDHV12</stp>
        <stp>AMZN US Equity</stp>
        <stp>IS_CAP_INT_EXP</stp>
        <stp>FQ1 2012</stp>
        <stp>FQ1 2012</stp>
        <stp>[AMZ_2009-2018.xlsx]Income - Adjusted!R71C15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1" s="2"/>
      </tp>
      <tp>
        <v>0</v>
        <stp/>
        <stp>##V3_BDHV12</stp>
        <stp>AMZN US Equity</stp>
        <stp>CF_NET_CHG_IN_ST_DBT_&amp;_CPTL_LEAS</stp>
        <stp>FQ4 2009</stp>
        <stp>FQ4 2009</stp>
        <stp>[AMZ_2009-2018.xlsx]Cash Flow - Standardized!R43C6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3" s="4"/>
      </tp>
      <tp>
        <v>0.83799999999999997</v>
        <stp/>
        <stp>##V3_BDHV12</stp>
        <stp>AMZN US Equity</stp>
        <stp>FREE_CASH_FLOW_PER_SH</stp>
        <stp>FQ3 2014</stp>
        <stp>FQ3 2014</stp>
        <stp>[AMZ_2009-2018.xlsx]Cash Flow - Standardized!R68C25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68" s="4"/>
      </tp>
      <tp>
        <v>1.5386</v>
        <stp/>
        <stp>##V3_BDHV12</stp>
        <stp>AMZN US Equity</stp>
        <stp>FREE_CASH_FLOW_PER_SH</stp>
        <stp>FQ2 2017</stp>
        <stp>FQ2 2017</stp>
        <stp>[AMZ_2009-2018.xlsx]Cash Flow - Standardized!R68C36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68" s="4"/>
      </tp>
      <tp>
        <v>-10.1012</v>
        <stp/>
        <stp>##V3_BDHV12</stp>
        <stp>AMZN US Equity</stp>
        <stp>FREE_CASH_FLOW_PER_SH</stp>
        <stp>FQ1 2018</stp>
        <stp>FQ1 2018</stp>
        <stp>[AMZ_2009-2018.xlsx]Cash Flow - Standardized!R68C39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68" s="4"/>
      </tp>
      <tp>
        <v>10.2576</v>
        <stp/>
        <stp>##V3_BDHV12</stp>
        <stp>AMZN US Equity</stp>
        <stp>FREE_CASH_FLOW_PER_SH</stp>
        <stp>FQ4 2013</stp>
        <stp>FQ4 2013</stp>
        <stp>[AMZ_2009-2018.xlsx]Cash Flow - Standardized!R68C22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68" s="4"/>
      </tp>
      <tp>
        <v>0</v>
        <stp/>
        <stp>##V3_BDHV12</stp>
        <stp>AMZN US Equity</stp>
        <stp>BS_DERIV_&amp;_HEDGING_ASSETS_LT</stp>
        <stp>FQ4 2017</stp>
        <stp>FQ4 2017</stp>
        <stp>[AMZ_2009-2018.xlsx]Bal Sheet - Standardized!R32C38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2" s="3"/>
      </tp>
      <tp>
        <v>0</v>
        <stp/>
        <stp>##V3_BDHV12</stp>
        <stp>AMZN US Equity</stp>
        <stp>BS_DERIV_&amp;_HEDGING_ASSETS_ST</stp>
        <stp>FQ4 2017</stp>
        <stp>FQ4 2017</stp>
        <stp>[AMZ_2009-2018.xlsx]Bal Sheet - Standardized!R19C38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9" s="3"/>
      </tp>
      <tp t="s">
        <v>—</v>
        <stp/>
        <stp>##V3_BDHV12</stp>
        <stp>AMZN US Equity</stp>
        <stp>IS_CAP_INT_EXP</stp>
        <stp>FQ4 2012</stp>
        <stp>FQ4 2012</stp>
        <stp>[AMZ_2009-2018.xlsx]Income - Adjusted!R71C18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1" s="2"/>
      </tp>
      <tp>
        <v>52</v>
        <stp/>
        <stp>##V3_BDHV12</stp>
        <stp>AMZN US Equity</stp>
        <stp>CF_INCR_CAP_STOCK</stp>
        <stp>FQ4 2009</stp>
        <stp>FQ4 2009</stp>
        <stp>[AMZ_2009-2018.xlsx]Cash Flow - Standardized!R47C6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7" s="4"/>
      </tp>
      <tp>
        <v>43</v>
        <stp/>
        <stp>##V3_BDHV12</stp>
        <stp>AMZN US Equity</stp>
        <stp>CFF_ACTIVITIES_DETAILED</stp>
        <stp>FQ2 2010</stp>
        <stp>FQ2 2010</stp>
        <stp>[AMZ_2009-2018.xlsx]Cash Flow - Standardized!R51C8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1" s="4"/>
      </tp>
      <tp>
        <v>566000</v>
        <stp/>
        <stp>##V3_BDHV12</stp>
        <stp>AMZN US Equity</stp>
        <stp>NUM_OF_EMPLOYEES</stp>
        <stp>FQ4 2017</stp>
        <stp>FQ4 2017</stp>
        <stp>[AMZ_2009-2018.xlsx]Bal Sheet - Standardized!R89C38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89" s="3"/>
      </tp>
      <tp>
        <v>64</v>
        <stp/>
        <stp>##V3_BDHV12</stp>
        <stp>AMZN US Equity</stp>
        <stp>CFF_ACTIVITIES_DETAILED</stp>
        <stp>FQ3 2009</stp>
        <stp>FQ3 2009</stp>
        <stp>[AMZ_2009-2018.xlsx]Cash Flow - Standardized!R51C5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1" s="4"/>
      </tp>
      <tp>
        <v>0</v>
        <stp/>
        <stp>##V3_BDHV12</stp>
        <stp>AMZN US Equity</stp>
        <stp>BS_PFD_EQTY_&amp;_HYBRID_CPTL</stp>
        <stp>FQ1 2009</stp>
        <stp>FQ1 2009</stp>
        <stp>[AMZ_2009-2018.xlsx]Bal Sheet - Standardized!R64C3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4" s="3"/>
      </tp>
      <tp>
        <v>0</v>
        <stp/>
        <stp>##V3_BDHV12</stp>
        <stp>AMZN US Equity</stp>
        <stp>OTHER_CURRENT_ASSETS_DETAILED</stp>
        <stp>FQ4 2015</stp>
        <stp>FQ4 2015</stp>
        <stp>[AMZ_2009-2018.xlsx]Bal Sheet - Standardized!R18C30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8" s="3"/>
      </tp>
      <tp>
        <v>371</v>
        <stp/>
        <stp>##V3_BDHV12</stp>
        <stp>AMZN US Equity</stp>
        <stp>OTHER_CURRENT_ASSETS_DETAILED</stp>
        <stp>FQ1 2012</stp>
        <stp>FQ1 2012</stp>
        <stp>[AMZ_2009-2018.xlsx]Bal Sheet - Standardized!R18C15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8" s="3"/>
      </tp>
      <tp>
        <v>-343</v>
        <stp/>
        <stp>##V3_BDHV12</stp>
        <stp>AMZN US Equity</stp>
        <stp>CF_PYMT_LT_DEBT_&amp;_CAPITAL_LEASE</stp>
        <stp>FQ1 2009</stp>
        <stp>FQ1 2009</stp>
        <stp>[AMZ_2009-2018.xlsx]Cash Flow - Standardized!R45C3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5" s="4"/>
      </tp>
      <tp>
        <v>257</v>
        <stp/>
        <stp>##V3_BDHV12</stp>
        <stp>AMZN US Equity</stp>
        <stp>OTHER_CURRENT_ASSETS_DETAILED</stp>
        <stp>FQ2 2011</stp>
        <stp>FQ2 2011</stp>
        <stp>[AMZ_2009-2018.xlsx]Bal Sheet - Standardized!R18C12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8" s="3"/>
      </tp>
      <tp>
        <v>0</v>
        <stp/>
        <stp>##V3_BDHV12</stp>
        <stp>AMZN US Equity</stp>
        <stp>OTHER_CURRENT_ASSETS_DETAILED</stp>
        <stp>FQ4 2014</stp>
        <stp>FQ4 2014</stp>
        <stp>[AMZ_2009-2018.xlsx]Bal Sheet - Standardized!R18C26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8" s="3"/>
      </tp>
      <tp>
        <v>520</v>
        <stp/>
        <stp>##V3_BDHV12</stp>
        <stp>AMZN US Equity</stp>
        <stp>OTHER_CURRENT_ASSETS_DETAILED</stp>
        <stp>FQ3 2013</stp>
        <stp>FQ3 2013</stp>
        <stp>[AMZ_2009-2018.xlsx]Bal Sheet - Standardized!R18C21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8" s="3"/>
      </tp>
      <tp>
        <v>-117.7739</v>
        <stp/>
        <stp>##V3_BDHV12</stp>
        <stp>AMZN US Equity</stp>
        <stp>NET_DEBT_TO_SHRHLDR_EQTY</stp>
        <stp>FQ4 2010</stp>
        <stp>FQ4 2010</stp>
        <stp>[AMZ_2009-2018.xlsx]Bal Sheet - Standardized!R84C10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84" s="3"/>
      </tp>
      <tp>
        <v>-37.794800000000002</v>
        <stp/>
        <stp>##V3_BDHV12</stp>
        <stp>AMZN US Equity</stp>
        <stp>NET_DEBT_TO_SHRHLDR_EQTY</stp>
        <stp>FQ2 2014</stp>
        <stp>FQ2 2014</stp>
        <stp>[AMZ_2009-2018.xlsx]Bal Sheet - Standardized!R84C24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84" s="3"/>
      </tp>
      <tp>
        <v>76.551199999999994</v>
        <stp/>
        <stp>##V3_BDHV12</stp>
        <stp>AMZN US Equity</stp>
        <stp>NET_DEBT_TO_SHRHLDR_EQTY</stp>
        <stp>FQ3 2017</stp>
        <stp>FQ3 2017</stp>
        <stp>[AMZ_2009-2018.xlsx]Bal Sheet - Standardized!R84C37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84" s="3"/>
      </tp>
      <tp>
        <v>-93.657300000000006</v>
        <stp/>
        <stp>##V3_BDHV12</stp>
        <stp>AMZN US Equity</stp>
        <stp>NET_DEBT_TO_SHRHLDR_EQTY</stp>
        <stp>FQ1 2011</stp>
        <stp>FQ1 2011</stp>
        <stp>[AMZ_2009-2018.xlsx]Bal Sheet - Standardized!R84C11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84" s="3"/>
      </tp>
      <tp>
        <v>7525</v>
        <stp/>
        <stp>##V3_BDHV12</stp>
        <stp>AMZN US Equity</stp>
        <stp>IS_COGS_TO_FE_AND_PP_AND_G</stp>
        <stp>FQ2 2011</stp>
        <stp>FQ2 2011</stp>
        <stp>[AMZ_2009-2018.xlsx]Income - Adjusted!R8C12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8" s="2"/>
      </tp>
      <tp>
        <v>11209</v>
        <stp/>
        <stp>##V3_BDHV12</stp>
        <stp>AMZN US Equity</stp>
        <stp>IS_COGS_TO_FE_AND_PP_AND_G</stp>
        <stp>FQ2 2013</stp>
        <stp>FQ2 2013</stp>
        <stp>[AMZ_2009-2018.xlsx]Income - Adjusted!R8C20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8" s="2"/>
      </tp>
      <tp>
        <v>1.0900000000000001</v>
        <stp/>
        <stp>##V3_BDHV12</stp>
        <stp>AMZN US Equity</stp>
        <stp>IS_BASIC_EPS_CONT_OPS</stp>
        <stp>FQ1 2016</stp>
        <stp>FQ1 2016</stp>
        <stp>[AMZ_2009-2018.xlsx]Per Share!R16C31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16" s="5"/>
      </tp>
      <tp>
        <v>0.44</v>
        <stp/>
        <stp>##V3_BDHV12</stp>
        <stp>AMZN US Equity</stp>
        <stp>IS_BASIC_EPS_CONT_OPS</stp>
        <stp>FQ1 2011</stp>
        <stp>FQ1 2011</stp>
        <stp>[AMZ_2009-2018.xlsx]Per Share!R16C11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16" s="5"/>
      </tp>
      <tp>
        <v>-0.09</v>
        <stp/>
        <stp>##V3_BDHV12</stp>
        <stp>AMZN US Equity</stp>
        <stp>IS_BASIC_EPS_CONT_OPS</stp>
        <stp>FQ3 2013</stp>
        <stp>FQ3 2013</stp>
        <stp>[AMZ_2009-2018.xlsx]Per Share!R16C21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16" s="5"/>
      </tp>
      <tp>
        <v>14144</v>
        <stp/>
        <stp>##V3_BDHV12</stp>
        <stp>AMZN US Equity</stp>
        <stp>BS_ADD_PAID_IN_CAP</stp>
        <stp>FQ1 2016</stp>
        <stp>FQ1 2016</stp>
        <stp>[AMZ_2009-2018.xlsx]Bal Sheet - Standardized!R67C31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7" s="3"/>
      </tp>
      <tp>
        <v>6990</v>
        <stp/>
        <stp>##V3_BDHV12</stp>
        <stp>AMZN US Equity</stp>
        <stp>BS_ADD_PAID_IN_CAP</stp>
        <stp>FQ4 2011</stp>
        <stp>FQ4 2011</stp>
        <stp>[AMZ_2009-2018.xlsx]Bal Sheet - Standardized!R67C14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7" s="3"/>
      </tp>
      <tp>
        <v>6829</v>
        <stp/>
        <stp>##V3_BDHV12</stp>
        <stp>AMZN US Equity</stp>
        <stp>BS_SH_CAP_AND_APIC</stp>
        <stp>FQ3 2011</stp>
        <stp>FQ3 2011</stp>
        <stp>[AMZ_2009-2018.xlsx]Bal Sheet - Standardized!R65C13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5" s="3"/>
      </tp>
      <tp>
        <v>8898</v>
        <stp/>
        <stp>##V3_BDHV12</stp>
        <stp>AMZN US Equity</stp>
        <stp>BS_SH_CAP_AND_APIC</stp>
        <stp>FQ2 2013</stp>
        <stp>FQ2 2013</stp>
        <stp>[AMZ_2009-2018.xlsx]Bal Sheet - Standardized!R65C20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5" s="3"/>
      </tp>
      <tp>
        <v>10405</v>
        <stp/>
        <stp>##V3_BDHV12</stp>
        <stp>AMZN US Equity</stp>
        <stp>BS_ADD_PAID_IN_CAP</stp>
        <stp>FQ2 2014</stp>
        <stp>FQ2 2014</stp>
        <stp>[AMZ_2009-2018.xlsx]Bal Sheet - Standardized!R67C24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7" s="3"/>
      </tp>
      <tp>
        <v>0.93410000000000004</v>
        <stp/>
        <stp>##V3_BDHV12</stp>
        <stp>AMZN US Equity</stp>
        <stp>PROF_MARGIN</stp>
        <stp>FQ4 2013</stp>
        <stp>FQ4 2013</stp>
        <stp>[AMZ_2009-2018.xlsx]Income - Adjusted!R67C22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V67" s="2"/>
      </tp>
      <tp>
        <v>0.5736</v>
        <stp/>
        <stp>##V3_BDHV12</stp>
        <stp>AMZN US Equity</stp>
        <stp>PROF_MARGIN</stp>
        <stp>FQ4 2012</stp>
        <stp>FQ4 2012</stp>
        <stp>[AMZ_2009-2018.xlsx]Income - Adjusted!R67C18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R67" s="2"/>
      </tp>
      <tp>
        <v>1.0154000000000001</v>
        <stp/>
        <stp>##V3_BDHV12</stp>
        <stp>AMZN US Equity</stp>
        <stp>PROF_MARGIN</stp>
        <stp>FQ4 2011</stp>
        <stp>FQ4 2011</stp>
        <stp>[AMZ_2009-2018.xlsx]Income - Adjusted!R67C14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N67" s="2"/>
      </tp>
      <tp>
        <v>12874</v>
        <stp/>
        <stp>##V3_BDHV12</stp>
        <stp>AMZN US Equity</stp>
        <stp>BS_ADD_PAID_IN_CAP</stp>
        <stp>FQ3 2015</stp>
        <stp>FQ3 2015</stp>
        <stp>[AMZ_2009-2018.xlsx]Bal Sheet - Standardized!R67C29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7" s="3"/>
      </tp>
      <tp>
        <v>3.2128999999999999</v>
        <stp/>
        <stp>##V3_BDHV12</stp>
        <stp>AMZN US Equity</stp>
        <stp>PROF_MARGIN</stp>
        <stp>FQ4 2010</stp>
        <stp>FQ4 2010</stp>
        <stp>[AMZ_2009-2018.xlsx]Income - Adjusted!R67C10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J67" s="2"/>
      </tp>
      <tp>
        <v>8590</v>
        <stp/>
        <stp>##V3_BDHV12</stp>
        <stp>AMZN US Equity</stp>
        <stp>BS_SH_CAP_AND_APIC</stp>
        <stp>FQ1 2013</stp>
        <stp>FQ1 2013</stp>
        <stp>[AMZ_2009-2018.xlsx]Bal Sheet - Standardized!R65C19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5" s="3"/>
      </tp>
      <tp>
        <v>1.7650000000000001</v>
        <stp/>
        <stp>##V3_BDHV12</stp>
        <stp>AMZN US Equity</stp>
        <stp>PROF_MARGIN</stp>
        <stp>FQ4 2017</stp>
        <stp>FQ4 2017</stp>
        <stp>[AMZ_2009-2018.xlsx]Income - Adjusted!R67C38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L67" s="2"/>
      </tp>
      <tp>
        <v>1.7198</v>
        <stp/>
        <stp>##V3_BDHV12</stp>
        <stp>AMZN US Equity</stp>
        <stp>PROF_MARGIN</stp>
        <stp>FQ4 2016</stp>
        <stp>FQ4 2016</stp>
        <stp>[AMZ_2009-2018.xlsx]Income - Adjusted!R67C34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H67" s="2"/>
      </tp>
      <tp>
        <v>1.3538000000000001</v>
        <stp/>
        <stp>##V3_BDHV12</stp>
        <stp>AMZN US Equity</stp>
        <stp>PROF_MARGIN</stp>
        <stp>FQ4 2015</stp>
        <stp>FQ4 2015</stp>
        <stp>[AMZ_2009-2018.xlsx]Income - Adjusted!R67C30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D67" s="2"/>
      </tp>
      <tp>
        <v>0.72970000000000002</v>
        <stp/>
        <stp>##V3_BDHV12</stp>
        <stp>AMZN US Equity</stp>
        <stp>PROF_MARGIN</stp>
        <stp>FQ4 2014</stp>
        <stp>FQ4 2014</stp>
        <stp>[AMZ_2009-2018.xlsx]Income - Adjusted!R67C26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Z67" s="2"/>
      </tp>
      <tp>
        <v>6000</v>
        <stp/>
        <stp>##V3_BDHV12</stp>
        <stp>AMZN US Equity</stp>
        <stp>LT_CAPITAL_LEASE_OBLIGATIONS</stp>
        <stp>FQ1 2016</stp>
        <stp>FQ1 2016</stp>
        <stp>[AMZ_2009-2018.xlsx]Bal Sheet - Standardized!R54C31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4" s="3"/>
      </tp>
      <tp>
        <v>598</v>
        <stp/>
        <stp>##V3_BDHV12</stp>
        <stp>AMZN US Equity</stp>
        <stp>LT_CAPITAL_LEASE_OBLIGATIONS</stp>
        <stp>FQ4 2011</stp>
        <stp>FQ4 2011</stp>
        <stp>[AMZ_2009-2018.xlsx]Bal Sheet - Standardized!R54C14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4" s="3"/>
      </tp>
      <tp>
        <v>298</v>
        <stp/>
        <stp>##V3_BDHV12</stp>
        <stp>AMZN US Equity</stp>
        <stp>CF_STOCK_BASED_COMPENSATION</stp>
        <stp>FQ2 2013</stp>
        <stp>FQ2 2013</stp>
        <stp>[AMZ_2009-2018.xlsx]Cash Flow - Standardized!R10C20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0" s="4"/>
      </tp>
      <tp>
        <v>144</v>
        <stp/>
        <stp>##V3_BDHV12</stp>
        <stp>AMZN US Equity</stp>
        <stp>CF_STOCK_BASED_COMPENSATION</stp>
        <stp>FQ3 2011</stp>
        <stp>FQ3 2011</stp>
        <stp>[AMZ_2009-2018.xlsx]Cash Flow - Standardized!R10C13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0" s="4"/>
      </tp>
      <tp>
        <v>0</v>
        <stp/>
        <stp>##V3_BDHV12</stp>
        <stp>AMZN US Equity</stp>
        <stp>OTHER_CURRENT_LIABS_DETAILED</stp>
        <stp>FQ4 2010</stp>
        <stp>FQ4 2010</stp>
        <stp>[AMZ_2009-2018.xlsx]Bal Sheet - Standardized!R50C10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0" s="3"/>
      </tp>
      <tp t="s">
        <v>—</v>
        <stp/>
        <stp>##V3_BDHV12</stp>
        <stp>AMZN US Equity</stp>
        <stp>INVTRY_RAW_MATERIALS</stp>
        <stp>FQ1 2009</stp>
        <stp>FQ1 2009</stp>
        <stp>[AMZ_2009-2018.xlsx]Bal Sheet - Standardized!R14C3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3"/>
      </tp>
      <tp>
        <v>0</v>
        <stp/>
        <stp>##V3_BDHV12</stp>
        <stp>AMZN US Equity</stp>
        <stp>OTHER_CURRENT_LIABS_DETAILED</stp>
        <stp>FQ3 2014</stp>
        <stp>FQ3 2014</stp>
        <stp>[AMZ_2009-2018.xlsx]Bal Sheet - Standardized!R50C25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0" s="3"/>
      </tp>
      <tp>
        <v>0</v>
        <stp/>
        <stp>##V3_BDHV12</stp>
        <stp>AMZN US Equity</stp>
        <stp>OTHER_CURRENT_LIABS_DETAILED</stp>
        <stp>FQ4 2013</stp>
        <stp>FQ4 2013</stp>
        <stp>[AMZ_2009-2018.xlsx]Bal Sheet - Standardized!R50C22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0" s="3"/>
      </tp>
      <tp>
        <v>0</v>
        <stp/>
        <stp>##V3_BDHV12</stp>
        <stp>AMZN US Equity</stp>
        <stp>OTHER_CURRENT_LIABS_DETAILED</stp>
        <stp>FQ1 2017</stp>
        <stp>FQ1 2017</stp>
        <stp>[AMZ_2009-2018.xlsx]Bal Sheet - Standardized!R50C35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0" s="3"/>
      </tp>
      <tp t="s">
        <v>—</v>
        <stp/>
        <stp>##V3_BDHV12</stp>
        <stp>AMZN US Equity</stp>
        <stp>LT_CAPITAL_LEASE_OBLIGATIONS</stp>
        <stp>FQ2 2014</stp>
        <stp>FQ2 2014</stp>
        <stp>[AMZ_2009-2018.xlsx]Bal Sheet - Standardized!R54C24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4" s="3"/>
      </tp>
      <tp>
        <v>0</v>
        <stp/>
        <stp>##V3_BDHV12</stp>
        <stp>AMZN US Equity</stp>
        <stp>OTHER_CURRENT_LIABS_DETAILED</stp>
        <stp>FQ2 2015</stp>
        <stp>FQ2 2015</stp>
        <stp>[AMZ_2009-2018.xlsx]Bal Sheet - Standardized!R50C28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0" s="3"/>
      </tp>
      <tp>
        <v>25</v>
        <stp/>
        <stp>##V3_BDHV12</stp>
        <stp>AMZN US Equity</stp>
        <stp>CF_EFFECT_FOREIGN_EXCHANGES</stp>
        <stp>FQ2 2011</stp>
        <stp>FQ2 2011</stp>
        <stp>[AMZ_2009-2018.xlsx]Cash Flow - Standardized!R53C12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3" s="4"/>
      </tp>
      <tp>
        <v>73</v>
        <stp/>
        <stp>##V3_BDHV12</stp>
        <stp>AMZN US Equity</stp>
        <stp>CF_EFFECT_FOREIGN_EXCHANGES</stp>
        <stp>FQ3 2013</stp>
        <stp>FQ3 2013</stp>
        <stp>[AMZ_2009-2018.xlsx]Cash Flow - Standardized!R53C21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3" s="4"/>
      </tp>
      <tp>
        <v>-160</v>
        <stp/>
        <stp>##V3_BDHV12</stp>
        <stp>AMZN US Equity</stp>
        <stp>CF_EFFECT_FOREIGN_EXCHANGES</stp>
        <stp>FQ4 2014</stp>
        <stp>FQ4 2014</stp>
        <stp>[AMZ_2009-2018.xlsx]Cash Flow - Standardized!R53C26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3" s="4"/>
      </tp>
      <tp t="s">
        <v>—</v>
        <stp/>
        <stp>##V3_BDHV12</stp>
        <stp>AMZN US Equity</stp>
        <stp>LT_CAPITAL_LEASE_OBLIGATIONS</stp>
        <stp>FQ3 2015</stp>
        <stp>FQ3 2015</stp>
        <stp>[AMZ_2009-2018.xlsx]Bal Sheet - Standardized!R54C29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4" s="3"/>
      </tp>
      <tp>
        <v>229</v>
        <stp/>
        <stp>##V3_BDHV12</stp>
        <stp>AMZN US Equity</stp>
        <stp>CF_STOCK_BASED_COMPENSATION</stp>
        <stp>FQ1 2013</stp>
        <stp>FQ1 2013</stp>
        <stp>[AMZ_2009-2018.xlsx]Cash Flow - Standardized!R10C19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0" s="4"/>
      </tp>
      <tp>
        <v>-91</v>
        <stp/>
        <stp>##V3_BDHV12</stp>
        <stp>AMZN US Equity</stp>
        <stp>CF_EFFECT_FOREIGN_EXCHANGES</stp>
        <stp>FQ4 2015</stp>
        <stp>FQ4 2015</stp>
        <stp>[AMZ_2009-2018.xlsx]Cash Flow - Standardized!R53C30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3" s="4"/>
      </tp>
      <tp>
        <v>12</v>
        <stp/>
        <stp>##V3_BDHV12</stp>
        <stp>AMZN US Equity</stp>
        <stp>CF_EFFECT_FOREIGN_EXCHANGES</stp>
        <stp>FQ1 2012</stp>
        <stp>FQ1 2012</stp>
        <stp>[AMZ_2009-2018.xlsx]Cash Flow - Standardized!R53C15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3" s="4"/>
      </tp>
      <tp>
        <v>5.0425000000000004</v>
        <stp/>
        <stp>##V3_BDHV12</stp>
        <stp>AMZN US Equity</stp>
        <stp>EBITDA_MARGIN</stp>
        <stp>FQ2 2011</stp>
        <stp>FQ2 2011</stp>
        <stp>[AMZ_2009-2018.xlsx]Income - Adjusted!R62C12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L62" s="2"/>
      </tp>
      <tp>
        <v>4.95</v>
        <stp/>
        <stp>##V3_BDHV12</stp>
        <stp>AMZN US Equity</stp>
        <stp>EBITDA_MARGIN</stp>
        <stp>FQ2 2013</stp>
        <stp>FQ2 2013</stp>
        <stp>[AMZ_2009-2018.xlsx]Income - Adjusted!R62C20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T62" s="2"/>
      </tp>
      <tp>
        <v>4.2649999999999997</v>
        <stp/>
        <stp>##V3_BDHV12</stp>
        <stp>AMZN US Equity</stp>
        <stp>EBITDA_MARGIN</stp>
        <stp>FQ2 2012</stp>
        <stp>FQ2 2012</stp>
        <stp>[AMZ_2009-2018.xlsx]Income - Adjusted!R62C16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P62" s="2"/>
      </tp>
      <tp>
        <v>6.7759999999999998</v>
        <stp/>
        <stp>##V3_BDHV12</stp>
        <stp>AMZN US Equity</stp>
        <stp>EBITDA_MARGIN</stp>
        <stp>FQ2 2015</stp>
        <stp>FQ2 2015</stp>
        <stp>[AMZ_2009-2018.xlsx]Income - Adjusted!R62C28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B62" s="2"/>
      </tp>
      <tp>
        <v>5.5430999999999999</v>
        <stp/>
        <stp>##V3_BDHV12</stp>
        <stp>AMZN US Equity</stp>
        <stp>EBITDA_MARGIN</stp>
        <stp>FQ2 2014</stp>
        <stp>FQ2 2014</stp>
        <stp>[AMZ_2009-2018.xlsx]Income - Adjusted!R62C24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X62" s="2"/>
      </tp>
      <tp>
        <v>8.6008999999999993</v>
        <stp/>
        <stp>##V3_BDHV12</stp>
        <stp>AMZN US Equity</stp>
        <stp>EBITDA_MARGIN</stp>
        <stp>FQ2 2017</stp>
        <stp>FQ2 2017</stp>
        <stp>[AMZ_2009-2018.xlsx]Income - Adjusted!R62C36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J62" s="2"/>
      </tp>
      <tp>
        <v>9.0825999999999993</v>
        <stp/>
        <stp>##V3_BDHV12</stp>
        <stp>AMZN US Equity</stp>
        <stp>EBITDA_MARGIN</stp>
        <stp>FQ2 2016</stp>
        <stp>FQ2 2016</stp>
        <stp>[AMZ_2009-2018.xlsx]Income - Adjusted!R62C32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F62" s="2"/>
      </tp>
      <tp t="s">
        <v>—</v>
        <stp/>
        <stp>##V3_BDHV12</stp>
        <stp>AMZN US Equity</stp>
        <stp>INVTRY_RAW_MATERIALS</stp>
        <stp>FQ4 2017</stp>
        <stp>FQ4 2017</stp>
        <stp>[AMZ_2009-2018.xlsx]Bal Sheet - Standardized!R14C38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4" s="3"/>
      </tp>
      <tp>
        <v>10.1357</v>
        <stp/>
        <stp>##V3_BDHV12</stp>
        <stp>AMZN US Equity</stp>
        <stp>EBITDA_MARGIN</stp>
        <stp>FQ2 2018</stp>
        <stp>FQ2 2018</stp>
        <stp>[AMZ_2009-2018.xlsx]Income - Adjusted!R62C40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N62" s="2"/>
      </tp>
      <tp t="s">
        <v>—</v>
        <stp/>
        <stp>##V3_BDHV12</stp>
        <stp>AMZN US Equity</stp>
        <stp>EBITA</stp>
        <stp>FQ4 2010</stp>
        <stp>FQ4 2010</stp>
        <stp>[AMZ_2009-2018.xlsx]Income - Adjusted!R63C10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63" s="2"/>
      </tp>
      <tp t="s">
        <v>—</v>
        <stp/>
        <stp>##V3_BDHV12</stp>
        <stp>AMZN US Equity</stp>
        <stp>EBITA</stp>
        <stp>FQ4 2015</stp>
        <stp>FQ4 2015</stp>
        <stp>[AMZ_2009-2018.xlsx]Income - Adjusted!R63C30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63" s="2"/>
      </tp>
      <tp t="s">
        <v>—</v>
        <stp/>
        <stp>##V3_BDHV12</stp>
        <stp>AMZN US Equity</stp>
        <stp>INVTRY_RAW_MATERIALS</stp>
        <stp>FQ3 2012</stp>
        <stp>FQ3 2012</stp>
        <stp>[AMZ_2009-2018.xlsx]Bal Sheet - Standardized!R14C17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4" s="3"/>
      </tp>
      <tp t="s">
        <v>—</v>
        <stp/>
        <stp>##V3_BDHV12</stp>
        <stp>AMZN US Equity</stp>
        <stp>EBITA</stp>
        <stp>FQ2 2018</stp>
        <stp>FQ2 2018</stp>
        <stp>[AMZ_2009-2018.xlsx]Income - Adjusted!R63C40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63" s="2"/>
      </tp>
      <tp t="s">
        <v>—</v>
        <stp/>
        <stp>##V3_BDHV12</stp>
        <stp>AMZN US Equity</stp>
        <stp>EBITA</stp>
        <stp>FQ2 2013</stp>
        <stp>FQ2 2013</stp>
        <stp>[AMZ_2009-2018.xlsx]Income - Adjusted!R63C20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63" s="2"/>
      </tp>
      <tp>
        <v>-137</v>
        <stp/>
        <stp>##V3_BDHV12</stp>
        <stp>AMZN US Equity</stp>
        <stp>CF_PURCHASE_OF_FIXED_PROD_ASSETS</stp>
        <stp>FQ4 2009</stp>
        <stp>FQ4 2009</stp>
        <stp>[AMZ_2009-2018.xlsx]Cash Flow - Standardized!R27C6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7" s="4"/>
      </tp>
      <tp t="s">
        <v>—</v>
        <stp/>
        <stp>##V3_BDHV12</stp>
        <stp>AMZN US Equity</stp>
        <stp>BS_DERIV_&amp;_HEDGING_ASSETS_ST</stp>
        <stp>FQ2 2012</stp>
        <stp>FQ2 2012</stp>
        <stp>[AMZ_2009-2018.xlsx]Bal Sheet - Standardized!R19C16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9" s="3"/>
      </tp>
      <tp t="s">
        <v>—</v>
        <stp/>
        <stp>##V3_BDHV12</stp>
        <stp>AMZN US Equity</stp>
        <stp>BS_DERIV_&amp;_HEDGING_ASSETS_LT</stp>
        <stp>FQ2 2012</stp>
        <stp>FQ2 2012</stp>
        <stp>[AMZ_2009-2018.xlsx]Bal Sheet - Standardized!R32C16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2" s="3"/>
      </tp>
      <tp>
        <v>0</v>
        <stp/>
        <stp>##V3_BDHV12</stp>
        <stp>AMZN US Equity</stp>
        <stp>BS_DERIV_&amp;_HEDGING_ASSETS_LT</stp>
        <stp>FQ4 2016</stp>
        <stp>FQ4 2016</stp>
        <stp>[AMZ_2009-2018.xlsx]Bal Sheet - Standardized!R32C34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2" s="3"/>
      </tp>
      <tp t="s">
        <v>—</v>
        <stp/>
        <stp>##V3_BDHV12</stp>
        <stp>AMZN US Equity</stp>
        <stp>BS_DERIV_&amp;_HEDGING_ASSETS_ST</stp>
        <stp>FQ1 2011</stp>
        <stp>FQ1 2011</stp>
        <stp>[AMZ_2009-2018.xlsx]Bal Sheet - Standardized!R19C11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9" s="3"/>
      </tp>
      <tp>
        <v>2.4782000000000002</v>
        <stp/>
        <stp>##V3_BDHV12</stp>
        <stp>AMZN US Equity</stp>
        <stp>FREE_CASH_FLOW_PER_SH</stp>
        <stp>FQ3 2017</stp>
        <stp>FQ3 2017</stp>
        <stp>[AMZ_2009-2018.xlsx]Cash Flow - Standardized!R68C37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68" s="4"/>
      </tp>
      <tp>
        <v>-0.9284</v>
        <stp/>
        <stp>##V3_BDHV12</stp>
        <stp>AMZN US Equity</stp>
        <stp>FREE_CASH_FLOW_PER_SH</stp>
        <stp>FQ2 2014</stp>
        <stp>FQ2 2014</stp>
        <stp>[AMZ_2009-2018.xlsx]Cash Flow - Standardized!R68C24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68" s="4"/>
      </tp>
      <tp>
        <v>-4.1774000000000004</v>
        <stp/>
        <stp>##V3_BDHV12</stp>
        <stp>AMZN US Equity</stp>
        <stp>FREE_CASH_FLOW_PER_SH</stp>
        <stp>FQ1 2011</stp>
        <stp>FQ1 2011</stp>
        <stp>[AMZ_2009-2018.xlsx]Cash Flow - Standardized!R68C11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68" s="4"/>
      </tp>
      <tp>
        <v>7.0044000000000004</v>
        <stp/>
        <stp>##V3_BDHV12</stp>
        <stp>AMZN US Equity</stp>
        <stp>FREE_CASH_FLOW_PER_SH</stp>
        <stp>FQ4 2010</stp>
        <stp>FQ4 2010</stp>
        <stp>[AMZ_2009-2018.xlsx]Cash Flow - Standardized!R68C10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68" s="4"/>
      </tp>
      <tp t="s">
        <v>—</v>
        <stp/>
        <stp>##V3_BDHV12</stp>
        <stp>AMZN US Equity</stp>
        <stp>BS_DERIV_&amp;_HEDGING_ASSETS_LT</stp>
        <stp>FQ1 2011</stp>
        <stp>FQ1 2011</stp>
        <stp>[AMZ_2009-2018.xlsx]Bal Sheet - Standardized!R32C11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2" s="3"/>
      </tp>
      <tp>
        <v>0</v>
        <stp/>
        <stp>##V3_BDHV12</stp>
        <stp>AMZN US Equity</stp>
        <stp>BS_DERIV_&amp;_HEDGING_ASSETS_ST</stp>
        <stp>FQ4 2016</stp>
        <stp>FQ4 2016</stp>
        <stp>[AMZ_2009-2018.xlsx]Bal Sheet - Standardized!R19C34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9" s="3"/>
      </tp>
      <tp>
        <v>7131</v>
        <stp/>
        <stp>##V3_BDHV12</stp>
        <stp>AMZN US Equity</stp>
        <stp>IS_SALES_AND_SERVICES_REVENUES</stp>
        <stp>FQ1 2010</stp>
        <stp>FQ1 2010</stp>
        <stp>[AMZ_2009-2018.xlsx]Income - Adjusted!R7C7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7" s="2"/>
      </tp>
      <tp t="s">
        <v>—</v>
        <stp/>
        <stp>##V3_BDHV12</stp>
        <stp>AMZN US Equity</stp>
        <stp>IS_CAP_INT_EXP</stp>
        <stp>FQ1 2013</stp>
        <stp>FQ1 2013</stp>
        <stp>[AMZ_2009-2018.xlsx]Income - Adjusted!R71C19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1" s="2"/>
      </tp>
      <tp>
        <v>93</v>
        <stp/>
        <stp>##V3_BDHV12</stp>
        <stp>AMZN US Equity</stp>
        <stp>CFF_ACTIVITIES_DETAILED</stp>
        <stp>FQ3 2010</stp>
        <stp>FQ3 2010</stp>
        <stp>[AMZ_2009-2018.xlsx]Cash Flow - Standardized!R51C9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1" s="4"/>
      </tp>
      <tp>
        <v>-3</v>
        <stp/>
        <stp>##V3_BDHV12</stp>
        <stp>AMZN US Equity</stp>
        <stp>CFF_ACTIVITIES_DETAILED</stp>
        <stp>FQ2 2009</stp>
        <stp>FQ2 2009</stp>
        <stp>[AMZ_2009-2018.xlsx]Cash Flow - Standardized!R51C4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1" s="4"/>
      </tp>
      <tp>
        <v>-61</v>
        <stp/>
        <stp>##V3_BDHV12</stp>
        <stp>AMZN US Equity</stp>
        <stp>CF_PYMT_LT_DEBT_&amp;_CAPITAL_LEASE</stp>
        <stp>FQ1 2010</stp>
        <stp>FQ1 2010</stp>
        <stp>[AMZ_2009-2018.xlsx]Cash Flow - Standardized!R45C7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5" s="4"/>
      </tp>
      <tp>
        <v>507</v>
        <stp/>
        <stp>##V3_BDHV12</stp>
        <stp>AMZN US Equity</stp>
        <stp>OTHER_CURRENT_ASSETS_DETAILED</stp>
        <stp>FQ1 2013</stp>
        <stp>FQ1 2013</stp>
        <stp>[AMZ_2009-2018.xlsx]Bal Sheet - Standardized!R18C19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8" s="3"/>
      </tp>
      <tp>
        <v>0</v>
        <stp/>
        <stp>##V3_BDHV12</stp>
        <stp>AMZN US Equity</stp>
        <stp>BS_PFD_EQTY_&amp;_HYBRID_CPTL</stp>
        <stp>FQ1 2010</stp>
        <stp>FQ1 2010</stp>
        <stp>[AMZ_2009-2018.xlsx]Bal Sheet - Standardized!R64C7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4" s="3"/>
      </tp>
      <tp>
        <v>541</v>
        <stp/>
        <stp>##V3_BDHV12</stp>
        <stp>AMZN US Equity</stp>
        <stp>OTHER_CURRENT_ASSETS_DETAILED</stp>
        <stp>FQ2 2013</stp>
        <stp>FQ2 2013</stp>
        <stp>[AMZ_2009-2018.xlsx]Bal Sheet - Standardized!R18C20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8" s="3"/>
      </tp>
      <tp>
        <v>312</v>
        <stp/>
        <stp>##V3_BDHV12</stp>
        <stp>AMZN US Equity</stp>
        <stp>OTHER_CURRENT_ASSETS_DETAILED</stp>
        <stp>FQ3 2011</stp>
        <stp>FQ3 2011</stp>
        <stp>[AMZ_2009-2018.xlsx]Bal Sheet - Standardized!R18C13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8" s="3"/>
      </tp>
      <tp>
        <v>172</v>
        <stp/>
        <stp>##V3_BDHV12</stp>
        <stp>AMZN US Equity</stp>
        <stp>PX_LOW</stp>
        <stp>FQ1 2012</stp>
        <stp>FQ1 2012</stp>
        <stp>[AMZ_2009-2018.xlsx]Stock Value!R10C15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10" s="6"/>
      </tp>
      <tp>
        <v>212.61</v>
        <stp/>
        <stp>##V3_BDHV12</stp>
        <stp>AMZN US Equity</stp>
        <stp>PX_LOW</stp>
        <stp>FQ3 2012</stp>
        <stp>FQ3 2012</stp>
        <stp>[AMZ_2009-2018.xlsx]Stock Value!R10C17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10" s="6"/>
      </tp>
      <tp>
        <v>183.65</v>
        <stp/>
        <stp>##V3_BDHV12</stp>
        <stp>AMZN US Equity</stp>
        <stp>PX_LOW</stp>
        <stp>FQ2 2012</stp>
        <stp>FQ2 2012</stp>
        <stp>[AMZ_2009-2018.xlsx]Stock Value!R10C16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10" s="6"/>
      </tp>
      <tp>
        <v>284</v>
        <stp/>
        <stp>##V3_BDHV12</stp>
        <stp>AMZN US Equity</stp>
        <stp>PX_LOW</stp>
        <stp>FQ4 2014</stp>
        <stp>FQ4 2014</stp>
        <stp>[AMZ_2009-2018.xlsx]Stock Value!R10C26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10" s="6"/>
      </tp>
      <tp>
        <v>330.88</v>
        <stp/>
        <stp>##V3_BDHV12</stp>
        <stp>AMZN US Equity</stp>
        <stp>PX_LOW</stp>
        <stp>FQ1 2014</stp>
        <stp>FQ1 2014</stp>
        <stp>[AMZ_2009-2018.xlsx]Stock Value!R10C23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10" s="6"/>
      </tp>
      <tp>
        <v>710.1</v>
        <stp/>
        <stp>##V3_BDHV12</stp>
        <stp>AMZN US Equity</stp>
        <stp>PX_LOW</stp>
        <stp>FQ4 2016</stp>
        <stp>FQ4 2016</stp>
        <stp>[AMZ_2009-2018.xlsx]Stock Value!R10C34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10" s="6"/>
      </tp>
      <tp>
        <v>716.54</v>
        <stp/>
        <stp>##V3_BDHV12</stp>
        <stp>AMZN US Equity</stp>
        <stp>PX_LOW</stp>
        <stp>FQ3 2016</stp>
        <stp>FQ3 2016</stp>
        <stp>[AMZ_2009-2018.xlsx]Stock Value!R10C33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10" s="6"/>
      </tp>
      <tp>
        <v>585.25</v>
        <stp/>
        <stp>##V3_BDHV12</stp>
        <stp>AMZN US Equity</stp>
        <stp>PX_LOW</stp>
        <stp>FQ2 2016</stp>
        <stp>FQ2 2016</stp>
        <stp>[AMZ_2009-2018.xlsx]Stock Value!R10C32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10" s="6"/>
      </tp>
      <tp>
        <v>474</v>
        <stp/>
        <stp>##V3_BDHV12</stp>
        <stp>AMZN US Equity</stp>
        <stp>PX_LOW</stp>
        <stp>FQ1 2016</stp>
        <stp>FQ1 2016</stp>
        <stp>[AMZ_2009-2018.xlsx]Stock Value!R10C31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10" s="6"/>
      </tp>
      <tp>
        <v>-57.028500000000001</v>
        <stp/>
        <stp>##V3_BDHV12</stp>
        <stp>AMZN US Equity</stp>
        <stp>NET_DEBT_TO_SHRHLDR_EQTY</stp>
        <stp>FQ4 2013</stp>
        <stp>FQ4 2013</stp>
        <stp>[AMZ_2009-2018.xlsx]Bal Sheet - Standardized!R84C22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84" s="3"/>
      </tp>
      <tp>
        <v>9.3391999999999999</v>
        <stp/>
        <stp>##V3_BDHV12</stp>
        <stp>AMZN US Equity</stp>
        <stp>NET_DEBT_TO_SHRHLDR_EQTY</stp>
        <stp>FQ2 2017</stp>
        <stp>FQ2 2017</stp>
        <stp>[AMZ_2009-2018.xlsx]Bal Sheet - Standardized!R84C36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84" s="3"/>
      </tp>
      <tp>
        <v>-28.250800000000002</v>
        <stp/>
        <stp>##V3_BDHV12</stp>
        <stp>AMZN US Equity</stp>
        <stp>NET_DEBT_TO_SHRHLDR_EQTY</stp>
        <stp>FQ3 2014</stp>
        <stp>FQ3 2014</stp>
        <stp>[AMZ_2009-2018.xlsx]Bal Sheet - Standardized!R84C25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84" s="3"/>
      </tp>
      <tp>
        <v>62.053800000000003</v>
        <stp/>
        <stp>##V3_BDHV12</stp>
        <stp>AMZN US Equity</stp>
        <stp>NET_DEBT_TO_SHRHLDR_EQTY</stp>
        <stp>FQ1 2018</stp>
        <stp>FQ1 2018</stp>
        <stp>[AMZ_2009-2018.xlsx]Bal Sheet - Standardized!R84C39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84" s="3"/>
      </tp>
      <tp>
        <v>22440</v>
        <stp/>
        <stp>##V3_BDHV12</stp>
        <stp>AMZN US Equity</stp>
        <stp>IS_COGS_TO_FE_AND_PP_AND_G</stp>
        <stp>FQ1 2017</stp>
        <stp>FQ1 2017</stp>
        <stp>[AMZ_2009-2018.xlsx]Income - Adjusted!R8C35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8" s="2"/>
      </tp>
      <tp>
        <v>15395</v>
        <stp/>
        <stp>##V3_BDHV12</stp>
        <stp>AMZN US Equity</stp>
        <stp>IS_COGS_TO_FE_AND_PP_AND_G</stp>
        <stp>FQ1 2015</stp>
        <stp>FQ1 2015</stp>
        <stp>[AMZ_2009-2018.xlsx]Income - Adjusted!R8C27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8" s="2"/>
      </tp>
      <tp>
        <v>12366</v>
        <stp/>
        <stp>##V3_BDHV12</stp>
        <stp>AMZN US Equity</stp>
        <stp>IS_COGS_TO_FE_AND_PP_AND_G</stp>
        <stp>FQ3 2013</stp>
        <stp>FQ3 2013</stp>
        <stp>[AMZ_2009-2018.xlsx]Income - Adjusted!R8C21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8" s="2"/>
      </tp>
      <tp>
        <v>8325</v>
        <stp/>
        <stp>##V3_BDHV12</stp>
        <stp>AMZN US Equity</stp>
        <stp>IS_COGS_TO_FE_AND_PP_AND_G</stp>
        <stp>FQ3 2011</stp>
        <stp>FQ3 2011</stp>
        <stp>[AMZ_2009-2018.xlsx]Income - Adjusted!R8C13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8" s="2"/>
      </tp>
      <tp>
        <v>28958</v>
        <stp/>
        <stp>##V3_BDHV12</stp>
        <stp>AMZN US Equity</stp>
        <stp>IS_COGS_TO_FE_AND_PP_AND_G</stp>
        <stp>FQ4 2016</stp>
        <stp>FQ4 2016</stp>
        <stp>[AMZ_2009-2018.xlsx]Income - Adjusted!R8C34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8" s="2"/>
      </tp>
      <tp>
        <v>20671</v>
        <stp/>
        <stp>##V3_BDHV12</stp>
        <stp>AMZN US Equity</stp>
        <stp>IS_COGS_TO_FE_AND_PP_AND_G</stp>
        <stp>FQ4 2014</stp>
        <stp>FQ4 2014</stp>
        <stp>[AMZ_2009-2018.xlsx]Income - Adjusted!R8C26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8" s="2"/>
      </tp>
      <tp>
        <v>472</v>
        <stp/>
        <stp>##V3_BDHV12</stp>
        <stp>AMZN US Equity</stp>
        <stp>PRETAX_INC</stp>
        <stp>FQ4 2009</stp>
        <stp>FQ4 2009</stp>
        <stp>[AMZ_2009-2018.xlsx]Income - Adjusted!R25C6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5" s="2"/>
      </tp>
      <tp t="s">
        <v>—</v>
        <stp/>
        <stp>##V3_BDHV12</stp>
        <stp>AMZN US Equity</stp>
        <stp>BS_GROSS_FIX_ASSET</stp>
        <stp>FQ1 2018</stp>
        <stp>FQ1 2018</stp>
        <stp>[AMZ_2009-2018.xlsx]Bal Sheet - Standardized!R24C39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4" s="3"/>
      </tp>
      <tp>
        <v>1.81</v>
        <stp/>
        <stp>##V3_BDHV12</stp>
        <stp>AMZN US Equity</stp>
        <stp>IS_BASIC_EPS_CONT_OPS</stp>
        <stp>FQ2 2016</stp>
        <stp>FQ2 2016</stp>
        <stp>[AMZ_2009-2018.xlsx]Per Share!R16C32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16" s="5"/>
      </tp>
      <tp>
        <v>0.42</v>
        <stp/>
        <stp>##V3_BDHV12</stp>
        <stp>AMZN US Equity</stp>
        <stp>IS_BASIC_EPS_CONT_OPS</stp>
        <stp>FQ2 2011</stp>
        <stp>FQ2 2011</stp>
        <stp>[AMZ_2009-2018.xlsx]Per Share!R16C12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16" s="5"/>
      </tp>
      <tp>
        <v>0.52</v>
        <stp/>
        <stp>##V3_BDHV12</stp>
        <stp>AMZN US Equity</stp>
        <stp>IS_BASIC_EPS_CONT_OPS</stp>
        <stp>FQ4 2013</stp>
        <stp>FQ4 2013</stp>
        <stp>[AMZ_2009-2018.xlsx]Per Share!R16C22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16" s="5"/>
      </tp>
      <tp>
        <v>10019</v>
        <stp/>
        <stp>##V3_BDHV12</stp>
        <stp>AMZN US Equity</stp>
        <stp>BS_ADD_PAID_IN_CAP</stp>
        <stp>FQ1 2014</stp>
        <stp>FQ1 2014</stp>
        <stp>[AMZ_2009-2018.xlsx]Bal Sheet - Standardized!R67C23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7" s="3"/>
      </tp>
      <tp>
        <v>7868</v>
        <stp/>
        <stp>##V3_BDHV12</stp>
        <stp>AMZN US Equity</stp>
        <stp>BS_SH_CAP_AND_APIC</stp>
        <stp>FQ3 2012</stp>
        <stp>FQ3 2012</stp>
        <stp>[AMZ_2009-2018.xlsx]Bal Sheet - Standardized!R65C17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5" s="3"/>
      </tp>
      <tp>
        <v>15026</v>
        <stp/>
        <stp>##V3_BDHV12</stp>
        <stp>AMZN US Equity</stp>
        <stp>BS_ADD_PAID_IN_CAP</stp>
        <stp>FQ2 2016</stp>
        <stp>FQ2 2016</stp>
        <stp>[AMZ_2009-2018.xlsx]Bal Sheet - Standardized!R67C32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7" s="3"/>
      </tp>
      <tp>
        <v>36.735199999999999</v>
        <stp/>
        <stp>##V3_BDHV12</stp>
        <stp>AMZN US Equity</stp>
        <stp>TCE_RATIO</stp>
        <stp>FQ3 2009</stp>
        <stp>FQ3 2009</stp>
        <stp>[AMZ_2009-2018.xlsx]Bal Sheet - Standardized!R85C5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85" s="3"/>
      </tp>
      <tp>
        <v>38.828899999999997</v>
        <stp/>
        <stp>##V3_BDHV12</stp>
        <stp>AMZN US Equity</stp>
        <stp>TCE_RATIO</stp>
        <stp>FQ2 2009</stp>
        <stp>FQ2 2009</stp>
        <stp>[AMZ_2009-2018.xlsx]Bal Sheet - Standardized!R85C4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85" s="3"/>
      </tp>
      <tp>
        <v>20212</v>
        <stp/>
        <stp>##V3_BDHV12</stp>
        <stp>AMZN US Equity</stp>
        <stp>BS_ADD_PAID_IN_CAP</stp>
        <stp>FQ3 2017</stp>
        <stp>FQ3 2017</stp>
        <stp>[AMZ_2009-2018.xlsx]Bal Sheet - Standardized!R67C37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7" s="3"/>
      </tp>
      <tp>
        <v>21394</v>
        <stp/>
        <stp>##V3_BDHV12</stp>
        <stp>AMZN US Equity</stp>
        <stp>BS_SH_CAP_AND_APIC</stp>
        <stp>FQ4 2017</stp>
        <stp>FQ4 2017</stp>
        <stp>[AMZ_2009-2018.xlsx]Bal Sheet - Standardized!R65C38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5" s="3"/>
      </tp>
      <tp>
        <v>8347</v>
        <stp/>
        <stp>##V3_BDHV12</stp>
        <stp>AMZN US Equity</stp>
        <stp>BS_ADD_PAID_IN_CAP</stp>
        <stp>FQ4 2012</stp>
        <stp>FQ4 2012</stp>
        <stp>[AMZ_2009-2018.xlsx]Bal Sheet - Standardized!R67C18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7" s="3"/>
      </tp>
      <tp t="s">
        <v>—</v>
        <stp/>
        <stp>##V3_BDHV12</stp>
        <stp>AMZN US Equity</stp>
        <stp>LT_CAPITAL_LEASE_OBLIGATIONS</stp>
        <stp>FQ1 2014</stp>
        <stp>FQ1 2014</stp>
        <stp>[AMZ_2009-2018.xlsx]Bal Sheet - Standardized!R54C23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4" s="3"/>
      </tp>
      <tp t="s">
        <v>—</v>
        <stp/>
        <stp>##V3_BDHV12</stp>
        <stp>AMZN US Equity</stp>
        <stp>INVTRY_RAW_MATERIALS</stp>
        <stp>FQ2 2009</stp>
        <stp>FQ2 2009</stp>
        <stp>[AMZ_2009-2018.xlsx]Bal Sheet - Standardized!R14C4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4" s="3"/>
      </tp>
      <tp>
        <v>0</v>
        <stp/>
        <stp>##V3_BDHV12</stp>
        <stp>AMZN US Equity</stp>
        <stp>OTHER_CURRENT_LIABS_DETAILED</stp>
        <stp>FQ3 2016</stp>
        <stp>FQ3 2016</stp>
        <stp>[AMZ_2009-2018.xlsx]Bal Sheet - Standardized!R50C33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0" s="3"/>
      </tp>
      <tp>
        <v>6100</v>
        <stp/>
        <stp>##V3_BDHV12</stp>
        <stp>AMZN US Equity</stp>
        <stp>LT_CAPITAL_LEASE_OBLIGATIONS</stp>
        <stp>FQ2 2016</stp>
        <stp>FQ2 2016</stp>
        <stp>[AMZ_2009-2018.xlsx]Bal Sheet - Standardized!R54C32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4" s="3"/>
      </tp>
      <tp>
        <v>151</v>
        <stp/>
        <stp>##V3_BDHV12</stp>
        <stp>AMZN US Equity</stp>
        <stp>CF_STOCK_BASED_COMPENSATION</stp>
        <stp>FQ3 2012</stp>
        <stp>FQ3 2012</stp>
        <stp>[AMZ_2009-2018.xlsx]Cash Flow - Standardized!R10C17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0" s="4"/>
      </tp>
      <tp t="s">
        <v>—</v>
        <stp/>
        <stp>##V3_BDHV12</stp>
        <stp>AMZN US Equity</stp>
        <stp>INVTRY_RAW_MATERIALS</stp>
        <stp>FQ3 2010</stp>
        <stp>FQ3 2010</stp>
        <stp>[AMZ_2009-2018.xlsx]Bal Sheet - Standardized!R14C9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4" s="3"/>
      </tp>
      <tp>
        <v>0</v>
        <stp/>
        <stp>##V3_BDHV12</stp>
        <stp>AMZN US Equity</stp>
        <stp>OTHER_CURRENT_LIABS_DETAILED</stp>
        <stp>FQ2 2017</stp>
        <stp>FQ2 2017</stp>
        <stp>[AMZ_2009-2018.xlsx]Bal Sheet - Standardized!R50C36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0" s="3"/>
      </tp>
      <tp>
        <v>0</v>
        <stp/>
        <stp>##V3_BDHV12</stp>
        <stp>AMZN US Equity</stp>
        <stp>OTHER_CURRENT_LIABS_DETAILED</stp>
        <stp>FQ1 2015</stp>
        <stp>FQ1 2015</stp>
        <stp>[AMZ_2009-2018.xlsx]Bal Sheet - Standardized!R50C27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0" s="3"/>
      </tp>
      <tp>
        <v>11900</v>
        <stp/>
        <stp>##V3_BDHV12</stp>
        <stp>AMZN US Equity</stp>
        <stp>LT_CAPITAL_LEASE_OBLIGATIONS</stp>
        <stp>FQ3 2017</stp>
        <stp>FQ3 2017</stp>
        <stp>[AMZ_2009-2018.xlsx]Bal Sheet - Standardized!R54C37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4" s="3"/>
      </tp>
      <tp>
        <v>36</v>
        <stp/>
        <stp>##V3_BDHV12</stp>
        <stp>AMZN US Equity</stp>
        <stp>CF_EFFECT_FOREIGN_EXCHANGES</stp>
        <stp>FQ1 2011</stp>
        <stp>FQ1 2011</stp>
        <stp>[AMZ_2009-2018.xlsx]Cash Flow - Standardized!R53C11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3" s="4"/>
      </tp>
      <tp>
        <v>-543</v>
        <stp/>
        <stp>##V3_BDHV12</stp>
        <stp>AMZN US Equity</stp>
        <stp>CF_EFFECT_FOREIGN_EXCHANGES</stp>
        <stp>FQ4 2016</stp>
        <stp>FQ4 2016</stp>
        <stp>[AMZ_2009-2018.xlsx]Cash Flow - Standardized!R53C34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3" s="4"/>
      </tp>
      <tp>
        <v>-19</v>
        <stp/>
        <stp>##V3_BDHV12</stp>
        <stp>AMZN US Equity</stp>
        <stp>CF_EFFECT_FOREIGN_EXCHANGES</stp>
        <stp>FQ2 2012</stp>
        <stp>FQ2 2012</stp>
        <stp>[AMZ_2009-2018.xlsx]Cash Flow - Standardized!R53C16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3" s="4"/>
      </tp>
      <tp>
        <v>737</v>
        <stp/>
        <stp>##V3_BDHV12</stp>
        <stp>AMZN US Equity</stp>
        <stp>LT_CAPITAL_LEASE_OBLIGATIONS</stp>
        <stp>FQ4 2012</stp>
        <stp>FQ4 2012</stp>
        <stp>[AMZ_2009-2018.xlsx]Bal Sheet - Standardized!R54C18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4" s="3"/>
      </tp>
      <tp>
        <v>1179</v>
        <stp/>
        <stp>##V3_BDHV12</stp>
        <stp>AMZN US Equity</stp>
        <stp>CF_STOCK_BASED_COMPENSATION</stp>
        <stp>FQ4 2017</stp>
        <stp>FQ4 2017</stp>
        <stp>[AMZ_2009-2018.xlsx]Cash Flow - Standardized!R10C38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0" s="4"/>
      </tp>
      <tp>
        <v>4.0267999999999997</v>
        <stp/>
        <stp>##V3_BDHV12</stp>
        <stp>AMZN US Equity</stp>
        <stp>EBITDA_MARGIN</stp>
        <stp>FQ1 2012</stp>
        <stp>FQ1 2012</stp>
        <stp>[AMZ_2009-2018.xlsx]Income - Adjusted!R62C15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O62" s="2"/>
      </tp>
      <tp>
        <v>4.9485999999999999</v>
        <stp/>
        <stp>##V3_BDHV12</stp>
        <stp>AMZN US Equity</stp>
        <stp>EBITDA_MARGIN</stp>
        <stp>FQ1 2013</stp>
        <stp>FQ1 2013</stp>
        <stp>[AMZ_2009-2018.xlsx]Income - Adjusted!R62C19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S62" s="2"/>
      </tp>
      <tp t="s">
        <v>—</v>
        <stp/>
        <stp>##V3_BDHV12</stp>
        <stp>AMZN US Equity</stp>
        <stp>INVTRY_RAW_MATERIALS</stp>
        <stp>FQ1 2013</stp>
        <stp>FQ1 2013</stp>
        <stp>[AMZ_2009-2018.xlsx]Bal Sheet - Standardized!R14C19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4" s="3"/>
      </tp>
      <tp>
        <v>240</v>
        <stp/>
        <stp>##V3_BDHV12</stp>
        <stp>AMZN US Equity</stp>
        <stp>BS_LT_BORROW</stp>
        <stp>FQ4 2009</stp>
        <stp>FQ4 2009</stp>
        <stp>[AMZ_2009-2018.xlsx]Bal Sheet - Standardized!R52C6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2" s="3"/>
      </tp>
      <tp>
        <v>4016</v>
        <stp/>
        <stp>##V3_BDHV12</stp>
        <stp>AMZN US Equity</stp>
        <stp>BS_TOT_NON_CUR_ASSET</stp>
        <stp>FQ4 2009</stp>
        <stp>FQ4 2009</stp>
        <stp>[AMZ_2009-2018.xlsx]Bal Sheet - Standardized!R34C6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4" s="3"/>
      </tp>
      <tp>
        <v>5.3749000000000002</v>
        <stp/>
        <stp>##V3_BDHV12</stp>
        <stp>AMZN US Equity</stp>
        <stp>EBITDA_MARGIN</stp>
        <stp>FQ1 2011</stp>
        <stp>FQ1 2011</stp>
        <stp>[AMZ_2009-2018.xlsx]Income - Adjusted!R62C11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K62" s="2"/>
      </tp>
      <tp>
        <v>8.5798000000000005</v>
        <stp/>
        <stp>##V3_BDHV12</stp>
        <stp>AMZN US Equity</stp>
        <stp>EBITDA_MARGIN</stp>
        <stp>FQ1 2016</stp>
        <stp>FQ1 2016</stp>
        <stp>[AMZ_2009-2018.xlsx]Income - Adjusted!R62C31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E62" s="2"/>
      </tp>
      <tp>
        <v>9.0093999999999994</v>
        <stp/>
        <stp>##V3_BDHV12</stp>
        <stp>AMZN US Equity</stp>
        <stp>EBITDA_MARGIN</stp>
        <stp>FQ1 2017</stp>
        <stp>FQ1 2017</stp>
        <stp>[AMZ_2009-2018.xlsx]Income - Adjusted!R62C35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I62" s="2"/>
      </tp>
      <tp>
        <v>5.4695</v>
        <stp/>
        <stp>##V3_BDHV12</stp>
        <stp>AMZN US Equity</stp>
        <stp>EBITDA_MARGIN</stp>
        <stp>FQ1 2014</stp>
        <stp>FQ1 2014</stp>
        <stp>[AMZ_2009-2018.xlsx]Income - Adjusted!R62C23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W62" s="2"/>
      </tp>
      <tp>
        <v>6.1089000000000002</v>
        <stp/>
        <stp>##V3_BDHV12</stp>
        <stp>AMZN US Equity</stp>
        <stp>EBITDA_MARGIN</stp>
        <stp>FQ1 2015</stp>
        <stp>FQ1 2015</stp>
        <stp>[AMZ_2009-2018.xlsx]Income - Adjusted!R62C27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A62" s="2"/>
      </tp>
      <tp>
        <v>9.1839999999999993</v>
        <stp/>
        <stp>##V3_BDHV12</stp>
        <stp>AMZN US Equity</stp>
        <stp>EBITDA_MARGIN</stp>
        <stp>FQ1 2018</stp>
        <stp>FQ1 2018</stp>
        <stp>[AMZ_2009-2018.xlsx]Income - Adjusted!R62C39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M62" s="2"/>
      </tp>
      <tp t="s">
        <v>—</v>
        <stp/>
        <stp>##V3_BDHV12</stp>
        <stp>AMZN US Equity</stp>
        <stp>INVTRY_RAW_MATERIALS</stp>
        <stp>FQ3 2011</stp>
        <stp>FQ3 2011</stp>
        <stp>[AMZ_2009-2018.xlsx]Bal Sheet - Standardized!R14C13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4" s="3"/>
      </tp>
      <tp t="s">
        <v>—</v>
        <stp/>
        <stp>##V3_BDHV12</stp>
        <stp>AMZN US Equity</stp>
        <stp>INVTRY_RAW_MATERIALS</stp>
        <stp>FQ2 2013</stp>
        <stp>FQ2 2013</stp>
        <stp>[AMZ_2009-2018.xlsx]Bal Sheet - Standardized!R14C20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4" s="3"/>
      </tp>
      <tp t="s">
        <v>—</v>
        <stp/>
        <stp>##V3_BDHV12</stp>
        <stp>AMZN US Equity</stp>
        <stp>EBITA</stp>
        <stp>FQ3 2016</stp>
        <stp>FQ3 2016</stp>
        <stp>[AMZ_2009-2018.xlsx]Income - Adjusted!R63C33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63" s="2"/>
      </tp>
      <tp t="s">
        <v>—</v>
        <stp/>
        <stp>##V3_BDHV12</stp>
        <stp>AMZN US Equity</stp>
        <stp>EBITA</stp>
        <stp>FQ3 2011</stp>
        <stp>FQ3 2011</stp>
        <stp>[AMZ_2009-2018.xlsx]Income - Adjusted!R63C13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63" s="2"/>
      </tp>
      <tp t="s">
        <v>—</v>
        <stp/>
        <stp>##V3_BDHV12</stp>
        <stp>AMZN US Equity</stp>
        <stp>EBITA</stp>
        <stp>FQ1 2014</stp>
        <stp>FQ1 2014</stp>
        <stp>[AMZ_2009-2018.xlsx]Income - Adjusted!R63C23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63" s="2"/>
      </tp>
      <tp t="s">
        <v>—</v>
        <stp/>
        <stp>##V3_BDHV12</stp>
        <stp>AMZN US Equity</stp>
        <stp>BS_DERIV_&amp;_HEDGING_ASSETS_LT</stp>
        <stp>FQ1 2012</stp>
        <stp>FQ1 2012</stp>
        <stp>[AMZ_2009-2018.xlsx]Bal Sheet - Standardized!R32C15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2" s="3"/>
      </tp>
      <tp>
        <v>0</v>
        <stp/>
        <stp>##V3_BDHV12</stp>
        <stp>AMZN US Equity</stp>
        <stp>BS_DERIV_&amp;_HEDGING_ASSETS_ST</stp>
        <stp>FQ4 2015</stp>
        <stp>FQ4 2015</stp>
        <stp>[AMZ_2009-2018.xlsx]Bal Sheet - Standardized!R19C30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9" s="3"/>
      </tp>
      <tp>
        <v>0</v>
        <stp/>
        <stp>##V3_BDHV12</stp>
        <stp>AMZN US Equity</stp>
        <stp>BS_DERIV_&amp;_HEDGING_ASSETS_LT</stp>
        <stp>FQ4 2015</stp>
        <stp>FQ4 2015</stp>
        <stp>[AMZ_2009-2018.xlsx]Bal Sheet - Standardized!R32C30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2" s="3"/>
      </tp>
      <tp t="s">
        <v>—</v>
        <stp/>
        <stp>##V3_BDHV12</stp>
        <stp>AMZN US Equity</stp>
        <stp>BS_DERIV_&amp;_HEDGING_ASSETS_ST</stp>
        <stp>FQ1 2012</stp>
        <stp>FQ1 2012</stp>
        <stp>[AMZ_2009-2018.xlsx]Bal Sheet - Standardized!R19C15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9" s="3"/>
      </tp>
      <tp t="s">
        <v>—</v>
        <stp/>
        <stp>##V3_BDHV12</stp>
        <stp>AMZN US Equity</stp>
        <stp>IS_CAP_INT_EXP</stp>
        <stp>FQ4 2013</stp>
        <stp>FQ4 2013</stp>
        <stp>[AMZ_2009-2018.xlsx]Income - Adjusted!R71C22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1" s="2"/>
      </tp>
      <tp t="s">
        <v>—</v>
        <stp/>
        <stp>##V3_BDHV12</stp>
        <stp>AMZN US Equity</stp>
        <stp>BS_DERIV_&amp;_HEDGING_ASSETS_LT</stp>
        <stp>FQ2 2011</stp>
        <stp>FQ2 2011</stp>
        <stp>[AMZ_2009-2018.xlsx]Bal Sheet - Standardized!R32C12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2" s="3"/>
      </tp>
      <tp>
        <v>0</v>
        <stp/>
        <stp>##V3_BDHV12</stp>
        <stp>AMZN US Equity</stp>
        <stp>BS_DERIV_&amp;_HEDGING_ASSETS_LT</stp>
        <stp>FQ4 2014</stp>
        <stp>FQ4 2014</stp>
        <stp>[AMZ_2009-2018.xlsx]Bal Sheet - Standardized!R32C26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2" s="3"/>
      </tp>
      <tp t="s">
        <v>—</v>
        <stp/>
        <stp>##V3_BDHV12</stp>
        <stp>AMZN US Equity</stp>
        <stp>BS_DERIV_&amp;_HEDGING_ASSETS_LT</stp>
        <stp>FQ3 2013</stp>
        <stp>FQ3 2013</stp>
        <stp>[AMZ_2009-2018.xlsx]Bal Sheet - Standardized!R32C21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2" s="3"/>
      </tp>
      <tp t="s">
        <v>—</v>
        <stp/>
        <stp>##V3_BDHV12</stp>
        <stp>AMZN US Equity</stp>
        <stp>IS_CAP_INT_EXP</stp>
        <stp>FQ2 2013</stp>
        <stp>FQ2 2013</stp>
        <stp>[AMZ_2009-2018.xlsx]Income - Adjusted!R71C20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1" s="2"/>
      </tp>
      <tp t="s">
        <v>—</v>
        <stp/>
        <stp>##V3_BDHV12</stp>
        <stp>AMZN US Equity</stp>
        <stp>IS_CAP_INT_EXP</stp>
        <stp>FQ4 2010</stp>
        <stp>FQ4 2010</stp>
        <stp>[AMZ_2009-2018.xlsx]Income - Adjusted!R71C10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1" s="2"/>
      </tp>
      <tp>
        <v>52</v>
        <stp/>
        <stp>##V3_BDHV12</stp>
        <stp>AMZN US Equity</stp>
        <stp>CF_TAX_BENEFIT_FRM_STOCK_OPTIONS</stp>
        <stp>FQ4 2009</stp>
        <stp>FQ4 2009</stp>
        <stp>[AMZ_2009-2018.xlsx]Cash Flow - Standardized!R64C6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4" s="4"/>
      </tp>
      <tp t="s">
        <v>—</v>
        <stp/>
        <stp>##V3_BDHV12</stp>
        <stp>AMZN US Equity</stp>
        <stp>BS_DERIV_&amp;_HEDGING_ASSETS_ST</stp>
        <stp>FQ2 2011</stp>
        <stp>FQ2 2011</stp>
        <stp>[AMZ_2009-2018.xlsx]Bal Sheet - Standardized!R19C12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9" s="3"/>
      </tp>
      <tp t="s">
        <v>—</v>
        <stp/>
        <stp>##V3_BDHV12</stp>
        <stp>AMZN US Equity</stp>
        <stp>IS_CAP_INT_EXP</stp>
        <stp>FQ3 2013</stp>
        <stp>FQ3 2013</stp>
        <stp>[AMZ_2009-2018.xlsx]Income - Adjusted!R71C21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1" s="2"/>
      </tp>
      <tp>
        <v>-2.2100000000000002E-2</v>
        <stp/>
        <stp>##V3_BDHV12</stp>
        <stp>AMZN US Equity</stp>
        <stp>FREE_CASH_FLOW_PER_SH</stp>
        <stp>FQ2 2011</stp>
        <stp>FQ2 2011</stp>
        <stp>[AMZ_2009-2018.xlsx]Cash Flow - Standardized!R68C12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68" s="4"/>
      </tp>
      <tp>
        <v>5.4800000000000001E-2</v>
        <stp/>
        <stp>##V3_BDHV12</stp>
        <stp>AMZN US Equity</stp>
        <stp>FREE_CASH_FLOW_PER_SH</stp>
        <stp>FQ2 2013</stp>
        <stp>FQ2 2013</stp>
        <stp>[AMZ_2009-2018.xlsx]Cash Flow - Standardized!R68C20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68" s="4"/>
      </tp>
      <tp>
        <v>0</v>
        <stp/>
        <stp>##V3_BDHV12</stp>
        <stp>AMZN US Equity</stp>
        <stp>BS_DERIV_&amp;_HEDGING_ASSETS_ST</stp>
        <stp>FQ4 2014</stp>
        <stp>FQ4 2014</stp>
        <stp>[AMZ_2009-2018.xlsx]Bal Sheet - Standardized!R19C26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9" s="3"/>
      </tp>
      <tp t="s">
        <v>—</v>
        <stp/>
        <stp>##V3_BDHV12</stp>
        <stp>AMZN US Equity</stp>
        <stp>BS_DERIV_&amp;_HEDGING_ASSETS_ST</stp>
        <stp>FQ3 2013</stp>
        <stp>FQ3 2013</stp>
        <stp>[AMZ_2009-2018.xlsx]Bal Sheet - Standardized!R19C21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9" s="3"/>
      </tp>
      <tp t="s">
        <v>—</v>
        <stp/>
        <stp>##V3_BDHV12</stp>
        <stp>AMZN US Equity</stp>
        <stp>NUM_OF_EMPLOYEES</stp>
        <stp>FQ1 2010</stp>
        <stp>FQ1 2010</stp>
        <stp>[AMZ_2009-2018.xlsx]Bal Sheet - Standardized!R89C7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89" s="3"/>
      </tp>
      <tp>
        <v>0</v>
        <stp/>
        <stp>##V3_BDHV12</stp>
        <stp>AMZN US Equity</stp>
        <stp>IS_EXTRAORD_ITEMS_&amp;_ACCTG_CHNG</stp>
        <stp>FQ1 2018</stp>
        <stp>FQ1 2018</stp>
        <stp>[AMZ_2009-2018.xlsx]Income - Adjusted!R37C39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7" s="2"/>
      </tp>
      <tp>
        <v>-291</v>
        <stp/>
        <stp>##V3_BDHV12</stp>
        <stp>AMZN US Equity</stp>
        <stp>CFF_ACTIVITIES_DETAILED</stp>
        <stp>FQ1 2009</stp>
        <stp>FQ1 2009</stp>
        <stp>[AMZ_2009-2018.xlsx]Cash Flow - Standardized!R51C3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1" s="4"/>
      </tp>
      <tp>
        <v>0</v>
        <stp/>
        <stp>##V3_BDHV12</stp>
        <stp>AMZN US Equity</stp>
        <stp>BS_PFD_EQTY_&amp;_HYBRID_CPTL</stp>
        <stp>FQ3 2009</stp>
        <stp>FQ3 2009</stp>
        <stp>[AMZ_2009-2018.xlsx]Bal Sheet - Standardized!R64C5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4" s="3"/>
      </tp>
      <tp>
        <v>0</v>
        <stp/>
        <stp>##V3_BDHV12</stp>
        <stp>AMZN US Equity</stp>
        <stp>OTHER_CURRENT_ASSETS_DETAILED</stp>
        <stp>FQ4 2017</stp>
        <stp>FQ4 2017</stp>
        <stp>[AMZ_2009-2018.xlsx]Bal Sheet - Standardized!R18C38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8" s="3"/>
      </tp>
      <tp t="s">
        <v>—</v>
        <stp/>
        <stp>##V3_BDHV12</stp>
        <stp>AMZN US Equity</stp>
        <stp>NUM_OF_EMPLOYEES</stp>
        <stp>FQ2 2015</stp>
        <stp>FQ2 2015</stp>
        <stp>[AMZ_2009-2018.xlsx]Bal Sheet - Standardized!R89C28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89" s="3"/>
      </tp>
      <tp>
        <v>0</v>
        <stp/>
        <stp>##V3_BDHV12</stp>
        <stp>AMZN US Equity</stp>
        <stp>BS_PFD_EQTY_&amp;_HYBRID_CPTL</stp>
        <stp>FQ2 2010</stp>
        <stp>FQ2 2010</stp>
        <stp>[AMZ_2009-2018.xlsx]Bal Sheet - Standardized!R64C8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4" s="3"/>
      </tp>
      <tp>
        <v>413</v>
        <stp/>
        <stp>##V3_BDHV12</stp>
        <stp>AMZN US Equity</stp>
        <stp>OTHER_CURRENT_ASSETS_DETAILED</stp>
        <stp>FQ3 2012</stp>
        <stp>FQ3 2012</stp>
        <stp>[AMZ_2009-2018.xlsx]Bal Sheet - Standardized!R18C17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8" s="3"/>
      </tp>
      <tp>
        <v>-37</v>
        <stp/>
        <stp>##V3_BDHV12</stp>
        <stp>AMZN US Equity</stp>
        <stp>CF_PYMT_LT_DEBT_&amp;_CAPITAL_LEASE</stp>
        <stp>FQ2 2010</stp>
        <stp>FQ2 2010</stp>
        <stp>[AMZ_2009-2018.xlsx]Cash Flow - Standardized!R45C8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5" s="4"/>
      </tp>
      <tp>
        <v>-20</v>
        <stp/>
        <stp>##V3_BDHV12</stp>
        <stp>AMZN US Equity</stp>
        <stp>CF_PYMT_LT_DEBT_&amp;_CAPITAL_LEASE</stp>
        <stp>FQ3 2009</stp>
        <stp>FQ3 2009</stp>
        <stp>[AMZ_2009-2018.xlsx]Cash Flow - Standardized!R45C5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5" s="4"/>
      </tp>
      <tp>
        <v>296.50299999999999</v>
        <stp/>
        <stp>##V3_BDHV12</stp>
        <stp>AMZN US Equity</stp>
        <stp>PX_LOW</stp>
        <stp>FQ4 2013</stp>
        <stp>FQ4 2013</stp>
        <stp>[AMZ_2009-2018.xlsx]Stock Value!R10C22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10" s="6"/>
      </tp>
      <tp>
        <v>-28.887699999999999</v>
        <stp/>
        <stp>##V3_BDHV12</stp>
        <stp>AMZN US Equity</stp>
        <stp>NET_DEBT_TO_SHRHLDR_EQTY</stp>
        <stp>FQ4 2016</stp>
        <stp>FQ4 2016</stp>
        <stp>[AMZ_2009-2018.xlsx]Bal Sheet - Standardized!R84C34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84" s="3"/>
      </tp>
      <tp>
        <v>-12.3545</v>
        <stp/>
        <stp>##V3_BDHV12</stp>
        <stp>AMZN US Equity</stp>
        <stp>NET_DEBT_TO_SHRHLDR_EQTY</stp>
        <stp>FQ4 2014</stp>
        <stp>FQ4 2014</stp>
        <stp>[AMZ_2009-2018.xlsx]Bal Sheet - Standardized!R84C26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84" s="3"/>
      </tp>
      <tp>
        <v>-81.457599999999999</v>
        <stp/>
        <stp>##V3_BDHV12</stp>
        <stp>AMZN US Equity</stp>
        <stp>NET_DEBT_TO_SHRHLDR_EQTY</stp>
        <stp>FQ3 2011</stp>
        <stp>FQ3 2011</stp>
        <stp>[AMZ_2009-2018.xlsx]Bal Sheet - Standardized!R84C13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84" s="3"/>
      </tp>
      <tp>
        <v>-43.644800000000004</v>
        <stp/>
        <stp>##V3_BDHV12</stp>
        <stp>AMZN US Equity</stp>
        <stp>NET_DEBT_TO_SHRHLDR_EQTY</stp>
        <stp>FQ3 2013</stp>
        <stp>FQ3 2013</stp>
        <stp>[AMZ_2009-2018.xlsx]Bal Sheet - Standardized!R84C21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84" s="3"/>
      </tp>
      <tp>
        <v>0.31369999999999998</v>
        <stp/>
        <stp>##V3_BDHV12</stp>
        <stp>AMZN US Equity</stp>
        <stp>NET_DEBT_TO_SHRHLDR_EQTY</stp>
        <stp>FQ1 2017</stp>
        <stp>FQ1 2017</stp>
        <stp>[AMZ_2009-2018.xlsx]Bal Sheet - Standardized!R84C35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84" s="3"/>
      </tp>
      <tp>
        <v>-38.140300000000003</v>
        <stp/>
        <stp>##V3_BDHV12</stp>
        <stp>AMZN US Equity</stp>
        <stp>NET_DEBT_TO_SHRHLDR_EQTY</stp>
        <stp>FQ1 2015</stp>
        <stp>FQ1 2015</stp>
        <stp>[AMZ_2009-2018.xlsx]Bal Sheet - Standardized!R84C27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84" s="3"/>
      </tp>
      <tp>
        <v>30735</v>
        <stp/>
        <stp>##V3_BDHV12</stp>
        <stp>AMZN US Equity</stp>
        <stp>IS_COGS_TO_FE_AND_PP_AND_G</stp>
        <stp>FQ1 2018</stp>
        <stp>FQ1 2018</stp>
        <stp>[AMZ_2009-2018.xlsx]Income - Adjusted!R8C39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8" s="2"/>
      </tp>
      <tp>
        <v>14457</v>
        <stp/>
        <stp>##V3_BDHV12</stp>
        <stp>AMZN US Equity</stp>
        <stp>IS_COGS_TO_FE_AND_PP_AND_G</stp>
        <stp>FQ3 2014</stp>
        <stp>FQ3 2014</stp>
        <stp>[AMZ_2009-2018.xlsx]Income - Adjusted!R8C25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8" s="2"/>
      </tp>
      <tp>
        <v>23451</v>
        <stp/>
        <stp>##V3_BDHV12</stp>
        <stp>AMZN US Equity</stp>
        <stp>IS_COGS_TO_FE_AND_PP_AND_G</stp>
        <stp>FQ2 2017</stp>
        <stp>FQ2 2017</stp>
        <stp>[AMZ_2009-2018.xlsx]Income - Adjusted!R8C36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8" s="2"/>
      </tp>
      <tp>
        <v>18806</v>
        <stp/>
        <stp>##V3_BDHV12</stp>
        <stp>AMZN US Equity</stp>
        <stp>IS_COGS_TO_FE_AND_PP_AND_G</stp>
        <stp>FQ4 2013</stp>
        <stp>FQ4 2013</stp>
        <stp>[AMZ_2009-2018.xlsx]Income - Adjusted!R8C22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8" s="2"/>
      </tp>
      <tp>
        <v>261</v>
        <stp/>
        <stp>##V3_BDHV12</stp>
        <stp>AMZN US Equity</stp>
        <stp>PRETAX_INC</stp>
        <stp>FQ3 2009</stp>
        <stp>FQ3 2009</stp>
        <stp>[AMZ_2009-2018.xlsx]Income - Adjusted!R25C5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5" s="2"/>
      </tp>
      <tp>
        <v>0.23</v>
        <stp/>
        <stp>##V3_BDHV12</stp>
        <stp>AMZN US Equity</stp>
        <stp>IS_BASIC_EPS_CONT_OPS</stp>
        <stp>FQ1 2014</stp>
        <stp>FQ1 2014</stp>
        <stp>[AMZ_2009-2018.xlsx]Per Share!R16C23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16" s="5"/>
      </tp>
      <tp>
        <v>0.53</v>
        <stp/>
        <stp>##V3_BDHV12</stp>
        <stp>AMZN US Equity</stp>
        <stp>IS_BASIC_EPS_CONT_OPS</stp>
        <stp>FQ3 2016</stp>
        <stp>FQ3 2016</stp>
        <stp>[AMZ_2009-2018.xlsx]Per Share!R16C33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16" s="5"/>
      </tp>
      <tp>
        <v>0.14000000000000001</v>
        <stp/>
        <stp>##V3_BDHV12</stp>
        <stp>AMZN US Equity</stp>
        <stp>IS_BASIC_EPS_CONT_OPS</stp>
        <stp>FQ3 2011</stp>
        <stp>FQ3 2011</stp>
        <stp>[AMZ_2009-2018.xlsx]Per Share!R16C13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16" s="5"/>
      </tp>
      <tp>
        <v>7578</v>
        <stp/>
        <stp>##V3_BDHV12</stp>
        <stp>AMZN US Equity</stp>
        <stp>BS_SH_CAP_AND_APIC</stp>
        <stp>FQ2 2012</stp>
        <stp>FQ2 2012</stp>
        <stp>[AMZ_2009-2018.xlsx]Bal Sheet - Standardized!R65C16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5" s="3"/>
      </tp>
      <tp>
        <v>15968</v>
        <stp/>
        <stp>##V3_BDHV12</stp>
        <stp>AMZN US Equity</stp>
        <stp>BS_ADD_PAID_IN_CAP</stp>
        <stp>FQ3 2016</stp>
        <stp>FQ3 2016</stp>
        <stp>[AMZ_2009-2018.xlsx]Bal Sheet - Standardized!R67C33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7" s="3"/>
      </tp>
      <tp>
        <v>17191</v>
        <stp/>
        <stp>##V3_BDHV12</stp>
        <stp>AMZN US Equity</stp>
        <stp>BS_SH_CAP_AND_APIC</stp>
        <stp>FQ4 2016</stp>
        <stp>FQ4 2016</stp>
        <stp>[AMZ_2009-2018.xlsx]Bal Sheet - Standardized!R65C34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5" s="3"/>
      </tp>
      <tp>
        <v>11565</v>
        <stp/>
        <stp>##V3_BDHV12</stp>
        <stp>AMZN US Equity</stp>
        <stp>BS_ADD_PAID_IN_CAP</stp>
        <stp>FQ1 2015</stp>
        <stp>FQ1 2015</stp>
        <stp>[AMZ_2009-2018.xlsx]Bal Sheet - Standardized!R67C27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7" s="3"/>
      </tp>
      <tp>
        <v>6488</v>
        <stp/>
        <stp>##V3_BDHV12</stp>
        <stp>AMZN US Equity</stp>
        <stp>BS_SH_CAP_AND_APIC</stp>
        <stp>FQ1 2011</stp>
        <stp>FQ1 2011</stp>
        <stp>[AMZ_2009-2018.xlsx]Bal Sheet - Standardized!R65C11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5" s="3"/>
      </tp>
      <tp>
        <v>19129</v>
        <stp/>
        <stp>##V3_BDHV12</stp>
        <stp>AMZN US Equity</stp>
        <stp>BS_ADD_PAID_IN_CAP</stp>
        <stp>FQ2 2017</stp>
        <stp>FQ2 2017</stp>
        <stp>[AMZ_2009-2018.xlsx]Bal Sheet - Standardized!R67C36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7" s="3"/>
      </tp>
      <tp>
        <v>0</v>
        <stp/>
        <stp>##V3_BDHV12</stp>
        <stp>AMZN US Equity</stp>
        <stp>OTHER_CURRENT_LIABS_DETAILED</stp>
        <stp>FQ2 2016</stp>
        <stp>FQ2 2016</stp>
        <stp>[AMZ_2009-2018.xlsx]Bal Sheet - Standardized!R50C32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0" s="3"/>
      </tp>
      <tp t="s">
        <v>—</v>
        <stp/>
        <stp>##V3_BDHV12</stp>
        <stp>AMZN US Equity</stp>
        <stp>INVTRY_RAW_MATERIALS</stp>
        <stp>FQ3 2009</stp>
        <stp>FQ3 2009</stp>
        <stp>[AMZ_2009-2018.xlsx]Bal Sheet - Standardized!R14C5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4" s="3"/>
      </tp>
      <tp>
        <v>64</v>
        <stp/>
        <stp>##V3_BDHV12</stp>
        <stp>AMZN US Equity</stp>
        <stp>CF_STOCK_BASED_COMPENSATION</stp>
        <stp>FQ1 2011</stp>
        <stp>FQ1 2011</stp>
        <stp>[AMZ_2009-2018.xlsx]Cash Flow - Standardized!R10C11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0" s="4"/>
      </tp>
      <tp>
        <v>6900</v>
        <stp/>
        <stp>##V3_BDHV12</stp>
        <stp>AMZN US Equity</stp>
        <stp>LT_CAPITAL_LEASE_OBLIGATIONS</stp>
        <stp>FQ3 2016</stp>
        <stp>FQ3 2016</stp>
        <stp>[AMZ_2009-2018.xlsx]Bal Sheet - Standardized!R54C33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4" s="3"/>
      </tp>
      <tp>
        <v>887</v>
        <stp/>
        <stp>##V3_BDHV12</stp>
        <stp>AMZN US Equity</stp>
        <stp>CF_STOCK_BASED_COMPENSATION</stp>
        <stp>FQ4 2016</stp>
        <stp>FQ4 2016</stp>
        <stp>[AMZ_2009-2018.xlsx]Cash Flow - Standardized!R10C34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0" s="4"/>
      </tp>
      <tp>
        <v>0</v>
        <stp/>
        <stp>##V3_BDHV12</stp>
        <stp>AMZN US Equity</stp>
        <stp>OTHER_CURRENT_LIABS_DETAILED</stp>
        <stp>FQ1 2014</stp>
        <stp>FQ1 2014</stp>
        <stp>[AMZ_2009-2018.xlsx]Bal Sheet - Standardized!R50C23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0" s="3"/>
      </tp>
      <tp>
        <v>0</v>
        <stp/>
        <stp>##V3_BDHV12</stp>
        <stp>AMZN US Equity</stp>
        <stp>OTHER_CURRENT_LIABS_DETAILED</stp>
        <stp>FQ3 2017</stp>
        <stp>FQ3 2017</stp>
        <stp>[AMZ_2009-2018.xlsx]Bal Sheet - Standardized!R50C37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0" s="3"/>
      </tp>
      <tp t="s">
        <v>—</v>
        <stp/>
        <stp>##V3_BDHV12</stp>
        <stp>AMZN US Equity</stp>
        <stp>INVTRY_RAW_MATERIALS</stp>
        <stp>FQ2 2010</stp>
        <stp>FQ2 2010</stp>
        <stp>[AMZ_2009-2018.xlsx]Bal Sheet - Standardized!R14C8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4" s="3"/>
      </tp>
      <tp t="s">
        <v>—</v>
        <stp/>
        <stp>##V3_BDHV12</stp>
        <stp>AMZN US Equity</stp>
        <stp>LT_CAPITAL_LEASE_OBLIGATIONS</stp>
        <stp>FQ1 2015</stp>
        <stp>FQ1 2015</stp>
        <stp>[AMZ_2009-2018.xlsx]Bal Sheet - Standardized!R54C27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4" s="3"/>
      </tp>
      <tp>
        <v>136</v>
        <stp/>
        <stp>##V3_BDHV12</stp>
        <stp>AMZN US Equity</stp>
        <stp>CF_STOCK_BASED_COMPENSATION</stp>
        <stp>FQ2 2012</stp>
        <stp>FQ2 2012</stp>
        <stp>[AMZ_2009-2018.xlsx]Cash Flow - Standardized!R10C16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0" s="4"/>
      </tp>
      <tp>
        <v>90</v>
        <stp/>
        <stp>##V3_BDHV12</stp>
        <stp>AMZN US Equity</stp>
        <stp>CF_EFFECT_FOREIGN_EXCHANGES</stp>
        <stp>FQ4 2017</stp>
        <stp>FQ4 2017</stp>
        <stp>[AMZ_2009-2018.xlsx]Cash Flow - Standardized!R53C38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3" s="4"/>
      </tp>
      <tp>
        <v>9800</v>
        <stp/>
        <stp>##V3_BDHV12</stp>
        <stp>AMZN US Equity</stp>
        <stp>LT_CAPITAL_LEASE_OBLIGATIONS</stp>
        <stp>FQ2 2017</stp>
        <stp>FQ2 2017</stp>
        <stp>[AMZ_2009-2018.xlsx]Bal Sheet - Standardized!R54C36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4" s="3"/>
      </tp>
      <tp>
        <v>40</v>
        <stp/>
        <stp>##V3_BDHV12</stp>
        <stp>AMZN US Equity</stp>
        <stp>CF_EFFECT_FOREIGN_EXCHANGES</stp>
        <stp>FQ3 2012</stp>
        <stp>FQ3 2012</stp>
        <stp>[AMZ_2009-2018.xlsx]Cash Flow - Standardized!R53C17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3" s="4"/>
      </tp>
      <tp>
        <v>0</v>
        <stp/>
        <stp>##V3_BDHV12</stp>
        <stp>AMZN US Equity</stp>
        <stp>OTHER_CURRENT_LIABS_DETAILED</stp>
        <stp>FQ4 2012</stp>
        <stp>FQ4 2012</stp>
        <stp>[AMZ_2009-2018.xlsx]Bal Sheet - Standardized!R50C18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0" s="3"/>
      </tp>
      <tp>
        <v>134100</v>
        <stp/>
        <stp>##V3_BDHV12</stp>
        <stp>AMZN US Equity</stp>
        <stp>BS_TOT_ASSET</stp>
        <stp>FQ2 2018</stp>
        <stp>FQ2 2018</stp>
        <stp>[AMZ_2009-2018.xlsx]Bal Sheet - Standardized!R35C40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5" s="3"/>
      </tp>
      <tp t="s">
        <v>—</v>
        <stp/>
        <stp>##V3_BDHV12</stp>
        <stp>AMZN US Equity</stp>
        <stp>INVTRY_RAW_MATERIALS</stp>
        <stp>FQ4 2014</stp>
        <stp>FQ4 2014</stp>
        <stp>[AMZ_2009-2018.xlsx]Bal Sheet - Standardized!R14C26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4" s="3"/>
      </tp>
      <tp t="s">
        <v>—</v>
        <stp/>
        <stp>##V3_BDHV12</stp>
        <stp>AMZN US Equity</stp>
        <stp>INVTRY_RAW_MATERIALS</stp>
        <stp>FQ3 2013</stp>
        <stp>FQ3 2013</stp>
        <stp>[AMZ_2009-2018.xlsx]Bal Sheet - Standardized!R14C21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4" s="3"/>
      </tp>
      <tp t="s">
        <v>—</v>
        <stp/>
        <stp>##V3_BDHV12</stp>
        <stp>AMZN US Equity</stp>
        <stp>INVTRY_RAW_MATERIALS</stp>
        <stp>FQ2 2011</stp>
        <stp>FQ2 2011</stp>
        <stp>[AMZ_2009-2018.xlsx]Bal Sheet - Standardized!R14C12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4" s="3"/>
      </tp>
      <tp t="s">
        <v>—</v>
        <stp/>
        <stp>##V3_BDHV12</stp>
        <stp>AMZN US Equity</stp>
        <stp>EBITA</stp>
        <stp>FQ4 2013</stp>
        <stp>FQ4 2013</stp>
        <stp>[AMZ_2009-2018.xlsx]Income - Adjusted!R63C22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63" s="2"/>
      </tp>
      <tp t="s">
        <v>—</v>
        <stp/>
        <stp>##V3_BDHV12</stp>
        <stp>AMZN US Equity</stp>
        <stp>INVTRY_RAW_MATERIALS</stp>
        <stp>FQ4 2015</stp>
        <stp>FQ4 2015</stp>
        <stp>[AMZ_2009-2018.xlsx]Bal Sheet - Standardized!R14C30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4" s="3"/>
      </tp>
      <tp t="s">
        <v>—</v>
        <stp/>
        <stp>##V3_BDHV12</stp>
        <stp>AMZN US Equity</stp>
        <stp>EBITA</stp>
        <stp>FQ2 2016</stp>
        <stp>FQ2 2016</stp>
        <stp>[AMZ_2009-2018.xlsx]Income - Adjusted!R63C32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63" s="2"/>
      </tp>
      <tp t="s">
        <v>—</v>
        <stp/>
        <stp>##V3_BDHV12</stp>
        <stp>AMZN US Equity</stp>
        <stp>EBITA</stp>
        <stp>FQ2 2011</stp>
        <stp>FQ2 2011</stp>
        <stp>[AMZ_2009-2018.xlsx]Income - Adjusted!R63C12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63" s="2"/>
      </tp>
      <tp t="s">
        <v>—</v>
        <stp/>
        <stp>##V3_BDHV12</stp>
        <stp>AMZN US Equity</stp>
        <stp>INVTRY_RAW_MATERIALS</stp>
        <stp>FQ1 2012</stp>
        <stp>FQ1 2012</stp>
        <stp>[AMZ_2009-2018.xlsx]Bal Sheet - Standardized!R14C15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4" s="3"/>
      </tp>
      <tp t="s">
        <v>—</v>
        <stp/>
        <stp>##V3_BDHV12</stp>
        <stp>AMZN US Equity</stp>
        <stp>IS_CAP_INT_EXP</stp>
        <stp>FQ4 2011</stp>
        <stp>FQ4 2011</stp>
        <stp>[AMZ_2009-2018.xlsx]Income - Adjusted!R71C14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1" s="2"/>
      </tp>
      <tp t="s">
        <v>—</v>
        <stp/>
        <stp>##V3_BDHV12</stp>
        <stp>AMZN US Equity</stp>
        <stp>IS_CAP_INT_EXP</stp>
        <stp>FQ2 2011</stp>
        <stp>FQ2 2011</stp>
        <stp>[AMZ_2009-2018.xlsx]Income - Adjusted!R71C12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1" s="2"/>
      </tp>
      <tp t="s">
        <v>—</v>
        <stp/>
        <stp>##V3_BDHV12</stp>
        <stp>AMZN US Equity</stp>
        <stp>BS_DERIV_&amp;_HEDGING_ASSETS_LT</stp>
        <stp>FQ2 2013</stp>
        <stp>FQ2 2013</stp>
        <stp>[AMZ_2009-2018.xlsx]Bal Sheet - Standardized!R32C20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2" s="3"/>
      </tp>
      <tp t="s">
        <v>—</v>
        <stp/>
        <stp>##V3_BDHV12</stp>
        <stp>AMZN US Equity</stp>
        <stp>IS_CAP_INT_EXP</stp>
        <stp>FQ3 2011</stp>
        <stp>FQ3 2011</stp>
        <stp>[AMZ_2009-2018.xlsx]Income - Adjusted!R71C13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1" s="2"/>
      </tp>
      <tp t="s">
        <v>—</v>
        <stp/>
        <stp>##V3_BDHV12</stp>
        <stp>AMZN US Equity</stp>
        <stp>BS_DERIV_&amp;_HEDGING_ASSETS_LT</stp>
        <stp>FQ3 2011</stp>
        <stp>FQ3 2011</stp>
        <stp>[AMZ_2009-2018.xlsx]Bal Sheet - Standardized!R32C13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2" s="3"/>
      </tp>
      <tp t="s">
        <v>—</v>
        <stp/>
        <stp>##V3_BDHV12</stp>
        <stp>AMZN US Equity</stp>
        <stp>BS_DERIV_&amp;_HEDGING_ASSETS_ST</stp>
        <stp>FQ2 2013</stp>
        <stp>FQ2 2013</stp>
        <stp>[AMZ_2009-2018.xlsx]Bal Sheet - Standardized!R19C20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9" s="3"/>
      </tp>
      <tp t="s">
        <v>—</v>
        <stp/>
        <stp>##V3_BDHV12</stp>
        <stp>AMZN US Equity</stp>
        <stp>IS_CAP_INT_EXP</stp>
        <stp>FQ1 2011</stp>
        <stp>FQ1 2011</stp>
        <stp>[AMZ_2009-2018.xlsx]Income - Adjusted!R71C11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1" s="2"/>
      </tp>
      <tp>
        <v>0.76590000000000003</v>
        <stp/>
        <stp>##V3_BDHV12</stp>
        <stp>AMZN US Equity</stp>
        <stp>FREE_CASH_FLOW_PER_SH</stp>
        <stp>FQ3 2013</stp>
        <stp>FQ3 2013</stp>
        <stp>[AMZ_2009-2018.xlsx]Cash Flow - Standardized!R68C21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68" s="4"/>
      </tp>
      <tp>
        <v>0.59030000000000005</v>
        <stp/>
        <stp>##V3_BDHV12</stp>
        <stp>AMZN US Equity</stp>
        <stp>FREE_CASH_FLOW_PER_SH</stp>
        <stp>FQ3 2011</stp>
        <stp>FQ3 2011</stp>
        <stp>[AMZ_2009-2018.xlsx]Cash Flow - Standardized!R68C13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68" s="4"/>
      </tp>
      <tp>
        <v>-7.8972999999999995</v>
        <stp/>
        <stp>##V3_BDHV12</stp>
        <stp>AMZN US Equity</stp>
        <stp>FREE_CASH_FLOW_PER_SH</stp>
        <stp>FQ1 2017</stp>
        <stp>FQ1 2017</stp>
        <stp>[AMZ_2009-2018.xlsx]Cash Flow - Standardized!R68C35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68" s="4"/>
      </tp>
      <tp>
        <v>-5.0968</v>
        <stp/>
        <stp>##V3_BDHV12</stp>
        <stp>AMZN US Equity</stp>
        <stp>FREE_CASH_FLOW_PER_SH</stp>
        <stp>FQ1 2015</stp>
        <stp>FQ1 2015</stp>
        <stp>[AMZ_2009-2018.xlsx]Cash Flow - Standardized!R68C27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68" s="4"/>
      </tp>
      <tp>
        <v>18.0105</v>
        <stp/>
        <stp>##V3_BDHV12</stp>
        <stp>AMZN US Equity</stp>
        <stp>FREE_CASH_FLOW_PER_SH</stp>
        <stp>FQ4 2016</stp>
        <stp>FQ4 2016</stp>
        <stp>[AMZ_2009-2018.xlsx]Cash Flow - Standardized!R68C34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68" s="4"/>
      </tp>
      <tp>
        <v>12.006500000000001</v>
        <stp/>
        <stp>##V3_BDHV12</stp>
        <stp>AMZN US Equity</stp>
        <stp>FREE_CASH_FLOW_PER_SH</stp>
        <stp>FQ4 2014</stp>
        <stp>FQ4 2014</stp>
        <stp>[AMZ_2009-2018.xlsx]Cash Flow - Standardized!R68C26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68" s="4"/>
      </tp>
      <tp t="s">
        <v>—</v>
        <stp/>
        <stp>##V3_BDHV12</stp>
        <stp>AMZN US Equity</stp>
        <stp>BS_DERIV_&amp;_HEDGING_ASSETS_ST</stp>
        <stp>FQ3 2011</stp>
        <stp>FQ3 2011</stp>
        <stp>[AMZ_2009-2018.xlsx]Bal Sheet - Standardized!R19C13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9" s="3"/>
      </tp>
      <tp t="s">
        <v>—</v>
        <stp/>
        <stp>##V3_BDHV12</stp>
        <stp>AMZN US Equity</stp>
        <stp>BS_DERIV_&amp;_HEDGING_ASSETS_LT</stp>
        <stp>FQ1 2013</stp>
        <stp>FQ1 2013</stp>
        <stp>[AMZ_2009-2018.xlsx]Bal Sheet - Standardized!R32C19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2" s="3"/>
      </tp>
      <tp t="s">
        <v>—</v>
        <stp/>
        <stp>##V3_BDHV12</stp>
        <stp>AMZN US Equity</stp>
        <stp>BS_DERIV_&amp;_HEDGING_ASSETS_ST</stp>
        <stp>FQ1 2013</stp>
        <stp>FQ1 2013</stp>
        <stp>[AMZ_2009-2018.xlsx]Bal Sheet - Standardized!R19C19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9" s="3"/>
      </tp>
      <tp>
        <v>0</v>
        <stp/>
        <stp>##V3_BDHV12</stp>
        <stp>AMZN US Equity</stp>
        <stp>BS_PFD_EQTY_&amp;_HYBRID_CPTL</stp>
        <stp>FQ2 2009</stp>
        <stp>FQ2 2009</stp>
        <stp>[AMZ_2009-2018.xlsx]Bal Sheet - Standardized!R64C4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4" s="3"/>
      </tp>
      <tp>
        <v>222400</v>
        <stp/>
        <stp>##V3_BDHV12</stp>
        <stp>AMZN US Equity</stp>
        <stp>NUM_OF_EMPLOYEES</stp>
        <stp>FQ3 2015</stp>
        <stp>FQ3 2015</stp>
        <stp>[AMZ_2009-2018.xlsx]Bal Sheet - Standardized!R89C29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89" s="3"/>
      </tp>
      <tp>
        <v>0</v>
        <stp/>
        <stp>##V3_BDHV12</stp>
        <stp>AMZN US Equity</stp>
        <stp>BS_PFD_EQTY_&amp;_HYBRID_CPTL</stp>
        <stp>FQ3 2010</stp>
        <stp>FQ3 2010</stp>
        <stp>[AMZ_2009-2018.xlsx]Bal Sheet - Standardized!R64C9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4" s="3"/>
      </tp>
      <tp>
        <v>408</v>
        <stp/>
        <stp>##V3_BDHV12</stp>
        <stp>AMZN US Equity</stp>
        <stp>OTHER_CURRENT_ASSETS_DETAILED</stp>
        <stp>FQ2 2012</stp>
        <stp>FQ2 2012</stp>
        <stp>[AMZ_2009-2018.xlsx]Bal Sheet - Standardized!R18C16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8" s="3"/>
      </tp>
      <tp>
        <v>-49</v>
        <stp/>
        <stp>##V3_BDHV12</stp>
        <stp>AMZN US Equity</stp>
        <stp>CF_PYMT_LT_DEBT_&amp;_CAPITAL_LEASE</stp>
        <stp>FQ3 2010</stp>
        <stp>FQ3 2010</stp>
        <stp>[AMZ_2009-2018.xlsx]Cash Flow - Standardized!R45C9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5" s="4"/>
      </tp>
      <tp>
        <v>87</v>
        <stp/>
        <stp>##V3_BDHV12</stp>
        <stp>AMZN US Equity</stp>
        <stp>CFF_ACTIVITIES_DETAILED</stp>
        <stp>FQ1 2010</stp>
        <stp>FQ1 2010</stp>
        <stp>[AMZ_2009-2018.xlsx]Cash Flow - Standardized!R51C7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1" s="4"/>
      </tp>
      <tp>
        <v>215</v>
        <stp/>
        <stp>##V3_BDHV12</stp>
        <stp>AMZN US Equity</stp>
        <stp>OTHER_CURRENT_ASSETS_DETAILED</stp>
        <stp>FQ1 2011</stp>
        <stp>FQ1 2011</stp>
        <stp>[AMZ_2009-2018.xlsx]Bal Sheet - Standardized!R18C11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8" s="3"/>
      </tp>
      <tp>
        <v>-25</v>
        <stp/>
        <stp>##V3_BDHV12</stp>
        <stp>AMZN US Equity</stp>
        <stp>CF_PYMT_LT_DEBT_&amp;_CAPITAL_LEASE</stp>
        <stp>FQ2 2009</stp>
        <stp>FQ2 2009</stp>
        <stp>[AMZ_2009-2018.xlsx]Cash Flow - Standardized!R45C4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5" s="4"/>
      </tp>
      <tp>
        <v>0</v>
        <stp/>
        <stp>##V3_BDHV12</stp>
        <stp>AMZN US Equity</stp>
        <stp>OTHER_CURRENT_ASSETS_DETAILED</stp>
        <stp>FQ4 2016</stp>
        <stp>FQ4 2016</stp>
        <stp>[AMZ_2009-2018.xlsx]Bal Sheet - Standardized!R18C34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8" s="3"/>
      </tp>
      <tp>
        <v>151.4</v>
        <stp/>
        <stp>##V3_BDHV12</stp>
        <stp>AMZN US Equity</stp>
        <stp>PX_LOW</stp>
        <stp>FQ4 2010</stp>
        <stp>FQ4 2010</stp>
        <stp>[AMZ_2009-2018.xlsx]Stock Value!R10C10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10" s="6"/>
      </tp>
      <tp>
        <v>-42.711599999999997</v>
        <stp/>
        <stp>##V3_BDHV12</stp>
        <stp>AMZN US Equity</stp>
        <stp>NET_DEBT_TO_SHRHLDR_EQTY</stp>
        <stp>FQ2 2013</stp>
        <stp>FQ2 2013</stp>
        <stp>[AMZ_2009-2018.xlsx]Bal Sheet - Standardized!R84C20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84" s="3"/>
      </tp>
      <tp>
        <v>-81.8416</v>
        <stp/>
        <stp>##V3_BDHV12</stp>
        <stp>AMZN US Equity</stp>
        <stp>NET_DEBT_TO_SHRHLDR_EQTY</stp>
        <stp>FQ2 2011</stp>
        <stp>FQ2 2011</stp>
        <stp>[AMZ_2009-2018.xlsx]Bal Sheet - Standardized!R84C12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84" s="3"/>
      </tp>
      <tp>
        <v>7608</v>
        <stp/>
        <stp>##V3_BDHV12</stp>
        <stp>AMZN US Equity</stp>
        <stp>IS_COGS_TO_FE_AND_PP_AND_G</stp>
        <stp>FQ1 2011</stp>
        <stp>FQ1 2011</stp>
        <stp>[AMZ_2009-2018.xlsx]Income - Adjusted!R8C11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8" s="2"/>
      </tp>
      <tp>
        <v>27549</v>
        <stp/>
        <stp>##V3_BDHV12</stp>
        <stp>AMZN US Equity</stp>
        <stp>IS_COGS_TO_FE_AND_PP_AND_G</stp>
        <stp>FQ3 2017</stp>
        <stp>FQ3 2017</stp>
        <stp>[AMZ_2009-2018.xlsx]Income - Adjusted!R8C37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8" s="2"/>
      </tp>
      <tp>
        <v>13399</v>
        <stp/>
        <stp>##V3_BDHV12</stp>
        <stp>AMZN US Equity</stp>
        <stp>IS_COGS_TO_FE_AND_PP_AND_G</stp>
        <stp>FQ2 2014</stp>
        <stp>FQ2 2014</stp>
        <stp>[AMZ_2009-2018.xlsx]Income - Adjusted!R8C24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8" s="2"/>
      </tp>
      <tp>
        <v>10317</v>
        <stp/>
        <stp>##V3_BDHV12</stp>
        <stp>AMZN US Equity</stp>
        <stp>IS_COGS_TO_FE_AND_PP_AND_G</stp>
        <stp>FQ4 2010</stp>
        <stp>FQ4 2010</stp>
        <stp>[AMZ_2009-2018.xlsx]Income - Adjusted!R8C10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8" s="2"/>
      </tp>
      <tp>
        <v>228</v>
        <stp/>
        <stp>##V3_BDHV12</stp>
        <stp>AMZN US Equity</stp>
        <stp>PRETAX_INC</stp>
        <stp>FQ2 2009</stp>
        <stp>FQ2 2009</stp>
        <stp>[AMZ_2009-2018.xlsx]Income - Adjusted!R25C4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5" s="2"/>
      </tp>
      <tp>
        <v>-0.27</v>
        <stp/>
        <stp>##V3_BDHV12</stp>
        <stp>AMZN US Equity</stp>
        <stp>IS_BASIC_EPS_CONT_OPS</stp>
        <stp>FQ2 2014</stp>
        <stp>FQ2 2014</stp>
        <stp>[AMZ_2009-2018.xlsx]Per Share!R16C24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16" s="5"/>
      </tp>
      <tp t="s">
        <v>—</v>
        <stp/>
        <stp>##V3_BDHV12</stp>
        <stp>AMZN US Equity</stp>
        <stp>IS_OTHER_ONE_TIME_ITEMS</stp>
        <stp>FQ3 2010</stp>
        <stp>FQ3 2010</stp>
        <stp>[AMZ_2009-2018.xlsx]Income - Adjusted!R30C9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0" s="2"/>
      </tp>
      <tp>
        <v>0.39</v>
        <stp/>
        <stp>##V3_BDHV12</stp>
        <stp>AMZN US Equity</stp>
        <stp>IS_BASIC_EPS_CONT_OPS</stp>
        <stp>FQ4 2011</stp>
        <stp>FQ4 2011</stp>
        <stp>[AMZ_2009-2018.xlsx]Per Share!R16C14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16" s="5"/>
      </tp>
      <tp>
        <v>1.5804</v>
        <stp/>
        <stp>##V3_BDHV12</stp>
        <stp>AMZN US Equity</stp>
        <stp>IS_BASIC_EPS_CONT_OPS</stp>
        <stp>FQ4 2016</stp>
        <stp>FQ4 2016</stp>
        <stp>[AMZ_2009-2018.xlsx]Per Share!R16C34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16" s="5"/>
      </tp>
      <tp>
        <v>15973</v>
        <stp/>
        <stp>##V3_BDHV12</stp>
        <stp>AMZN US Equity</stp>
        <stp>BS_SH_CAP_AND_APIC</stp>
        <stp>FQ3 2016</stp>
        <stp>FQ3 2016</stp>
        <stp>[AMZ_2009-2018.xlsx]Bal Sheet - Standardized!R65C33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5" s="3"/>
      </tp>
      <tp>
        <v>446</v>
        <stp/>
        <stp>##V3_BDHV12</stp>
        <stp>AMZN US Equity</stp>
        <stp>BS_SH_OUT</stp>
        <stp>FQ1 2010</stp>
        <stp>FQ1 2010</stp>
        <stp>[AMZ_2009-2018.xlsx]Bal Sheet - Standardized!R78C7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78" s="3"/>
      </tp>
      <tp>
        <v>7573</v>
        <stp/>
        <stp>##V3_BDHV12</stp>
        <stp>AMZN US Equity</stp>
        <stp>BS_ADD_PAID_IN_CAP</stp>
        <stp>FQ2 2012</stp>
        <stp>FQ2 2012</stp>
        <stp>[AMZ_2009-2018.xlsx]Bal Sheet - Standardized!R67C16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7" s="3"/>
      </tp>
      <tp>
        <v>11570</v>
        <stp/>
        <stp>##V3_BDHV12</stp>
        <stp>AMZN US Equity</stp>
        <stp>BS_SH_CAP_AND_APIC</stp>
        <stp>FQ1 2015</stp>
        <stp>FQ1 2015</stp>
        <stp>[AMZ_2009-2018.xlsx]Bal Sheet - Standardized!R65C27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5" s="3"/>
      </tp>
      <tp>
        <v>17186</v>
        <stp/>
        <stp>##V3_BDHV12</stp>
        <stp>AMZN US Equity</stp>
        <stp>BS_ADD_PAID_IN_CAP</stp>
        <stp>FQ4 2016</stp>
        <stp>FQ4 2016</stp>
        <stp>[AMZ_2009-2018.xlsx]Bal Sheet - Standardized!R67C34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7" s="3"/>
      </tp>
      <tp>
        <v>3.1915</v>
        <stp/>
        <stp>##V3_BDHV12</stp>
        <stp>AMZN US Equity</stp>
        <stp>PROF_MARGIN</stp>
        <stp>FQ1 2018</stp>
        <stp>FQ1 2018</stp>
        <stp>[AMZ_2009-2018.xlsx]Income - Adjusted!R67C39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M67" s="2"/>
      </tp>
      <tp>
        <v>19134</v>
        <stp/>
        <stp>##V3_BDHV12</stp>
        <stp>AMZN US Equity</stp>
        <stp>BS_SH_CAP_AND_APIC</stp>
        <stp>FQ2 2017</stp>
        <stp>FQ2 2017</stp>
        <stp>[AMZ_2009-2018.xlsx]Bal Sheet - Standardized!R65C36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5" s="3"/>
      </tp>
      <tp>
        <v>6483</v>
        <stp/>
        <stp>##V3_BDHV12</stp>
        <stp>AMZN US Equity</stp>
        <stp>BS_ADD_PAID_IN_CAP</stp>
        <stp>FQ1 2011</stp>
        <stp>FQ1 2011</stp>
        <stp>[AMZ_2009-2018.xlsx]Bal Sheet - Standardized!R67C11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7" s="3"/>
      </tp>
      <tp>
        <v>1.7612000000000001</v>
        <stp/>
        <stp>##V3_BDHV12</stp>
        <stp>AMZN US Equity</stp>
        <stp>PROF_MARGIN</stp>
        <stp>FQ1 2016</stp>
        <stp>FQ1 2016</stp>
        <stp>[AMZ_2009-2018.xlsx]Income - Adjusted!R67C31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E67" s="2"/>
      </tp>
      <tp>
        <v>2.0272000000000001</v>
        <stp/>
        <stp>##V3_BDHV12</stp>
        <stp>AMZN US Equity</stp>
        <stp>PROF_MARGIN</stp>
        <stp>FQ1 2017</stp>
        <stp>FQ1 2017</stp>
        <stp>[AMZ_2009-2018.xlsx]Income - Adjusted!R67C35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I67" s="2"/>
      </tp>
      <tp>
        <v>0.54710000000000003</v>
        <stp/>
        <stp>##V3_BDHV12</stp>
        <stp>AMZN US Equity</stp>
        <stp>PROF_MARGIN</stp>
        <stp>FQ1 2014</stp>
        <stp>FQ1 2014</stp>
        <stp>[AMZ_2009-2018.xlsx]Income - Adjusted!R67C23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W67" s="2"/>
      </tp>
      <tp>
        <v>-0.24809999999999999</v>
        <stp/>
        <stp>##V3_BDHV12</stp>
        <stp>AMZN US Equity</stp>
        <stp>PROF_MARGIN</stp>
        <stp>FQ1 2015</stp>
        <stp>FQ1 2015</stp>
        <stp>[AMZ_2009-2018.xlsx]Income - Adjusted!R67C27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A67" s="2"/>
      </tp>
      <tp>
        <v>0.98599999999999999</v>
        <stp/>
        <stp>##V3_BDHV12</stp>
        <stp>AMZN US Equity</stp>
        <stp>PROF_MARGIN</stp>
        <stp>FQ1 2012</stp>
        <stp>FQ1 2012</stp>
        <stp>[AMZ_2009-2018.xlsx]Income - Adjusted!R67C15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O67" s="2"/>
      </tp>
      <tp>
        <v>0.51029999999999998</v>
        <stp/>
        <stp>##V3_BDHV12</stp>
        <stp>AMZN US Equity</stp>
        <stp>PROF_MARGIN</stp>
        <stp>FQ1 2013</stp>
        <stp>FQ1 2013</stp>
        <stp>[AMZ_2009-2018.xlsx]Income - Adjusted!R67C19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S67" s="2"/>
      </tp>
      <tp>
        <v>2.0392000000000001</v>
        <stp/>
        <stp>##V3_BDHV12</stp>
        <stp>AMZN US Equity</stp>
        <stp>PROF_MARGIN</stp>
        <stp>FQ1 2011</stp>
        <stp>FQ1 2011</stp>
        <stp>[AMZ_2009-2018.xlsx]Income - Adjusted!R67C11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K67" s="2"/>
      </tp>
      <tp>
        <v>1158</v>
        <stp/>
        <stp>##V3_BDHV12</stp>
        <stp>AMZN US Equity</stp>
        <stp>CF_STOCK_BASED_COMPENSATION</stp>
        <stp>FQ2 2017</stp>
        <stp>FQ2 2017</stp>
        <stp>[AMZ_2009-2018.xlsx]Cash Flow - Standardized!R10C36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0" s="4"/>
      </tp>
      <tp>
        <v>0</v>
        <stp/>
        <stp>##V3_BDHV12</stp>
        <stp>AMZN US Equity</stp>
        <stp>OTHER_CURRENT_LIABS_DETAILED</stp>
        <stp>FQ3 2012</stp>
        <stp>FQ3 2012</stp>
        <stp>[AMZ_2009-2018.xlsx]Bal Sheet - Standardized!R50C17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0" s="3"/>
      </tp>
      <tp>
        <v>-61</v>
        <stp/>
        <stp>##V3_BDHV12</stp>
        <stp>AMZN US Equity</stp>
        <stp>CF_EFFECT_FOREIGN_EXCHANGES</stp>
        <stp>FQ4 2012</stp>
        <stp>FQ4 2012</stp>
        <stp>[AMZ_2009-2018.xlsx]Cash Flow - Standardized!R53C18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3" s="4"/>
      </tp>
      <tp t="s">
        <v>—</v>
        <stp/>
        <stp>##V3_BDHV12</stp>
        <stp>AMZN US Equity</stp>
        <stp>LT_CAPITAL_LEASE_OBLIGATIONS</stp>
        <stp>FQ2 2012</stp>
        <stp>FQ2 2012</stp>
        <stp>[AMZ_2009-2018.xlsx]Bal Sheet - Standardized!R54C16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4" s="3"/>
      </tp>
      <tp>
        <v>385</v>
        <stp/>
        <stp>##V3_BDHV12</stp>
        <stp>AMZN US Equity</stp>
        <stp>CF_STOCK_BASED_COMPENSATION</stp>
        <stp>FQ1 2015</stp>
        <stp>FQ1 2015</stp>
        <stp>[AMZ_2009-2018.xlsx]Cash Flow - Standardized!R10C27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0" s="4"/>
      </tp>
      <tp>
        <v>776</v>
        <stp/>
        <stp>##V3_BDHV12</stp>
        <stp>AMZN US Equity</stp>
        <stp>CF_STOCK_BASED_COMPENSATION</stp>
        <stp>FQ3 2016</stp>
        <stp>FQ3 2016</stp>
        <stp>[AMZ_2009-2018.xlsx]Cash Flow - Standardized!R10C33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0" s="4"/>
      </tp>
      <tp t="s">
        <v>—</v>
        <stp/>
        <stp>##V3_BDHV12</stp>
        <stp>AMZN US Equity</stp>
        <stp>INVTRY_RAW_MATERIALS</stp>
        <stp>FQ4 2009</stp>
        <stp>FQ4 2009</stp>
        <stp>[AMZ_2009-2018.xlsx]Bal Sheet - Standardized!R14C6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4" s="3"/>
      </tp>
      <tp>
        <v>7519</v>
        <stp/>
        <stp>##V3_BDHV12</stp>
        <stp>AMZN US Equity</stp>
        <stp>LT_CAPITAL_LEASE_OBLIGATIONS</stp>
        <stp>FQ4 2016</stp>
        <stp>FQ4 2016</stp>
        <stp>[AMZ_2009-2018.xlsx]Bal Sheet - Standardized!R54C34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4" s="3"/>
      </tp>
      <tp t="s">
        <v>—</v>
        <stp/>
        <stp>##V3_BDHV12</stp>
        <stp>AMZN US Equity</stp>
        <stp>LT_CAPITAL_LEASE_OBLIGATIONS</stp>
        <stp>FQ1 2011</stp>
        <stp>FQ1 2011</stp>
        <stp>[AMZ_2009-2018.xlsx]Bal Sheet - Standardized!R54C11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4" s="3"/>
      </tp>
      <tp>
        <v>148</v>
        <stp/>
        <stp>##V3_BDHV12</stp>
        <stp>AMZN US Equity</stp>
        <stp>CF_EFFECT_FOREIGN_EXCHANGES</stp>
        <stp>FQ3 2017</stp>
        <stp>FQ3 2017</stp>
        <stp>[AMZ_2009-2018.xlsx]Cash Flow - Standardized!R53C37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3" s="4"/>
      </tp>
      <tp>
        <v>0</v>
        <stp/>
        <stp>##V3_BDHV12</stp>
        <stp>AMZN US Equity</stp>
        <stp>OTHER_CURRENT_LIABS_DETAILED</stp>
        <stp>FQ4 2017</stp>
        <stp>FQ4 2017</stp>
        <stp>[AMZ_2009-2018.xlsx]Bal Sheet - Standardized!R50C38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0" s="3"/>
      </tp>
      <tp>
        <v>64</v>
        <stp/>
        <stp>##V3_BDHV12</stp>
        <stp>AMZN US Equity</stp>
        <stp>CF_EFFECT_FOREIGN_EXCHANGES</stp>
        <stp>FQ2 2016</stp>
        <stp>FQ2 2016</stp>
        <stp>[AMZ_2009-2018.xlsx]Cash Flow - Standardized!R53C32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3" s="4"/>
      </tp>
      <tp>
        <v>17</v>
        <stp/>
        <stp>##V3_BDHV12</stp>
        <stp>AMZN US Equity</stp>
        <stp>CF_EFFECT_FOREIGN_EXCHANGES</stp>
        <stp>FQ1 2014</stp>
        <stp>FQ1 2014</stp>
        <stp>[AMZ_2009-2018.xlsx]Cash Flow - Standardized!R53C23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3" s="4"/>
      </tp>
      <tp>
        <v>164</v>
        <stp/>
        <stp>##V3_BDHV12</stp>
        <stp>AMZN US Equity</stp>
        <stp>BS_LT_BORROW</stp>
        <stp>FQ3 2010</stp>
        <stp>FQ3 2010</stp>
        <stp>[AMZ_2009-2018.xlsx]Bal Sheet - Standardized!R52C9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2" s="3"/>
      </tp>
      <tp>
        <v>4603</v>
        <stp/>
        <stp>##V3_BDHV12</stp>
        <stp>AMZN US Equity</stp>
        <stp>BS_TOT_NON_CUR_ASSET</stp>
        <stp>FQ3 2010</stp>
        <stp>FQ3 2010</stp>
        <stp>[AMZ_2009-2018.xlsx]Bal Sheet - Standardized!R34C9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4" s="3"/>
      </tp>
      <tp t="s">
        <v>—</v>
        <stp/>
        <stp>##V3_BDHV12</stp>
        <stp>AMZN US Equity</stp>
        <stp>INVTRY_RAW_MATERIALS</stp>
        <stp>FQ2 2015</stp>
        <stp>FQ2 2015</stp>
        <stp>[AMZ_2009-2018.xlsx]Bal Sheet - Standardized!R14C28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4" s="3"/>
      </tp>
      <tp>
        <v>109</v>
        <stp/>
        <stp>##V3_BDHV12</stp>
        <stp>AMZN US Equity</stp>
        <stp>BS_LT_BORROW</stp>
        <stp>FQ2 2009</stp>
        <stp>FQ2 2009</stp>
        <stp>[AMZ_2009-2018.xlsx]Bal Sheet - Standardized!R52C4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2" s="3"/>
      </tp>
      <tp>
        <v>2371</v>
        <stp/>
        <stp>##V3_BDHV12</stp>
        <stp>AMZN US Equity</stp>
        <stp>BS_TOT_NON_CUR_ASSET</stp>
        <stp>FQ2 2009</stp>
        <stp>FQ2 2009</stp>
        <stp>[AMZ_2009-2018.xlsx]Bal Sheet - Standardized!R34C4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4" s="3"/>
      </tp>
      <tp t="s">
        <v>—</v>
        <stp/>
        <stp>##V3_BDHV12</stp>
        <stp>AMZN US Equity</stp>
        <stp>INVTRY_RAW_MATERIALS</stp>
        <stp>FQ4 2010</stp>
        <stp>FQ4 2010</stp>
        <stp>[AMZ_2009-2018.xlsx]Bal Sheet - Standardized!R14C10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4" s="3"/>
      </tp>
      <tp t="s">
        <v>—</v>
        <stp/>
        <stp>##V3_BDHV12</stp>
        <stp>AMZN US Equity</stp>
        <stp>INVTRY_RAW_MATERIALS</stp>
        <stp>FQ4 2013</stp>
        <stp>FQ4 2013</stp>
        <stp>[AMZ_2009-2018.xlsx]Bal Sheet - Standardized!R14C22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4" s="3"/>
      </tp>
      <tp t="s">
        <v>—</v>
        <stp/>
        <stp>##V3_BDHV12</stp>
        <stp>AMZN US Equity</stp>
        <stp>INVTRY_RAW_MATERIALS</stp>
        <stp>FQ3 2014</stp>
        <stp>FQ3 2014</stp>
        <stp>[AMZ_2009-2018.xlsx]Bal Sheet - Standardized!R14C25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4" s="3"/>
      </tp>
      <tp t="s">
        <v>—</v>
        <stp/>
        <stp>##V3_BDHV12</stp>
        <stp>AMZN US Equity</stp>
        <stp>INVTRY_RAW_MATERIALS</stp>
        <stp>FQ1 2017</stp>
        <stp>FQ1 2017</stp>
        <stp>[AMZ_2009-2018.xlsx]Bal Sheet - Standardized!R14C35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4" s="3"/>
      </tp>
      <tp>
        <v>0</v>
        <stp/>
        <stp>##V3_BDHV12</stp>
        <stp>AMZN US Equity</stp>
        <stp>BS_LT_INVEST</stp>
        <stp>FQ1 2010</stp>
        <stp>FQ1 2010</stp>
        <stp>[AMZ_2009-2018.xlsx]Bal Sheet - Standardized!R26C7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6" s="3"/>
      </tp>
      <tp t="s">
        <v>—</v>
        <stp/>
        <stp>##V3_BDHV12</stp>
        <stp>AMZN US Equity</stp>
        <stp>EBITA</stp>
        <stp>FQ3 2014</stp>
        <stp>FQ3 2014</stp>
        <stp>[AMZ_2009-2018.xlsx]Income - Adjusted!R63C25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63" s="2"/>
      </tp>
      <tp t="s">
        <v>—</v>
        <stp/>
        <stp>##V3_BDHV12</stp>
        <stp>AMZN US Equity</stp>
        <stp>EBITA</stp>
        <stp>FQ1 2017</stp>
        <stp>FQ1 2017</stp>
        <stp>[AMZ_2009-2018.xlsx]Income - Adjusted!R63C35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63" s="2"/>
      </tp>
      <tp t="s">
        <v>—</v>
        <stp/>
        <stp>##V3_BDHV12</stp>
        <stp>AMZN US Equity</stp>
        <stp>EBITA</stp>
        <stp>FQ1 2012</stp>
        <stp>FQ1 2012</stp>
        <stp>[AMZ_2009-2018.xlsx]Income - Adjusted!R63C15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63" s="2"/>
      </tp>
      <tp t="s">
        <v>—</v>
        <stp/>
        <stp>##V3_BDHV12</stp>
        <stp>AMZN US Equity</stp>
        <stp>BS_DERIV_&amp;_HEDGING_ASSETS_LT</stp>
        <stp>FQ1 2016</stp>
        <stp>FQ1 2016</stp>
        <stp>[AMZ_2009-2018.xlsx]Bal Sheet - Standardized!R32C31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2" s="3"/>
      </tp>
      <tp>
        <v>0</v>
        <stp/>
        <stp>##V3_BDHV12</stp>
        <stp>AMZN US Equity</stp>
        <stp>BS_DERIV_&amp;_HEDGING_ASSETS_ST</stp>
        <stp>FQ4 2011</stp>
        <stp>FQ4 2011</stp>
        <stp>[AMZ_2009-2018.xlsx]Bal Sheet - Standardized!R19C14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9" s="3"/>
      </tp>
      <tp t="s">
        <v>—</v>
        <stp/>
        <stp>##V3_BDHV12</stp>
        <stp>AMZN US Equity</stp>
        <stp>IS_CAP_INT_EXP</stp>
        <stp>FQ1 2015</stp>
        <stp>FQ1 2015</stp>
        <stp>[AMZ_2009-2018.xlsx]Income - Adjusted!R71C27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1" s="2"/>
      </tp>
      <tp>
        <v>-55</v>
        <stp/>
        <stp>##V3_BDHV12</stp>
        <stp>AMZN US Equity</stp>
        <stp>CF_PURCHASE_OF_FIXED_PROD_ASSETS</stp>
        <stp>FQ1 2009</stp>
        <stp>FQ1 2009</stp>
        <stp>[AMZ_2009-2018.xlsx]Cash Flow - Standardized!R27C3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4"/>
      </tp>
      <tp>
        <v>20</v>
        <stp/>
        <stp>##V3_BDHV12</stp>
        <stp>AMZN US Equity</stp>
        <stp>CF_TAX_BENEFIT_FRM_STOCK_OPTIONS</stp>
        <stp>FQ2 2009</stp>
        <stp>FQ2 2009</stp>
        <stp>[AMZ_2009-2018.xlsx]Cash Flow - Standardized!R64C4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4" s="4"/>
      </tp>
      <tp>
        <v>0</v>
        <stp/>
        <stp>##V3_BDHV12</stp>
        <stp>AMZN US Equity</stp>
        <stp>BS_DERIV_&amp;_HEDGING_ASSETS_LT</stp>
        <stp>FQ4 2011</stp>
        <stp>FQ4 2011</stp>
        <stp>[AMZ_2009-2018.xlsx]Bal Sheet - Standardized!R32C14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2" s="3"/>
      </tp>
      <tp t="s">
        <v>—</v>
        <stp/>
        <stp>##V3_BDHV12</stp>
        <stp>AMZN US Equity</stp>
        <stp>BS_DERIV_&amp;_HEDGING_ASSETS_ST</stp>
        <stp>FQ1 2016</stp>
        <stp>FQ1 2016</stp>
        <stp>[AMZ_2009-2018.xlsx]Bal Sheet - Standardized!R19C31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9" s="3"/>
      </tp>
      <tp t="s">
        <v>—</v>
        <stp/>
        <stp>##V3_BDHV12</stp>
        <stp>AMZN US Equity</stp>
        <stp>BS_DERIV_&amp;_HEDGING_ASSETS_ST</stp>
        <stp>FQ2 2014</stp>
        <stp>FQ2 2014</stp>
        <stp>[AMZ_2009-2018.xlsx]Bal Sheet - Standardized!R19C24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9" s="3"/>
      </tp>
      <tp>
        <v>75</v>
        <stp/>
        <stp>##V3_BDHV12</stp>
        <stp>AMZN US Equity</stp>
        <stp>CF_TAX_BENEFIT_FRM_STOCK_OPTIONS</stp>
        <stp>FQ3 2010</stp>
        <stp>FQ3 2010</stp>
        <stp>[AMZ_2009-2018.xlsx]Cash Flow - Standardized!R64C9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4" s="4"/>
      </tp>
      <tp>
        <v>0.50219999999999998</v>
        <stp/>
        <stp>##V3_BDHV12</stp>
        <stp>AMZN US Equity</stp>
        <stp>FREE_CASH_FLOW_PER_SH</stp>
        <stp>FQ3 2012</stp>
        <stp>FQ3 2012</stp>
        <stp>[AMZ_2009-2018.xlsx]Cash Flow - Standardized!R68C17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68" s="4"/>
      </tp>
      <tp>
        <v>5.9451000000000001</v>
        <stp/>
        <stp>##V3_BDHV12</stp>
        <stp>AMZN US Equity</stp>
        <stp>FREE_CASH_FLOW_PER_SH</stp>
        <stp>FQ3 2016</stp>
        <stp>FQ3 2016</stp>
        <stp>[AMZ_2009-2018.xlsx]Cash Flow - Standardized!R68C33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68" s="4"/>
      </tp>
      <tp>
        <v>15.963799999999999</v>
        <stp/>
        <stp>##V3_BDHV12</stp>
        <stp>AMZN US Equity</stp>
        <stp>FREE_CASH_FLOW_PER_SH</stp>
        <stp>FQ4 2015</stp>
        <stp>FQ4 2015</stp>
        <stp>[AMZ_2009-2018.xlsx]Cash Flow - Standardized!R68C30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68" s="4"/>
      </tp>
      <tp>
        <v>8.1736000000000004</v>
        <stp/>
        <stp>##V3_BDHV12</stp>
        <stp>AMZN US Equity</stp>
        <stp>FREE_CASH_FLOW_PER_SH</stp>
        <stp>FQ4 2011</stp>
        <stp>FQ4 2011</stp>
        <stp>[AMZ_2009-2018.xlsx]Cash Flow - Standardized!R68C14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68" s="4"/>
      </tp>
      <tp t="s">
        <v>—</v>
        <stp/>
        <stp>##V3_BDHV12</stp>
        <stp>AMZN US Equity</stp>
        <stp>BS_DERIV_&amp;_HEDGING_ASSETS_LT</stp>
        <stp>FQ2 2014</stp>
        <stp>FQ2 2014</stp>
        <stp>[AMZ_2009-2018.xlsx]Bal Sheet - Standardized!R32C24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2" s="3"/>
      </tp>
      <tp>
        <v>0</v>
        <stp/>
        <stp>##V3_BDHV12</stp>
        <stp>AMZN US Equity</stp>
        <stp>CF_NET_CHG_IN_ST_DBT_&amp;_CPTL_LEAS</stp>
        <stp>FQ1 2010</stp>
        <stp>FQ1 2010</stp>
        <stp>[AMZ_2009-2018.xlsx]Cash Flow - Standardized!R43C7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3" s="4"/>
      </tp>
      <tp t="s">
        <v>—</v>
        <stp/>
        <stp>##V3_BDHV12</stp>
        <stp>AMZN US Equity</stp>
        <stp>BS_DERIV_&amp;_HEDGING_ASSETS_ST</stp>
        <stp>FQ3 2015</stp>
        <stp>FQ3 2015</stp>
        <stp>[AMZ_2009-2018.xlsx]Bal Sheet - Standardized!R19C29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9" s="3"/>
      </tp>
      <tp t="s">
        <v>—</v>
        <stp/>
        <stp>##V3_BDHV12</stp>
        <stp>AMZN US Equity</stp>
        <stp>BS_DERIV_&amp;_HEDGING_ASSETS_LT</stp>
        <stp>FQ3 2015</stp>
        <stp>FQ3 2015</stp>
        <stp>[AMZ_2009-2018.xlsx]Bal Sheet - Standardized!R32C29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2" s="3"/>
      </tp>
      <tp t="s">
        <v>—</v>
        <stp/>
        <stp>##V3_BDHV12</stp>
        <stp>AMZN US Equity</stp>
        <stp>IS_CAP_INT_EXP</stp>
        <stp>FQ2 2015</stp>
        <stp>FQ2 2015</stp>
        <stp>[AMZ_2009-2018.xlsx]Income - Adjusted!R71C28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1" s="2"/>
      </tp>
      <tp t="s">
        <v>—</v>
        <stp/>
        <stp>##V3_BDHV12</stp>
        <stp>AMZN US Equity</stp>
        <stp>IS_CAP_INT_EXP</stp>
        <stp>FQ3 2015</stp>
        <stp>FQ3 2015</stp>
        <stp>[AMZ_2009-2018.xlsx]Income - Adjusted!R71C29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1" s="2"/>
      </tp>
      <tp>
        <v>86</v>
        <stp/>
        <stp>##V3_BDHV12</stp>
        <stp>AMZN US Equity</stp>
        <stp>CF_INCR_CAP_STOCK</stp>
        <stp>FQ1 2010</stp>
        <stp>FQ1 2010</stp>
        <stp>[AMZ_2009-2018.xlsx]Cash Flow - Standardized!R47C7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7" s="4"/>
      </tp>
      <tp>
        <v>0</v>
        <stp/>
        <stp>##V3_BDHV12</stp>
        <stp>AMZN US Equity</stp>
        <stp>OTHER_CURRENT_ASSETS_DETAILED</stp>
        <stp>FQ3 2016</stp>
        <stp>FQ3 2016</stp>
        <stp>[AMZ_2009-2018.xlsx]Bal Sheet - Standardized!R18C33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8" s="3"/>
      </tp>
      <tp>
        <v>0</v>
        <stp/>
        <stp>##V3_BDHV12</stp>
        <stp>AMZN US Equity</stp>
        <stp>OTHER_CURRENT_ASSETS_DETAILED</stp>
        <stp>FQ2 2017</stp>
        <stp>FQ2 2017</stp>
        <stp>[AMZ_2009-2018.xlsx]Bal Sheet - Standardized!R18C36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8" s="3"/>
      </tp>
      <tp>
        <v>0</v>
        <stp/>
        <stp>##V3_BDHV12</stp>
        <stp>AMZN US Equity</stp>
        <stp>OTHER_CURRENT_ASSETS_DETAILED</stp>
        <stp>FQ1 2015</stp>
        <stp>FQ1 2015</stp>
        <stp>[AMZ_2009-2018.xlsx]Bal Sheet - Standardized!R18C27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8" s="3"/>
      </tp>
      <tp>
        <v>285.25</v>
        <stp/>
        <stp>##V3_BDHV12</stp>
        <stp>AMZN US Equity</stp>
        <stp>PX_LOW</stp>
        <stp>FQ1 2015</stp>
        <stp>FQ1 2015</stp>
        <stp>[AMZ_2009-2018.xlsx]Stock Value!R10C27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10" s="6"/>
      </tp>
      <tp>
        <v>931.75</v>
        <stp/>
        <stp>##V3_BDHV12</stp>
        <stp>AMZN US Equity</stp>
        <stp>PX_LOW</stp>
        <stp>FQ3 2017</stp>
        <stp>FQ3 2017</stp>
        <stp>[AMZ_2009-2018.xlsx]Stock Value!R10C37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10" s="6"/>
      </tp>
      <tp>
        <v>884.49</v>
        <stp/>
        <stp>##V3_BDHV12</stp>
        <stp>AMZN US Equity</stp>
        <stp>PX_LOW</stp>
        <stp>FQ2 2017</stp>
        <stp>FQ2 2017</stp>
        <stp>[AMZ_2009-2018.xlsx]Stock Value!R10C36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10" s="6"/>
      </tp>
      <tp>
        <v>747.7</v>
        <stp/>
        <stp>##V3_BDHV12</stp>
        <stp>AMZN US Equity</stp>
        <stp>PX_LOW</stp>
        <stp>FQ1 2017</stp>
        <stp>FQ1 2017</stp>
        <stp>[AMZ_2009-2018.xlsx]Stock Value!R10C35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10" s="6"/>
      </tp>
      <tp>
        <v>7.9816000000000003</v>
        <stp/>
        <stp>##V3_BDHV12</stp>
        <stp>AMZN US Equity</stp>
        <stp>NET_DEBT_TO_SHRHLDR_EQTY</stp>
        <stp>FQ2 2016</stp>
        <stp>FQ2 2016</stp>
        <stp>[AMZ_2009-2018.xlsx]Bal Sheet - Standardized!R84C32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84" s="3"/>
      </tp>
      <tp>
        <v>-66.222499999999997</v>
        <stp/>
        <stp>##V3_BDHV12</stp>
        <stp>AMZN US Equity</stp>
        <stp>NET_DEBT_TO_SHRHLDR_EQTY</stp>
        <stp>FQ2 2012</stp>
        <stp>FQ2 2012</stp>
        <stp>[AMZ_2009-2018.xlsx]Bal Sheet - Standardized!R84C16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84" s="3"/>
      </tp>
      <tp>
        <v>10027</v>
        <stp/>
        <stp>##V3_BDHV12</stp>
        <stp>AMZN US Equity</stp>
        <stp>IS_COGS_TO_FE_AND_PP_AND_G</stp>
        <stp>FQ1 2012</stp>
        <stp>FQ1 2012</stp>
        <stp>[AMZ_2009-2018.xlsx]Income - Adjusted!R8C15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8" s="2"/>
      </tp>
      <tp>
        <v>18866</v>
        <stp/>
        <stp>##V3_BDHV12</stp>
        <stp>AMZN US Equity</stp>
        <stp>IS_COGS_TO_FE_AND_PP_AND_G</stp>
        <stp>FQ1 2016</stp>
        <stp>FQ1 2016</stp>
        <stp>[AMZ_2009-2018.xlsx]Income - Adjusted!R8C31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8" s="2"/>
      </tp>
      <tp>
        <v>14055</v>
        <stp/>
        <stp>##V3_BDHV12</stp>
        <stp>AMZN US Equity</stp>
        <stp>IS_COGS_TO_FE_AND_PP_AND_G</stp>
        <stp>FQ1 2014</stp>
        <stp>FQ1 2014</stp>
        <stp>[AMZ_2009-2018.xlsx]Income - Adjusted!R8C23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8" s="2"/>
      </tp>
      <tp>
        <v>246</v>
        <stp/>
        <stp>##V3_BDHV12</stp>
        <stp>AMZN US Equity</stp>
        <stp>PRETAX_INC</stp>
        <stp>FQ1 2009</stp>
        <stp>FQ1 2009</stp>
        <stp>[AMZ_2009-2018.xlsx]Income - Adjusted!R25C3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5" s="2"/>
      </tp>
      <tp>
        <v>1.52</v>
        <stp/>
        <stp>##V3_BDHV12</stp>
        <stp>AMZN US Equity</stp>
        <stp>IS_BASIC_EPS_CONT_OPS</stp>
        <stp>FQ1 2017</stp>
        <stp>FQ1 2017</stp>
        <stp>[AMZ_2009-2018.xlsx]Per Share!R16C35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16" s="5"/>
      </tp>
      <tp>
        <v>0.28999999999999998</v>
        <stp/>
        <stp>##V3_BDHV12</stp>
        <stp>AMZN US Equity</stp>
        <stp>IS_BASIC_EPS_CONT_OPS</stp>
        <stp>FQ1 2012</stp>
        <stp>FQ1 2012</stp>
        <stp>[AMZ_2009-2018.xlsx]Per Share!R16C15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16" s="5"/>
      </tp>
      <tp>
        <v>-0.70520000000000005</v>
        <stp/>
        <stp>##V3_BDHV12</stp>
        <stp>AMZN US Equity</stp>
        <stp>IS_BASIC_EPS_CONT_OPS</stp>
        <stp>FQ3 2014</stp>
        <stp>FQ3 2014</stp>
        <stp>[AMZ_2009-2018.xlsx]Per Share!R16C25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16" s="5"/>
      </tp>
      <tp t="s">
        <v>—</v>
        <stp/>
        <stp>##V3_BDHV12</stp>
        <stp>AMZN US Equity</stp>
        <stp>IS_OTHER_ONE_TIME_ITEMS</stp>
        <stp>FQ2 2010</stp>
        <stp>FQ2 2010</stp>
        <stp>[AMZ_2009-2018.xlsx]Income - Adjusted!R30C8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0" s="2"/>
      </tp>
      <tp>
        <v>10024</v>
        <stp/>
        <stp>##V3_BDHV12</stp>
        <stp>AMZN US Equity</stp>
        <stp>BS_SH_CAP_AND_APIC</stp>
        <stp>FQ1 2014</stp>
        <stp>FQ1 2014</stp>
        <stp>[AMZ_2009-2018.xlsx]Bal Sheet - Standardized!R65C23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5" s="3"/>
      </tp>
      <tp>
        <v>15031</v>
        <stp/>
        <stp>##V3_BDHV12</stp>
        <stp>AMZN US Equity</stp>
        <stp>BS_SH_CAP_AND_APIC</stp>
        <stp>FQ2 2016</stp>
        <stp>FQ2 2016</stp>
        <stp>[AMZ_2009-2018.xlsx]Bal Sheet - Standardized!R65C32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5" s="3"/>
      </tp>
      <tp>
        <v>7863</v>
        <stp/>
        <stp>##V3_BDHV12</stp>
        <stp>AMZN US Equity</stp>
        <stp>BS_ADD_PAID_IN_CAP</stp>
        <stp>FQ3 2012</stp>
        <stp>FQ3 2012</stp>
        <stp>[AMZ_2009-2018.xlsx]Bal Sheet - Standardized!R67C17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7" s="3"/>
      </tp>
      <tp>
        <v>20217</v>
        <stp/>
        <stp>##V3_BDHV12</stp>
        <stp>AMZN US Equity</stp>
        <stp>BS_SH_CAP_AND_APIC</stp>
        <stp>FQ3 2017</stp>
        <stp>FQ3 2017</stp>
        <stp>[AMZ_2009-2018.xlsx]Bal Sheet - Standardized!R65C37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5" s="3"/>
      </tp>
      <tp>
        <v>21389</v>
        <stp/>
        <stp>##V3_BDHV12</stp>
        <stp>AMZN US Equity</stp>
        <stp>BS_ADD_PAID_IN_CAP</stp>
        <stp>FQ4 2017</stp>
        <stp>FQ4 2017</stp>
        <stp>[AMZ_2009-2018.xlsx]Bal Sheet - Standardized!R67C38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7" s="3"/>
      </tp>
      <tp>
        <v>8352</v>
        <stp/>
        <stp>##V3_BDHV12</stp>
        <stp>AMZN US Equity</stp>
        <stp>BS_SH_CAP_AND_APIC</stp>
        <stp>FQ4 2012</stp>
        <stp>FQ4 2012</stp>
        <stp>[AMZ_2009-2018.xlsx]Bal Sheet - Standardized!R65C18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5" s="3"/>
      </tp>
      <tp>
        <v>0</v>
        <stp/>
        <stp>##V3_BDHV12</stp>
        <stp>AMZN US Equity</stp>
        <stp>OTHER_CURRENT_LIABS_DETAILED</stp>
        <stp>FQ2 2012</stp>
        <stp>FQ2 2012</stp>
        <stp>[AMZ_2009-2018.xlsx]Bal Sheet - Standardized!R50C16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0" s="3"/>
      </tp>
      <tp>
        <v>1085</v>
        <stp/>
        <stp>##V3_BDHV12</stp>
        <stp>AMZN US Equity</stp>
        <stp>CF_STOCK_BASED_COMPENSATION</stp>
        <stp>FQ3 2017</stp>
        <stp>FQ3 2017</stp>
        <stp>[AMZ_2009-2018.xlsx]Cash Flow - Standardized!R10C37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0" s="4"/>
      </tp>
      <tp t="s">
        <v>—</v>
        <stp/>
        <stp>##V3_BDHV12</stp>
        <stp>AMZN US Equity</stp>
        <stp>LT_CAPITAL_LEASE_OBLIGATIONS</stp>
        <stp>FQ3 2012</stp>
        <stp>FQ3 2012</stp>
        <stp>[AMZ_2009-2018.xlsx]Bal Sheet - Standardized!R54C17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4" s="3"/>
      </tp>
      <tp>
        <v>0</v>
        <stp/>
        <stp>##V3_BDHV12</stp>
        <stp>AMZN US Equity</stp>
        <stp>OTHER_CURRENT_LIABS_DETAILED</stp>
        <stp>FQ1 2011</stp>
        <stp>FQ1 2011</stp>
        <stp>[AMZ_2009-2018.xlsx]Bal Sheet - Standardized!R50C11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0" s="3"/>
      </tp>
      <tp>
        <v>768</v>
        <stp/>
        <stp>##V3_BDHV12</stp>
        <stp>AMZN US Equity</stp>
        <stp>CF_STOCK_BASED_COMPENSATION</stp>
        <stp>FQ2 2016</stp>
        <stp>FQ2 2016</stp>
        <stp>[AMZ_2009-2018.xlsx]Cash Flow - Standardized!R10C32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0" s="4"/>
      </tp>
      <tp>
        <v>200</v>
        <stp/>
        <stp>##V3_BDHV12</stp>
        <stp>AMZN US Equity</stp>
        <stp>CF_STOCK_BASED_COMPENSATION</stp>
        <stp>FQ1 2014</stp>
        <stp>FQ1 2014</stp>
        <stp>[AMZ_2009-2018.xlsx]Cash Flow - Standardized!R10C23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0" s="4"/>
      </tp>
      <tp>
        <v>0</v>
        <stp/>
        <stp>##V3_BDHV12</stp>
        <stp>AMZN US Equity</stp>
        <stp>OTHER_CURRENT_LIABS_DETAILED</stp>
        <stp>FQ4 2016</stp>
        <stp>FQ4 2016</stp>
        <stp>[AMZ_2009-2018.xlsx]Bal Sheet - Standardized!R50C34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0" s="3"/>
      </tp>
      <tp>
        <v>248</v>
        <stp/>
        <stp>##V3_BDHV12</stp>
        <stp>AMZN US Equity</stp>
        <stp>CF_EFFECT_FOREIGN_EXCHANGES</stp>
        <stp>FQ2 2017</stp>
        <stp>FQ2 2017</stp>
        <stp>[AMZ_2009-2018.xlsx]Cash Flow - Standardized!R53C36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3" s="4"/>
      </tp>
      <tp>
        <v>13183</v>
        <stp/>
        <stp>##V3_BDHV12</stp>
        <stp>AMZN US Equity</stp>
        <stp>LT_CAPITAL_LEASE_OBLIGATIONS</stp>
        <stp>FQ4 2017</stp>
        <stp>FQ4 2017</stp>
        <stp>[AMZ_2009-2018.xlsx]Bal Sheet - Standardized!R54C38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4" s="3"/>
      </tp>
      <tp>
        <v>-322</v>
        <stp/>
        <stp>##V3_BDHV12</stp>
        <stp>AMZN US Equity</stp>
        <stp>CF_EFFECT_FOREIGN_EXCHANGES</stp>
        <stp>FQ1 2015</stp>
        <stp>FQ1 2015</stp>
        <stp>[AMZ_2009-2018.xlsx]Cash Flow - Standardized!R53C27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3" s="4"/>
      </tp>
      <tp>
        <v>-4</v>
        <stp/>
        <stp>##V3_BDHV12</stp>
        <stp>AMZN US Equity</stp>
        <stp>CF_STOCK_BASED_COMPENSATION</stp>
        <stp>FQ4 2012</stp>
        <stp>FQ4 2012</stp>
        <stp>[AMZ_2009-2018.xlsx]Cash Flow - Standardized!R10C18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0" s="4"/>
      </tp>
      <tp>
        <v>46</v>
        <stp/>
        <stp>##V3_BDHV12</stp>
        <stp>AMZN US Equity</stp>
        <stp>CF_EFFECT_FOREIGN_EXCHANGES</stp>
        <stp>FQ3 2016</stp>
        <stp>FQ3 2016</stp>
        <stp>[AMZ_2009-2018.xlsx]Cash Flow - Standardized!R53C33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3" s="4"/>
      </tp>
      <tp>
        <v>132</v>
        <stp/>
        <stp>##V3_BDHV12</stp>
        <stp>AMZN US Equity</stp>
        <stp>BS_LT_BORROW</stp>
        <stp>FQ2 2010</stp>
        <stp>FQ2 2010</stp>
        <stp>[AMZ_2009-2018.xlsx]Bal Sheet - Standardized!R52C8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2" s="3"/>
      </tp>
      <tp>
        <v>4279</v>
        <stp/>
        <stp>##V3_BDHV12</stp>
        <stp>AMZN US Equity</stp>
        <stp>BS_TOT_NON_CUR_ASSET</stp>
        <stp>FQ2 2010</stp>
        <stp>FQ2 2010</stp>
        <stp>[AMZ_2009-2018.xlsx]Bal Sheet - Standardized!R34C8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4" s="3"/>
      </tp>
      <tp t="s">
        <v>—</v>
        <stp/>
        <stp>##V3_BDHV12</stp>
        <stp>AMZN US Equity</stp>
        <stp>INVTRY_RAW_MATERIALS</stp>
        <stp>FQ3 2015</stp>
        <stp>FQ3 2015</stp>
        <stp>[AMZ_2009-2018.xlsx]Bal Sheet - Standardized!R14C29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4" s="3"/>
      </tp>
      <tp>
        <v>116</v>
        <stp/>
        <stp>##V3_BDHV12</stp>
        <stp>AMZN US Equity</stp>
        <stp>BS_LT_BORROW</stp>
        <stp>FQ3 2009</stp>
        <stp>FQ3 2009</stp>
        <stp>[AMZ_2009-2018.xlsx]Bal Sheet - Standardized!R52C5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2" s="3"/>
      </tp>
      <tp>
        <v>0</v>
        <stp/>
        <stp>##V3_BDHV12</stp>
        <stp>AMZN US Equity</stp>
        <stp>BS_LT_INVEST</stp>
        <stp>FQ1 2009</stp>
        <stp>FQ1 2009</stp>
        <stp>[AMZ_2009-2018.xlsx]Bal Sheet - Standardized!R26C3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3"/>
      </tp>
      <tp>
        <v>2603</v>
        <stp/>
        <stp>##V3_BDHV12</stp>
        <stp>AMZN US Equity</stp>
        <stp>BS_TOT_NON_CUR_ASSET</stp>
        <stp>FQ3 2009</stp>
        <stp>FQ3 2009</stp>
        <stp>[AMZ_2009-2018.xlsx]Bal Sheet - Standardized!R34C5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4" s="3"/>
      </tp>
      <tp t="s">
        <v>—</v>
        <stp/>
        <stp>##V3_BDHV12</stp>
        <stp>AMZN US Equity</stp>
        <stp>INVTRY_RAW_MATERIALS</stp>
        <stp>FQ2 2014</stp>
        <stp>FQ2 2014</stp>
        <stp>[AMZ_2009-2018.xlsx]Bal Sheet - Standardized!R14C24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4" s="3"/>
      </tp>
      <tp t="s">
        <v>—</v>
        <stp/>
        <stp>##V3_BDHV12</stp>
        <stp>AMZN US Equity</stp>
        <stp>EBITA</stp>
        <stp>FQ4 2011</stp>
        <stp>FQ4 2011</stp>
        <stp>[AMZ_2009-2018.xlsx]Income - Adjusted!R63C14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63" s="2"/>
      </tp>
      <tp t="s">
        <v>—</v>
        <stp/>
        <stp>##V3_BDHV12</stp>
        <stp>AMZN US Equity</stp>
        <stp>EBITA</stp>
        <stp>FQ4 2016</stp>
        <stp>FQ4 2016</stp>
        <stp>[AMZ_2009-2018.xlsx]Income - Adjusted!R63C34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63" s="2"/>
      </tp>
      <tp t="s">
        <v>—</v>
        <stp/>
        <stp>##V3_BDHV12</stp>
        <stp>AMZN US Equity</stp>
        <stp>INVTRY_RAW_MATERIALS</stp>
        <stp>FQ4 2011</stp>
        <stp>FQ4 2011</stp>
        <stp>[AMZ_2009-2018.xlsx]Bal Sheet - Standardized!R14C14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4" s="3"/>
      </tp>
      <tp t="s">
        <v>—</v>
        <stp/>
        <stp>##V3_BDHV12</stp>
        <stp>AMZN US Equity</stp>
        <stp>EBITA</stp>
        <stp>FQ2 2014</stp>
        <stp>FQ2 2014</stp>
        <stp>[AMZ_2009-2018.xlsx]Income - Adjusted!R63C24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63" s="2"/>
      </tp>
      <tp t="s">
        <v>—</v>
        <stp/>
        <stp>##V3_BDHV12</stp>
        <stp>AMZN US Equity</stp>
        <stp>INVTRY_RAW_MATERIALS</stp>
        <stp>FQ1 2016</stp>
        <stp>FQ1 2016</stp>
        <stp>[AMZ_2009-2018.xlsx]Bal Sheet - Standardized!R14C31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4" s="3"/>
      </tp>
      <tp t="s">
        <v>—</v>
        <stp/>
        <stp>##V3_BDHV12</stp>
        <stp>AMZN US Equity</stp>
        <stp>IS_CAP_INT_EXP</stp>
        <stp>FQ4 2014</stp>
        <stp>FQ4 2014</stp>
        <stp>[AMZ_2009-2018.xlsx]Income - Adjusted!R71C26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1" s="2"/>
      </tp>
      <tp t="s">
        <v>—</v>
        <stp/>
        <stp>##V3_BDHV12</stp>
        <stp>AMZN US Equity</stp>
        <stp>IS_CAP_INT_EXP</stp>
        <stp>FQ2 2014</stp>
        <stp>FQ2 2014</stp>
        <stp>[AMZ_2009-2018.xlsx]Income - Adjusted!R71C24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1" s="2"/>
      </tp>
      <tp>
        <v>17</v>
        <stp/>
        <stp>##V3_BDHV12</stp>
        <stp>AMZN US Equity</stp>
        <stp>CF_TAX_BENEFIT_FRM_STOCK_OPTIONS</stp>
        <stp>FQ3 2009</stp>
        <stp>FQ3 2009</stp>
        <stp>[AMZ_2009-2018.xlsx]Cash Flow - Standardized!R64C5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4" s="4"/>
      </tp>
      <tp t="s">
        <v>—</v>
        <stp/>
        <stp>##V3_BDHV12</stp>
        <stp>AMZN US Equity</stp>
        <stp>IS_CAP_INT_EXP</stp>
        <stp>FQ3 2014</stp>
        <stp>FQ3 2014</stp>
        <stp>[AMZ_2009-2018.xlsx]Income - Adjusted!R71C25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1" s="2"/>
      </tp>
      <tp>
        <v>0</v>
        <stp/>
        <stp>##V3_BDHV12</stp>
        <stp>AMZN US Equity</stp>
        <stp>BS_DERIV_&amp;_HEDGING_ASSETS_ST</stp>
        <stp>FQ4 2013</stp>
        <stp>FQ4 2013</stp>
        <stp>[AMZ_2009-2018.xlsx]Bal Sheet - Standardized!R19C22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9" s="3"/>
      </tp>
      <tp t="s">
        <v>—</v>
        <stp/>
        <stp>##V3_BDHV12</stp>
        <stp>AMZN US Equity</stp>
        <stp>BS_DERIV_&amp;_HEDGING_ASSETS_ST</stp>
        <stp>FQ3 2014</stp>
        <stp>FQ3 2014</stp>
        <stp>[AMZ_2009-2018.xlsx]Bal Sheet - Standardized!R19C25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9" s="3"/>
      </tp>
      <tp>
        <v>0</v>
        <stp/>
        <stp>##V3_BDHV12</stp>
        <stp>AMZN US Equity</stp>
        <stp>CF_NET_CHG_IN_ST_DBT_&amp;_CPTL_LEAS</stp>
        <stp>FQ1 2009</stp>
        <stp>FQ1 2009</stp>
        <stp>[AMZ_2009-2018.xlsx]Cash Flow - Standardized!R43C3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3" s="4"/>
      </tp>
      <tp t="s">
        <v>—</v>
        <stp/>
        <stp>##V3_BDHV12</stp>
        <stp>AMZN US Equity</stp>
        <stp>IS_CAP_INT_EXP</stp>
        <stp>FQ1 2014</stp>
        <stp>FQ1 2014</stp>
        <stp>[AMZ_2009-2018.xlsx]Income - Adjusted!R71C23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1" s="2"/>
      </tp>
      <tp t="s">
        <v>—</v>
        <stp/>
        <stp>##V3_BDHV12</stp>
        <stp>AMZN US Equity</stp>
        <stp>BS_DERIV_&amp;_HEDGING_ASSETS_LT</stp>
        <stp>FQ1 2017</stp>
        <stp>FQ1 2017</stp>
        <stp>[AMZ_2009-2018.xlsx]Bal Sheet - Standardized!R32C35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2" s="3"/>
      </tp>
      <tp>
        <v>0</v>
        <stp/>
        <stp>##V3_BDHV12</stp>
        <stp>AMZN US Equity</stp>
        <stp>BS_DERIV_&amp;_HEDGING_ASSETS_ST</stp>
        <stp>FQ4 2010</stp>
        <stp>FQ4 2010</stp>
        <stp>[AMZ_2009-2018.xlsx]Bal Sheet - Standardized!R19C10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9" s="3"/>
      </tp>
      <tp t="s">
        <v>—</v>
        <stp/>
        <stp>##V3_BDHV12</stp>
        <stp>AMZN US Equity</stp>
        <stp>IS_CAP_INT_EXP</stp>
        <stp>FQ4 2015</stp>
        <stp>FQ4 2015</stp>
        <stp>[AMZ_2009-2018.xlsx]Income - Adjusted!R71C30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1" s="2"/>
      </tp>
      <tp>
        <v>75</v>
        <stp/>
        <stp>##V3_BDHV12</stp>
        <stp>AMZN US Equity</stp>
        <stp>CF_TAX_BENEFIT_FRM_STOCK_OPTIONS</stp>
        <stp>FQ2 2010</stp>
        <stp>FQ2 2010</stp>
        <stp>[AMZ_2009-2018.xlsx]Cash Flow - Standardized!R64C8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4" s="4"/>
      </tp>
      <tp>
        <v>0</v>
        <stp/>
        <stp>##V3_BDHV12</stp>
        <stp>AMZN US Equity</stp>
        <stp>BS_DERIV_&amp;_HEDGING_ASSETS_LT</stp>
        <stp>FQ4 2013</stp>
        <stp>FQ4 2013</stp>
        <stp>[AMZ_2009-2018.xlsx]Bal Sheet - Standardized!R32C22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2" s="3"/>
      </tp>
      <tp t="s">
        <v>—</v>
        <stp/>
        <stp>##V3_BDHV12</stp>
        <stp>AMZN US Equity</stp>
        <stp>BS_DERIV_&amp;_HEDGING_ASSETS_LT</stp>
        <stp>FQ3 2014</stp>
        <stp>FQ3 2014</stp>
        <stp>[AMZ_2009-2018.xlsx]Bal Sheet - Standardized!R32C25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2" s="3"/>
      </tp>
      <tp>
        <v>-0.13969999999999999</v>
        <stp/>
        <stp>##V3_BDHV12</stp>
        <stp>AMZN US Equity</stp>
        <stp>FREE_CASH_FLOW_PER_SH</stp>
        <stp>FQ2 2012</stp>
        <stp>FQ2 2012</stp>
        <stp>[AMZ_2009-2018.xlsx]Cash Flow - Standardized!R68C16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68" s="4"/>
      </tp>
      <tp>
        <v>3.9470999999999998</v>
        <stp/>
        <stp>##V3_BDHV12</stp>
        <stp>AMZN US Equity</stp>
        <stp>FREE_CASH_FLOW_PER_SH</stp>
        <stp>FQ2 2016</stp>
        <stp>FQ2 2016</stp>
        <stp>[AMZ_2009-2018.xlsx]Cash Flow - Standardized!R68C32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68" s="4"/>
      </tp>
      <tp>
        <v>0</v>
        <stp/>
        <stp>##V3_BDHV12</stp>
        <stp>AMZN US Equity</stp>
        <stp>BS_DERIV_&amp;_HEDGING_ASSETS_LT</stp>
        <stp>FQ4 2010</stp>
        <stp>FQ4 2010</stp>
        <stp>[AMZ_2009-2018.xlsx]Bal Sheet - Standardized!R32C10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2" s="3"/>
      </tp>
      <tp t="s">
        <v>—</v>
        <stp/>
        <stp>##V3_BDHV12</stp>
        <stp>AMZN US Equity</stp>
        <stp>BS_DERIV_&amp;_HEDGING_ASSETS_ST</stp>
        <stp>FQ1 2017</stp>
        <stp>FQ1 2017</stp>
        <stp>[AMZ_2009-2018.xlsx]Bal Sheet - Standardized!R19C35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9" s="3"/>
      </tp>
      <tp t="s">
        <v>—</v>
        <stp/>
        <stp>##V3_BDHV12</stp>
        <stp>AMZN US Equity</stp>
        <stp>BS_DERIV_&amp;_HEDGING_ASSETS_ST</stp>
        <stp>FQ2 2015</stp>
        <stp>FQ2 2015</stp>
        <stp>[AMZ_2009-2018.xlsx]Bal Sheet - Standardized!R19C28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9" s="3"/>
      </tp>
      <tp t="s">
        <v>—</v>
        <stp/>
        <stp>##V3_BDHV12</stp>
        <stp>AMZN US Equity</stp>
        <stp>BS_DERIV_&amp;_HEDGING_ASSETS_LT</stp>
        <stp>FQ2 2015</stp>
        <stp>FQ2 2015</stp>
        <stp>[AMZ_2009-2018.xlsx]Bal Sheet - Standardized!R32C28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2" s="3"/>
      </tp>
      <tp>
        <v>-140</v>
        <stp/>
        <stp>##V3_BDHV12</stp>
        <stp>AMZN US Equity</stp>
        <stp>CF_PURCHASE_OF_FIXED_PROD_ASSETS</stp>
        <stp>FQ1 2010</stp>
        <stp>FQ1 2010</stp>
        <stp>[AMZ_2009-2018.xlsx]Cash Flow - Standardized!R27C7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7" s="4"/>
      </tp>
      <tp>
        <v>7131</v>
        <stp/>
        <stp>##V3_BDHV12</stp>
        <stp>AMZN US Equity</stp>
        <stp>SALES_REV_TURN</stp>
        <stp>FQ1 2010</stp>
        <stp>FQ1 2010</stp>
        <stp>[AMZ_2009-2018.xlsx]Income - Adjusted!R6C7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2"/>
      </tp>
      <tp>
        <v>0</v>
        <stp/>
        <stp>##V3_BDHV12</stp>
        <stp>AMZN US Equity</stp>
        <stp>IS_EXTRAORD_ITEMS_&amp;_ACCTG_CHNG</stp>
        <stp>FQ2 2018</stp>
        <stp>FQ2 2018</stp>
        <stp>[AMZ_2009-2018.xlsx]Income - Adjusted!R37C40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7" s="2"/>
      </tp>
      <tp>
        <v>49</v>
        <stp/>
        <stp>##V3_BDHV12</stp>
        <stp>AMZN US Equity</stp>
        <stp>CF_INCR_CAP_STOCK</stp>
        <stp>FQ1 2009</stp>
        <stp>FQ1 2009</stp>
        <stp>[AMZ_2009-2018.xlsx]Cash Flow - Standardized!R47C3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7" s="4"/>
      </tp>
      <tp>
        <v>91300</v>
        <stp/>
        <stp>##V3_BDHV12</stp>
        <stp>AMZN US Equity</stp>
        <stp>NUM_OF_EMPLOYEES</stp>
        <stp>FQ1 2013</stp>
        <stp>FQ1 2013</stp>
        <stp>[AMZ_2009-2018.xlsx]Bal Sheet - Standardized!R89C19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89" s="3"/>
      </tp>
      <tp>
        <v>88400</v>
        <stp/>
        <stp>##V3_BDHV12</stp>
        <stp>AMZN US Equity</stp>
        <stp>NUM_OF_EMPLOYEES</stp>
        <stp>FQ4 2012</stp>
        <stp>FQ4 2012</stp>
        <stp>[AMZ_2009-2018.xlsx]Bal Sheet - Standardized!R89C18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89" s="3"/>
      </tp>
      <tp>
        <v>0</v>
        <stp/>
        <stp>##V3_BDHV12</stp>
        <stp>AMZN US Equity</stp>
        <stp>BS_PFD_EQTY_&amp;_HYBRID_CPTL</stp>
        <stp>FQ4 2009</stp>
        <stp>FQ4 2009</stp>
        <stp>[AMZ_2009-2018.xlsx]Bal Sheet - Standardized!R64C6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4" s="3"/>
      </tp>
      <tp>
        <v>453</v>
        <stp/>
        <stp>##V3_BDHV12</stp>
        <stp>AMZN US Equity</stp>
        <stp>OTHER_CURRENT_ASSETS_DETAILED</stp>
        <stp>FQ4 2012</stp>
        <stp>FQ4 2012</stp>
        <stp>[AMZ_2009-2018.xlsx]Bal Sheet - Standardized!R18C18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8" s="3"/>
      </tp>
      <tp>
        <v>0</v>
        <stp/>
        <stp>##V3_BDHV12</stp>
        <stp>AMZN US Equity</stp>
        <stp>OTHER_CURRENT_ASSETS_DETAILED</stp>
        <stp>FQ2 2016</stp>
        <stp>FQ2 2016</stp>
        <stp>[AMZ_2009-2018.xlsx]Bal Sheet - Standardized!R18C32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8" s="3"/>
      </tp>
      <tp>
        <v>0</v>
        <stp/>
        <stp>##V3_BDHV12</stp>
        <stp>AMZN US Equity</stp>
        <stp>OTHER_CURRENT_ASSETS_DETAILED</stp>
        <stp>FQ1 2014</stp>
        <stp>FQ1 2014</stp>
        <stp>[AMZ_2009-2018.xlsx]Bal Sheet - Standardized!R18C23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8" s="3"/>
      </tp>
      <tp>
        <v>-128</v>
        <stp/>
        <stp>##V3_BDHV12</stp>
        <stp>AMZN US Equity</stp>
        <stp>CF_PYMT_LT_DEBT_&amp;_CAPITAL_LEASE</stp>
        <stp>FQ4 2009</stp>
        <stp>FQ4 2009</stp>
        <stp>[AMZ_2009-2018.xlsx]Cash Flow - Standardized!R45C6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5" s="4"/>
      </tp>
      <tp>
        <v>0</v>
        <stp/>
        <stp>##V3_BDHV12</stp>
        <stp>AMZN US Equity</stp>
        <stp>OTHER_CURRENT_ASSETS_DETAILED</stp>
        <stp>FQ3 2017</stp>
        <stp>FQ3 2017</stp>
        <stp>[AMZ_2009-2018.xlsx]Bal Sheet - Standardized!R18C37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8" s="3"/>
      </tp>
      <tp>
        <v>284.38</v>
        <stp/>
        <stp>##V3_BDHV12</stp>
        <stp>AMZN US Equity</stp>
        <stp>PX_LOW</stp>
        <stp>FQ2 2014</stp>
        <stp>FQ2 2014</stp>
        <stp>[AMZ_2009-2018.xlsx]Stock Value!R10C24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10" s="6"/>
      </tp>
      <tp>
        <v>304.58800000000002</v>
        <stp/>
        <stp>##V3_BDHV12</stp>
        <stp>AMZN US Equity</stp>
        <stp>PX_LOW</stp>
        <stp>FQ3 2014</stp>
        <stp>FQ3 2014</stp>
        <stp>[AMZ_2009-2018.xlsx]Stock Value!R10C25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10" s="6"/>
      </tp>
      <tp>
        <v>-98.453000000000003</v>
        <stp/>
        <stp>##V3_BDHV12</stp>
        <stp>AMZN US Equity</stp>
        <stp>NET_DEBT_TO_SHRHLDR_EQTY</stp>
        <stp>FQ4 2011</stp>
        <stp>FQ4 2011</stp>
        <stp>[AMZ_2009-2018.xlsx]Bal Sheet - Standardized!R84C14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84" s="3"/>
      </tp>
      <tp>
        <v>-16.953099999999999</v>
        <stp/>
        <stp>##V3_BDHV12</stp>
        <stp>AMZN US Equity</stp>
        <stp>NET_DEBT_TO_SHRHLDR_EQTY</stp>
        <stp>FQ4 2015</stp>
        <stp>FQ4 2015</stp>
        <stp>[AMZ_2009-2018.xlsx]Bal Sheet - Standardized!R84C30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84" s="3"/>
      </tp>
      <tp>
        <v>3.6048</v>
        <stp/>
        <stp>##V3_BDHV12</stp>
        <stp>AMZN US Equity</stp>
        <stp>NET_DEBT_TO_SHRHLDR_EQTY</stp>
        <stp>FQ3 2016</stp>
        <stp>FQ3 2016</stp>
        <stp>[AMZ_2009-2018.xlsx]Bal Sheet - Standardized!R84C33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84" s="3"/>
      </tp>
      <tp>
        <v>-69.482299999999995</v>
        <stp/>
        <stp>##V3_BDHV12</stp>
        <stp>AMZN US Equity</stp>
        <stp>NET_DEBT_TO_SHRHLDR_EQTY</stp>
        <stp>FQ3 2012</stp>
        <stp>FQ3 2012</stp>
        <stp>[AMZ_2009-2018.xlsx]Bal Sheet - Standardized!R84C17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84" s="3"/>
      </tp>
      <tp>
        <v>0.41</v>
        <stp/>
        <stp>##V3_BDHV12</stp>
        <stp>AMZN US Equity</stp>
        <stp>IS_BASIC_EPS_CONT_OPS</stp>
        <stp>FQ2 2017</stp>
        <stp>FQ2 2017</stp>
        <stp>[AMZ_2009-2018.xlsx]Per Share!R16C36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16" s="5"/>
      </tp>
      <tp>
        <v>0.15959999999999999</v>
        <stp/>
        <stp>##V3_BDHV12</stp>
        <stp>AMZN US Equity</stp>
        <stp>IS_BASIC_EPS_CONT_OPS</stp>
        <stp>FQ2 2012</stp>
        <stp>FQ2 2012</stp>
        <stp>[AMZ_2009-2018.xlsx]Per Share!R16C16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16" s="5"/>
      </tp>
      <tp>
        <v>0.46</v>
        <stp/>
        <stp>##V3_BDHV12</stp>
        <stp>AMZN US Equity</stp>
        <stp>IS_BASIC_EPS_CONT_OPS</stp>
        <stp>FQ4 2014</stp>
        <stp>FQ4 2014</stp>
        <stp>[AMZ_2009-2018.xlsx]Per Share!R16C26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16" s="5"/>
      </tp>
      <tp t="s">
        <v>—</v>
        <stp/>
        <stp>##V3_BDHV12</stp>
        <stp>AMZN US Equity</stp>
        <stp>BS_GROSS_FIX_ASSET</stp>
        <stp>FQ2 2018</stp>
        <stp>FQ2 2018</stp>
        <stp>[AMZ_2009-2018.xlsx]Bal Sheet - Standardized!R24C40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4" s="3"/>
      </tp>
      <tp t="s">
        <v>—</v>
        <stp/>
        <stp>##V3_BDHV12</stp>
        <stp>AMZN US Equity</stp>
        <stp>IS_OTHER_ONE_TIME_ITEMS</stp>
        <stp>FQ1 2010</stp>
        <stp>FQ1 2010</stp>
        <stp>[AMZ_2009-2018.xlsx]Income - Adjusted!R30C7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0" s="2"/>
      </tp>
      <tp>
        <v>14149</v>
        <stp/>
        <stp>##V3_BDHV12</stp>
        <stp>AMZN US Equity</stp>
        <stp>BS_SH_CAP_AND_APIC</stp>
        <stp>FQ1 2016</stp>
        <stp>FQ1 2016</stp>
        <stp>[AMZ_2009-2018.xlsx]Bal Sheet - Standardized!R65C31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5" s="3"/>
      </tp>
      <tp>
        <v>6995</v>
        <stp/>
        <stp>##V3_BDHV12</stp>
        <stp>AMZN US Equity</stp>
        <stp>BS_SH_CAP_AND_APIC</stp>
        <stp>FQ4 2011</stp>
        <stp>FQ4 2011</stp>
        <stp>[AMZ_2009-2018.xlsx]Bal Sheet - Standardized!R65C14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5" s="3"/>
      </tp>
      <tp>
        <v>37.956299999999999</v>
        <stp/>
        <stp>##V3_BDHV12</stp>
        <stp>AMZN US Equity</stp>
        <stp>TCE_RATIO</stp>
        <stp>FQ1 2009</stp>
        <stp>FQ1 2009</stp>
        <stp>[AMZ_2009-2018.xlsx]Bal Sheet - Standardized!R85C3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85" s="3"/>
      </tp>
      <tp>
        <v>31.9819</v>
        <stp/>
        <stp>##V3_BDHV12</stp>
        <stp>AMZN US Equity</stp>
        <stp>TCE_RATIO</stp>
        <stp>FQ4 2009</stp>
        <stp>FQ4 2009</stp>
        <stp>[AMZ_2009-2018.xlsx]Bal Sheet - Standardized!R85C6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85" s="3"/>
      </tp>
      <tp>
        <v>8893</v>
        <stp/>
        <stp>##V3_BDHV12</stp>
        <stp>AMZN US Equity</stp>
        <stp>BS_ADD_PAID_IN_CAP</stp>
        <stp>FQ2 2013</stp>
        <stp>FQ2 2013</stp>
        <stp>[AMZ_2009-2018.xlsx]Bal Sheet - Standardized!R67C20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7" s="3"/>
      </tp>
      <tp>
        <v>6824</v>
        <stp/>
        <stp>##V3_BDHV12</stp>
        <stp>AMZN US Equity</stp>
        <stp>BS_ADD_PAID_IN_CAP</stp>
        <stp>FQ3 2011</stp>
        <stp>FQ3 2011</stp>
        <stp>[AMZ_2009-2018.xlsx]Bal Sheet - Standardized!R67C13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7" s="3"/>
      </tp>
      <tp>
        <v>10410</v>
        <stp/>
        <stp>##V3_BDHV12</stp>
        <stp>AMZN US Equity</stp>
        <stp>BS_SH_CAP_AND_APIC</stp>
        <stp>FQ2 2014</stp>
        <stp>FQ2 2014</stp>
        <stp>[AMZ_2009-2018.xlsx]Bal Sheet - Standardized!R65C24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5" s="3"/>
      </tp>
      <tp>
        <v>-1.5866</v>
        <stp/>
        <stp>##V3_BDHV12</stp>
        <stp>AMZN US Equity</stp>
        <stp>PROF_MARGIN</stp>
        <stp>FQ3 2014</stp>
        <stp>FQ3 2014</stp>
        <stp>[AMZ_2009-2018.xlsx]Income - Adjusted!R67C25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Y67" s="2"/>
      </tp>
      <tp>
        <v>0.3115</v>
        <stp/>
        <stp>##V3_BDHV12</stp>
        <stp>AMZN US Equity</stp>
        <stp>PROF_MARGIN</stp>
        <stp>FQ3 2015</stp>
        <stp>FQ3 2015</stp>
        <stp>[AMZ_2009-2018.xlsx]Income - Adjusted!R67C29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C67" s="2"/>
      </tp>
      <tp>
        <v>12879</v>
        <stp/>
        <stp>##V3_BDHV12</stp>
        <stp>AMZN US Equity</stp>
        <stp>BS_SH_CAP_AND_APIC</stp>
        <stp>FQ3 2015</stp>
        <stp>FQ3 2015</stp>
        <stp>[AMZ_2009-2018.xlsx]Bal Sheet - Standardized!R65C29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5" s="3"/>
      </tp>
      <tp>
        <v>0.77029999999999998</v>
        <stp/>
        <stp>##V3_BDHV12</stp>
        <stp>AMZN US Equity</stp>
        <stp>PROF_MARGIN</stp>
        <stp>FQ3 2016</stp>
        <stp>FQ3 2016</stp>
        <stp>[AMZ_2009-2018.xlsx]Income - Adjusted!R67C33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G67" s="2"/>
      </tp>
      <tp>
        <v>0.58520000000000005</v>
        <stp/>
        <stp>##V3_BDHV12</stp>
        <stp>AMZN US Equity</stp>
        <stp>PROF_MARGIN</stp>
        <stp>FQ3 2017</stp>
        <stp>FQ3 2017</stp>
        <stp>[AMZ_2009-2018.xlsx]Income - Adjusted!R67C37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K67" s="2"/>
      </tp>
      <tp>
        <v>41.439799999999998</v>
        <stp/>
        <stp>##V3_BDHV12</stp>
        <stp>AMZN US Equity</stp>
        <stp>TCE_RATIO</stp>
        <stp>FQ2 2010</stp>
        <stp>FQ2 2010</stp>
        <stp>[AMZ_2009-2018.xlsx]Bal Sheet - Standardized!R85C8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85" s="3"/>
      </tp>
      <tp>
        <v>39.7361</v>
        <stp/>
        <stp>##V3_BDHV12</stp>
        <stp>AMZN US Equity</stp>
        <stp>TCE_RATIO</stp>
        <stp>FQ3 2010</stp>
        <stp>FQ3 2010</stp>
        <stp>[AMZ_2009-2018.xlsx]Bal Sheet - Standardized!R85C9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85" s="3"/>
      </tp>
      <tp>
        <v>8585</v>
        <stp/>
        <stp>##V3_BDHV12</stp>
        <stp>AMZN US Equity</stp>
        <stp>BS_ADD_PAID_IN_CAP</stp>
        <stp>FQ1 2013</stp>
        <stp>FQ1 2013</stp>
        <stp>[AMZ_2009-2018.xlsx]Bal Sheet - Standardized!R67C19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7" s="3"/>
      </tp>
      <tp>
        <v>0.57930000000000004</v>
        <stp/>
        <stp>##V3_BDHV12</stp>
        <stp>AMZN US Equity</stp>
        <stp>PROF_MARGIN</stp>
        <stp>FQ3 2011</stp>
        <stp>FQ3 2011</stp>
        <stp>[AMZ_2009-2018.xlsx]Income - Adjusted!R67C13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M67" s="2"/>
      </tp>
      <tp>
        <v>-0.93440000000000001</v>
        <stp/>
        <stp>##V3_BDHV12</stp>
        <stp>AMZN US Equity</stp>
        <stp>PROF_MARGIN</stp>
        <stp>FQ3 2012</stp>
        <stp>FQ3 2012</stp>
        <stp>[AMZ_2009-2018.xlsx]Income - Adjusted!R67C17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Q67" s="2"/>
      </tp>
      <tp>
        <v>-0.2399</v>
        <stp/>
        <stp>##V3_BDHV12</stp>
        <stp>AMZN US Equity</stp>
        <stp>PROF_MARGIN</stp>
        <stp>FQ3 2013</stp>
        <stp>FQ3 2013</stp>
        <stp>[AMZ_2009-2018.xlsx]Income - Adjusted!R67C21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U67" s="2"/>
      </tp>
      <tp>
        <v>391</v>
        <stp/>
        <stp>##V3_BDHV12</stp>
        <stp>AMZN US Equity</stp>
        <stp>CF_STOCK_BASED_COMPENSATION</stp>
        <stp>FQ2 2014</stp>
        <stp>FQ2 2014</stp>
        <stp>[AMZ_2009-2018.xlsx]Cash Flow - Standardized!R10C24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0" s="4"/>
      </tp>
      <tp>
        <v>0</v>
        <stp/>
        <stp>##V3_BDHV12</stp>
        <stp>AMZN US Equity</stp>
        <stp>OTHER_CURRENT_LIABS_DETAILED</stp>
        <stp>FQ4 2015</stp>
        <stp>FQ4 2015</stp>
        <stp>[AMZ_2009-2018.xlsx]Bal Sheet - Standardized!R50C30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0" s="3"/>
      </tp>
      <tp>
        <v>0</v>
        <stp/>
        <stp>##V3_BDHV12</stp>
        <stp>AMZN US Equity</stp>
        <stp>OTHER_CURRENT_LIABS_DETAILED</stp>
        <stp>FQ1 2012</stp>
        <stp>FQ1 2012</stp>
        <stp>[AMZ_2009-2018.xlsx]Bal Sheet - Standardized!R50C15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0" s="3"/>
      </tp>
      <tp>
        <v>102</v>
        <stp/>
        <stp>##V3_BDHV12</stp>
        <stp>AMZN US Equity</stp>
        <stp>CF_EFFECT_FOREIGN_EXCHANGES</stp>
        <stp>FQ2 2015</stp>
        <stp>FQ2 2015</stp>
        <stp>[AMZ_2009-2018.xlsx]Cash Flow - Standardized!R53C28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3" s="4"/>
      </tp>
      <tp t="s">
        <v>—</v>
        <stp/>
        <stp>##V3_BDHV12</stp>
        <stp>AMZN US Equity</stp>
        <stp>LT_CAPITAL_LEASE_OBLIGATIONS</stp>
        <stp>FQ2 2013</stp>
        <stp>FQ2 2013</stp>
        <stp>[AMZ_2009-2018.xlsx]Bal Sheet - Standardized!R54C20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4" s="3"/>
      </tp>
      <tp>
        <v>158</v>
        <stp/>
        <stp>##V3_BDHV12</stp>
        <stp>AMZN US Equity</stp>
        <stp>CF_STOCK_BASED_COMPENSATION</stp>
        <stp>FQ4 2011</stp>
        <stp>FQ4 2011</stp>
        <stp>[AMZ_2009-2018.xlsx]Cash Flow - Standardized!R10C14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0" s="4"/>
      </tp>
      <tp t="s">
        <v>—</v>
        <stp/>
        <stp>##V3_BDHV12</stp>
        <stp>AMZN US Equity</stp>
        <stp>LT_CAPITAL_LEASE_OBLIGATIONS</stp>
        <stp>FQ3 2011</stp>
        <stp>FQ3 2011</stp>
        <stp>[AMZ_2009-2018.xlsx]Bal Sheet - Standardized!R54C13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4" s="3"/>
      </tp>
      <tp>
        <v>544</v>
        <stp/>
        <stp>##V3_BDHV12</stp>
        <stp>AMZN US Equity</stp>
        <stp>CF_STOCK_BASED_COMPENSATION</stp>
        <stp>FQ1 2016</stp>
        <stp>FQ1 2016</stp>
        <stp>[AMZ_2009-2018.xlsx]Cash Flow - Standardized!R10C31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0" s="4"/>
      </tp>
      <tp>
        <v>0</v>
        <stp/>
        <stp>##V3_BDHV12</stp>
        <stp>AMZN US Equity</stp>
        <stp>OTHER_CURRENT_LIABS_DETAILED</stp>
        <stp>FQ3 2013</stp>
        <stp>FQ3 2013</stp>
        <stp>[AMZ_2009-2018.xlsx]Bal Sheet - Standardized!R50C21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0" s="3"/>
      </tp>
      <tp>
        <v>0</v>
        <stp/>
        <stp>##V3_BDHV12</stp>
        <stp>AMZN US Equity</stp>
        <stp>OTHER_CURRENT_LIABS_DETAILED</stp>
        <stp>FQ4 2014</stp>
        <stp>FQ4 2014</stp>
        <stp>[AMZ_2009-2018.xlsx]Bal Sheet - Standardized!R50C26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0" s="3"/>
      </tp>
      <tp>
        <v>0</v>
        <stp/>
        <stp>##V3_BDHV12</stp>
        <stp>AMZN US Equity</stp>
        <stp>OTHER_CURRENT_LIABS_DETAILED</stp>
        <stp>FQ2 2011</stp>
        <stp>FQ2 2011</stp>
        <stp>[AMZ_2009-2018.xlsx]Bal Sheet - Standardized!R50C12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0" s="3"/>
      </tp>
      <tp>
        <v>-207</v>
        <stp/>
        <stp>##V3_BDHV12</stp>
        <stp>AMZN US Equity</stp>
        <stp>CF_EFFECT_FOREIGN_EXCHANGES</stp>
        <stp>FQ3 2014</stp>
        <stp>FQ3 2014</stp>
        <stp>[AMZ_2009-2018.xlsx]Cash Flow - Standardized!R53C25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3" s="4"/>
      </tp>
      <tp>
        <v>-6</v>
        <stp/>
        <stp>##V3_BDHV12</stp>
        <stp>AMZN US Equity</stp>
        <stp>CF_EFFECT_FOREIGN_EXCHANGES</stp>
        <stp>FQ4 2013</stp>
        <stp>FQ4 2013</stp>
        <stp>[AMZ_2009-2018.xlsx]Cash Flow - Standardized!R53C22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3" s="4"/>
      </tp>
      <tp>
        <v>7</v>
        <stp/>
        <stp>##V3_BDHV12</stp>
        <stp>AMZN US Equity</stp>
        <stp>CF_EFFECT_FOREIGN_EXCHANGES</stp>
        <stp>FQ4 2010</stp>
        <stp>FQ4 2010</stp>
        <stp>[AMZ_2009-2018.xlsx]Cash Flow - Standardized!R53C10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3" s="4"/>
      </tp>
      <tp>
        <v>224</v>
        <stp/>
        <stp>##V3_BDHV12</stp>
        <stp>AMZN US Equity</stp>
        <stp>CF_EFFECT_FOREIGN_EXCHANGES</stp>
        <stp>FQ1 2017</stp>
        <stp>FQ1 2017</stp>
        <stp>[AMZ_2009-2018.xlsx]Cash Flow - Standardized!R53C35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3" s="4"/>
      </tp>
      <tp t="s">
        <v>—</v>
        <stp/>
        <stp>##V3_BDHV12</stp>
        <stp>AMZN US Equity</stp>
        <stp>LT_CAPITAL_LEASE_OBLIGATIONS</stp>
        <stp>FQ1 2013</stp>
        <stp>FQ1 2013</stp>
        <stp>[AMZ_2009-2018.xlsx]Bal Sheet - Standardized!R54C19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4" s="3"/>
      </tp>
      <tp>
        <v>449</v>
        <stp/>
        <stp>##V3_BDHV12</stp>
        <stp>AMZN US Equity</stp>
        <stp>CF_STOCK_BASED_COMPENSATION</stp>
        <stp>FQ3 2015</stp>
        <stp>FQ3 2015</stp>
        <stp>[AMZ_2009-2018.xlsx]Cash Flow - Standardized!R10C29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0" s="4"/>
      </tp>
      <tp t="s">
        <v>—</v>
        <stp/>
        <stp>##V3_BDHV12</stp>
        <stp>AMZN US Equity</stp>
        <stp>INVTRY_RAW_MATERIALS</stp>
        <stp>FQ4 2012</stp>
        <stp>FQ4 2012</stp>
        <stp>[AMZ_2009-2018.xlsx]Bal Sheet - Standardized!R14C18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4" s="3"/>
      </tp>
      <tp>
        <v>0</v>
        <stp/>
        <stp>##V3_BDHV12</stp>
        <stp>AMZN US Equity</stp>
        <stp>BS_LT_INVEST</stp>
        <stp>FQ2 2009</stp>
        <stp>FQ2 2009</stp>
        <stp>[AMZ_2009-2018.xlsx]Bal Sheet - Standardized!R26C4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6" s="3"/>
      </tp>
      <tp t="s">
        <v>—</v>
        <stp/>
        <stp>##V3_BDHV12</stp>
        <stp>AMZN US Equity</stp>
        <stp>BS_LT_INVEST</stp>
        <stp>FQ3 2010</stp>
        <stp>FQ3 2010</stp>
        <stp>[AMZ_2009-2018.xlsx]Bal Sheet - Standardized!R26C9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6" s="3"/>
      </tp>
      <tp t="s">
        <v>—</v>
        <stp/>
        <stp>##V3_BDHV12</stp>
        <stp>AMZN US Equity</stp>
        <stp>INVTRY_RAW_MATERIALS</stp>
        <stp>FQ3 2017</stp>
        <stp>FQ3 2017</stp>
        <stp>[AMZ_2009-2018.xlsx]Bal Sheet - Standardized!R14C37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4" s="3"/>
      </tp>
      <tp t="s">
        <v>—</v>
        <stp/>
        <stp>##V3_BDHV12</stp>
        <stp>AMZN US Equity</stp>
        <stp>INVTRY_RAW_MATERIALS</stp>
        <stp>FQ2 2016</stp>
        <stp>FQ2 2016</stp>
        <stp>[AMZ_2009-2018.xlsx]Bal Sheet - Standardized!R14C32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4" s="3"/>
      </tp>
      <tp t="s">
        <v>—</v>
        <stp/>
        <stp>##V3_BDHV12</stp>
        <stp>AMZN US Equity</stp>
        <stp>EBITA</stp>
        <stp>FQ3 2017</stp>
        <stp>FQ3 2017</stp>
        <stp>[AMZ_2009-2018.xlsx]Income - Adjusted!R63C37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63" s="2"/>
      </tp>
      <tp t="s">
        <v>—</v>
        <stp/>
        <stp>##V3_BDHV12</stp>
        <stp>AMZN US Equity</stp>
        <stp>EBITA</stp>
        <stp>FQ3 2012</stp>
        <stp>FQ3 2012</stp>
        <stp>[AMZ_2009-2018.xlsx]Income - Adjusted!R63C17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63" s="2"/>
      </tp>
      <tp>
        <v>131</v>
        <stp/>
        <stp>##V3_BDHV12</stp>
        <stp>AMZN US Equity</stp>
        <stp>BS_LT_BORROW</stp>
        <stp>FQ1 2010</stp>
        <stp>FQ1 2010</stp>
        <stp>[AMZ_2009-2018.xlsx]Bal Sheet - Standardized!R52C7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2" s="3"/>
      </tp>
      <tp t="s">
        <v>—</v>
        <stp/>
        <stp>##V3_BDHV12</stp>
        <stp>AMZN US Equity</stp>
        <stp>EBITA</stp>
        <stp>FQ1 2015</stp>
        <stp>FQ1 2015</stp>
        <stp>[AMZ_2009-2018.xlsx]Income - Adjusted!R63C27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63" s="2"/>
      </tp>
      <tp>
        <v>4078</v>
        <stp/>
        <stp>##V3_BDHV12</stp>
        <stp>AMZN US Equity</stp>
        <stp>BS_TOT_NON_CUR_ASSET</stp>
        <stp>FQ1 2010</stp>
        <stp>FQ1 2010</stp>
        <stp>[AMZ_2009-2018.xlsx]Bal Sheet - Standardized!R34C7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4" s="3"/>
      </tp>
      <tp t="s">
        <v>—</v>
        <stp/>
        <stp>##V3_BDHV12</stp>
        <stp>AMZN US Equity</stp>
        <stp>INVTRY_RAW_MATERIALS</stp>
        <stp>FQ1 2014</stp>
        <stp>FQ1 2014</stp>
        <stp>[AMZ_2009-2018.xlsx]Bal Sheet - Standardized!R14C23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4" s="3"/>
      </tp>
      <tp t="s">
        <v>—</v>
        <stp/>
        <stp>##V3_BDHV12</stp>
        <stp>AMZN US Equity</stp>
        <stp>BS_DERIV_&amp;_HEDGING_ASSETS_ST</stp>
        <stp>FQ3 2016</stp>
        <stp>FQ3 2016</stp>
        <stp>[AMZ_2009-2018.xlsx]Bal Sheet - Standardized!R19C33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9" s="3"/>
      </tp>
      <tp>
        <v>0</v>
        <stp/>
        <stp>##V3_BDHV12</stp>
        <stp>AMZN US Equity</stp>
        <stp>CF_NET_CHG_IN_ST_DBT_&amp;_CPTL_LEAS</stp>
        <stp>FQ2 2009</stp>
        <stp>FQ2 2009</stp>
        <stp>[AMZ_2009-2018.xlsx]Cash Flow - Standardized!R43C4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3" s="4"/>
      </tp>
      <tp>
        <v>-196</v>
        <stp/>
        <stp>##V3_BDHV12</stp>
        <stp>AMZN US Equity</stp>
        <stp>CF_PURCHASE_OF_FIXED_PROD_ASSETS</stp>
        <stp>FQ2 2010</stp>
        <stp>FQ2 2010</stp>
        <stp>[AMZ_2009-2018.xlsx]Cash Flow - Standardized!R27C8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7" s="4"/>
      </tp>
      <tp t="s">
        <v>—</v>
        <stp/>
        <stp>##V3_BDHV12</stp>
        <stp>AMZN US Equity</stp>
        <stp>IS_CAP_INT_EXP</stp>
        <stp>FQ4 2016</stp>
        <stp>FQ4 2016</stp>
        <stp>[AMZ_2009-2018.xlsx]Income - Adjusted!R71C34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1" s="2"/>
      </tp>
      <tp t="s">
        <v>—</v>
        <stp/>
        <stp>##V3_BDHV12</stp>
        <stp>AMZN US Equity</stp>
        <stp>BS_DERIV_&amp;_HEDGING_ASSETS_LT</stp>
        <stp>FQ3 2016</stp>
        <stp>FQ3 2016</stp>
        <stp>[AMZ_2009-2018.xlsx]Bal Sheet - Standardized!R32C33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2" s="3"/>
      </tp>
      <tp t="s">
        <v>—</v>
        <stp/>
        <stp>##V3_BDHV12</stp>
        <stp>AMZN US Equity</stp>
        <stp>IS_CAP_INT_EXP</stp>
        <stp>FQ2 2016</stp>
        <stp>FQ2 2016</stp>
        <stp>[AMZ_2009-2018.xlsx]Income - Adjusted!R71C32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1" s="2"/>
      </tp>
      <tp>
        <v>0</v>
        <stp/>
        <stp>##V3_BDHV12</stp>
        <stp>AMZN US Equity</stp>
        <stp>CF_NET_CHG_IN_ST_DBT_&amp;_CPTL_LEAS</stp>
        <stp>FQ3 2010</stp>
        <stp>FQ3 2010</stp>
        <stp>[AMZ_2009-2018.xlsx]Cash Flow - Standardized!R43C9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3" s="4"/>
      </tp>
      <tp t="s">
        <v>—</v>
        <stp/>
        <stp>##V3_BDHV12</stp>
        <stp>AMZN US Equity</stp>
        <stp>BS_DERIV_&amp;_HEDGING_ASSETS_ST</stp>
        <stp>FQ2 2017</stp>
        <stp>FQ2 2017</stp>
        <stp>[AMZ_2009-2018.xlsx]Bal Sheet - Standardized!R19C36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9" s="3"/>
      </tp>
      <tp t="s">
        <v>—</v>
        <stp/>
        <stp>##V3_BDHV12</stp>
        <stp>AMZN US Equity</stp>
        <stp>IS_CAP_INT_EXP</stp>
        <stp>FQ3 2016</stp>
        <stp>FQ3 2016</stp>
        <stp>[AMZ_2009-2018.xlsx]Income - Adjusted!R71C33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1" s="2"/>
      </tp>
      <tp>
        <v>-103</v>
        <stp/>
        <stp>##V3_BDHV12</stp>
        <stp>AMZN US Equity</stp>
        <stp>CF_PURCHASE_OF_FIXED_PROD_ASSETS</stp>
        <stp>FQ3 2009</stp>
        <stp>FQ3 2009</stp>
        <stp>[AMZ_2009-2018.xlsx]Cash Flow - Standardized!R27C5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7" s="4"/>
      </tp>
      <tp t="s">
        <v>—</v>
        <stp/>
        <stp>##V3_BDHV12</stp>
        <stp>AMZN US Equity</stp>
        <stp>BS_DERIV_&amp;_HEDGING_ASSETS_LT</stp>
        <stp>FQ1 2015</stp>
        <stp>FQ1 2015</stp>
        <stp>[AMZ_2009-2018.xlsx]Bal Sheet - Standardized!R32C27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2" s="3"/>
      </tp>
      <tp t="s">
        <v>—</v>
        <stp/>
        <stp>##V3_BDHV12</stp>
        <stp>AMZN US Equity</stp>
        <stp>BS_DERIV_&amp;_HEDGING_ASSETS_LT</stp>
        <stp>FQ2 2017</stp>
        <stp>FQ2 2017</stp>
        <stp>[AMZ_2009-2018.xlsx]Bal Sheet - Standardized!R32C36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2" s="3"/>
      </tp>
      <tp t="s">
        <v>—</v>
        <stp/>
        <stp>##V3_BDHV12</stp>
        <stp>AMZN US Equity</stp>
        <stp>IS_CAP_INT_EXP</stp>
        <stp>FQ1 2016</stp>
        <stp>FQ1 2016</stp>
        <stp>[AMZ_2009-2018.xlsx]Income - Adjusted!R71C31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1" s="2"/>
      </tp>
      <tp>
        <v>-6.234</v>
        <stp/>
        <stp>##V3_BDHV12</stp>
        <stp>AMZN US Equity</stp>
        <stp>FREE_CASH_FLOW_PER_SH</stp>
        <stp>FQ1 2012</stp>
        <stp>FQ1 2012</stp>
        <stp>[AMZ_2009-2018.xlsx]Cash Flow - Standardized!R68C15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68" s="4"/>
      </tp>
      <tp>
        <v>-6.6497000000000002</v>
        <stp/>
        <stp>##V3_BDHV12</stp>
        <stp>AMZN US Equity</stp>
        <stp>FREE_CASH_FLOW_PER_SH</stp>
        <stp>FQ1 2016</stp>
        <stp>FQ1 2016</stp>
        <stp>[AMZ_2009-2018.xlsx]Cash Flow - Standardized!R68C31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68" s="4"/>
      </tp>
      <tp>
        <v>-7.7869999999999999</v>
        <stp/>
        <stp>##V3_BDHV12</stp>
        <stp>AMZN US Equity</stp>
        <stp>FREE_CASH_FLOW_PER_SH</stp>
        <stp>FQ1 2014</stp>
        <stp>FQ1 2014</stp>
        <stp>[AMZ_2009-2018.xlsx]Cash Flow - Standardized!R68C23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68" s="4"/>
      </tp>
      <tp t="s">
        <v>—</v>
        <stp/>
        <stp>##V3_BDHV12</stp>
        <stp>AMZN US Equity</stp>
        <stp>BS_DERIV_&amp;_HEDGING_ASSETS_ST</stp>
        <stp>FQ1 2015</stp>
        <stp>FQ1 2015</stp>
        <stp>[AMZ_2009-2018.xlsx]Bal Sheet - Standardized!R19C27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9" s="3"/>
      </tp>
      <tp>
        <v>86</v>
        <stp/>
        <stp>##V3_BDHV12</stp>
        <stp>AMZN US Equity</stp>
        <stp>CF_TAX_BENEFIT_FRM_STOCK_OPTIONS</stp>
        <stp>FQ1 2010</stp>
        <stp>FQ1 2010</stp>
        <stp>[AMZ_2009-2018.xlsx]Cash Flow - Standardized!R64C7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4" s="4"/>
      </tp>
      <tp>
        <v>20</v>
        <stp/>
        <stp>##V3_BDHV12</stp>
        <stp>AMZN US Equity</stp>
        <stp>CF_INCR_CAP_STOCK</stp>
        <stp>FQ2 2009</stp>
        <stp>FQ2 2009</stp>
        <stp>[AMZ_2009-2018.xlsx]Cash Flow - Standardized!R47C4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7" s="4"/>
      </tp>
      <tp>
        <v>75</v>
        <stp/>
        <stp>##V3_BDHV12</stp>
        <stp>AMZN US Equity</stp>
        <stp>CF_INCR_CAP_STOCK</stp>
        <stp>FQ3 2010</stp>
        <stp>FQ3 2010</stp>
        <stp>[AMZ_2009-2018.xlsx]Cash Flow - Standardized!R47C9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7" s="4"/>
      </tp>
      <tp>
        <v>0</v>
        <stp/>
        <stp>##V3_BDHV12</stp>
        <stp>AMZN US Equity</stp>
        <stp>OTHER_CURRENT_ASSETS_DETAILED</stp>
        <stp>FQ3 2015</stp>
        <stp>FQ3 2015</stp>
        <stp>[AMZ_2009-2018.xlsx]Bal Sheet - Standardized!R18C29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8" s="3"/>
      </tp>
      <tp>
        <v>351</v>
        <stp/>
        <stp>##V3_BDHV12</stp>
        <stp>AMZN US Equity</stp>
        <stp>OTHER_CURRENT_ASSETS_DETAILED</stp>
        <stp>FQ4 2011</stp>
        <stp>FQ4 2011</stp>
        <stp>[AMZ_2009-2018.xlsx]Bal Sheet - Standardized!R18C14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8" s="3"/>
      </tp>
      <tp>
        <v>0</v>
        <stp/>
        <stp>##V3_BDHV12</stp>
        <stp>AMZN US Equity</stp>
        <stp>OTHER_CURRENT_ASSETS_DETAILED</stp>
        <stp>FQ1 2016</stp>
        <stp>FQ1 2016</stp>
        <stp>[AMZ_2009-2018.xlsx]Bal Sheet - Standardized!R18C31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8" s="3"/>
      </tp>
      <tp>
        <v>0</v>
        <stp/>
        <stp>##V3_BDHV12</stp>
        <stp>AMZN US Equity</stp>
        <stp>OTHER_CURRENT_ASSETS_DETAILED</stp>
        <stp>FQ2 2014</stp>
        <stp>FQ2 2014</stp>
        <stp>[AMZ_2009-2018.xlsx]Bal Sheet - Standardized!R18C24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8" s="3"/>
      </tp>
      <tp>
        <v>166.97</v>
        <stp/>
        <stp>##V3_BDHV12</stp>
        <stp>AMZN US Equity</stp>
        <stp>PX_LOW</stp>
        <stp>FQ4 2011</stp>
        <stp>FQ4 2011</stp>
        <stp>[AMZ_2009-2018.xlsx]Stock Value!R10C14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10" s="6"/>
      </tp>
      <tp>
        <v>160.59</v>
        <stp/>
        <stp>##V3_BDHV12</stp>
        <stp>AMZN US Equity</stp>
        <stp>PX_LOW</stp>
        <stp>FQ1 2011</stp>
        <stp>FQ1 2011</stp>
        <stp>[AMZ_2009-2018.xlsx]Stock Value!R10C11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10" s="6"/>
      </tp>
      <tp>
        <v>177.1</v>
        <stp/>
        <stp>##V3_BDHV12</stp>
        <stp>AMZN US Equity</stp>
        <stp>PX_LOW</stp>
        <stp>FQ3 2011</stp>
        <stp>FQ3 2011</stp>
        <stp>[AMZ_2009-2018.xlsx]Stock Value!R10C13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10" s="6"/>
      </tp>
      <tp>
        <v>175.37</v>
        <stp/>
        <stp>##V3_BDHV12</stp>
        <stp>AMZN US Equity</stp>
        <stp>PX_LOW</stp>
        <stp>FQ2 2011</stp>
        <stp>FQ2 2011</stp>
        <stp>[AMZ_2009-2018.xlsx]Stock Value!R10C12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10" s="6"/>
      </tp>
      <tp>
        <v>245.75</v>
        <stp/>
        <stp>##V3_BDHV12</stp>
        <stp>AMZN US Equity</stp>
        <stp>PX_LOW</stp>
        <stp>FQ2 2013</stp>
        <stp>FQ2 2013</stp>
        <stp>[AMZ_2009-2018.xlsx]Stock Value!R10C20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10" s="6"/>
      </tp>
      <tp>
        <v>277.16000000000003</v>
        <stp/>
        <stp>##V3_BDHV12</stp>
        <stp>AMZN US Equity</stp>
        <stp>PX_LOW</stp>
        <stp>FQ3 2013</stp>
        <stp>FQ3 2013</stp>
        <stp>[AMZ_2009-2018.xlsx]Stock Value!R10C21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10" s="6"/>
      </tp>
      <tp>
        <v>506</v>
        <stp/>
        <stp>##V3_BDHV12</stp>
        <stp>AMZN US Equity</stp>
        <stp>PX_LOW</stp>
        <stp>FQ4 2015</stp>
        <stp>FQ4 2015</stp>
        <stp>[AMZ_2009-2018.xlsx]Stock Value!R10C30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10" s="6"/>
      </tp>
      <tp>
        <v>100</v>
        <stp/>
        <stp>##V3_BDHV12</stp>
        <stp>AMZN US Equity</stp>
        <stp>IS_INC_TAX_EXP</stp>
        <stp>FQ1 2010</stp>
        <stp>FQ1 2010</stp>
        <stp>[AMZ_2009-2018.xlsx]Income - Adjusted!R32C7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32" s="2"/>
      </tp>
      <tp>
        <v>10319</v>
        <stp/>
        <stp>##V3_BDHV12</stp>
        <stp>AMZN US Equity</stp>
        <stp>IS_COGS_TO_FE_AND_PP_AND_G</stp>
        <stp>FQ3 2012</stp>
        <stp>FQ3 2012</stp>
        <stp>[AMZ_2009-2018.xlsx]Income - Adjusted!R8C17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8" s="2"/>
      </tp>
      <tp>
        <v>21260</v>
        <stp/>
        <stp>##V3_BDHV12</stp>
        <stp>AMZN US Equity</stp>
        <stp>IS_COGS_TO_FE_AND_PP_AND_G</stp>
        <stp>FQ3 2016</stp>
        <stp>FQ3 2016</stp>
        <stp>[AMZ_2009-2018.xlsx]Income - Adjusted!R8C33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8" s="2"/>
      </tp>
      <tp>
        <v>24341</v>
        <stp/>
        <stp>##V3_BDHV12</stp>
        <stp>AMZN US Equity</stp>
        <stp>IS_COGS_TO_FE_AND_PP_AND_G</stp>
        <stp>FQ4 2015</stp>
        <stp>FQ4 2015</stp>
        <stp>[AMZ_2009-2018.xlsx]Income - Adjusted!R8C30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8" s="2"/>
      </tp>
      <tp>
        <v>13830</v>
        <stp/>
        <stp>##V3_BDHV12</stp>
        <stp>AMZN US Equity</stp>
        <stp>IS_COGS_TO_FE_AND_PP_AND_G</stp>
        <stp>FQ4 2011</stp>
        <stp>FQ4 2011</stp>
        <stp>[AMZ_2009-2018.xlsx]Income - Adjusted!R8C14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8" s="2"/>
      </tp>
      <tp>
        <v>297</v>
        <stp/>
        <stp>##V3_BDHV12</stp>
        <stp>AMZN US Equity</stp>
        <stp>PRETAX_INC</stp>
        <stp>FQ2 2010</stp>
        <stp>FQ2 2010</stp>
        <stp>[AMZ_2009-2018.xlsx]Income - Adjusted!R25C8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5" s="2"/>
      </tp>
      <tp>
        <v>-0.1212</v>
        <stp/>
        <stp>##V3_BDHV12</stp>
        <stp>AMZN US Equity</stp>
        <stp>IS_BASIC_EPS_CONT_OPS</stp>
        <stp>FQ1 2015</stp>
        <stp>FQ1 2015</stp>
        <stp>[AMZ_2009-2018.xlsx]Per Share!R16C27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16" s="5"/>
      </tp>
      <tp>
        <v>0.53</v>
        <stp/>
        <stp>##V3_BDHV12</stp>
        <stp>AMZN US Equity</stp>
        <stp>IS_BASIC_EPS_CONT_OPS</stp>
        <stp>FQ3 2017</stp>
        <stp>FQ3 2017</stp>
        <stp>[AMZ_2009-2018.xlsx]Per Share!R16C37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16" s="5"/>
      </tp>
      <tp>
        <v>-0.28539999999999999</v>
        <stp/>
        <stp>##V3_BDHV12</stp>
        <stp>AMZN US Equity</stp>
        <stp>IS_BASIC_EPS_CONT_OPS</stp>
        <stp>FQ3 2012</stp>
        <stp>FQ3 2012</stp>
        <stp>[AMZ_2009-2018.xlsx]Per Share!R16C17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16" s="5"/>
      </tp>
      <tp>
        <v>7192</v>
        <stp/>
        <stp>##V3_BDHV12</stp>
        <stp>AMZN US Equity</stp>
        <stp>BS_ADD_PAID_IN_CAP</stp>
        <stp>FQ1 2012</stp>
        <stp>FQ1 2012</stp>
        <stp>[AMZ_2009-2018.xlsx]Bal Sheet - Standardized!R67C15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7" s="3"/>
      </tp>
      <tp>
        <v>13394</v>
        <stp/>
        <stp>##V3_BDHV12</stp>
        <stp>AMZN US Equity</stp>
        <stp>BS_ADD_PAID_IN_CAP</stp>
        <stp>FQ4 2015</stp>
        <stp>FQ4 2015</stp>
        <stp>[AMZ_2009-2018.xlsx]Bal Sheet - Standardized!R67C30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7" s="3"/>
      </tp>
      <tp>
        <v>17981</v>
        <stp/>
        <stp>##V3_BDHV12</stp>
        <stp>AMZN US Equity</stp>
        <stp>BS_SH_CAP_AND_APIC</stp>
        <stp>FQ1 2017</stp>
        <stp>FQ1 2017</stp>
        <stp>[AMZ_2009-2018.xlsx]Bal Sheet - Standardized!R65C35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5" s="3"/>
      </tp>
      <tp>
        <v>6675</v>
        <stp/>
        <stp>##V3_BDHV12</stp>
        <stp>AMZN US Equity</stp>
        <stp>BS_ADD_PAID_IN_CAP</stp>
        <stp>FQ2 2011</stp>
        <stp>FQ2 2011</stp>
        <stp>[AMZ_2009-2018.xlsx]Bal Sheet - Standardized!R67C12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7" s="3"/>
      </tp>
      <tp>
        <v>9175</v>
        <stp/>
        <stp>##V3_BDHV12</stp>
        <stp>AMZN US Equity</stp>
        <stp>BS_ADD_PAID_IN_CAP</stp>
        <stp>FQ3 2013</stp>
        <stp>FQ3 2013</stp>
        <stp>[AMZ_2009-2018.xlsx]Bal Sheet - Standardized!R67C21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7" s="3"/>
      </tp>
      <tp>
        <v>11135</v>
        <stp/>
        <stp>##V3_BDHV12</stp>
        <stp>AMZN US Equity</stp>
        <stp>BS_ADD_PAID_IN_CAP</stp>
        <stp>FQ4 2014</stp>
        <stp>FQ4 2014</stp>
        <stp>[AMZ_2009-2018.xlsx]Bal Sheet - Standardized!R67C26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7" s="3"/>
      </tp>
      <tp>
        <v>3.6644999999999999</v>
        <stp/>
        <stp>##V3_BDHV12</stp>
        <stp>AMZN US Equity</stp>
        <stp>PROF_MARGIN</stp>
        <stp>FQ2 2018</stp>
        <stp>FQ2 2018</stp>
        <stp>[AMZ_2009-2018.xlsx]Income - Adjusted!R67C40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N67" s="2"/>
      </tp>
      <tp>
        <v>6330</v>
        <stp/>
        <stp>##V3_BDHV12</stp>
        <stp>AMZN US Equity</stp>
        <stp>BS_SH_CAP_AND_APIC</stp>
        <stp>FQ4 2010</stp>
        <stp>FQ4 2010</stp>
        <stp>[AMZ_2009-2018.xlsx]Bal Sheet - Standardized!R65C10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5" s="3"/>
      </tp>
      <tp>
        <v>9578</v>
        <stp/>
        <stp>##V3_BDHV12</stp>
        <stp>AMZN US Equity</stp>
        <stp>BS_SH_CAP_AND_APIC</stp>
        <stp>FQ4 2013</stp>
        <stp>FQ4 2013</stp>
        <stp>[AMZ_2009-2018.xlsx]Bal Sheet - Standardized!R65C22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5" s="3"/>
      </tp>
      <tp>
        <v>10832</v>
        <stp/>
        <stp>##V3_BDHV12</stp>
        <stp>AMZN US Equity</stp>
        <stp>BS_SH_CAP_AND_APIC</stp>
        <stp>FQ3 2014</stp>
        <stp>FQ3 2014</stp>
        <stp>[AMZ_2009-2018.xlsx]Bal Sheet - Standardized!R65C25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5" s="3"/>
      </tp>
      <tp>
        <v>0.39960000000000001</v>
        <stp/>
        <stp>##V3_BDHV12</stp>
        <stp>AMZN US Equity</stp>
        <stp>PROF_MARGIN</stp>
        <stp>FQ2 2015</stp>
        <stp>FQ2 2015</stp>
        <stp>[AMZ_2009-2018.xlsx]Income - Adjusted!R67C28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B67" s="2"/>
      </tp>
      <tp>
        <v>-0.65149999999999997</v>
        <stp/>
        <stp>##V3_BDHV12</stp>
        <stp>AMZN US Equity</stp>
        <stp>PROF_MARGIN</stp>
        <stp>FQ2 2014</stp>
        <stp>FQ2 2014</stp>
        <stp>[AMZ_2009-2018.xlsx]Income - Adjusted!R67C24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X67" s="2"/>
      </tp>
      <tp>
        <v>0.51900000000000002</v>
        <stp/>
        <stp>##V3_BDHV12</stp>
        <stp>AMZN US Equity</stp>
        <stp>PROF_MARGIN</stp>
        <stp>FQ2 2017</stp>
        <stp>FQ2 2017</stp>
        <stp>[AMZ_2009-2018.xlsx]Income - Adjusted!R67C36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J67" s="2"/>
      </tp>
      <tp>
        <v>12238</v>
        <stp/>
        <stp>##V3_BDHV12</stp>
        <stp>AMZN US Equity</stp>
        <stp>BS_SH_CAP_AND_APIC</stp>
        <stp>FQ2 2015</stp>
        <stp>FQ2 2015</stp>
        <stp>[AMZ_2009-2018.xlsx]Bal Sheet - Standardized!R65C28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5" s="3"/>
      </tp>
      <tp>
        <v>2.8186999999999998</v>
        <stp/>
        <stp>##V3_BDHV12</stp>
        <stp>AMZN US Equity</stp>
        <stp>PROF_MARGIN</stp>
        <stp>FQ2 2016</stp>
        <stp>FQ2 2016</stp>
        <stp>[AMZ_2009-2018.xlsx]Income - Adjusted!R67C32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F67" s="2"/>
      </tp>
      <tp>
        <v>1.9268000000000001</v>
        <stp/>
        <stp>##V3_BDHV12</stp>
        <stp>AMZN US Equity</stp>
        <stp>PROF_MARGIN</stp>
        <stp>FQ2 2011</stp>
        <stp>FQ2 2011</stp>
        <stp>[AMZ_2009-2018.xlsx]Income - Adjusted!R67C12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L67" s="2"/>
      </tp>
      <tp>
        <v>-4.4600000000000001E-2</v>
        <stp/>
        <stp>##V3_BDHV12</stp>
        <stp>AMZN US Equity</stp>
        <stp>PROF_MARGIN</stp>
        <stp>FQ2 2013</stp>
        <stp>FQ2 2013</stp>
        <stp>[AMZ_2009-2018.xlsx]Income - Adjusted!R67C20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T67" s="2"/>
      </tp>
      <tp>
        <v>0.56100000000000005</v>
        <stp/>
        <stp>##V3_BDHV12</stp>
        <stp>AMZN US Equity</stp>
        <stp>PROF_MARGIN</stp>
        <stp>FQ2 2012</stp>
        <stp>FQ2 2012</stp>
        <stp>[AMZ_2009-2018.xlsx]Income - Adjusted!R67C16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P67" s="2"/>
      </tp>
      <tp t="s">
        <v>—</v>
        <stp/>
        <stp>##V3_BDHV12</stp>
        <stp>AMZN US Equity</stp>
        <stp>LT_CAPITAL_LEASE_OBLIGATIONS</stp>
        <stp>FQ1 2012</stp>
        <stp>FQ1 2012</stp>
        <stp>[AMZ_2009-2018.xlsx]Bal Sheet - Standardized!R54C15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4" s="3"/>
      </tp>
      <tp>
        <v>248</v>
        <stp/>
        <stp>##V3_BDHV12</stp>
        <stp>AMZN US Equity</stp>
        <stp>CF_STOCK_BASED_COMPENSATION</stp>
        <stp>FQ4 2013</stp>
        <stp>FQ4 2013</stp>
        <stp>[AMZ_2009-2018.xlsx]Cash Flow - Standardized!R10C22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0" s="4"/>
      </tp>
      <tp>
        <v>377</v>
        <stp/>
        <stp>##V3_BDHV12</stp>
        <stp>AMZN US Equity</stp>
        <stp>CF_STOCK_BASED_COMPENSATION</stp>
        <stp>FQ3 2014</stp>
        <stp>FQ3 2014</stp>
        <stp>[AMZ_2009-2018.xlsx]Cash Flow - Standardized!R10C25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0" s="4"/>
      </tp>
      <tp>
        <v>97</v>
        <stp/>
        <stp>##V3_BDHV12</stp>
        <stp>AMZN US Equity</stp>
        <stp>CF_STOCK_BASED_COMPENSATION</stp>
        <stp>FQ4 2010</stp>
        <stp>FQ4 2010</stp>
        <stp>[AMZ_2009-2018.xlsx]Cash Flow - Standardized!R10C10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0" s="4"/>
      </tp>
      <tp>
        <v>5948</v>
        <stp/>
        <stp>##V3_BDHV12</stp>
        <stp>AMZN US Equity</stp>
        <stp>LT_CAPITAL_LEASE_OBLIGATIONS</stp>
        <stp>FQ4 2015</stp>
        <stp>FQ4 2015</stp>
        <stp>[AMZ_2009-2018.xlsx]Bal Sheet - Standardized!R54C30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4" s="3"/>
      </tp>
      <tp>
        <v>792</v>
        <stp/>
        <stp>##V3_BDHV12</stp>
        <stp>AMZN US Equity</stp>
        <stp>CF_STOCK_BASED_COMPENSATION</stp>
        <stp>FQ1 2017</stp>
        <stp>FQ1 2017</stp>
        <stp>[AMZ_2009-2018.xlsx]Cash Flow - Standardized!R10C35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0" s="4"/>
      </tp>
      <tp t="s">
        <v>—</v>
        <stp/>
        <stp>##V3_BDHV12</stp>
        <stp>AMZN US Equity</stp>
        <stp>LT_CAPITAL_LEASE_OBLIGATIONS</stp>
        <stp>FQ2 2011</stp>
        <stp>FQ2 2011</stp>
        <stp>[AMZ_2009-2018.xlsx]Bal Sheet - Standardized!R54C12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4" s="3"/>
      </tp>
      <tp>
        <v>-63</v>
        <stp/>
        <stp>##V3_BDHV12</stp>
        <stp>AMZN US Equity</stp>
        <stp>CF_EFFECT_FOREIGN_EXCHANGES</stp>
        <stp>FQ3 2015</stp>
        <stp>FQ3 2015</stp>
        <stp>[AMZ_2009-2018.xlsx]Cash Flow - Standardized!R53C29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3" s="4"/>
      </tp>
      <tp t="s">
        <v>—</v>
        <stp/>
        <stp>##V3_BDHV12</stp>
        <stp>AMZN US Equity</stp>
        <stp>LT_CAPITAL_LEASE_OBLIGATIONS</stp>
        <stp>FQ3 2013</stp>
        <stp>FQ3 2013</stp>
        <stp>[AMZ_2009-2018.xlsx]Bal Sheet - Standardized!R54C21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4" s="3"/>
      </tp>
      <tp>
        <v>4224</v>
        <stp/>
        <stp>##V3_BDHV12</stp>
        <stp>AMZN US Equity</stp>
        <stp>LT_CAPITAL_LEASE_OBLIGATIONS</stp>
        <stp>FQ4 2014</stp>
        <stp>FQ4 2014</stp>
        <stp>[AMZ_2009-2018.xlsx]Bal Sheet - Standardized!R54C26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4" s="3"/>
      </tp>
      <tp>
        <v>0</v>
        <stp/>
        <stp>##V3_BDHV12</stp>
        <stp>AMZN US Equity</stp>
        <stp>OTHER_CURRENT_LIABS_DETAILED</stp>
        <stp>FQ3 2011</stp>
        <stp>FQ3 2011</stp>
        <stp>[AMZ_2009-2018.xlsx]Bal Sheet - Standardized!R50C13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0" s="3"/>
      </tp>
      <tp>
        <v>0</v>
        <stp/>
        <stp>##V3_BDHV12</stp>
        <stp>AMZN US Equity</stp>
        <stp>OTHER_CURRENT_LIABS_DETAILED</stp>
        <stp>FQ2 2013</stp>
        <stp>FQ2 2013</stp>
        <stp>[AMZ_2009-2018.xlsx]Bal Sheet - Standardized!R50C20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0" s="3"/>
      </tp>
      <tp>
        <v>41</v>
        <stp/>
        <stp>##V3_BDHV12</stp>
        <stp>AMZN US Equity</stp>
        <stp>CF_EFFECT_FOREIGN_EXCHANGES</stp>
        <stp>FQ2 2014</stp>
        <stp>FQ2 2014</stp>
        <stp>[AMZ_2009-2018.xlsx]Cash Flow - Standardized!R53C24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3" s="4"/>
      </tp>
      <tp>
        <v>-21</v>
        <stp/>
        <stp>##V3_BDHV12</stp>
        <stp>AMZN US Equity</stp>
        <stp>CF_EFFECT_FOREIGN_EXCHANGES</stp>
        <stp>FQ4 2011</stp>
        <stp>FQ4 2011</stp>
        <stp>[AMZ_2009-2018.xlsx]Cash Flow - Standardized!R53C14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3" s="4"/>
      </tp>
      <tp>
        <v>468</v>
        <stp/>
        <stp>##V3_BDHV12</stp>
        <stp>AMZN US Equity</stp>
        <stp>CF_STOCK_BASED_COMPENSATION</stp>
        <stp>FQ2 2015</stp>
        <stp>FQ2 2015</stp>
        <stp>[AMZ_2009-2018.xlsx]Cash Flow - Standardized!R10C28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0" s="4"/>
      </tp>
      <tp>
        <v>222</v>
        <stp/>
        <stp>##V3_BDHV12</stp>
        <stp>AMZN US Equity</stp>
        <stp>CF_EFFECT_FOREIGN_EXCHANGES</stp>
        <stp>FQ1 2016</stp>
        <stp>FQ1 2016</stp>
        <stp>[AMZ_2009-2018.xlsx]Cash Flow - Standardized!R53C31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3" s="4"/>
      </tp>
      <tp>
        <v>0</v>
        <stp/>
        <stp>##V3_BDHV12</stp>
        <stp>AMZN US Equity</stp>
        <stp>OTHER_CURRENT_LIABS_DETAILED</stp>
        <stp>FQ1 2013</stp>
        <stp>FQ1 2013</stp>
        <stp>[AMZ_2009-2018.xlsx]Bal Sheet - Standardized!R50C19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0" s="3"/>
      </tp>
      <tp>
        <v>8.7622</v>
        <stp/>
        <stp>##V3_BDHV12</stp>
        <stp>AMZN US Equity</stp>
        <stp>EBITDA_MARGIN</stp>
        <stp>FQ4 2017</stp>
        <stp>FQ4 2017</stp>
        <stp>[AMZ_2009-2018.xlsx]Income - Adjusted!R62C38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L62" s="2"/>
      </tp>
      <tp>
        <v>9.0472000000000001</v>
        <stp/>
        <stp>##V3_BDHV12</stp>
        <stp>AMZN US Equity</stp>
        <stp>EBITDA_MARGIN</stp>
        <stp>FQ4 2016</stp>
        <stp>FQ4 2016</stp>
        <stp>[AMZ_2009-2018.xlsx]Income - Adjusted!R62C34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H62" s="2"/>
      </tp>
      <tp>
        <v>7.9565000000000001</v>
        <stp/>
        <stp>##V3_BDHV12</stp>
        <stp>AMZN US Equity</stp>
        <stp>EBITDA_MARGIN</stp>
        <stp>FQ4 2015</stp>
        <stp>FQ4 2015</stp>
        <stp>[AMZ_2009-2018.xlsx]Income - Adjusted!R62C30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D62" s="2"/>
      </tp>
      <tp>
        <v>74</v>
        <stp/>
        <stp>##V3_BDHV12</stp>
        <stp>AMZN US Equity</stp>
        <stp>BS_LT_BORROW</stp>
        <stp>FQ1 2009</stp>
        <stp>FQ1 2009</stp>
        <stp>[AMZ_2009-2018.xlsx]Bal Sheet - Standardized!R52C3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2" s="3"/>
      </tp>
      <tp>
        <v>0</v>
        <stp/>
        <stp>##V3_BDHV12</stp>
        <stp>AMZN US Equity</stp>
        <stp>BS_LT_INVEST</stp>
        <stp>FQ3 2009</stp>
        <stp>FQ3 2009</stp>
        <stp>[AMZ_2009-2018.xlsx]Bal Sheet - Standardized!R26C5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6" s="3"/>
      </tp>
      <tp>
        <v>2205</v>
        <stp/>
        <stp>##V3_BDHV12</stp>
        <stp>AMZN US Equity</stp>
        <stp>BS_TOT_NON_CUR_ASSET</stp>
        <stp>FQ1 2009</stp>
        <stp>FQ1 2009</stp>
        <stp>[AMZ_2009-2018.xlsx]Bal Sheet - Standardized!R34C3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3"/>
      </tp>
      <tp>
        <v>5.7232000000000003</v>
        <stp/>
        <stp>##V3_BDHV12</stp>
        <stp>AMZN US Equity</stp>
        <stp>EBITDA_MARGIN</stp>
        <stp>FQ4 2014</stp>
        <stp>FQ4 2014</stp>
        <stp>[AMZ_2009-2018.xlsx]Income - Adjusted!R62C26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Z62" s="2"/>
      </tp>
      <tp>
        <v>5.3697999999999997</v>
        <stp/>
        <stp>##V3_BDHV12</stp>
        <stp>AMZN US Equity</stp>
        <stp>EBITDA_MARGIN</stp>
        <stp>FQ4 2013</stp>
        <stp>FQ4 2013</stp>
        <stp>[AMZ_2009-2018.xlsx]Income - Adjusted!R62C22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V62" s="2"/>
      </tp>
      <tp>
        <v>4.8025000000000002</v>
        <stp/>
        <stp>##V3_BDHV12</stp>
        <stp>AMZN US Equity</stp>
        <stp>EBITDA_MARGIN</stp>
        <stp>FQ4 2012</stp>
        <stp>FQ4 2012</stp>
        <stp>[AMZ_2009-2018.xlsx]Income - Adjusted!R62C18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R62" s="2"/>
      </tp>
      <tp>
        <v>4.0456000000000003</v>
        <stp/>
        <stp>##V3_BDHV12</stp>
        <stp>AMZN US Equity</stp>
        <stp>EBITDA_MARGIN</stp>
        <stp>FQ4 2011</stp>
        <stp>FQ4 2011</stp>
        <stp>[AMZ_2009-2018.xlsx]Income - Adjusted!R62C14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N62" s="2"/>
      </tp>
      <tp>
        <v>0</v>
        <stp/>
        <stp>##V3_BDHV12</stp>
        <stp>AMZN US Equity</stp>
        <stp>BS_LT_INVEST</stp>
        <stp>FQ2 2010</stp>
        <stp>FQ2 2010</stp>
        <stp>[AMZ_2009-2018.xlsx]Bal Sheet - Standardized!R26C8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6" s="3"/>
      </tp>
      <tp>
        <v>5.7710999999999997</v>
        <stp/>
        <stp>##V3_BDHV12</stp>
        <stp>AMZN US Equity</stp>
        <stp>EBITDA_MARGIN</stp>
        <stp>FQ4 2010</stp>
        <stp>FQ4 2010</stp>
        <stp>[AMZ_2009-2018.xlsx]Income - Adjusted!R62C10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J62" s="2"/>
      </tp>
      <tp t="s">
        <v>—</v>
        <stp/>
        <stp>##V3_BDHV12</stp>
        <stp>AMZN US Equity</stp>
        <stp>INVTRY_RAW_MATERIALS</stp>
        <stp>FQ2 2017</stp>
        <stp>FQ2 2017</stp>
        <stp>[AMZ_2009-2018.xlsx]Bal Sheet - Standardized!R14C36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4" s="3"/>
      </tp>
      <tp t="s">
        <v>—</v>
        <stp/>
        <stp>##V3_BDHV12</stp>
        <stp>AMZN US Equity</stp>
        <stp>INVTRY_RAW_MATERIALS</stp>
        <stp>FQ1 2015</stp>
        <stp>FQ1 2015</stp>
        <stp>[AMZ_2009-2018.xlsx]Bal Sheet - Standardized!R14C27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4" s="3"/>
      </tp>
      <tp>
        <v>126362</v>
        <stp/>
        <stp>##V3_BDHV12</stp>
        <stp>AMZN US Equity</stp>
        <stp>BS_TOT_ASSET</stp>
        <stp>FQ1 2018</stp>
        <stp>FQ1 2018</stp>
        <stp>[AMZ_2009-2018.xlsx]Bal Sheet - Standardized!R35C39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5" s="3"/>
      </tp>
      <tp t="s">
        <v>—</v>
        <stp/>
        <stp>##V3_BDHV12</stp>
        <stp>AMZN US Equity</stp>
        <stp>EBITA</stp>
        <stp>FQ4 2014</stp>
        <stp>FQ4 2014</stp>
        <stp>[AMZ_2009-2018.xlsx]Income - Adjusted!R63C26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63" s="2"/>
      </tp>
      <tp t="s">
        <v>—</v>
        <stp/>
        <stp>##V3_BDHV12</stp>
        <stp>AMZN US Equity</stp>
        <stp>INVTRY_RAW_MATERIALS</stp>
        <stp>FQ3 2016</stp>
        <stp>FQ3 2016</stp>
        <stp>[AMZ_2009-2018.xlsx]Bal Sheet - Standardized!R14C33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4" s="3"/>
      </tp>
      <tp t="s">
        <v>—</v>
        <stp/>
        <stp>##V3_BDHV12</stp>
        <stp>AMZN US Equity</stp>
        <stp>EBITA</stp>
        <stp>FQ2 2017</stp>
        <stp>FQ2 2017</stp>
        <stp>[AMZ_2009-2018.xlsx]Income - Adjusted!R63C36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63" s="2"/>
      </tp>
      <tp t="s">
        <v>—</v>
        <stp/>
        <stp>##V3_BDHV12</stp>
        <stp>AMZN US Equity</stp>
        <stp>EBITA</stp>
        <stp>FQ2 2012</stp>
        <stp>FQ2 2012</stp>
        <stp>[AMZ_2009-2018.xlsx]Income - Adjusted!R63C16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63" s="2"/>
      </tp>
      <tp t="s">
        <v>—</v>
        <stp/>
        <stp>##V3_BDHV12</stp>
        <stp>AMZN US Equity</stp>
        <stp>IS_CAP_INT_EXP</stp>
        <stp>FQ2 2017</stp>
        <stp>FQ2 2017</stp>
        <stp>[AMZ_2009-2018.xlsx]Income - Adjusted!R71C36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1" s="2"/>
      </tp>
      <tp t="s">
        <v>—</v>
        <stp/>
        <stp>##V3_BDHV12</stp>
        <stp>AMZN US Equity</stp>
        <stp>BS_DERIV_&amp;_HEDGING_ASSETS_LT</stp>
        <stp>FQ1 2014</stp>
        <stp>FQ1 2014</stp>
        <stp>[AMZ_2009-2018.xlsx]Bal Sheet - Standardized!R32C23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2" s="3"/>
      </tp>
      <tp>
        <v>0</v>
        <stp/>
        <stp>##V3_BDHV12</stp>
        <stp>AMZN US Equity</stp>
        <stp>CF_NET_CHG_IN_ST_DBT_&amp;_CPTL_LEAS</stp>
        <stp>FQ3 2009</stp>
        <stp>FQ3 2009</stp>
        <stp>[AMZ_2009-2018.xlsx]Cash Flow - Standardized!R43C5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3" s="4"/>
      </tp>
      <tp t="s">
        <v>—</v>
        <stp/>
        <stp>##V3_BDHV12</stp>
        <stp>AMZN US Equity</stp>
        <stp>IS_CAP_INT_EXP</stp>
        <stp>FQ3 2017</stp>
        <stp>FQ3 2017</stp>
        <stp>[AMZ_2009-2018.xlsx]Income - Adjusted!R71C37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1" s="2"/>
      </tp>
      <tp>
        <v>-315</v>
        <stp/>
        <stp>##V3_BDHV12</stp>
        <stp>AMZN US Equity</stp>
        <stp>CF_PURCHASE_OF_FIXED_PROD_ASSETS</stp>
        <stp>FQ3 2010</stp>
        <stp>FQ3 2010</stp>
        <stp>[AMZ_2009-2018.xlsx]Cash Flow - Standardized!R27C9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7" s="4"/>
      </tp>
      <tp t="s">
        <v>—</v>
        <stp/>
        <stp>##V3_BDHV12</stp>
        <stp>AMZN US Equity</stp>
        <stp>BS_DERIV_&amp;_HEDGING_ASSETS_ST</stp>
        <stp>FQ2 2016</stp>
        <stp>FQ2 2016</stp>
        <stp>[AMZ_2009-2018.xlsx]Bal Sheet - Standardized!R19C32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9" s="3"/>
      </tp>
      <tp t="s">
        <v>—</v>
        <stp/>
        <stp>##V3_BDHV12</stp>
        <stp>AMZN US Equity</stp>
        <stp>BS_DERIV_&amp;_HEDGING_ASSETS_ST</stp>
        <stp>FQ1 2014</stp>
        <stp>FQ1 2014</stp>
        <stp>[AMZ_2009-2018.xlsx]Bal Sheet - Standardized!R19C23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9" s="3"/>
      </tp>
      <tp t="s">
        <v>—</v>
        <stp/>
        <stp>##V3_BDHV12</stp>
        <stp>AMZN US Equity</stp>
        <stp>IS_CAP_INT_EXP</stp>
        <stp>FQ1 2017</stp>
        <stp>FQ1 2017</stp>
        <stp>[AMZ_2009-2018.xlsx]Income - Adjusted!R71C35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1" s="2"/>
      </tp>
      <tp t="s">
        <v>—</v>
        <stp/>
        <stp>##V3_BDHV12</stp>
        <stp>AMZN US Equity</stp>
        <stp>BS_DERIV_&amp;_HEDGING_ASSETS_LT</stp>
        <stp>FQ2 2016</stp>
        <stp>FQ2 2016</stp>
        <stp>[AMZ_2009-2018.xlsx]Bal Sheet - Standardized!R32C32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2" s="3"/>
      </tp>
      <tp>
        <v>0</v>
        <stp/>
        <stp>##V3_BDHV12</stp>
        <stp>AMZN US Equity</stp>
        <stp>CF_NET_CHG_IN_ST_DBT_&amp;_CPTL_LEAS</stp>
        <stp>FQ2 2010</stp>
        <stp>FQ2 2010</stp>
        <stp>[AMZ_2009-2018.xlsx]Cash Flow - Standardized!R43C8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3" s="4"/>
      </tp>
      <tp>
        <v>-78</v>
        <stp/>
        <stp>##V3_BDHV12</stp>
        <stp>AMZN US Equity</stp>
        <stp>CF_PURCHASE_OF_FIXED_PROD_ASSETS</stp>
        <stp>FQ2 2009</stp>
        <stp>FQ2 2009</stp>
        <stp>[AMZ_2009-2018.xlsx]Cash Flow - Standardized!R27C4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7" s="4"/>
      </tp>
      <tp t="s">
        <v>—</v>
        <stp/>
        <stp>##V3_BDHV12</stp>
        <stp>AMZN US Equity</stp>
        <stp>BS_DERIV_&amp;_HEDGING_ASSETS_ST</stp>
        <stp>FQ3 2017</stp>
        <stp>FQ3 2017</stp>
        <stp>[AMZ_2009-2018.xlsx]Bal Sheet - Standardized!R19C37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9" s="3"/>
      </tp>
      <tp>
        <v>49</v>
        <stp/>
        <stp>##V3_BDHV12</stp>
        <stp>AMZN US Equity</stp>
        <stp>CF_TAX_BENEFIT_FRM_STOCK_OPTIONS</stp>
        <stp>FQ1 2009</stp>
        <stp>FQ1 2009</stp>
        <stp>[AMZ_2009-2018.xlsx]Cash Flow - Standardized!R64C3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4" s="4"/>
      </tp>
      <tp t="s">
        <v>—</v>
        <stp/>
        <stp>##V3_BDHV12</stp>
        <stp>AMZN US Equity</stp>
        <stp>BS_DERIV_&amp;_HEDGING_ASSETS_LT</stp>
        <stp>FQ3 2017</stp>
        <stp>FQ3 2017</stp>
        <stp>[AMZ_2009-2018.xlsx]Bal Sheet - Standardized!R32C37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2" s="3"/>
      </tp>
      <tp t="s">
        <v>—</v>
        <stp/>
        <stp>##V3_BDHV12</stp>
        <stp>AMZN US Equity</stp>
        <stp>BS_DERIV_&amp;_HEDGING_ASSETS_LT</stp>
        <stp>FQ4 2012</stp>
        <stp>FQ4 2012</stp>
        <stp>[AMZ_2009-2018.xlsx]Bal Sheet - Standardized!R32C18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2" s="3"/>
      </tp>
      <tp t="s">
        <v>—</v>
        <stp/>
        <stp>##V3_BDHV12</stp>
        <stp>AMZN US Equity</stp>
        <stp>IS_CAP_INT_EXP</stp>
        <stp>FQ4 2017</stp>
        <stp>FQ4 2017</stp>
        <stp>[AMZ_2009-2018.xlsx]Income - Adjusted!R71C38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1" s="2"/>
      </tp>
      <tp>
        <v>0</v>
        <stp/>
        <stp>##V3_BDHV12</stp>
        <stp>AMZN US Equity</stp>
        <stp>BS_DERIV_&amp;_HEDGING_ASSETS_ST</stp>
        <stp>FQ4 2012</stp>
        <stp>FQ4 2012</stp>
        <stp>[AMZ_2009-2018.xlsx]Bal Sheet - Standardized!R19C18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9" s="3"/>
      </tp>
      <tp>
        <v>0</v>
        <stp/>
        <stp>##V3_BDHV12</stp>
        <stp>AMZN US Equity</stp>
        <stp>CF_INCR_CAP_STOCK</stp>
        <stp>FQ3 2009</stp>
        <stp>FQ3 2009</stp>
        <stp>[AMZ_2009-2018.xlsx]Cash Flow - Standardized!R47C5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7" s="4"/>
      </tp>
      <tp>
        <v>75</v>
        <stp/>
        <stp>##V3_BDHV12</stp>
        <stp>AMZN US Equity</stp>
        <stp>CF_INCR_CAP_STOCK</stp>
        <stp>FQ2 2010</stp>
        <stp>FQ2 2010</stp>
        <stp>[AMZ_2009-2018.xlsx]Cash Flow - Standardized!R47C8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7" s="4"/>
      </tp>
      <tp>
        <v>-51</v>
        <stp/>
        <stp>##V3_BDHV12</stp>
        <stp>AMZN US Equity</stp>
        <stp>CFF_ACTIVITIES_DETAILED</stp>
        <stp>FQ4 2009</stp>
        <stp>FQ4 2009</stp>
        <stp>[AMZ_2009-2018.xlsx]Cash Flow - Standardized!R51C6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1" s="4"/>
      </tp>
      <tp>
        <v>0</v>
        <stp/>
        <stp>##V3_BDHV12</stp>
        <stp>AMZN US Equity</stp>
        <stp>OTHER_CURRENT_ASSETS_DETAILED</stp>
        <stp>FQ2 2015</stp>
        <stp>FQ2 2015</stp>
        <stp>[AMZ_2009-2018.xlsx]Bal Sheet - Standardized!R18C28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8" s="3"/>
      </tp>
      <tp>
        <v>575700</v>
        <stp/>
        <stp>##V3_BDHV12</stp>
        <stp>AMZN US Equity</stp>
        <stp>NUM_OF_EMPLOYEES</stp>
        <stp>FQ2 2018</stp>
        <stp>FQ2 2018</stp>
        <stp>[AMZ_2009-2018.xlsx]Bal Sheet - Standardized!R89C40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89" s="3"/>
      </tp>
      <tp>
        <v>0</v>
        <stp/>
        <stp>##V3_BDHV12</stp>
        <stp>AMZN US Equity</stp>
        <stp>OTHER_CURRENT_ASSETS_DETAILED</stp>
        <stp>FQ4 2013</stp>
        <stp>FQ4 2013</stp>
        <stp>[AMZ_2009-2018.xlsx]Bal Sheet - Standardized!R18C22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8" s="3"/>
      </tp>
      <tp>
        <v>0</v>
        <stp/>
        <stp>##V3_BDHV12</stp>
        <stp>AMZN US Equity</stp>
        <stp>OTHER_CURRENT_ASSETS_DETAILED</stp>
        <stp>FQ3 2014</stp>
        <stp>FQ3 2014</stp>
        <stp>[AMZ_2009-2018.xlsx]Bal Sheet - Standardized!R18C25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8" s="3"/>
      </tp>
      <tp>
        <v>196</v>
        <stp/>
        <stp>##V3_BDHV12</stp>
        <stp>AMZN US Equity</stp>
        <stp>OTHER_CURRENT_ASSETS_DETAILED</stp>
        <stp>FQ4 2010</stp>
        <stp>FQ4 2010</stp>
        <stp>[AMZ_2009-2018.xlsx]Bal Sheet - Standardized!R18C10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8" s="3"/>
      </tp>
      <tp>
        <v>0</v>
        <stp/>
        <stp>##V3_BDHV12</stp>
        <stp>AMZN US Equity</stp>
        <stp>OTHER_CURRENT_ASSETS_DETAILED</stp>
        <stp>FQ1 2017</stp>
        <stp>FQ1 2017</stp>
        <stp>[AMZ_2009-2018.xlsx]Bal Sheet - Standardized!R18C35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8" s="3"/>
      </tp>
      <tp>
        <v>11.879899999999999</v>
        <stp/>
        <stp>##V3_BDHV12</stp>
        <stp>AMZN US Equity</stp>
        <stp>NET_DEBT_TO_SHRHLDR_EQTY</stp>
        <stp>FQ1 2016</stp>
        <stp>FQ1 2016</stp>
        <stp>[AMZ_2009-2018.xlsx]Bal Sheet - Standardized!R84C31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84" s="3"/>
      </tp>
      <tp>
        <v>-45.846200000000003</v>
        <stp/>
        <stp>##V3_BDHV12</stp>
        <stp>AMZN US Equity</stp>
        <stp>NET_DEBT_TO_SHRHLDR_EQTY</stp>
        <stp>FQ1 2014</stp>
        <stp>FQ1 2014</stp>
        <stp>[AMZ_2009-2018.xlsx]Bal Sheet - Standardized!R84C23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84" s="3"/>
      </tp>
      <tp>
        <v>-78.599900000000005</v>
        <stp/>
        <stp>##V3_BDHV12</stp>
        <stp>AMZN US Equity</stp>
        <stp>NET_DEBT_TO_SHRHLDR_EQTY</stp>
        <stp>FQ1 2012</stp>
        <stp>FQ1 2012</stp>
        <stp>[AMZ_2009-2018.xlsx]Bal Sheet - Standardized!R84C15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84" s="3"/>
      </tp>
      <tp>
        <v>1170.51</v>
        <stp/>
        <stp>##V3_BDHV12</stp>
        <stp>AMZN US Equity</stp>
        <stp>PX_LOW</stp>
        <stp>FQ1 2018</stp>
        <stp>FQ1 2018</stp>
        <stp>[AMZ_2009-2018.xlsx]Stock Value!R10C39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10" s="6"/>
      </tp>
      <tp>
        <v>9488</v>
        <stp/>
        <stp>##V3_BDHV12</stp>
        <stp>AMZN US Equity</stp>
        <stp>IS_COGS_TO_FE_AND_PP_AND_G</stp>
        <stp>FQ2 2012</stp>
        <stp>FQ2 2012</stp>
        <stp>[AMZ_2009-2018.xlsx]Income - Adjusted!R8C16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8" s="2"/>
      </tp>
      <tp>
        <v>19180</v>
        <stp/>
        <stp>##V3_BDHV12</stp>
        <stp>AMZN US Equity</stp>
        <stp>IS_COGS_TO_FE_AND_PP_AND_G</stp>
        <stp>FQ2 2016</stp>
        <stp>FQ2 2016</stp>
        <stp>[AMZ_2009-2018.xlsx]Income - Adjusted!R8C32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8" s="2"/>
      </tp>
      <tp>
        <v>292</v>
        <stp/>
        <stp>##V3_BDHV12</stp>
        <stp>AMZN US Equity</stp>
        <stp>PRETAX_INC</stp>
        <stp>FQ3 2010</stp>
        <stp>FQ3 2010</stp>
        <stp>[AMZ_2009-2018.xlsx]Income - Adjusted!R25C9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5" s="2"/>
      </tp>
      <tp>
        <v>15</v>
        <stp/>
        <stp>##V3_BDHV12</stp>
        <stp>AMZN US Equity</stp>
        <stp>CF_NET_CASH_PAID_FOR_AQUIS</stp>
        <stp>FQ1 2009</stp>
        <stp>FQ1 2009</stp>
        <stp>[AMZ_2009-2018.xlsx]Cash Flow - Standardized!R63C3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3" s="4"/>
      </tp>
      <tp>
        <v>384.29500000000002</v>
        <stp/>
        <stp>##V3_BDHV12</stp>
        <stp>AMZN US Equity</stp>
        <stp>EQY_FLOAT</stp>
        <stp>FQ3 2015</stp>
        <stp>FQ3 2015</stp>
        <stp>[AMZ_2009-2018.xlsx]Stock Value!R14C29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14" s="6"/>
      </tp>
      <tp>
        <v>381.23599999999999</v>
        <stp/>
        <stp>##V3_BDHV12</stp>
        <stp>AMZN US Equity</stp>
        <stp>EQY_FLOAT</stp>
        <stp>FQ2 2015</stp>
        <stp>FQ2 2015</stp>
        <stp>[AMZ_2009-2018.xlsx]Stock Value!R14C28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14" s="6"/>
      </tp>
      <tp t="s">
        <v>—</v>
        <stp/>
        <stp>##V3_BDHV12</stp>
        <stp>AMZN US Equity</stp>
        <stp>ST_CAPITAL_LEASE_OBLIGATIONS</stp>
        <stp>FQ1 2012</stp>
        <stp>FQ1 2012</stp>
        <stp>[AMZ_2009-2018.xlsx]Bal Sheet - Standardized!R45C15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5" s="3"/>
      </tp>
      <tp>
        <v>3126</v>
        <stp/>
        <stp>##V3_BDHV12</stp>
        <stp>AMZN US Equity</stp>
        <stp>ST_CAPITAL_LEASE_OBLIGATIONS</stp>
        <stp>FQ4 2015</stp>
        <stp>FQ4 2015</stp>
        <stp>[AMZ_2009-2018.xlsx]Bal Sheet - Standardized!R45C30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5" s="3"/>
      </tp>
      <tp t="s">
        <v>—</v>
        <stp/>
        <stp>##V3_BDHV12</stp>
        <stp>AMZN US Equity</stp>
        <stp>ST_CAPITAL_LEASE_OBLIGATIONS</stp>
        <stp>FQ3 2013</stp>
        <stp>FQ3 2013</stp>
        <stp>[AMZ_2009-2018.xlsx]Bal Sheet - Standardized!R45C21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5" s="3"/>
      </tp>
      <tp>
        <v>2080</v>
        <stp/>
        <stp>##V3_BDHV12</stp>
        <stp>AMZN US Equity</stp>
        <stp>ST_CAPITAL_LEASE_OBLIGATIONS</stp>
        <stp>FQ4 2014</stp>
        <stp>FQ4 2014</stp>
        <stp>[AMZ_2009-2018.xlsx]Bal Sheet - Standardized!R45C26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5" s="3"/>
      </tp>
      <tp t="s">
        <v>—</v>
        <stp/>
        <stp>##V3_BDHV12</stp>
        <stp>AMZN US Equity</stp>
        <stp>ST_CAPITAL_LEASE_OBLIGATIONS</stp>
        <stp>FQ2 2011</stp>
        <stp>FQ2 2011</stp>
        <stp>[AMZ_2009-2018.xlsx]Bal Sheet - Standardized!R45C12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5" s="3"/>
      </tp>
      <tp>
        <v>10873</v>
        <stp/>
        <stp>##V3_BDHV12</stp>
        <stp>AMZN US Equity</stp>
        <stp>TOTAL_EQUITY</stp>
        <stp>FQ1 2015</stp>
        <stp>FQ1 2015</stp>
        <stp>[AMZ_2009-2018.xlsx]Bal Sheet - Standardized!R73C27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3" s="3"/>
      </tp>
      <tp>
        <v>0</v>
        <stp/>
        <stp>##V3_BDHV12</stp>
        <stp>AMZN US Equity</stp>
        <stp>CF_DVD_PAID</stp>
        <stp>FQ2 2016</stp>
        <stp>FQ2 2016</stp>
        <stp>[AMZ_2009-2018.xlsx]Cash Flow - Standardized!R41C32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1" s="4"/>
      </tp>
      <tp>
        <v>0</v>
        <stp/>
        <stp>##V3_BDHV12</stp>
        <stp>AMZN US Equity</stp>
        <stp>CF_DVD_PAID</stp>
        <stp>FQ1 2014</stp>
        <stp>FQ1 2014</stp>
        <stp>[AMZ_2009-2018.xlsx]Cash Flow - Standardized!R41C23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1" s="4"/>
      </tp>
      <tp>
        <v>59</v>
        <stp/>
        <stp>##V3_BDHV12</stp>
        <stp>AMZN US Equity</stp>
        <stp>BS_ST_BORROW</stp>
        <stp>FQ1 2009</stp>
        <stp>FQ1 2009</stp>
        <stp>[AMZ_2009-2018.xlsx]Bal Sheet - Standardized!R43C3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3" s="3"/>
      </tp>
      <tp>
        <v>23214</v>
        <stp/>
        <stp>##V3_BDHV12</stp>
        <stp>AMZN US Equity</stp>
        <stp>TOTAL_EQUITY</stp>
        <stp>FQ2 2017</stp>
        <stp>FQ2 2017</stp>
        <stp>[AMZ_2009-2018.xlsx]Bal Sheet - Standardized!R73C36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3" s="3"/>
      </tp>
      <tp>
        <v>0</v>
        <stp/>
        <stp>##V3_BDHV12</stp>
        <stp>AMZN US Equity</stp>
        <stp>CF_DVD_PAID</stp>
        <stp>FQ3 2017</stp>
        <stp>FQ3 2017</stp>
        <stp>[AMZ_2009-2018.xlsx]Cash Flow - Standardized!R41C37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1" s="4"/>
      </tp>
      <tp>
        <v>17782</v>
        <stp/>
        <stp>##V3_BDHV12</stp>
        <stp>AMZN US Equity</stp>
        <stp>TOTAL_EQUITY</stp>
        <stp>FQ3 2016</stp>
        <stp>FQ3 2016</stp>
        <stp>[AMZ_2009-2018.xlsx]Bal Sheet - Standardized!R73C33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3" s="3"/>
      </tp>
      <tp>
        <v>46854</v>
        <stp/>
        <stp>##V3_BDHV12</stp>
        <stp>AMZN US Equity</stp>
        <stp>NON_CUR_LIAB</stp>
        <stp>FQ1 2018</stp>
        <stp>FQ1 2018</stp>
        <stp>[AMZ_2009-2018.xlsx]Bal Sheet - Standardized!R62C39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2" s="3"/>
      </tp>
      <tp t="s">
        <v>—</v>
        <stp/>
        <stp>##V3_BDHV12</stp>
        <stp>AMZN US Equity</stp>
        <stp>BS_OTHER_INV</stp>
        <stp>FQ1 2012</stp>
        <stp>FQ1 2012</stp>
        <stp>[AMZ_2009-2018.xlsx]Bal Sheet - Standardized!R17C15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7" s="3"/>
      </tp>
      <tp t="s">
        <v>—</v>
        <stp/>
        <stp>##V3_BDHV12</stp>
        <stp>AMZN US Equity</stp>
        <stp>BS_OTHER_INV</stp>
        <stp>FQ4 2015</stp>
        <stp>FQ4 2015</stp>
        <stp>[AMZ_2009-2018.xlsx]Bal Sheet - Standardized!R17C30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7" s="3"/>
      </tp>
      <tp>
        <v>5857</v>
        <stp/>
        <stp>##V3_BDHV12</stp>
        <stp>AMZN US Equity</stp>
        <stp>TOTAL_EQUITY</stp>
        <stp>FQ2 2010</stp>
        <stp>FQ2 2010</stp>
        <stp>[AMZ_2009-2018.xlsx]Bal Sheet - Standardized!R73C8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3" s="3"/>
      </tp>
      <tp t="s">
        <v>—</v>
        <stp/>
        <stp>##V3_BDHV12</stp>
        <stp>AMZN US Equity</stp>
        <stp>BS_OTHER_INV</stp>
        <stp>FQ2 2011</stp>
        <stp>FQ2 2011</stp>
        <stp>[AMZ_2009-2018.xlsx]Bal Sheet - Standardized!R17C12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7" s="3"/>
      </tp>
      <tp t="s">
        <v>—</v>
        <stp/>
        <stp>##V3_BDHV12</stp>
        <stp>AMZN US Equity</stp>
        <stp>BS_OTHER_INV</stp>
        <stp>FQ4 2014</stp>
        <stp>FQ4 2014</stp>
        <stp>[AMZ_2009-2018.xlsx]Bal Sheet - Standardized!R17C26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7" s="3"/>
      </tp>
      <tp t="s">
        <v>—</v>
        <stp/>
        <stp>##V3_BDHV12</stp>
        <stp>AMZN US Equity</stp>
        <stp>BS_OTHER_INV</stp>
        <stp>FQ3 2013</stp>
        <stp>FQ3 2013</stp>
        <stp>[AMZ_2009-2018.xlsx]Bal Sheet - Standardized!R17C21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7" s="3"/>
      </tp>
      <tp>
        <v>0</v>
        <stp/>
        <stp>##V3_BDHV12</stp>
        <stp>AMZN US Equity</stp>
        <stp>CF_DVD_PAID</stp>
        <stp>FQ4 2012</stp>
        <stp>FQ4 2012</stp>
        <stp>[AMZ_2009-2018.xlsx]Cash Flow - Standardized!R41C18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1" s="4"/>
      </tp>
      <tp t="s">
        <v>—</v>
        <stp/>
        <stp>##V3_BDHV12</stp>
        <stp>AMZN US Equity</stp>
        <stp>BS_OTHER_INV</stp>
        <stp>FQ1 2009</stp>
        <stp>FQ1 2009</stp>
        <stp>[AMZ_2009-2018.xlsx]Bal Sheet - Standardized!R17C3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3"/>
      </tp>
      <tp>
        <v>3585</v>
        <stp/>
        <stp>##V3_BDHV12</stp>
        <stp>AMZN US Equity</stp>
        <stp>TOTAL_EQUITY</stp>
        <stp>FQ3 2009</stp>
        <stp>FQ3 2009</stp>
        <stp>[AMZ_2009-2018.xlsx]Bal Sheet - Standardized!R73C5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3" s="3"/>
      </tp>
      <tp>
        <v>17.443000000000001</v>
        <stp/>
        <stp>##V3_BDHV12</stp>
        <stp>AMZN US Equity</stp>
        <stp>CHG_PCT_PERIOD</stp>
        <stp>FQ2 2018</stp>
        <stp>FQ2 2018</stp>
        <stp>[AMZ_2009-2018.xlsx]Stock Value!R7C40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7" s="6"/>
      </tp>
      <tp t="s">
        <v>—</v>
        <stp/>
        <stp>##V3_BDHV12</stp>
        <stp>AMZN US Equity</stp>
        <stp>CHG_PCT_PERIOD</stp>
        <stp>FQ3 2013</stp>
        <stp>FQ3 2013</stp>
        <stp>[AMZ_2009-2018.xlsx]Stock Value!R7C21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7" s="6"/>
      </tp>
      <tp>
        <v>-3.7495000000000003</v>
        <stp/>
        <stp>##V3_BDHV12</stp>
        <stp>AMZN US Equity</stp>
        <stp>CHG_PCT_PERIOD</stp>
        <stp>FQ4 2014</stp>
        <stp>FQ4 2014</stp>
        <stp>[AMZ_2009-2018.xlsx]Stock Value!R7C26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7" s="6"/>
      </tp>
      <tp t="s">
        <v>—</v>
        <stp/>
        <stp>##V3_BDHV12</stp>
        <stp>AMZN US Equity</stp>
        <stp>CHG_PCT_PERIOD</stp>
        <stp>FQ2 2013</stp>
        <stp>FQ2 2013</stp>
        <stp>[AMZ_2009-2018.xlsx]Stock Value!R7C20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7" s="6"/>
      </tp>
      <tp>
        <v>799</v>
        <stp/>
        <stp>##V3_BDHV12</stp>
        <stp>AMZN US Equity</stp>
        <stp>CF_CASH_FROM_OPER</stp>
        <stp>FQ3 2009</stp>
        <stp>FQ3 2009</stp>
        <stp>[AMZ_2009-2018.xlsx]Cash Flow - Standardized!R19C5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9" s="4"/>
      </tp>
      <tp>
        <v>-15.653600000000001</v>
        <stp/>
        <stp>##V3_BDHV12</stp>
        <stp>AMZN US Equity</stp>
        <stp>CHG_PCT_PERIOD</stp>
        <stp>FQ1 2014</stp>
        <stp>FQ1 2014</stp>
        <stp>[AMZ_2009-2018.xlsx]Stock Value!R7C23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7" s="6"/>
      </tp>
      <tp>
        <v>250</v>
        <stp/>
        <stp>##V3_BDHV12</stp>
        <stp>AMZN US Equity</stp>
        <stp>CF_CASH_FROM_OPER</stp>
        <stp>FQ2 2010</stp>
        <stp>FQ2 2010</stp>
        <stp>[AMZ_2009-2018.xlsx]Cash Flow - Standardized!R19C8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9" s="4"/>
      </tp>
      <tp>
        <v>-87.041700000000006</v>
        <stp/>
        <stp>##V3_BDHV12</stp>
        <stp>AMZN US Equity</stp>
        <stp>NET_DEBT_TO_SHRHLDR_EQTY</stp>
        <stp>FQ1 2010</stp>
        <stp>FQ1 2010</stp>
        <stp>[AMZ_2009-2018.xlsx]Bal Sheet - Standardized!R84C7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84" s="3"/>
      </tp>
      <tp>
        <v>71.709999999999994</v>
        <stp/>
        <stp>##V3_BDHV12</stp>
        <stp>AMZN US Equity</stp>
        <stp>PX_LOW</stp>
        <stp>FQ2 2009</stp>
        <stp>FQ2 2009</stp>
        <stp>[AMZ_2009-2018.xlsx]Stock Value!R10C4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10" s="6"/>
      </tp>
      <tp>
        <v>75.41</v>
        <stp/>
        <stp>##V3_BDHV12</stp>
        <stp>AMZN US Equity</stp>
        <stp>PX_LOW</stp>
        <stp>FQ3 2009</stp>
        <stp>FQ3 2009</stp>
        <stp>[AMZ_2009-2018.xlsx]Stock Value!R10C5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10" s="6"/>
      </tp>
      <tp>
        <v>0</v>
        <stp/>
        <stp>##V3_BDHV12</stp>
        <stp>AMZN US Equity</stp>
        <stp>CF_ACQUISITION_OF_INTANG_ASSETS</stp>
        <stp>FQ1 2009</stp>
        <stp>FQ1 2009</stp>
        <stp>[AMZ_2009-2018.xlsx]Cash Flow - Standardized!R28C3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4"/>
      </tp>
      <tp>
        <v>453</v>
        <stp/>
        <stp>##V3_BDHV12</stp>
        <stp>AMZN US Equity</stp>
        <stp>IS_AVG_NUM_SH_FOR_EPS</stp>
        <stp>FQ1 2012</stp>
        <stp>FQ1 2012</stp>
        <stp>[AMZ_2009-2018.xlsx]Income - Adjusted!R49C15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49" s="2"/>
      </tp>
      <tp>
        <v>477</v>
        <stp/>
        <stp>##V3_BDHV12</stp>
        <stp>AMZN US Equity</stp>
        <stp>IS_AVG_NUM_SH_FOR_EPS</stp>
        <stp>FQ1 2017</stp>
        <stp>FQ1 2017</stp>
        <stp>[AMZ_2009-2018.xlsx]Income - Adjusted!R49C35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49" s="2"/>
      </tp>
      <tp t="s">
        <v>—</v>
        <stp/>
        <stp>##V3_BDHV12</stp>
        <stp>AMZN US Equity</stp>
        <stp>INVTRY_FINISHED_GOODS</stp>
        <stp>FQ2 2016</stp>
        <stp>FQ2 2016</stp>
        <stp>[AMZ_2009-2018.xlsx]Bal Sheet - Standardized!R16C32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6" s="3"/>
      </tp>
      <tp>
        <v>7694</v>
        <stp/>
        <stp>##V3_BDHV12</stp>
        <stp>AMZN US Equity</stp>
        <stp>LONG_TERM_BORROWINGS_DETAILED</stp>
        <stp>FQ4 2016</stp>
        <stp>FQ4 2016</stp>
        <stp>[AMZ_2009-2018.xlsx]Bal Sheet - Standardized!R53C34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3" s="3"/>
      </tp>
      <tp>
        <v>463</v>
        <stp/>
        <stp>##V3_BDHV12</stp>
        <stp>AMZN US Equity</stp>
        <stp>IS_AVG_NUM_SH_FOR_EPS</stp>
        <stp>FQ3 2014</stp>
        <stp>FQ3 2014</stp>
        <stp>[AMZ_2009-2018.xlsx]Income - Adjusted!R49C25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49" s="2"/>
      </tp>
      <tp t="s">
        <v>—</v>
        <stp/>
        <stp>##V3_BDHV12</stp>
        <stp>AMZN US Equity</stp>
        <stp>INVTRY_FINISHED_GOODS</stp>
        <stp>FQ1 2014</stp>
        <stp>FQ1 2014</stp>
        <stp>[AMZ_2009-2018.xlsx]Bal Sheet - Standardized!R16C23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6" s="3"/>
      </tp>
      <tp>
        <v>0</v>
        <stp/>
        <stp>##V3_BDHV12</stp>
        <stp>AMZN US Equity</stp>
        <stp>LONG_TERM_BORROWINGS_DETAILED</stp>
        <stp>FQ1 2011</stp>
        <stp>FQ1 2011</stp>
        <stp>[AMZ_2009-2018.xlsx]Bal Sheet - Standardized!R53C11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3" s="3"/>
      </tp>
      <tp>
        <v>460</v>
        <stp/>
        <stp>##V3_BDHV12</stp>
        <stp>AMZN US Equity</stp>
        <stp>IS_SH_FOR_DILUTED_EPS</stp>
        <stp>FQ3 2012</stp>
        <stp>FQ3 2012</stp>
        <stp>[AMZ_2009-2018.xlsx]Income - Adjusted!R54C17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54" s="2"/>
      </tp>
      <tp>
        <v>494</v>
        <stp/>
        <stp>##V3_BDHV12</stp>
        <stp>AMZN US Equity</stp>
        <stp>IS_SH_FOR_DILUTED_EPS</stp>
        <stp>FQ3 2017</stp>
        <stp>FQ3 2017</stp>
        <stp>[AMZ_2009-2018.xlsx]Income - Adjusted!R54C37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54" s="2"/>
      </tp>
      <tp t="s">
        <v>—</v>
        <stp/>
        <stp>##V3_BDHV12</stp>
        <stp>AMZN US Equity</stp>
        <stp>INVTRY_FINISHED_GOODS</stp>
        <stp>FQ3 2017</stp>
        <stp>FQ3 2017</stp>
        <stp>[AMZ_2009-2018.xlsx]Bal Sheet - Standardized!R16C37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6" s="3"/>
      </tp>
      <tp>
        <v>465</v>
        <stp/>
        <stp>##V3_BDHV12</stp>
        <stp>AMZN US Equity</stp>
        <stp>IS_SH_FOR_DILUTED_EPS</stp>
        <stp>FQ1 2015</stp>
        <stp>FQ1 2015</stp>
        <stp>[AMZ_2009-2018.xlsx]Income - Adjusted!R54C27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54" s="2"/>
      </tp>
      <tp t="s">
        <v>—</v>
        <stp/>
        <stp>##V3_BDHV12</stp>
        <stp>AMZN US Equity</stp>
        <stp>BS_ACCUM_DEPR</stp>
        <stp>FQ3 2012</stp>
        <stp>FQ3 2012</stp>
        <stp>[AMZ_2009-2018.xlsx]Bal Sheet - Standardized!R25C17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5" s="3"/>
      </tp>
      <tp>
        <v>0</v>
        <stp/>
        <stp>##V3_BDHV12</stp>
        <stp>AMZN US Equity</stp>
        <stp>LONG_TERM_BORROWINGS_DETAILED</stp>
        <stp>FQ2 2012</stp>
        <stp>FQ2 2012</stp>
        <stp>[AMZ_2009-2018.xlsx]Bal Sheet - Standardized!R53C16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3" s="3"/>
      </tp>
      <tp>
        <v>19707</v>
        <stp/>
        <stp>##V3_BDHV12</stp>
        <stp>AMZN US Equity</stp>
        <stp>BS_ACCUM_DEPR</stp>
        <stp>FQ4 2017</stp>
        <stp>FQ4 2017</stp>
        <stp>[AMZ_2009-2018.xlsx]Bal Sheet - Standardized!R25C38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5" s="3"/>
      </tp>
      <tp t="s">
        <v>—</v>
        <stp/>
        <stp>##V3_BDHV12</stp>
        <stp>AMZN US Equity</stp>
        <stp>INVTRY_FINISHED_GOODS</stp>
        <stp>FQ4 2012</stp>
        <stp>FQ4 2012</stp>
        <stp>[AMZ_2009-2018.xlsx]Bal Sheet - Standardized!R16C18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6" s="3"/>
      </tp>
      <tp>
        <v>17</v>
        <stp/>
        <stp>##V3_BDHV12</stp>
        <stp>AMZN US Equity</stp>
        <stp>BS_NUM_OF_TSY_SH</stp>
        <stp>FQ4 2010</stp>
        <stp>FQ4 2010</stp>
        <stp>[AMZ_2009-2018.xlsx]Bal Sheet - Standardized!R79C10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79" s="3"/>
      </tp>
      <tp>
        <v>24</v>
        <stp/>
        <stp>##V3_BDHV12</stp>
        <stp>AMZN US Equity</stp>
        <stp>BS_NUM_OF_TSY_SH</stp>
        <stp>FQ2 2014</stp>
        <stp>FQ2 2014</stp>
        <stp>[AMZ_2009-2018.xlsx]Bal Sheet - Standardized!R79C24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79" s="3"/>
      </tp>
      <tp>
        <v>23</v>
        <stp/>
        <stp>##V3_BDHV12</stp>
        <stp>AMZN US Equity</stp>
        <stp>BS_NUM_OF_TSY_SH</stp>
        <stp>FQ3 2017</stp>
        <stp>FQ3 2017</stp>
        <stp>[AMZ_2009-2018.xlsx]Bal Sheet - Standardized!R79C37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79" s="3"/>
      </tp>
      <tp>
        <v>17</v>
        <stp/>
        <stp>##V3_BDHV12</stp>
        <stp>AMZN US Equity</stp>
        <stp>BS_NUM_OF_TSY_SH</stp>
        <stp>FQ1 2011</stp>
        <stp>FQ1 2011</stp>
        <stp>[AMZ_2009-2018.xlsx]Bal Sheet - Standardized!R79C11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79" s="3"/>
      </tp>
      <tp>
        <v>19</v>
        <stp/>
        <stp>##V3_BDHV12</stp>
        <stp>AMZN US Equity</stp>
        <stp>CF_NET_CASH_PAID_FOR_AQUIS</stp>
        <stp>FQ1 2010</stp>
        <stp>FQ1 2010</stp>
        <stp>[AMZ_2009-2018.xlsx]Cash Flow - Standardized!R63C7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3" s="4"/>
      </tp>
      <tp>
        <v>10144</v>
        <stp/>
        <stp>##V3_BDHV12</stp>
        <stp>AMZN US Equity</stp>
        <stp>BS_ACCRUAL</stp>
        <stp>FQ1 2018</stp>
        <stp>FQ1 2018</stp>
        <stp>[AMZ_2009-2018.xlsx]Bal Sheet - Standardized!R42C39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2" s="3"/>
      </tp>
      <tp>
        <v>365.12299999999999</v>
        <stp/>
        <stp>##V3_BDHV12</stp>
        <stp>AMZN US Equity</stp>
        <stp>EQY_FLOAT</stp>
        <stp>FQ4 2012</stp>
        <stp>FQ4 2012</stp>
        <stp>[AMZ_2009-2018.xlsx]Stock Value!R14C18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14" s="6"/>
      </tp>
      <tp t="s">
        <v>—</v>
        <stp/>
        <stp>##V3_BDHV12</stp>
        <stp>AMZN US Equity</stp>
        <stp>ST_CAPITAL_LEASE_OBLIGATIONS</stp>
        <stp>FQ3 2011</stp>
        <stp>FQ3 2011</stp>
        <stp>[AMZ_2009-2018.xlsx]Bal Sheet - Standardized!R45C13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5" s="3"/>
      </tp>
      <tp>
        <v>99105</v>
        <stp/>
        <stp>##V3_BDHV12</stp>
        <stp>AMZN US Equity</stp>
        <stp>BS_TOT_LIAB2</stp>
        <stp>FQ2 2018</stp>
        <stp>FQ2 2018</stp>
        <stp>[AMZ_2009-2018.xlsx]Bal Sheet - Standardized!R63C40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3" s="3"/>
      </tp>
      <tp t="s">
        <v>—</v>
        <stp/>
        <stp>##V3_BDHV12</stp>
        <stp>AMZN US Equity</stp>
        <stp>ST_CAPITAL_LEASE_OBLIGATIONS</stp>
        <stp>FQ2 2013</stp>
        <stp>FQ2 2013</stp>
        <stp>[AMZ_2009-2018.xlsx]Bal Sheet - Standardized!R45C20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5" s="3"/>
      </tp>
      <tp>
        <v>0</v>
        <stp/>
        <stp>##V3_BDHV12</stp>
        <stp>AMZN US Equity</stp>
        <stp>BS_LT_INVEST</stp>
        <stp>FQ1 2018</stp>
        <stp>FQ1 2018</stp>
        <stp>[AMZ_2009-2018.xlsx]Bal Sheet - Standardized!R26C39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6" s="3"/>
      </tp>
      <tp t="s">
        <v>—</v>
        <stp/>
        <stp>##V3_BDHV12</stp>
        <stp>AMZN US Equity</stp>
        <stp>ST_CAPITAL_LEASE_OBLIGATIONS</stp>
        <stp>FQ1 2013</stp>
        <stp>FQ1 2013</stp>
        <stp>[AMZ_2009-2018.xlsx]Bal Sheet - Standardized!R45C19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5" s="3"/>
      </tp>
      <tp>
        <v>79619</v>
        <stp/>
        <stp>##V3_BDHV12</stp>
        <stp>AMZN US Equity</stp>
        <stp>BS_TOT_NON_CUR_ASSET</stp>
        <stp>FQ2 2018</stp>
        <stp>FQ2 2018</stp>
        <stp>[AMZ_2009-2018.xlsx]Bal Sheet - Standardized!R34C40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4" s="3"/>
      </tp>
      <tp>
        <v>0</v>
        <stp/>
        <stp>##V3_BDHV12</stp>
        <stp>AMZN US Equity</stp>
        <stp>CF_DVD_PAID</stp>
        <stp>FQ3 2016</stp>
        <stp>FQ3 2016</stp>
        <stp>[AMZ_2009-2018.xlsx]Cash Flow - Standardized!R41C33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1" s="4"/>
      </tp>
      <tp>
        <v>24658</v>
        <stp/>
        <stp>##V3_BDHV12</stp>
        <stp>AMZN US Equity</stp>
        <stp>TOTAL_EQUITY</stp>
        <stp>FQ3 2017</stp>
        <stp>FQ3 2017</stp>
        <stp>[AMZ_2009-2018.xlsx]Bal Sheet - Standardized!R73C37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3" s="3"/>
      </tp>
      <tp t="s">
        <v>—</v>
        <stp/>
        <stp>##V3_BDHV12</stp>
        <stp>AMZN US Equity</stp>
        <stp>BS_OTHER_INV</stp>
        <stp>FQ1 2010</stp>
        <stp>FQ1 2010</stp>
        <stp>[AMZ_2009-2018.xlsx]Bal Sheet - Standardized!R17C7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7" s="3"/>
      </tp>
      <tp>
        <v>0</v>
        <stp/>
        <stp>##V3_BDHV12</stp>
        <stp>AMZN US Equity</stp>
        <stp>CF_DVD_PAID</stp>
        <stp>FQ2 2017</stp>
        <stp>FQ2 2017</stp>
        <stp>[AMZ_2009-2018.xlsx]Cash Flow - Standardized!R41C36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1" s="4"/>
      </tp>
      <tp t="s">
        <v>—</v>
        <stp/>
        <stp>##V3_BDHV12</stp>
        <stp>AMZN US Equity</stp>
        <stp>BS_OTHER_INV</stp>
        <stp>FQ1 2013</stp>
        <stp>FQ1 2013</stp>
        <stp>[AMZ_2009-2018.xlsx]Bal Sheet - Standardized!R17C19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7" s="3"/>
      </tp>
      <tp>
        <v>10328</v>
        <stp/>
        <stp>##V3_BDHV12</stp>
        <stp>AMZN US Equity</stp>
        <stp>TOTAL_EQUITY</stp>
        <stp>FQ1 2014</stp>
        <stp>FQ1 2014</stp>
        <stp>[AMZ_2009-2018.xlsx]Bal Sheet - Standardized!R73C23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3" s="3"/>
      </tp>
      <tp>
        <v>16538</v>
        <stp/>
        <stp>##V3_BDHV12</stp>
        <stp>AMZN US Equity</stp>
        <stp>TOTAL_EQUITY</stp>
        <stp>FQ2 2016</stp>
        <stp>FQ2 2016</stp>
        <stp>[AMZ_2009-2018.xlsx]Bal Sheet - Standardized!R73C32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3" s="3"/>
      </tp>
      <tp>
        <v>0</v>
        <stp/>
        <stp>##V3_BDHV12</stp>
        <stp>AMZN US Equity</stp>
        <stp>CF_DVD_PAID</stp>
        <stp>FQ1 2015</stp>
        <stp>FQ1 2015</stp>
        <stp>[AMZ_2009-2018.xlsx]Cash Flow - Standardized!R41C27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1" s="4"/>
      </tp>
      <tp>
        <v>8192</v>
        <stp/>
        <stp>##V3_BDHV12</stp>
        <stp>AMZN US Equity</stp>
        <stp>TOTAL_EQUITY</stp>
        <stp>FQ4 2012</stp>
        <stp>FQ4 2012</stp>
        <stp>[AMZ_2009-2018.xlsx]Bal Sheet - Standardized!R73C18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3" s="3"/>
      </tp>
      <tp>
        <v>6397</v>
        <stp/>
        <stp>##V3_BDHV12</stp>
        <stp>AMZN US Equity</stp>
        <stp>TOTAL_EQUITY</stp>
        <stp>FQ3 2010</stp>
        <stp>FQ3 2010</stp>
        <stp>[AMZ_2009-2018.xlsx]Bal Sheet - Standardized!R73C9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3" s="3"/>
      </tp>
      <tp t="s">
        <v>—</v>
        <stp/>
        <stp>##V3_BDHV12</stp>
        <stp>AMZN US Equity</stp>
        <stp>BS_OTHER_INV</stp>
        <stp>FQ2 2013</stp>
        <stp>FQ2 2013</stp>
        <stp>[AMZ_2009-2018.xlsx]Bal Sheet - Standardized!R17C20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7" s="3"/>
      </tp>
      <tp t="s">
        <v>—</v>
        <stp/>
        <stp>##V3_BDHV12</stp>
        <stp>AMZN US Equity</stp>
        <stp>BS_OTHER_INV</stp>
        <stp>FQ3 2011</stp>
        <stp>FQ3 2011</stp>
        <stp>[AMZ_2009-2018.xlsx]Bal Sheet - Standardized!R17C13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7" s="3"/>
      </tp>
      <tp>
        <v>6951</v>
        <stp/>
        <stp>##V3_BDHV12</stp>
        <stp>AMZN US Equity</stp>
        <stp>BS_ST_BORROW</stp>
        <stp>FQ2 2018</stp>
        <stp>FQ2 2018</stp>
        <stp>[AMZ_2009-2018.xlsx]Bal Sheet - Standardized!R43C40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3" s="3"/>
      </tp>
      <tp>
        <v>42</v>
        <stp/>
        <stp>##V3_BDHV12</stp>
        <stp>AMZN US Equity</stp>
        <stp>BS_ST_BORROW</stp>
        <stp>FQ1 2010</stp>
        <stp>FQ1 2010</stp>
        <stp>[AMZ_2009-2018.xlsx]Bal Sheet - Standardized!R43C7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3" s="3"/>
      </tp>
      <tp>
        <v>38838</v>
        <stp/>
        <stp>##V3_BDHV12</stp>
        <stp>AMZN US Equity</stp>
        <stp>BS_LT_BORROW</stp>
        <stp>FQ2 2018</stp>
        <stp>FQ2 2018</stp>
        <stp>[AMZ_2009-2018.xlsx]Bal Sheet - Standardized!R52C40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2" s="3"/>
      </tp>
      <tp>
        <v>3256</v>
        <stp/>
        <stp>##V3_BDHV12</stp>
        <stp>AMZN US Equity</stp>
        <stp>TOTAL_EQUITY</stp>
        <stp>FQ2 2009</stp>
        <stp>FQ2 2009</stp>
        <stp>[AMZ_2009-2018.xlsx]Bal Sheet - Standardized!R73C4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3" s="3"/>
      </tp>
      <tp>
        <v>468</v>
        <stp/>
        <stp>##V3_BDHV12</stp>
        <stp>AMZN US Equity</stp>
        <stp>CF_CASH_FROM_OPER</stp>
        <stp>FQ2 2009</stp>
        <stp>FQ2 2009</stp>
        <stp>[AMZ_2009-2018.xlsx]Cash Flow - Standardized!R19C4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9" s="4"/>
      </tp>
      <tp>
        <v>855</v>
        <stp/>
        <stp>##V3_BDHV12</stp>
        <stp>AMZN US Equity</stp>
        <stp>CF_CASH_FROM_OPER</stp>
        <stp>FQ3 2010</stp>
        <stp>FQ3 2010</stp>
        <stp>[AMZ_2009-2018.xlsx]Cash Flow - Standardized!R19C9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9" s="4"/>
      </tp>
      <tp>
        <v>113.82</v>
        <stp/>
        <stp>##V3_BDHV12</stp>
        <stp>AMZN US Equity</stp>
        <stp>PX_LOW</stp>
        <stp>FQ1 2010</stp>
        <stp>FQ1 2010</stp>
        <stp>[AMZ_2009-2018.xlsx]Stock Value!R10C7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10" s="6"/>
      </tp>
      <tp t="s">
        <v>—</v>
        <stp/>
        <stp>##V3_BDHV12</stp>
        <stp>AMZN US Equity</stp>
        <stp>IS_LEGAL_LITIGATION_SETTLEMENT</stp>
        <stp>FQ1 2018</stp>
        <stp>FQ1 2018</stp>
        <stp>[AMZ_2009-2018.xlsx]Income - Adjusted!R28C39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8" s="2"/>
      </tp>
      <tp>
        <v>0</v>
        <stp/>
        <stp>##V3_BDHV12</stp>
        <stp>AMZN US Equity</stp>
        <stp>CF_ACQUISITION_OF_INTANG_ASSETS</stp>
        <stp>FQ1 2010</stp>
        <stp>FQ1 2010</stp>
        <stp>[AMZ_2009-2018.xlsx]Cash Flow - Standardized!R28C7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8" s="4"/>
      </tp>
      <tp>
        <v>12</v>
        <stp/>
        <stp>##V3_BDHV12</stp>
        <stp>AMZN US Equity</stp>
        <stp>IS_INT_INC</stp>
        <stp>FQ1 2009</stp>
        <stp>FQ1 2009</stp>
        <stp>[AMZ_2009-2018.xlsx]Income - Adjusted!R22C3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2" s="2"/>
      </tp>
      <tp t="s">
        <v>—</v>
        <stp/>
        <stp>##V3_BDHV12</stp>
        <stp>AMZN US Equity</stp>
        <stp>INVTRY_FINISHED_GOODS</stp>
        <stp>FQ3 2016</stp>
        <stp>FQ3 2016</stp>
        <stp>[AMZ_2009-2018.xlsx]Bal Sheet - Standardized!R16C33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6" s="3"/>
      </tp>
      <tp>
        <v>13327</v>
        <stp/>
        <stp>##V3_BDHV12</stp>
        <stp>AMZN US Equity</stp>
        <stp>BS_ACCUM_DEPR</stp>
        <stp>FQ4 2016</stp>
        <stp>FQ4 2016</stp>
        <stp>[AMZ_2009-2018.xlsx]Bal Sheet - Standardized!R25C34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5" s="3"/>
      </tp>
      <tp>
        <v>472</v>
        <stp/>
        <stp>##V3_BDHV12</stp>
        <stp>AMZN US Equity</stp>
        <stp>IS_SH_FOR_DILUTED_EPS</stp>
        <stp>FQ4 2014</stp>
        <stp>FQ4 2014</stp>
        <stp>[AMZ_2009-2018.xlsx]Income - Adjusted!R54C26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54" s="2"/>
      </tp>
      <tp>
        <v>461</v>
        <stp/>
        <stp>##V3_BDHV12</stp>
        <stp>AMZN US Equity</stp>
        <stp>IS_AVG_NUM_SH_FOR_EPS</stp>
        <stp>FQ2 2014</stp>
        <stp>FQ2 2014</stp>
        <stp>[AMZ_2009-2018.xlsx]Income - Adjusted!R49C24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49" s="2"/>
      </tp>
      <tp t="s">
        <v>—</v>
        <stp/>
        <stp>##V3_BDHV12</stp>
        <stp>AMZN US Equity</stp>
        <stp>BS_ACCUM_DEPR</stp>
        <stp>FQ1 2011</stp>
        <stp>FQ1 2011</stp>
        <stp>[AMZ_2009-2018.xlsx]Bal Sheet - Standardized!R25C11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5" s="3"/>
      </tp>
      <tp>
        <v>458</v>
        <stp/>
        <stp>##V3_BDHV12</stp>
        <stp>AMZN US Equity</stp>
        <stp>IS_SH_FOR_DILUTED_EPS</stp>
        <stp>FQ2 2012</stp>
        <stp>FQ2 2012</stp>
        <stp>[AMZ_2009-2018.xlsx]Income - Adjusted!R54C16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54" s="2"/>
      </tp>
      <tp>
        <v>476</v>
        <stp/>
        <stp>##V3_BDHV12</stp>
        <stp>AMZN US Equity</stp>
        <stp>IS_AVG_NUM_SH_FOR_EPS</stp>
        <stp>FQ4 2016</stp>
        <stp>FQ4 2016</stp>
        <stp>[AMZ_2009-2018.xlsx]Income - Adjusted!R49C34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49" s="2"/>
      </tp>
      <tp>
        <v>492</v>
        <stp/>
        <stp>##V3_BDHV12</stp>
        <stp>AMZN US Equity</stp>
        <stp>IS_SH_FOR_DILUTED_EPS</stp>
        <stp>FQ2 2017</stp>
        <stp>FQ2 2017</stp>
        <stp>[AMZ_2009-2018.xlsx]Income - Adjusted!R54C36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54" s="2"/>
      </tp>
      <tp>
        <v>455</v>
        <stp/>
        <stp>##V3_BDHV12</stp>
        <stp>AMZN US Equity</stp>
        <stp>IS_AVG_NUM_SH_FOR_EPS</stp>
        <stp>FQ4 2011</stp>
        <stp>FQ4 2011</stp>
        <stp>[AMZ_2009-2018.xlsx]Income - Adjusted!R49C14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49" s="2"/>
      </tp>
      <tp t="s">
        <v>—</v>
        <stp/>
        <stp>##V3_BDHV12</stp>
        <stp>AMZN US Equity</stp>
        <stp>INVTRY_FINISHED_GOODS</stp>
        <stp>FQ2 2017</stp>
        <stp>FQ2 2017</stp>
        <stp>[AMZ_2009-2018.xlsx]Bal Sheet - Standardized!R16C36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6" s="3"/>
      </tp>
      <tp t="s">
        <v>—</v>
        <stp/>
        <stp>##V3_BDHV12</stp>
        <stp>AMZN US Equity</stp>
        <stp>INVTRY_FINISHED_GOODS</stp>
        <stp>FQ1 2015</stp>
        <stp>FQ1 2015</stp>
        <stp>[AMZ_2009-2018.xlsx]Bal Sheet - Standardized!R16C27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6" s="3"/>
      </tp>
      <tp>
        <v>0</v>
        <stp/>
        <stp>##V3_BDHV12</stp>
        <stp>AMZN US Equity</stp>
        <stp>LONG_TERM_BORROWINGS_DETAILED</stp>
        <stp>FQ3 2012</stp>
        <stp>FQ3 2012</stp>
        <stp>[AMZ_2009-2018.xlsx]Bal Sheet - Standardized!R53C17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3" s="3"/>
      </tp>
      <tp t="s">
        <v>—</v>
        <stp/>
        <stp>##V3_BDHV12</stp>
        <stp>AMZN US Equity</stp>
        <stp>BS_ACCUM_DEPR</stp>
        <stp>FQ2 2012</stp>
        <stp>FQ2 2012</stp>
        <stp>[AMZ_2009-2018.xlsx]Bal Sheet - Standardized!R25C16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5" s="3"/>
      </tp>
      <tp>
        <v>24743</v>
        <stp/>
        <stp>##V3_BDHV12</stp>
        <stp>AMZN US Equity</stp>
        <stp>LONG_TERM_BORROWINGS_DETAILED</stp>
        <stp>FQ4 2017</stp>
        <stp>FQ4 2017</stp>
        <stp>[AMZ_2009-2018.xlsx]Bal Sheet - Standardized!R53C38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3" s="3"/>
      </tp>
      <tp>
        <v>24</v>
        <stp/>
        <stp>##V3_BDHV12</stp>
        <stp>AMZN US Equity</stp>
        <stp>BS_NUM_OF_TSY_SH</stp>
        <stp>FQ4 2013</stp>
        <stp>FQ4 2013</stp>
        <stp>[AMZ_2009-2018.xlsx]Bal Sheet - Standardized!R79C22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79" s="3"/>
      </tp>
      <tp>
        <v>24</v>
        <stp/>
        <stp>##V3_BDHV12</stp>
        <stp>AMZN US Equity</stp>
        <stp>BS_NUM_OF_TSY_SH</stp>
        <stp>FQ2 2017</stp>
        <stp>FQ2 2017</stp>
        <stp>[AMZ_2009-2018.xlsx]Bal Sheet - Standardized!R79C36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79" s="3"/>
      </tp>
      <tp>
        <v>24</v>
        <stp/>
        <stp>##V3_BDHV12</stp>
        <stp>AMZN US Equity</stp>
        <stp>BS_NUM_OF_TSY_SH</stp>
        <stp>FQ3 2014</stp>
        <stp>FQ3 2014</stp>
        <stp>[AMZ_2009-2018.xlsx]Bal Sheet - Standardized!R79C25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79" s="3"/>
      </tp>
      <tp>
        <v>24</v>
        <stp/>
        <stp>##V3_BDHV12</stp>
        <stp>AMZN US Equity</stp>
        <stp>BS_NUM_OF_TSY_SH</stp>
        <stp>FQ1 2018</stp>
        <stp>FQ1 2018</stp>
        <stp>[AMZ_2009-2018.xlsx]Bal Sheet - Standardized!R79C39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79" s="3"/>
      </tp>
      <tp>
        <v>21</v>
        <stp/>
        <stp>##V3_BDHV12</stp>
        <stp>AMZN US Equity</stp>
        <stp>CF_NET_CASH_PAID_FOR_AQUIS</stp>
        <stp>FQ2 2010</stp>
        <stp>FQ2 2010</stp>
        <stp>[AMZ_2009-2018.xlsx]Cash Flow - Standardized!R63C8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3" s="4"/>
      </tp>
      <tp>
        <v>5</v>
        <stp/>
        <stp>##V3_BDHV12</stp>
        <stp>AMZN US Equity</stp>
        <stp>CF_NET_CASH_PAID_FOR_AQUIS</stp>
        <stp>FQ3 2009</stp>
        <stp>FQ3 2009</stp>
        <stp>[AMZ_2009-2018.xlsx]Cash Flow - Standardized!R63C5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3" s="4"/>
      </tp>
      <tp t="s">
        <v>—</v>
        <stp/>
        <stp>##V3_BDHV12</stp>
        <stp>AMZN US Equity</stp>
        <stp>ST_CAPITAL_LEASE_OBLIGATIONS</stp>
        <stp>FQ3 2012</stp>
        <stp>FQ3 2012</stp>
        <stp>[AMZ_2009-2018.xlsx]Bal Sheet - Standardized!R45C17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5" s="3"/>
      </tp>
      <tp>
        <v>6121</v>
        <stp/>
        <stp>##V3_BDHV12</stp>
        <stp>AMZN US Equity</stp>
        <stp>ST_CAPITAL_LEASE_OBLIGATIONS</stp>
        <stp>FQ4 2017</stp>
        <stp>FQ4 2017</stp>
        <stp>[AMZ_2009-2018.xlsx]Bal Sheet - Standardized!R45C38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5" s="3"/>
      </tp>
      <tp t="s">
        <v>—</v>
        <stp/>
        <stp>##V3_BDHV12</stp>
        <stp>AMZN US Equity</stp>
        <stp>BS_OTHER_INV</stp>
        <stp>FQ4 2017</stp>
        <stp>FQ4 2017</stp>
        <stp>[AMZ_2009-2018.xlsx]Bal Sheet - Standardized!R17C38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7" s="3"/>
      </tp>
      <tp>
        <v>10602</v>
        <stp/>
        <stp>##V3_BDHV12</stp>
        <stp>AMZN US Equity</stp>
        <stp>TOTAL_EQUITY</stp>
        <stp>FQ2 2014</stp>
        <stp>FQ2 2014</stp>
        <stp>[AMZ_2009-2018.xlsx]Bal Sheet - Standardized!R73C24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3" s="3"/>
      </tp>
      <tp>
        <v>0</v>
        <stp/>
        <stp>##V3_BDHV12</stp>
        <stp>AMZN US Equity</stp>
        <stp>BS_ST_BORROW</stp>
        <stp>FQ2 2010</stp>
        <stp>FQ2 2010</stp>
        <stp>[AMZ_2009-2018.xlsx]Bal Sheet - Standardized!R43C8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3" s="3"/>
      </tp>
      <tp>
        <v>0</v>
        <stp/>
        <stp>##V3_BDHV12</stp>
        <stp>AMZN US Equity</stp>
        <stp>CF_DVD_PAID</stp>
        <stp>FQ4 2013</stp>
        <stp>FQ4 2013</stp>
        <stp>[AMZ_2009-2018.xlsx]Cash Flow - Standardized!R41C22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1" s="4"/>
      </tp>
      <tp>
        <v>0</v>
        <stp/>
        <stp>##V3_BDHV12</stp>
        <stp>AMZN US Equity</stp>
        <stp>CF_DVD_PAID</stp>
        <stp>FQ3 2014</stp>
        <stp>FQ3 2014</stp>
        <stp>[AMZ_2009-2018.xlsx]Cash Flow - Standardized!R41C25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1" s="4"/>
      </tp>
      <tp>
        <v>0</v>
        <stp/>
        <stp>##V3_BDHV12</stp>
        <stp>AMZN US Equity</stp>
        <stp>CF_DVD_PAID</stp>
        <stp>FQ4 2010</stp>
        <stp>FQ4 2010</stp>
        <stp>[AMZ_2009-2018.xlsx]Cash Flow - Standardized!R41C10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1" s="4"/>
      </tp>
      <tp>
        <v>14756</v>
        <stp/>
        <stp>##V3_BDHV12</stp>
        <stp>AMZN US Equity</stp>
        <stp>TOTAL_EQUITY</stp>
        <stp>FQ1 2016</stp>
        <stp>FQ1 2016</stp>
        <stp>[AMZ_2009-2018.xlsx]Bal Sheet - Standardized!R73C31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3" s="3"/>
      </tp>
      <tp>
        <v>0</v>
        <stp/>
        <stp>##V3_BDHV12</stp>
        <stp>AMZN US Equity</stp>
        <stp>BS_ST_BORROW</stp>
        <stp>FQ3 2009</stp>
        <stp>FQ3 2009</stp>
        <stp>[AMZ_2009-2018.xlsx]Bal Sheet - Standardized!R43C5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3" s="3"/>
      </tp>
      <tp>
        <v>0</v>
        <stp/>
        <stp>##V3_BDHV12</stp>
        <stp>AMZN US Equity</stp>
        <stp>CF_DVD_PAID</stp>
        <stp>FQ1 2017</stp>
        <stp>FQ1 2017</stp>
        <stp>[AMZ_2009-2018.xlsx]Cash Flow - Standardized!R41C35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1" s="4"/>
      </tp>
      <tp>
        <v>7757</v>
        <stp/>
        <stp>##V3_BDHV12</stp>
        <stp>AMZN US Equity</stp>
        <stp>TOTAL_EQUITY</stp>
        <stp>FQ4 2011</stp>
        <stp>FQ4 2011</stp>
        <stp>[AMZ_2009-2018.xlsx]Bal Sheet - Standardized!R73C14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3" s="3"/>
      </tp>
      <tp>
        <v>0</v>
        <stp/>
        <stp>##V3_BDHV12</stp>
        <stp>AMZN US Equity</stp>
        <stp>CF_DVD_PAID</stp>
        <stp>FQ2 2015</stp>
        <stp>FQ2 2015</stp>
        <stp>[AMZ_2009-2018.xlsx]Cash Flow - Standardized!R41C28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1" s="4"/>
      </tp>
      <tp t="s">
        <v>—</v>
        <stp/>
        <stp>##V3_BDHV12</stp>
        <stp>AMZN US Equity</stp>
        <stp>BS_OTHER_INV</stp>
        <stp>FQ3 2012</stp>
        <stp>FQ3 2012</stp>
        <stp>[AMZ_2009-2018.xlsx]Bal Sheet - Standardized!R17C17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7" s="3"/>
      </tp>
      <tp t="s">
        <v>—</v>
        <stp/>
        <stp>##V3_BDHV12</stp>
        <stp>AMZN US Equity</stp>
        <stp>BS_OTHER_INV</stp>
        <stp>FQ3 2009</stp>
        <stp>FQ3 2009</stp>
        <stp>[AMZ_2009-2018.xlsx]Bal Sheet - Standardized!R17C5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7" s="3"/>
      </tp>
      <tp>
        <v>2918</v>
        <stp/>
        <stp>##V3_BDHV12</stp>
        <stp>AMZN US Equity</stp>
        <stp>TOTAL_EQUITY</stp>
        <stp>FQ1 2009</stp>
        <stp>FQ1 2009</stp>
        <stp>[AMZ_2009-2018.xlsx]Bal Sheet - Standardized!R73C3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3" s="3"/>
      </tp>
      <tp>
        <v>12430</v>
        <stp/>
        <stp>##V3_BDHV12</stp>
        <stp>AMZN US Equity</stp>
        <stp>TOTAL_EQUITY</stp>
        <stp>FQ3 2015</stp>
        <stp>FQ3 2015</stp>
        <stp>[AMZ_2009-2018.xlsx]Bal Sheet - Standardized!R73C29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3" s="3"/>
      </tp>
      <tp t="s">
        <v>—</v>
        <stp/>
        <stp>##V3_BDHV12</stp>
        <stp>AMZN US Equity</stp>
        <stp>BS_OTHER_INV</stp>
        <stp>FQ2 2010</stp>
        <stp>FQ2 2010</stp>
        <stp>[AMZ_2009-2018.xlsx]Bal Sheet - Standardized!R17C8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7" s="3"/>
      </tp>
      <tp>
        <v>7.22E-2</v>
        <stp/>
        <stp>##V3_BDHV12</stp>
        <stp>AMZN US Equity</stp>
        <stp>CHG_PCT_PERIOD</stp>
        <stp>FQ1 2011</stp>
        <stp>FQ1 2011</stp>
        <stp>[AMZ_2009-2018.xlsx]Stock Value!R7C11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7" s="6"/>
      </tp>
      <tp>
        <v>5.7411000000000003</v>
        <stp/>
        <stp>##V3_BDHV12</stp>
        <stp>AMZN US Equity</stp>
        <stp>CHG_PCT_PERIOD</stp>
        <stp>FQ3 2011</stp>
        <stp>FQ3 2011</stp>
        <stp>[AMZ_2009-2018.xlsx]Stock Value!R7C13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7" s="6"/>
      </tp>
      <tp>
        <v>-10.443</v>
        <stp/>
        <stp>##V3_BDHV12</stp>
        <stp>AMZN US Equity</stp>
        <stp>CHG_PCT_PERIOD</stp>
        <stp>FQ4 2016</stp>
        <stp>FQ4 2016</stp>
        <stp>[AMZ_2009-2018.xlsx]Stock Value!R7C34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7" s="6"/>
      </tp>
      <tp>
        <v>13.5236</v>
        <stp/>
        <stp>##V3_BDHV12</stp>
        <stp>AMZN US Equity</stp>
        <stp>CHG_PCT_PERIOD</stp>
        <stp>FQ2 2011</stp>
        <stp>FQ2 2011</stp>
        <stp>[AMZ_2009-2018.xlsx]Stock Value!R7C12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7" s="6"/>
      </tp>
      <tp>
        <v>20.547799999999999</v>
        <stp/>
        <stp>##V3_BDHV12</stp>
        <stp>AMZN US Equity</stp>
        <stp>CHG_PCT_PERIOD</stp>
        <stp>FQ2 2016</stp>
        <stp>FQ2 2016</stp>
        <stp>[AMZ_2009-2018.xlsx]Stock Value!R7C32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7" s="6"/>
      </tp>
      <tp>
        <v>-19.946400000000001</v>
        <stp/>
        <stp>##V3_BDHV12</stp>
        <stp>AMZN US Equity</stp>
        <stp>CHG_PCT_PERIOD</stp>
        <stp>FQ4 2011</stp>
        <stp>FQ4 2011</stp>
        <stp>[AMZ_2009-2018.xlsx]Stock Value!R7C14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7" s="6"/>
      </tp>
      <tp>
        <v>17.004799999999999</v>
        <stp/>
        <stp>##V3_BDHV12</stp>
        <stp>AMZN US Equity</stp>
        <stp>CHG_PCT_PERIOD</stp>
        <stp>FQ3 2016</stp>
        <stp>FQ3 2016</stp>
        <stp>[AMZ_2009-2018.xlsx]Stock Value!R7C33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7" s="6"/>
      </tp>
      <tp>
        <v>-12.1691</v>
        <stp/>
        <stp>##V3_BDHV12</stp>
        <stp>AMZN US Equity</stp>
        <stp>CHG_PCT_PERIOD</stp>
        <stp>FQ1 2016</stp>
        <stp>FQ1 2016</stp>
        <stp>[AMZ_2009-2018.xlsx]Stock Value!R7C31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7" s="6"/>
      </tp>
      <tp>
        <v>-585</v>
        <stp/>
        <stp>##V3_BDHV12</stp>
        <stp>AMZN US Equity</stp>
        <stp>CF_CASH_FROM_OPER</stp>
        <stp>FQ1 2009</stp>
        <stp>FQ1 2009</stp>
        <stp>[AMZ_2009-2018.xlsx]Cash Flow - Standardized!R19C3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4"/>
      </tp>
      <tp>
        <v>13</v>
        <stp/>
        <stp>##V3_BDHV12</stp>
        <stp>AMZN US Equity</stp>
        <stp>IS_INT_INC</stp>
        <stp>FQ3 2010</stp>
        <stp>FQ3 2010</stp>
        <stp>[AMZ_2009-2018.xlsx]Income - Adjusted!R22C9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2" s="2"/>
      </tp>
      <tp>
        <v>0</v>
        <stp/>
        <stp>##V3_BDHV12</stp>
        <stp>AMZN US Equity</stp>
        <stp>CF_ACQUISITION_OF_INTANG_ASSETS</stp>
        <stp>FQ3 2009</stp>
        <stp>FQ3 2009</stp>
        <stp>[AMZ_2009-2018.xlsx]Cash Flow - Standardized!R28C5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8" s="4"/>
      </tp>
      <tp>
        <v>0</v>
        <stp/>
        <stp>##V3_BDHV12</stp>
        <stp>AMZN US Equity</stp>
        <stp>CF_ACQUISITION_OF_INTANG_ASSETS</stp>
        <stp>FQ2 2010</stp>
        <stp>FQ2 2010</stp>
        <stp>[AMZ_2009-2018.xlsx]Cash Flow - Standardized!R28C8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8" s="4"/>
      </tp>
      <tp>
        <v>465</v>
        <stp/>
        <stp>##V3_BDHV12</stp>
        <stp>AMZN US Equity</stp>
        <stp>IS_AVG_NUM_SH_FOR_EPS</stp>
        <stp>FQ1 2015</stp>
        <stp>FQ1 2015</stp>
        <stp>[AMZ_2009-2018.xlsx]Income - Adjusted!R49C27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49" s="2"/>
      </tp>
      <tp>
        <v>3042</v>
        <stp/>
        <stp>##V3_BDHV12</stp>
        <stp>AMZN US Equity</stp>
        <stp>LONG_TERM_BORROWINGS_DETAILED</stp>
        <stp>FQ2 2013</stp>
        <stp>FQ2 2013</stp>
        <stp>[AMZ_2009-2018.xlsx]Bal Sheet - Standardized!R53C20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3" s="3"/>
      </tp>
      <tp t="s">
        <v>—</v>
        <stp/>
        <stp>##V3_BDHV12</stp>
        <stp>AMZN US Equity</stp>
        <stp>BS_ACCUM_DEPR</stp>
        <stp>FQ2 2011</stp>
        <stp>FQ2 2011</stp>
        <stp>[AMZ_2009-2018.xlsx]Bal Sheet - Standardized!R25C12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5" s="3"/>
      </tp>
      <tp>
        <v>0</v>
        <stp/>
        <stp>##V3_BDHV12</stp>
        <stp>AMZN US Equity</stp>
        <stp>LONG_TERM_BORROWINGS_DETAILED</stp>
        <stp>FQ3 2011</stp>
        <stp>FQ3 2011</stp>
        <stp>[AMZ_2009-2018.xlsx]Bal Sheet - Standardized!R53C13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3" s="3"/>
      </tp>
      <tp t="s">
        <v>—</v>
        <stp/>
        <stp>##V3_BDHV12</stp>
        <stp>AMZN US Equity</stp>
        <stp>BS_ACCUM_DEPR</stp>
        <stp>FQ3 2013</stp>
        <stp>FQ3 2013</stp>
        <stp>[AMZ_2009-2018.xlsx]Bal Sheet - Standardized!R25C21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5" s="3"/>
      </tp>
      <tp>
        <v>5763</v>
        <stp/>
        <stp>##V3_BDHV12</stp>
        <stp>AMZN US Equity</stp>
        <stp>BS_ACCUM_DEPR</stp>
        <stp>FQ4 2014</stp>
        <stp>FQ4 2014</stp>
        <stp>[AMZ_2009-2018.xlsx]Bal Sheet - Standardized!R25C26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5" s="3"/>
      </tp>
      <tp>
        <v>452</v>
        <stp/>
        <stp>##V3_BDHV12</stp>
        <stp>AMZN US Equity</stp>
        <stp>IS_AVG_NUM_SH_FOR_EPS</stp>
        <stp>FQ3 2012</stp>
        <stp>FQ3 2012</stp>
        <stp>[AMZ_2009-2018.xlsx]Income - Adjusted!R49C17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49" s="2"/>
      </tp>
      <tp>
        <v>481</v>
        <stp/>
        <stp>##V3_BDHV12</stp>
        <stp>AMZN US Equity</stp>
        <stp>IS_AVG_NUM_SH_FOR_EPS</stp>
        <stp>FQ3 2017</stp>
        <stp>FQ3 2017</stp>
        <stp>[AMZ_2009-2018.xlsx]Income - Adjusted!R49C37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49" s="2"/>
      </tp>
      <tp>
        <v>463</v>
        <stp/>
        <stp>##V3_BDHV12</stp>
        <stp>AMZN US Equity</stp>
        <stp>IS_SH_FOR_DILUTED_EPS</stp>
        <stp>FQ3 2014</stp>
        <stp>FQ3 2014</stp>
        <stp>[AMZ_2009-2018.xlsx]Income - Adjusted!R54C25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54" s="2"/>
      </tp>
      <tp t="s">
        <v>—</v>
        <stp/>
        <stp>##V3_BDHV12</stp>
        <stp>AMZN US Equity</stp>
        <stp>INVTRY_FINISHED_GOODS</stp>
        <stp>FQ4 2010</stp>
        <stp>FQ4 2010</stp>
        <stp>[AMZ_2009-2018.xlsx]Bal Sheet - Standardized!R16C10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6" s="3"/>
      </tp>
      <tp t="s">
        <v>—</v>
        <stp/>
        <stp>##V3_BDHV12</stp>
        <stp>AMZN US Equity</stp>
        <stp>BS_ACCUM_DEPR</stp>
        <stp>FQ1 2012</stp>
        <stp>FQ1 2012</stp>
        <stp>[AMZ_2009-2018.xlsx]Bal Sheet - Standardized!R25C15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5" s="3"/>
      </tp>
      <tp>
        <v>0.17</v>
        <stp/>
        <stp>##V3_BDHV12</stp>
        <stp>AMZN US Equity</stp>
        <stp>IS_BASIC_EPS_CONT_OPS</stp>
        <stp>FQ3 2015</stp>
        <stp>FQ3 2015</stp>
        <stp>[AMZ_2009-2018.xlsx]Income - Adjusted!R52C29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52" s="2"/>
      </tp>
      <tp t="s">
        <v>—</v>
        <stp/>
        <stp>##V3_BDHV12</stp>
        <stp>AMZN US Equity</stp>
        <stp>INVTRY_FINISHED_GOODS</stp>
        <stp>FQ3 2014</stp>
        <stp>FQ3 2014</stp>
        <stp>[AMZ_2009-2018.xlsx]Bal Sheet - Standardized!R16C25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6" s="3"/>
      </tp>
      <tp t="s">
        <v>—</v>
        <stp/>
        <stp>##V3_BDHV12</stp>
        <stp>AMZN US Equity</stp>
        <stp>INVTRY_FINISHED_GOODS</stp>
        <stp>FQ4 2013</stp>
        <stp>FQ4 2013</stp>
        <stp>[AMZ_2009-2018.xlsx]Bal Sheet - Standardized!R16C22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6" s="3"/>
      </tp>
      <tp>
        <v>460</v>
        <stp/>
        <stp>##V3_BDHV12</stp>
        <stp>AMZN US Equity</stp>
        <stp>IS_SH_FOR_DILUTED_EPS</stp>
        <stp>FQ1 2012</stp>
        <stp>FQ1 2012</stp>
        <stp>[AMZ_2009-2018.xlsx]Income - Adjusted!R54C15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54" s="2"/>
      </tp>
      <tp>
        <v>490</v>
        <stp/>
        <stp>##V3_BDHV12</stp>
        <stp>AMZN US Equity</stp>
        <stp>IS_SH_FOR_DILUTED_EPS</stp>
        <stp>FQ1 2017</stp>
        <stp>FQ1 2017</stp>
        <stp>[AMZ_2009-2018.xlsx]Income - Adjusted!R54C35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54" s="2"/>
      </tp>
      <tp t="s">
        <v>—</v>
        <stp/>
        <stp>##V3_BDHV12</stp>
        <stp>AMZN US Equity</stp>
        <stp>INVTRY_FINISHED_GOODS</stp>
        <stp>FQ1 2017</stp>
        <stp>FQ1 2017</stp>
        <stp>[AMZ_2009-2018.xlsx]Bal Sheet - Standardized!R16C35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6" s="3"/>
      </tp>
      <tp>
        <v>8215</v>
        <stp/>
        <stp>##V3_BDHV12</stp>
        <stp>AMZN US Equity</stp>
        <stp>BS_ACCUM_DEPR</stp>
        <stp>FQ4 2015</stp>
        <stp>FQ4 2015</stp>
        <stp>[AMZ_2009-2018.xlsx]Bal Sheet - Standardized!R25C30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5" s="3"/>
      </tp>
      <tp>
        <v>0.18</v>
        <stp/>
        <stp>##V3_BDHV12</stp>
        <stp>AMZN US Equity</stp>
        <stp>IS_BASIC_EPS_CONT_OPS</stp>
        <stp>FQ1 2013</stp>
        <stp>FQ1 2013</stp>
        <stp>[AMZ_2009-2018.xlsx]Income - Adjusted!R52C19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52" s="2"/>
      </tp>
      <tp>
        <v>3.36</v>
        <stp/>
        <stp>##V3_BDHV12</stp>
        <stp>AMZN US Equity</stp>
        <stp>IS_BASIC_EPS_CONT_OPS</stp>
        <stp>FQ1 2018</stp>
        <stp>FQ1 2018</stp>
        <stp>[AMZ_2009-2018.xlsx]Income - Adjusted!R52C39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52" s="2"/>
      </tp>
      <tp t="s">
        <v>—</v>
        <stp/>
        <stp>##V3_BDHV12</stp>
        <stp>AMZN US Equity</stp>
        <stp>INVTRY_FINISHED_GOODS</stp>
        <stp>FQ2 2015</stp>
        <stp>FQ2 2015</stp>
        <stp>[AMZ_2009-2018.xlsx]Bal Sheet - Standardized!R16C28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6" s="3"/>
      </tp>
      <tp>
        <v>3040</v>
        <stp/>
        <stp>##V3_BDHV12</stp>
        <stp>AMZN US Equity</stp>
        <stp>LONG_TERM_BORROWINGS_DETAILED</stp>
        <stp>FQ1 2013</stp>
        <stp>FQ1 2013</stp>
        <stp>[AMZ_2009-2018.xlsx]Bal Sheet - Standardized!R53C19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3" s="3"/>
      </tp>
      <tp>
        <v>23</v>
        <stp/>
        <stp>##V3_BDHV12</stp>
        <stp>AMZN US Equity</stp>
        <stp>BS_NUM_OF_TSY_SH</stp>
        <stp>FQ4 2014</stp>
        <stp>FQ4 2014</stp>
        <stp>[AMZ_2009-2018.xlsx]Bal Sheet - Standardized!R79C26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79" s="3"/>
      </tp>
      <tp>
        <v>23</v>
        <stp/>
        <stp>##V3_BDHV12</stp>
        <stp>AMZN US Equity</stp>
        <stp>BS_NUM_OF_TSY_SH</stp>
        <stp>FQ4 2016</stp>
        <stp>FQ4 2016</stp>
        <stp>[AMZ_2009-2018.xlsx]Bal Sheet - Standardized!R79C34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79" s="3"/>
      </tp>
      <tp>
        <v>23</v>
        <stp/>
        <stp>##V3_BDHV12</stp>
        <stp>AMZN US Equity</stp>
        <stp>BS_NUM_OF_TSY_SH</stp>
        <stp>FQ3 2013</stp>
        <stp>FQ3 2013</stp>
        <stp>[AMZ_2009-2018.xlsx]Bal Sheet - Standardized!R79C21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79" s="3"/>
      </tp>
      <tp>
        <v>16</v>
        <stp/>
        <stp>##V3_BDHV12</stp>
        <stp>AMZN US Equity</stp>
        <stp>BS_NUM_OF_TSY_SH</stp>
        <stp>FQ3 2011</stp>
        <stp>FQ3 2011</stp>
        <stp>[AMZ_2009-2018.xlsx]Bal Sheet - Standardized!R79C13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79" s="3"/>
      </tp>
      <tp>
        <v>23</v>
        <stp/>
        <stp>##V3_BDHV12</stp>
        <stp>AMZN US Equity</stp>
        <stp>BS_NUM_OF_TSY_SH</stp>
        <stp>FQ1 2015</stp>
        <stp>FQ1 2015</stp>
        <stp>[AMZ_2009-2018.xlsx]Bal Sheet - Standardized!R79C27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79" s="3"/>
      </tp>
      <tp>
        <v>23</v>
        <stp/>
        <stp>##V3_BDHV12</stp>
        <stp>AMZN US Equity</stp>
        <stp>BS_NUM_OF_TSY_SH</stp>
        <stp>FQ1 2017</stp>
        <stp>FQ1 2017</stp>
        <stp>[AMZ_2009-2018.xlsx]Bal Sheet - Standardized!R79C35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79" s="3"/>
      </tp>
      <tp>
        <v>42</v>
        <stp/>
        <stp>##V3_BDHV12</stp>
        <stp>AMZN US Equity</stp>
        <stp>CF_NET_CASH_PAID_FOR_AQUIS</stp>
        <stp>FQ3 2010</stp>
        <stp>FQ3 2010</stp>
        <stp>[AMZ_2009-2018.xlsx]Cash Flow - Standardized!R63C9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3" s="4"/>
      </tp>
      <tp>
        <v>19</v>
        <stp/>
        <stp>##V3_BDHV12</stp>
        <stp>AMZN US Equity</stp>
        <stp>CF_NET_CASH_PAID_FOR_AQUIS</stp>
        <stp>FQ2 2009</stp>
        <stp>FQ2 2009</stp>
        <stp>[AMZ_2009-2018.xlsx]Cash Flow - Standardized!R63C4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3" s="4"/>
      </tp>
      <tp t="s">
        <v>—</v>
        <stp/>
        <stp>##V3_BDHV12</stp>
        <stp>AMZN US Equity</stp>
        <stp>INVTRY_IN_PROGRESS</stp>
        <stp>FQ2 2018</stp>
        <stp>FQ2 2018</stp>
        <stp>[AMZ_2009-2018.xlsx]Bal Sheet - Standardized!R15C40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5" s="3"/>
      </tp>
      <tp t="s">
        <v>—</v>
        <stp/>
        <stp>##V3_BDHV12</stp>
        <stp>AMZN US Equity</stp>
        <stp>ST_CAPITAL_LEASE_OBLIGATIONS</stp>
        <stp>FQ2 2012</stp>
        <stp>FQ2 2012</stp>
        <stp>[AMZ_2009-2018.xlsx]Bal Sheet - Standardized!R45C16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5" s="3"/>
      </tp>
      <tp>
        <v>4141</v>
        <stp/>
        <stp>##V3_BDHV12</stp>
        <stp>AMZN US Equity</stp>
        <stp>ST_CAPITAL_LEASE_OBLIGATIONS</stp>
        <stp>FQ4 2016</stp>
        <stp>FQ4 2016</stp>
        <stp>[AMZ_2009-2018.xlsx]Bal Sheet - Standardized!R45C34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5" s="3"/>
      </tp>
      <tp t="s">
        <v>—</v>
        <stp/>
        <stp>##V3_BDHV12</stp>
        <stp>AMZN US Equity</stp>
        <stp>ST_CAPITAL_LEASE_OBLIGATIONS</stp>
        <stp>FQ1 2011</stp>
        <stp>FQ1 2011</stp>
        <stp>[AMZ_2009-2018.xlsx]Bal Sheet - Standardized!R45C11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5" s="3"/>
      </tp>
      <tp>
        <v>0</v>
        <stp/>
        <stp>##V3_BDHV12</stp>
        <stp>AMZN US Equity</stp>
        <stp>CF_DVD_PAID</stp>
        <stp>FQ4 2011</stp>
        <stp>FQ4 2011</stp>
        <stp>[AMZ_2009-2018.xlsx]Cash Flow - Standardized!R41C14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1" s="4"/>
      </tp>
      <tp>
        <v>21674</v>
        <stp/>
        <stp>##V3_BDHV12</stp>
        <stp>AMZN US Equity</stp>
        <stp>TOTAL_EQUITY</stp>
        <stp>FQ1 2017</stp>
        <stp>FQ1 2017</stp>
        <stp>[AMZ_2009-2018.xlsx]Bal Sheet - Standardized!R73C35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3" s="3"/>
      </tp>
      <tp>
        <v>0</v>
        <stp/>
        <stp>##V3_BDHV12</stp>
        <stp>AMZN US Equity</stp>
        <stp>CF_DVD_PAID</stp>
        <stp>FQ1 2016</stp>
        <stp>FQ1 2016</stp>
        <stp>[AMZ_2009-2018.xlsx]Cash Flow - Standardized!R41C31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1" s="4"/>
      </tp>
      <tp>
        <v>6864</v>
        <stp/>
        <stp>##V3_BDHV12</stp>
        <stp>AMZN US Equity</stp>
        <stp>TOTAL_EQUITY</stp>
        <stp>FQ4 2010</stp>
        <stp>FQ4 2010</stp>
        <stp>[AMZ_2009-2018.xlsx]Bal Sheet - Standardized!R73C10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3" s="3"/>
      </tp>
      <tp>
        <v>0</v>
        <stp/>
        <stp>##V3_BDHV12</stp>
        <stp>AMZN US Equity</stp>
        <stp>BS_ST_BORROW</stp>
        <stp>FQ3 2010</stp>
        <stp>FQ3 2010</stp>
        <stp>[AMZ_2009-2018.xlsx]Bal Sheet - Standardized!R43C9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3" s="3"/>
      </tp>
      <tp>
        <v>9746</v>
        <stp/>
        <stp>##V3_BDHV12</stp>
        <stp>AMZN US Equity</stp>
        <stp>TOTAL_EQUITY</stp>
        <stp>FQ4 2013</stp>
        <stp>FQ4 2013</stp>
        <stp>[AMZ_2009-2018.xlsx]Bal Sheet - Standardized!R73C22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3" s="3"/>
      </tp>
      <tp>
        <v>10336</v>
        <stp/>
        <stp>##V3_BDHV12</stp>
        <stp>AMZN US Equity</stp>
        <stp>TOTAL_EQUITY</stp>
        <stp>FQ3 2014</stp>
        <stp>FQ3 2014</stp>
        <stp>[AMZ_2009-2018.xlsx]Bal Sheet - Standardized!R73C25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3" s="3"/>
      </tp>
      <tp>
        <v>0</v>
        <stp/>
        <stp>##V3_BDHV12</stp>
        <stp>AMZN US Equity</stp>
        <stp>CF_DVD_PAID</stp>
        <stp>FQ2 2014</stp>
        <stp>FQ2 2014</stp>
        <stp>[AMZ_2009-2018.xlsx]Cash Flow - Standardized!R41C24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1" s="4"/>
      </tp>
      <tp>
        <v>0</v>
        <stp/>
        <stp>##V3_BDHV12</stp>
        <stp>AMZN US Equity</stp>
        <stp>BS_ST_BORROW</stp>
        <stp>FQ2 2009</stp>
        <stp>FQ2 2009</stp>
        <stp>[AMZ_2009-2018.xlsx]Bal Sheet - Standardized!R43C4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3" s="3"/>
      </tp>
      <tp>
        <v>5618</v>
        <stp/>
        <stp>##V3_BDHV12</stp>
        <stp>AMZN US Equity</stp>
        <stp>TOTAL_EQUITY</stp>
        <stp>FQ1 2010</stp>
        <stp>FQ1 2010</stp>
        <stp>[AMZ_2009-2018.xlsx]Bal Sheet - Standardized!R73C7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3" s="3"/>
      </tp>
      <tp>
        <v>0</v>
        <stp/>
        <stp>##V3_BDHV12</stp>
        <stp>AMZN US Equity</stp>
        <stp>CF_DVD_PAID</stp>
        <stp>FQ3 2015</stp>
        <stp>FQ3 2015</stp>
        <stp>[AMZ_2009-2018.xlsx]Cash Flow - Standardized!R41C29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1" s="4"/>
      </tp>
      <tp t="s">
        <v>—</v>
        <stp/>
        <stp>##V3_BDHV12</stp>
        <stp>AMZN US Equity</stp>
        <stp>BS_OTHER_INV</stp>
        <stp>FQ2 2012</stp>
        <stp>FQ2 2012</stp>
        <stp>[AMZ_2009-2018.xlsx]Bal Sheet - Standardized!R17C16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7" s="3"/>
      </tp>
      <tp t="s">
        <v>—</v>
        <stp/>
        <stp>##V3_BDHV12</stp>
        <stp>AMZN US Equity</stp>
        <stp>BS_OTHER_INV</stp>
        <stp>FQ2 2009</stp>
        <stp>FQ2 2009</stp>
        <stp>[AMZ_2009-2018.xlsx]Bal Sheet - Standardized!R17C4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7" s="3"/>
      </tp>
      <tp t="s">
        <v>—</v>
        <stp/>
        <stp>##V3_BDHV12</stp>
        <stp>AMZN US Equity</stp>
        <stp>BS_OTHER_INV</stp>
        <stp>FQ4 2016</stp>
        <stp>FQ4 2016</stp>
        <stp>[AMZ_2009-2018.xlsx]Bal Sheet - Standardized!R17C34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7" s="3"/>
      </tp>
      <tp t="s">
        <v>—</v>
        <stp/>
        <stp>##V3_BDHV12</stp>
        <stp>AMZN US Equity</stp>
        <stp>BS_OTHER_INV</stp>
        <stp>FQ1 2011</stp>
        <stp>FQ1 2011</stp>
        <stp>[AMZ_2009-2018.xlsx]Bal Sheet - Standardized!R17C11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7" s="3"/>
      </tp>
      <tp>
        <v>11768</v>
        <stp/>
        <stp>##V3_BDHV12</stp>
        <stp>AMZN US Equity</stp>
        <stp>TOTAL_EQUITY</stp>
        <stp>FQ2 2015</stp>
        <stp>FQ2 2015</stp>
        <stp>[AMZ_2009-2018.xlsx]Bal Sheet - Standardized!R73C28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3" s="3"/>
      </tp>
      <tp t="s">
        <v>—</v>
        <stp/>
        <stp>##V3_BDHV12</stp>
        <stp>AMZN US Equity</stp>
        <stp>BS_OTHER_INV</stp>
        <stp>FQ3 2010</stp>
        <stp>FQ3 2010</stp>
        <stp>[AMZ_2009-2018.xlsx]Bal Sheet - Standardized!R17C9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7" s="3"/>
      </tp>
      <tp>
        <v>-1098</v>
        <stp/>
        <stp>##V3_BDHV12</stp>
        <stp>AMZN US Equity</stp>
        <stp>CF_CASH_FROM_OPER</stp>
        <stp>FQ1 2010</stp>
        <stp>FQ1 2010</stp>
        <stp>[AMZ_2009-2018.xlsx]Cash Flow - Standardized!R19C7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9" s="4"/>
      </tp>
      <tp>
        <v>815</v>
        <stp/>
        <stp>##V3_BDHV12</stp>
        <stp>AMZN US Equity</stp>
        <stp>BS_CURR_RENTAL_EXPENSE</stp>
        <stp>FQ2 2018</stp>
        <stp>FQ2 2018</stp>
        <stp>[AMZ_2009-2018.xlsx]Income - Adjusted!R73C40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3" s="2"/>
      </tp>
      <tp>
        <v>12</v>
        <stp/>
        <stp>##V3_BDHV12</stp>
        <stp>AMZN US Equity</stp>
        <stp>IS_INT_INC</stp>
        <stp>FQ2 2010</stp>
        <stp>FQ2 2010</stp>
        <stp>[AMZ_2009-2018.xlsx]Income - Adjusted!R22C8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2" s="2"/>
      </tp>
      <tp>
        <v>0</v>
        <stp/>
        <stp>##V3_BDHV12</stp>
        <stp>AMZN US Equity</stp>
        <stp>CF_ACQUISITION_OF_INTANG_ASSETS</stp>
        <stp>FQ2 2009</stp>
        <stp>FQ2 2009</stp>
        <stp>[AMZ_2009-2018.xlsx]Cash Flow - Standardized!R28C4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8" s="4"/>
      </tp>
      <tp>
        <v>0</v>
        <stp/>
        <stp>##V3_BDHV12</stp>
        <stp>AMZN US Equity</stp>
        <stp>CF_ACQUISITION_OF_INTANG_ASSETS</stp>
        <stp>FQ3 2010</stp>
        <stp>FQ3 2010</stp>
        <stp>[AMZ_2009-2018.xlsx]Cash Flow - Standardized!R28C9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8" s="4"/>
      </tp>
      <tp>
        <v>0</v>
        <stp/>
        <stp>##V3_BDHV12</stp>
        <stp>AMZN US Equity</stp>
        <stp>LONG_TERM_BORROWINGS_DETAILED</stp>
        <stp>FQ2 2011</stp>
        <stp>FQ2 2011</stp>
        <stp>[AMZ_2009-2018.xlsx]Bal Sheet - Standardized!R53C12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3" s="3"/>
      </tp>
      <tp t="s">
        <v>—</v>
        <stp/>
        <stp>##V3_BDHV12</stp>
        <stp>AMZN US Equity</stp>
        <stp>BS_ACCUM_DEPR</stp>
        <stp>FQ2 2013</stp>
        <stp>FQ2 2013</stp>
        <stp>[AMZ_2009-2018.xlsx]Bal Sheet - Standardized!R25C20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5" s="3"/>
      </tp>
      <tp t="s">
        <v>—</v>
        <stp/>
        <stp>##V3_BDHV12</stp>
        <stp>AMZN US Equity</stp>
        <stp>INVTRY_FINISHED_GOODS</stp>
        <stp>FQ4 2011</stp>
        <stp>FQ4 2011</stp>
        <stp>[AMZ_2009-2018.xlsx]Bal Sheet - Standardized!R16C14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6" s="3"/>
      </tp>
      <tp>
        <v>3043</v>
        <stp/>
        <stp>##V3_BDHV12</stp>
        <stp>AMZN US Equity</stp>
        <stp>LONG_TERM_BORROWINGS_DETAILED</stp>
        <stp>FQ3 2013</stp>
        <stp>FQ3 2013</stp>
        <stp>[AMZ_2009-2018.xlsx]Bal Sheet - Standardized!R53C21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3" s="3"/>
      </tp>
      <tp>
        <v>8265</v>
        <stp/>
        <stp>##V3_BDHV12</stp>
        <stp>AMZN US Equity</stp>
        <stp>LONG_TERM_BORROWINGS_DETAILED</stp>
        <stp>FQ4 2014</stp>
        <stp>FQ4 2014</stp>
        <stp>[AMZ_2009-2018.xlsx]Bal Sheet - Standardized!R53C26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3" s="3"/>
      </tp>
      <tp t="s">
        <v>—</v>
        <stp/>
        <stp>##V3_BDHV12</stp>
        <stp>AMZN US Equity</stp>
        <stp>BS_ACCUM_DEPR</stp>
        <stp>FQ3 2011</stp>
        <stp>FQ3 2011</stp>
        <stp>[AMZ_2009-2018.xlsx]Bal Sheet - Standardized!R25C13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5" s="3"/>
      </tp>
      <tp>
        <v>2.2090999999999998</v>
        <stp/>
        <stp>##V3_BDHV12</stp>
        <stp>AMZN US Equity</stp>
        <stp>IS_BASIC_EPS_CONT_OPS</stp>
        <stp>FQ4 2017</stp>
        <stp>FQ4 2017</stp>
        <stp>[AMZ_2009-2018.xlsx]Income - Adjusted!R52C38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52" s="2"/>
      </tp>
      <tp>
        <v>0.26869999999999999</v>
        <stp/>
        <stp>##V3_BDHV12</stp>
        <stp>AMZN US Equity</stp>
        <stp>IS_BASIC_EPS_CONT_OPS</stp>
        <stp>FQ4 2012</stp>
        <stp>FQ4 2012</stp>
        <stp>[AMZ_2009-2018.xlsx]Income - Adjusted!R52C18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52" s="2"/>
      </tp>
      <tp>
        <v>451</v>
        <stp/>
        <stp>##V3_BDHV12</stp>
        <stp>AMZN US Equity</stp>
        <stp>IS_AVG_NUM_SH_FOR_EPS</stp>
        <stp>FQ2 2012</stp>
        <stp>FQ2 2012</stp>
        <stp>[AMZ_2009-2018.xlsx]Income - Adjusted!R49C16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49" s="2"/>
      </tp>
      <tp>
        <v>486</v>
        <stp/>
        <stp>##V3_BDHV12</stp>
        <stp>AMZN US Equity</stp>
        <stp>IS_SH_FOR_DILUTED_EPS</stp>
        <stp>FQ4 2016</stp>
        <stp>FQ4 2016</stp>
        <stp>[AMZ_2009-2018.xlsx]Income - Adjusted!R54C34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54" s="2"/>
      </tp>
      <tp>
        <v>462</v>
        <stp/>
        <stp>##V3_BDHV12</stp>
        <stp>AMZN US Equity</stp>
        <stp>IS_SH_FOR_DILUTED_EPS</stp>
        <stp>FQ4 2011</stp>
        <stp>FQ4 2011</stp>
        <stp>[AMZ_2009-2018.xlsx]Income - Adjusted!R54C14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54" s="2"/>
      </tp>
      <tp>
        <v>479</v>
        <stp/>
        <stp>##V3_BDHV12</stp>
        <stp>AMZN US Equity</stp>
        <stp>IS_AVG_NUM_SH_FOR_EPS</stp>
        <stp>FQ2 2017</stp>
        <stp>FQ2 2017</stp>
        <stp>[AMZ_2009-2018.xlsx]Income - Adjusted!R49C36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49" s="2"/>
      </tp>
      <tp t="s">
        <v>—</v>
        <stp/>
        <stp>##V3_BDHV12</stp>
        <stp>AMZN US Equity</stp>
        <stp>INVTRY_FINISHED_GOODS</stp>
        <stp>FQ1 2016</stp>
        <stp>FQ1 2016</stp>
        <stp>[AMZ_2009-2018.xlsx]Bal Sheet - Standardized!R16C31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6" s="3"/>
      </tp>
      <tp>
        <v>0.19839999999999999</v>
        <stp/>
        <stp>##V3_BDHV12</stp>
        <stp>AMZN US Equity</stp>
        <stp>IS_BASIC_EPS_CONT_OPS</stp>
        <stp>FQ2 2015</stp>
        <stp>FQ2 2015</stp>
        <stp>[AMZ_2009-2018.xlsx]Income - Adjusted!R52C28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52" s="2"/>
      </tp>
      <tp t="s">
        <v>—</v>
        <stp/>
        <stp>##V3_BDHV12</stp>
        <stp>AMZN US Equity</stp>
        <stp>INVTRY_FINISHED_GOODS</stp>
        <stp>FQ2 2014</stp>
        <stp>FQ2 2014</stp>
        <stp>[AMZ_2009-2018.xlsx]Bal Sheet - Standardized!R16C24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6" s="3"/>
      </tp>
      <tp>
        <v>0</v>
        <stp/>
        <stp>##V3_BDHV12</stp>
        <stp>AMZN US Equity</stp>
        <stp>LONG_TERM_BORROWINGS_DETAILED</stp>
        <stp>FQ1 2012</stp>
        <stp>FQ1 2012</stp>
        <stp>[AMZ_2009-2018.xlsx]Bal Sheet - Standardized!R53C15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3" s="3"/>
      </tp>
      <tp>
        <v>464</v>
        <stp/>
        <stp>##V3_BDHV12</stp>
        <stp>AMZN US Equity</stp>
        <stp>IS_AVG_NUM_SH_FOR_EPS</stp>
        <stp>FQ4 2014</stp>
        <stp>FQ4 2014</stp>
        <stp>[AMZ_2009-2018.xlsx]Income - Adjusted!R49C26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49" s="2"/>
      </tp>
      <tp>
        <v>461</v>
        <stp/>
        <stp>##V3_BDHV12</stp>
        <stp>AMZN US Equity</stp>
        <stp>IS_SH_FOR_DILUTED_EPS</stp>
        <stp>FQ2 2014</stp>
        <stp>FQ2 2014</stp>
        <stp>[AMZ_2009-2018.xlsx]Income - Adjusted!R54C24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54" s="2"/>
      </tp>
      <tp t="s">
        <v>—</v>
        <stp/>
        <stp>##V3_BDHV12</stp>
        <stp>AMZN US Equity</stp>
        <stp>BS_CASH_HELD_OVERSEAS</stp>
        <stp>FQ2 2018</stp>
        <stp>FQ2 2018</stp>
        <stp>[AMZ_2009-2018.xlsx]Bal Sheet - Standardized!R88C40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88" s="3"/>
      </tp>
      <tp>
        <v>8227</v>
        <stp/>
        <stp>##V3_BDHV12</stp>
        <stp>AMZN US Equity</stp>
        <stp>LONG_TERM_BORROWINGS_DETAILED</stp>
        <stp>FQ4 2015</stp>
        <stp>FQ4 2015</stp>
        <stp>[AMZ_2009-2018.xlsx]Bal Sheet - Standardized!R53C30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3" s="3"/>
      </tp>
      <tp t="s">
        <v>—</v>
        <stp/>
        <stp>##V3_BDHV12</stp>
        <stp>AMZN US Equity</stp>
        <stp>INVTRY_FINISHED_GOODS</stp>
        <stp>FQ3 2015</stp>
        <stp>FQ3 2015</stp>
        <stp>[AMZ_2009-2018.xlsx]Bal Sheet - Standardized!R16C29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6" s="3"/>
      </tp>
      <tp t="s">
        <v>—</v>
        <stp/>
        <stp>##V3_BDHV12</stp>
        <stp>AMZN US Equity</stp>
        <stp>BS_ACCUM_DEPR</stp>
        <stp>FQ1 2013</stp>
        <stp>FQ1 2013</stp>
        <stp>[AMZ_2009-2018.xlsx]Bal Sheet - Standardized!R25C19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5" s="3"/>
      </tp>
      <tp>
        <v>17</v>
        <stp/>
        <stp>##V3_BDHV12</stp>
        <stp>AMZN US Equity</stp>
        <stp>BS_NUM_OF_TSY_SH</stp>
        <stp>FQ2 2011</stp>
        <stp>FQ2 2011</stp>
        <stp>[AMZ_2009-2018.xlsx]Bal Sheet - Standardized!R79C12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79" s="3"/>
      </tp>
      <tp>
        <v>23</v>
        <stp/>
        <stp>##V3_BDHV12</stp>
        <stp>AMZN US Equity</stp>
        <stp>BS_NUM_OF_TSY_SH</stp>
        <stp>FQ2 2013</stp>
        <stp>FQ2 2013</stp>
        <stp>[AMZ_2009-2018.xlsx]Bal Sheet - Standardized!R79C20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79" s="3"/>
      </tp>
      <tp>
        <v>1.5335999999999999</v>
        <stp/>
        <stp>##V3_BDHV12</stp>
        <stp>AMZN US Equity</stp>
        <stp>CUR_RATIO</stp>
        <stp>FQ1 2010</stp>
        <stp>FQ1 2010</stp>
        <stp>[AMZ_2009-2018.xlsx]Bal Sheet - Standardized!R86C7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86" s="3"/>
      </tp>
      <tp>
        <v>366.916</v>
        <stp/>
        <stp>##V3_BDHV12</stp>
        <stp>AMZN US Equity</stp>
        <stp>EQY_FLOAT</stp>
        <stp>FQ1 2013</stp>
        <stp>FQ1 2013</stp>
        <stp>[AMZ_2009-2018.xlsx]Stock Value!R14C19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14" s="6"/>
      </tp>
      <tp>
        <v>402.58300000000003</v>
        <stp/>
        <stp>##V3_BDHV12</stp>
        <stp>AMZN US Equity</stp>
        <stp>EQY_FLOAT</stp>
        <stp>FQ4 2017</stp>
        <stp>FQ4 2017</stp>
        <stp>[AMZ_2009-2018.xlsx]Stock Value!R14C38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14" s="6"/>
      </tp>
      <tp>
        <v>3835</v>
        <stp/>
        <stp>##V3_BDHV12</stp>
        <stp>AMZN US Equity</stp>
        <stp>ST_CAPITAL_LEASE_OBLIGATIONS</stp>
        <stp>FQ3 2016</stp>
        <stp>FQ3 2016</stp>
        <stp>[AMZ_2009-2018.xlsx]Bal Sheet - Standardized!R45C33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5" s="3"/>
      </tp>
      <tp t="s">
        <v>—</v>
        <stp/>
        <stp>##V3_BDHV12</stp>
        <stp>AMZN US Equity</stp>
        <stp>ST_CAPITAL_LEASE_OBLIGATIONS</stp>
        <stp>FQ1 2015</stp>
        <stp>FQ1 2015</stp>
        <stp>[AMZ_2009-2018.xlsx]Bal Sheet - Standardized!R45C27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5" s="3"/>
      </tp>
      <tp>
        <v>5073</v>
        <stp/>
        <stp>##V3_BDHV12</stp>
        <stp>AMZN US Equity</stp>
        <stp>ST_CAPITAL_LEASE_OBLIGATIONS</stp>
        <stp>FQ2 2017</stp>
        <stp>FQ2 2017</stp>
        <stp>[AMZ_2009-2018.xlsx]Bal Sheet - Standardized!R45C36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5" s="3"/>
      </tp>
      <tp>
        <v>10741</v>
        <stp/>
        <stp>##V3_BDHV12</stp>
        <stp>AMZN US Equity</stp>
        <stp>TOTAL_EQUITY</stp>
        <stp>FQ4 2014</stp>
        <stp>FQ4 2014</stp>
        <stp>[AMZ_2009-2018.xlsx]Bal Sheet - Standardized!R73C26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3" s="3"/>
      </tp>
      <tp>
        <v>9087</v>
        <stp/>
        <stp>##V3_BDHV12</stp>
        <stp>AMZN US Equity</stp>
        <stp>TOTAL_EQUITY</stp>
        <stp>FQ3 2013</stp>
        <stp>FQ3 2013</stp>
        <stp>[AMZ_2009-2018.xlsx]Bal Sheet - Standardized!R73C21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3" s="3"/>
      </tp>
      <tp>
        <v>48304</v>
        <stp/>
        <stp>##V3_BDHV12</stp>
        <stp>AMZN US Equity</stp>
        <stp>NON_CUR_LIAB</stp>
        <stp>FQ2 2018</stp>
        <stp>FQ2 2018</stp>
        <stp>[AMZ_2009-2018.xlsx]Bal Sheet - Standardized!R62C40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2" s="3"/>
      </tp>
      <tp>
        <v>7765</v>
        <stp/>
        <stp>##V3_BDHV12</stp>
        <stp>AMZN US Equity</stp>
        <stp>TOTAL_EQUITY</stp>
        <stp>FQ2 2011</stp>
        <stp>FQ2 2011</stp>
        <stp>[AMZ_2009-2018.xlsx]Bal Sheet - Standardized!R73C12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3" s="3"/>
      </tp>
      <tp>
        <v>463</v>
        <stp/>
        <stp>##V3_BDHV12</stp>
        <stp>AMZN US Equity</stp>
        <stp>IS_GENERAL_AND_ADMINISTRATIVE</stp>
        <stp>FQ3 2015</stp>
        <stp>FQ3 2015</stp>
        <stp>[AMZ_2009-2018.xlsx]Income - Adjusted!R15C29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5" s="2"/>
      </tp>
      <tp>
        <v>7271</v>
        <stp/>
        <stp>##V3_BDHV12</stp>
        <stp>AMZN US Equity</stp>
        <stp>TOTAL_EQUITY</stp>
        <stp>FQ1 2012</stp>
        <stp>FQ1 2012</stp>
        <stp>[AMZ_2009-2018.xlsx]Bal Sheet - Standardized!R73C15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3" s="3"/>
      </tp>
      <tp>
        <v>0</v>
        <stp/>
        <stp>##V3_BDHV12</stp>
        <stp>AMZN US Equity</stp>
        <stp>CF_DVD_PAID</stp>
        <stp>FQ2 2013</stp>
        <stp>FQ2 2013</stp>
        <stp>[AMZ_2009-2018.xlsx]Cash Flow - Standardized!R41C20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1" s="4"/>
      </tp>
      <tp>
        <v>246</v>
        <stp/>
        <stp>##V3_BDHV12</stp>
        <stp>AMZN US Equity</stp>
        <stp>IS_GENERAL_AND_ADMINISTRATIVE</stp>
        <stp>FQ1 2013</stp>
        <stp>FQ1 2013</stp>
        <stp>[AMZ_2009-2018.xlsx]Income - Adjusted!R15C19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5" s="2"/>
      </tp>
      <tp>
        <v>1067</v>
        <stp/>
        <stp>##V3_BDHV12</stp>
        <stp>AMZN US Equity</stp>
        <stp>IS_GENERAL_AND_ADMINISTRATIVE</stp>
        <stp>FQ1 2018</stp>
        <stp>FQ1 2018</stp>
        <stp>[AMZ_2009-2018.xlsx]Income - Adjusted!R15C39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5" s="2"/>
      </tp>
      <tp>
        <v>0</v>
        <stp/>
        <stp>##V3_BDHV12</stp>
        <stp>AMZN US Equity</stp>
        <stp>CF_DVD_PAID</stp>
        <stp>FQ3 2011</stp>
        <stp>FQ3 2011</stp>
        <stp>[AMZ_2009-2018.xlsx]Cash Flow - Standardized!R41C13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1" s="4"/>
      </tp>
      <tp>
        <v>13384</v>
        <stp/>
        <stp>##V3_BDHV12</stp>
        <stp>AMZN US Equity</stp>
        <stp>TOTAL_EQUITY</stp>
        <stp>FQ4 2015</stp>
        <stp>FQ4 2015</stp>
        <stp>[AMZ_2009-2018.xlsx]Bal Sheet - Standardized!R73C30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3" s="3"/>
      </tp>
      <tp t="s">
        <v>—</v>
        <stp/>
        <stp>##V3_BDHV12</stp>
        <stp>AMZN US Equity</stp>
        <stp>BS_OTHER_INV</stp>
        <stp>FQ3 2016</stp>
        <stp>FQ3 2016</stp>
        <stp>[AMZ_2009-2018.xlsx]Bal Sheet - Standardized!R17C33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7" s="3"/>
      </tp>
      <tp t="s">
        <v>—</v>
        <stp/>
        <stp>##V3_BDHV12</stp>
        <stp>AMZN US Equity</stp>
        <stp>BS_OTHER_INV</stp>
        <stp>FQ1 2015</stp>
        <stp>FQ1 2015</stp>
        <stp>[AMZ_2009-2018.xlsx]Bal Sheet - Standardized!R17C27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7" s="3"/>
      </tp>
      <tp t="s">
        <v>—</v>
        <stp/>
        <stp>##V3_BDHV12</stp>
        <stp>AMZN US Equity</stp>
        <stp>BS_OTHER_INV</stp>
        <stp>FQ2 2017</stp>
        <stp>FQ2 2017</stp>
        <stp>[AMZ_2009-2018.xlsx]Bal Sheet - Standardized!R17C36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7" s="3"/>
      </tp>
      <tp>
        <v>0</v>
        <stp/>
        <stp>##V3_BDHV12</stp>
        <stp>AMZN US Equity</stp>
        <stp>CF_DVD_PAID</stp>
        <stp>FQ1 2013</stp>
        <stp>FQ1 2013</stp>
        <stp>[AMZ_2009-2018.xlsx]Cash Flow - Standardized!R41C19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1" s="4"/>
      </tp>
      <tp>
        <v>19.896899999999999</v>
        <stp/>
        <stp>##V3_BDHV12</stp>
        <stp>AMZN US Equity</stp>
        <stp>CHG_PCT_PERIOD</stp>
        <stp>FQ1 2015</stp>
        <stp>FQ1 2015</stp>
        <stp>[AMZ_2009-2018.xlsx]Stock Value!R7C27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7" s="6"/>
      </tp>
      <tp>
        <v>-3.4441999999999999</v>
        <stp/>
        <stp>##V3_BDHV12</stp>
        <stp>AMZN US Equity</stp>
        <stp>CHG_PCT_PERIOD</stp>
        <stp>FQ2 2014</stp>
        <stp>FQ2 2014</stp>
        <stp>[AMZ_2009-2018.xlsx]Stock Value!R7C24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7" s="6"/>
      </tp>
      <tp>
        <v>27.555700000000002</v>
        <stp/>
        <stp>##V3_BDHV12</stp>
        <stp>AMZN US Equity</stp>
        <stp>CHG_PCT_PERIOD</stp>
        <stp>FQ4 2013</stp>
        <stp>FQ4 2013</stp>
        <stp>[AMZ_2009-2018.xlsx]Stock Value!R7C22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7" s="6"/>
      </tp>
      <tp>
        <v>-0.72050000000000003</v>
        <stp/>
        <stp>##V3_BDHV12</stp>
        <stp>AMZN US Equity</stp>
        <stp>CHG_PCT_PERIOD</stp>
        <stp>FQ3 2014</stp>
        <stp>FQ3 2014</stp>
        <stp>[AMZ_2009-2018.xlsx]Stock Value!R7C25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7" s="6"/>
      </tp>
      <tp>
        <v>47.63</v>
        <stp/>
        <stp>##V3_BDHV12</stp>
        <stp>AMZN US Equity</stp>
        <stp>PX_LOW</stp>
        <stp>FQ1 2009</stp>
        <stp>FQ1 2009</stp>
        <stp>[AMZ_2009-2018.xlsx]Stock Value!R10C3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10" s="6"/>
      </tp>
      <tp>
        <v>88.27</v>
        <stp/>
        <stp>##V3_BDHV12</stp>
        <stp>AMZN US Equity</stp>
        <stp>PX_LOW</stp>
        <stp>FQ4 2009</stp>
        <stp>FQ4 2009</stp>
        <stp>[AMZ_2009-2018.xlsx]Stock Value!R10C6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10" s="6"/>
      </tp>
      <tp>
        <v>791</v>
        <stp/>
        <stp>##V3_BDHV12</stp>
        <stp>AMZN US Equity</stp>
        <stp>BS_CURR_RENTAL_EXPENSE</stp>
        <stp>FQ1 2018</stp>
        <stp>FQ1 2018</stp>
        <stp>[AMZ_2009-2018.xlsx]Income - Adjusted!R73C39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3" s="2"/>
      </tp>
      <tp>
        <v>9</v>
        <stp/>
        <stp>##V3_BDHV12</stp>
        <stp>AMZN US Equity</stp>
        <stp>IS_INT_INC</stp>
        <stp>FQ4 2009</stp>
        <stp>FQ4 2009</stp>
        <stp>[AMZ_2009-2018.xlsx]Income - Adjusted!R22C6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2" s="2"/>
      </tp>
      <tp>
        <v>451</v>
        <stp/>
        <stp>##V3_BDHV12</stp>
        <stp>AMZN US Equity</stp>
        <stp>IS_AVG_NUM_SH_FOR_EPS</stp>
        <stp>FQ1 2011</stp>
        <stp>FQ1 2011</stp>
        <stp>[AMZ_2009-2018.xlsx]Income - Adjusted!R49C11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49" s="2"/>
      </tp>
      <tp>
        <v>471</v>
        <stp/>
        <stp>##V3_BDHV12</stp>
        <stp>AMZN US Equity</stp>
        <stp>IS_AVG_NUM_SH_FOR_EPS</stp>
        <stp>FQ1 2016</stp>
        <stp>FQ1 2016</stp>
        <stp>[AMZ_2009-2018.xlsx]Income - Adjusted!R49C31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49" s="2"/>
      </tp>
      <tp>
        <v>7691</v>
        <stp/>
        <stp>##V3_BDHV12</stp>
        <stp>AMZN US Equity</stp>
        <stp>LONG_TERM_BORROWINGS_DETAILED</stp>
        <stp>FQ1 2017</stp>
        <stp>FQ1 2017</stp>
        <stp>[AMZ_2009-2018.xlsx]Bal Sheet - Standardized!R53C35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3" s="3"/>
      </tp>
      <tp>
        <v>457</v>
        <stp/>
        <stp>##V3_BDHV12</stp>
        <stp>AMZN US Equity</stp>
        <stp>IS_AVG_NUM_SH_FOR_EPS</stp>
        <stp>FQ3 2013</stp>
        <stp>FQ3 2013</stp>
        <stp>[AMZ_2009-2018.xlsx]Income - Adjusted!R49C21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49" s="2"/>
      </tp>
      <tp>
        <v>3099</v>
        <stp/>
        <stp>##V3_BDHV12</stp>
        <stp>AMZN US Equity</stp>
        <stp>LONG_TERM_BORROWINGS_DETAILED</stp>
        <stp>FQ3 2014</stp>
        <stp>FQ3 2014</stp>
        <stp>[AMZ_2009-2018.xlsx]Bal Sheet - Standardized!R53C25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3" s="3"/>
      </tp>
      <tp>
        <v>3746</v>
        <stp/>
        <stp>##V3_BDHV12</stp>
        <stp>AMZN US Equity</stp>
        <stp>LONG_TERM_BORROWINGS_DETAILED</stp>
        <stp>FQ4 2013</stp>
        <stp>FQ4 2013</stp>
        <stp>[AMZ_2009-2018.xlsx]Bal Sheet - Standardized!R53C22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3" s="3"/>
      </tp>
      <tp>
        <v>184</v>
        <stp/>
        <stp>##V3_BDHV12</stp>
        <stp>AMZN US Equity</stp>
        <stp>LONG_TERM_BORROWINGS_DETAILED</stp>
        <stp>FQ4 2010</stp>
        <stp>FQ4 2010</stp>
        <stp>[AMZ_2009-2018.xlsx]Bal Sheet - Standardized!R53C10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3" s="3"/>
      </tp>
      <tp t="s">
        <v>—</v>
        <stp/>
        <stp>##V3_BDHV12</stp>
        <stp>AMZN US Equity</stp>
        <stp>BS_ACCUM_DEPR</stp>
        <stp>FQ2 2014</stp>
        <stp>FQ2 2014</stp>
        <stp>[AMZ_2009-2018.xlsx]Bal Sheet - Standardized!R25C24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5" s="3"/>
      </tp>
      <tp>
        <v>461</v>
        <stp/>
        <stp>##V3_BDHV12</stp>
        <stp>AMZN US Equity</stp>
        <stp>IS_SH_FOR_DILUTED_EPS</stp>
        <stp>FQ3 2011</stp>
        <stp>FQ3 2011</stp>
        <stp>[AMZ_2009-2018.xlsx]Income - Adjusted!R54C13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54" s="2"/>
      </tp>
      <tp>
        <v>485</v>
        <stp/>
        <stp>##V3_BDHV12</stp>
        <stp>AMZN US Equity</stp>
        <stp>IS_SH_FOR_DILUTED_EPS</stp>
        <stp>FQ3 2016</stp>
        <stp>FQ3 2016</stp>
        <stp>[AMZ_2009-2018.xlsx]Income - Adjusted!R54C33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54" s="2"/>
      </tp>
      <tp t="s">
        <v>—</v>
        <stp/>
        <stp>##V3_BDHV12</stp>
        <stp>AMZN US Equity</stp>
        <stp>BS_ACCUM_DEPR</stp>
        <stp>FQ1 2016</stp>
        <stp>FQ1 2016</stp>
        <stp>[AMZ_2009-2018.xlsx]Bal Sheet - Standardized!R25C31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5" s="3"/>
      </tp>
      <tp>
        <v>468</v>
        <stp/>
        <stp>##V3_BDHV12</stp>
        <stp>AMZN US Equity</stp>
        <stp>IS_SH_FOR_DILUTED_EPS</stp>
        <stp>FQ1 2014</stp>
        <stp>FQ1 2014</stp>
        <stp>[AMZ_2009-2018.xlsx]Income - Adjusted!R54C23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54" s="2"/>
      </tp>
      <tp t="s">
        <v>—</v>
        <stp/>
        <stp>##V3_BDHV12</stp>
        <stp>AMZN US Equity</stp>
        <stp>INVTRY_FINISHED_GOODS</stp>
        <stp>FQ3 2011</stp>
        <stp>FQ3 2011</stp>
        <stp>[AMZ_2009-2018.xlsx]Bal Sheet - Standardized!R16C13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6" s="3"/>
      </tp>
      <tp>
        <v>1369</v>
        <stp/>
        <stp>##V3_BDHV12</stp>
        <stp>AMZN US Equity</stp>
        <stp>BS_ACCUM_DEPR</stp>
        <stp>FQ4 2011</stp>
        <stp>FQ4 2011</stp>
        <stp>[AMZ_2009-2018.xlsx]Bal Sheet - Standardized!R25C14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5" s="3"/>
      </tp>
      <tp t="s">
        <v>—</v>
        <stp/>
        <stp>##V3_BDHV12</stp>
        <stp>AMZN US Equity</stp>
        <stp>INVTRY_FINISHED_GOODS</stp>
        <stp>FQ2 2013</stp>
        <stp>FQ2 2013</stp>
        <stp>[AMZ_2009-2018.xlsx]Bal Sheet - Standardized!R16C20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6" s="3"/>
      </tp>
      <tp t="s">
        <v>—</v>
        <stp/>
        <stp>##V3_BDHV12</stp>
        <stp>AMZN US Equity</stp>
        <stp>INVTRY_FINISHED_GOODS</stp>
        <stp>FQ1 2013</stp>
        <stp>FQ1 2013</stp>
        <stp>[AMZ_2009-2018.xlsx]Bal Sheet - Standardized!R16C19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6" s="3"/>
      </tp>
      <tp>
        <v>8250</v>
        <stp/>
        <stp>##V3_BDHV12</stp>
        <stp>AMZN US Equity</stp>
        <stp>LONG_TERM_BORROWINGS_DETAILED</stp>
        <stp>FQ2 2015</stp>
        <stp>FQ2 2015</stp>
        <stp>[AMZ_2009-2018.xlsx]Bal Sheet - Standardized!R53C28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3" s="3"/>
      </tp>
      <tp>
        <v>24</v>
        <stp/>
        <stp>##V3_BDHV12</stp>
        <stp>AMZN US Equity</stp>
        <stp>BS_NUM_OF_TSY_SH</stp>
        <stp>FQ2 2012</stp>
        <stp>FQ2 2012</stp>
        <stp>[AMZ_2009-2018.xlsx]Bal Sheet - Standardized!R79C16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79" s="3"/>
      </tp>
      <tp>
        <v>23</v>
        <stp/>
        <stp>##V3_BDHV12</stp>
        <stp>AMZN US Equity</stp>
        <stp>BS_NUM_OF_TSY_SH</stp>
        <stp>FQ2 2016</stp>
        <stp>FQ2 2016</stp>
        <stp>[AMZ_2009-2018.xlsx]Bal Sheet - Standardized!R79C32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79" s="3"/>
      </tp>
      <tp t="s">
        <v>—</v>
        <stp/>
        <stp>##V3_BDHV12</stp>
        <stp>AMZN US Equity</stp>
        <stp>BS_ACCUM_DEPR</stp>
        <stp>FQ3 2015</stp>
        <stp>FQ3 2015</stp>
        <stp>[AMZ_2009-2018.xlsx]Bal Sheet - Standardized!R25C29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5" s="3"/>
      </tp>
      <tp t="s">
        <v>—</v>
        <stp/>
        <stp>##V3_BDHV12</stp>
        <stp>AMZN US Equity</stp>
        <stp>CF_NET_CASH_PAID_FOR_AQUIS</stp>
        <stp>FQ4 2009</stp>
        <stp>FQ4 2009</stp>
        <stp>[AMZ_2009-2018.xlsx]Cash Flow - Standardized!R63C6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3" s="4"/>
      </tp>
      <tp>
        <v>405.952</v>
        <stp/>
        <stp>##V3_BDHV12</stp>
        <stp>AMZN US Equity</stp>
        <stp>EQY_FLOAT</stp>
        <stp>FQ2 2018</stp>
        <stp>FQ2 2018</stp>
        <stp>[AMZ_2009-2018.xlsx]Stock Value!R14C40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14" s="6"/>
      </tp>
      <tp>
        <v>10189</v>
        <stp/>
        <stp>##V3_BDHV12</stp>
        <stp>AMZN US Equity</stp>
        <stp>BS_ACCRUAL</stp>
        <stp>FQ2 2018</stp>
        <stp>FQ2 2018</stp>
        <stp>[AMZ_2009-2018.xlsx]Bal Sheet - Standardized!R42C40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2" s="3"/>
      </tp>
      <tp t="s">
        <v>—</v>
        <stp/>
        <stp>##V3_BDHV12</stp>
        <stp>AMZN US Equity</stp>
        <stp>ST_CAPITAL_LEASE_OBLIGATIONS</stp>
        <stp>FQ1 2014</stp>
        <stp>FQ1 2014</stp>
        <stp>[AMZ_2009-2018.xlsx]Bal Sheet - Standardized!R45C23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5" s="3"/>
      </tp>
      <tp>
        <v>3507</v>
        <stp/>
        <stp>##V3_BDHV12</stp>
        <stp>AMZN US Equity</stp>
        <stp>ST_CAPITAL_LEASE_OBLIGATIONS</stp>
        <stp>FQ2 2016</stp>
        <stp>FQ2 2016</stp>
        <stp>[AMZ_2009-2018.xlsx]Bal Sheet - Standardized!R45C32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5" s="3"/>
      </tp>
      <tp>
        <v>5539</v>
        <stp/>
        <stp>##V3_BDHV12</stp>
        <stp>AMZN US Equity</stp>
        <stp>ST_CAPITAL_LEASE_OBLIGATIONS</stp>
        <stp>FQ3 2017</stp>
        <stp>FQ3 2017</stp>
        <stp>[AMZ_2009-2018.xlsx]Bal Sheet - Standardized!R45C37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5" s="3"/>
      </tp>
      <tp>
        <v>75533</v>
        <stp/>
        <stp>##V3_BDHV12</stp>
        <stp>AMZN US Equity</stp>
        <stp>BS_TOT_NON_CUR_ASSET</stp>
        <stp>FQ1 2018</stp>
        <stp>FQ1 2018</stp>
        <stp>[AMZ_2009-2018.xlsx]Bal Sheet - Standardized!R34C39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4" s="3"/>
      </tp>
      <tp>
        <v>555</v>
        <stp/>
        <stp>##V3_BDHV12</stp>
        <stp>AMZN US Equity</stp>
        <stp>ST_CAPITAL_LEASE_OBLIGATIONS</stp>
        <stp>FQ4 2012</stp>
        <stp>FQ4 2012</stp>
        <stp>[AMZ_2009-2018.xlsx]Bal Sheet - Standardized!R45C18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5" s="3"/>
      </tp>
      <tp>
        <v>94899</v>
        <stp/>
        <stp>##V3_BDHV12</stp>
        <stp>AMZN US Equity</stp>
        <stp>BS_TOT_LIAB2</stp>
        <stp>FQ1 2018</stp>
        <stp>FQ1 2018</stp>
        <stp>[AMZ_2009-2018.xlsx]Bal Sheet - Standardized!R63C39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3" s="3"/>
      </tp>
      <tp>
        <v>0</v>
        <stp/>
        <stp>##V3_BDHV12</stp>
        <stp>AMZN US Equity</stp>
        <stp>BS_LT_INVEST</stp>
        <stp>FQ2 2018</stp>
        <stp>FQ2 2018</stp>
        <stp>[AMZ_2009-2018.xlsx]Bal Sheet - Standardized!R26C40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6" s="3"/>
      </tp>
      <tp>
        <v>0</v>
        <stp/>
        <stp>##V3_BDHV12</stp>
        <stp>AMZN US Equity</stp>
        <stp>CF_DVD_PAID</stp>
        <stp>FQ4 2015</stp>
        <stp>FQ4 2015</stp>
        <stp>[AMZ_2009-2018.xlsx]Cash Flow - Standardized!R41C30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1" s="4"/>
      </tp>
      <tp>
        <v>7766</v>
        <stp/>
        <stp>##V3_BDHV12</stp>
        <stp>AMZN US Equity</stp>
        <stp>TOTAL_EQUITY</stp>
        <stp>FQ3 2011</stp>
        <stp>FQ3 2011</stp>
        <stp>[AMZ_2009-2018.xlsx]Bal Sheet - Standardized!R73C13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3" s="3"/>
      </tp>
      <tp>
        <v>8733</v>
        <stp/>
        <stp>##V3_BDHV12</stp>
        <stp>AMZN US Equity</stp>
        <stp>TOTAL_EQUITY</stp>
        <stp>FQ2 2013</stp>
        <stp>FQ2 2013</stp>
        <stp>[AMZ_2009-2018.xlsx]Bal Sheet - Standardized!R73C20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3" s="3"/>
      </tp>
      <tp>
        <v>0</v>
        <stp/>
        <stp>##V3_BDHV12</stp>
        <stp>AMZN US Equity</stp>
        <stp>CF_DVD_PAID</stp>
        <stp>FQ1 2012</stp>
        <stp>FQ1 2012</stp>
        <stp>[AMZ_2009-2018.xlsx]Cash Flow - Standardized!R41C15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1" s="4"/>
      </tp>
      <tp>
        <v>141</v>
        <stp/>
        <stp>##V3_BDHV12</stp>
        <stp>AMZN US Equity</stp>
        <stp>BS_ST_BORROW</stp>
        <stp>FQ4 2009</stp>
        <stp>FQ4 2009</stp>
        <stp>[AMZ_2009-2018.xlsx]Bal Sheet - Standardized!R43C6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3" s="3"/>
      </tp>
      <tp>
        <v>1044</v>
        <stp/>
        <stp>##V3_BDHV12</stp>
        <stp>AMZN US Equity</stp>
        <stp>IS_GENERAL_AND_ADMINISTRATIVE</stp>
        <stp>FQ4 2017</stp>
        <stp>FQ4 2017</stp>
        <stp>[AMZ_2009-2018.xlsx]Income - Adjusted!R15C38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5" s="2"/>
      </tp>
      <tp>
        <v>235</v>
        <stp/>
        <stp>##V3_BDHV12</stp>
        <stp>AMZN US Equity</stp>
        <stp>IS_GENERAL_AND_ADMINISTRATIVE</stp>
        <stp>FQ4 2012</stp>
        <stp>FQ4 2012</stp>
        <stp>[AMZ_2009-2018.xlsx]Income - Adjusted!R15C18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5" s="2"/>
      </tp>
      <tp t="s">
        <v>—</v>
        <stp/>
        <stp>##V3_BDHV12</stp>
        <stp>AMZN US Equity</stp>
        <stp>BS_OTHER_INV</stp>
        <stp>FQ4 2012</stp>
        <stp>FQ4 2012</stp>
        <stp>[AMZ_2009-2018.xlsx]Bal Sheet - Standardized!R17C18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7" s="3"/>
      </tp>
      <tp>
        <v>467</v>
        <stp/>
        <stp>##V3_BDHV12</stp>
        <stp>AMZN US Equity</stp>
        <stp>IS_GENERAL_AND_ADMINISTRATIVE</stp>
        <stp>FQ2 2015</stp>
        <stp>FQ2 2015</stp>
        <stp>[AMZ_2009-2018.xlsx]Income - Adjusted!R15C28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5" s="2"/>
      </tp>
      <tp>
        <v>0</v>
        <stp/>
        <stp>##V3_BDHV12</stp>
        <stp>AMZN US Equity</stp>
        <stp>CF_DVD_PAID</stp>
        <stp>FQ2 2011</stp>
        <stp>FQ2 2011</stp>
        <stp>[AMZ_2009-2018.xlsx]Cash Flow - Standardized!R41C12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1" s="4"/>
      </tp>
      <tp>
        <v>37940</v>
        <stp/>
        <stp>##V3_BDHV12</stp>
        <stp>AMZN US Equity</stp>
        <stp>BS_LT_BORROW</stp>
        <stp>FQ1 2018</stp>
        <stp>FQ1 2018</stp>
        <stp>[AMZ_2009-2018.xlsx]Bal Sheet - Standardized!R52C39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2" s="3"/>
      </tp>
      <tp>
        <v>0</v>
        <stp/>
        <stp>##V3_BDHV12</stp>
        <stp>AMZN US Equity</stp>
        <stp>CF_DVD_PAID</stp>
        <stp>FQ4 2014</stp>
        <stp>FQ4 2014</stp>
        <stp>[AMZ_2009-2018.xlsx]Cash Flow - Standardized!R41C26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1" s="4"/>
      </tp>
      <tp>
        <v>0</v>
        <stp/>
        <stp>##V3_BDHV12</stp>
        <stp>AMZN US Equity</stp>
        <stp>CF_DVD_PAID</stp>
        <stp>FQ3 2013</stp>
        <stp>FQ3 2013</stp>
        <stp>[AMZ_2009-2018.xlsx]Cash Flow - Standardized!R41C21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1" s="4"/>
      </tp>
      <tp>
        <v>6547</v>
        <stp/>
        <stp>##V3_BDHV12</stp>
        <stp>AMZN US Equity</stp>
        <stp>BS_ST_BORROW</stp>
        <stp>FQ1 2018</stp>
        <stp>FQ1 2018</stp>
        <stp>[AMZ_2009-2018.xlsx]Bal Sheet - Standardized!R43C39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3" s="3"/>
      </tp>
      <tp t="s">
        <v>—</v>
        <stp/>
        <stp>##V3_BDHV12</stp>
        <stp>AMZN US Equity</stp>
        <stp>BS_OTHER_INV</stp>
        <stp>FQ1 2014</stp>
        <stp>FQ1 2014</stp>
        <stp>[AMZ_2009-2018.xlsx]Bal Sheet - Standardized!R17C23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7" s="3"/>
      </tp>
      <tp>
        <v>8432</v>
        <stp/>
        <stp>##V3_BDHV12</stp>
        <stp>AMZN US Equity</stp>
        <stp>TOTAL_EQUITY</stp>
        <stp>FQ1 2013</stp>
        <stp>FQ1 2013</stp>
        <stp>[AMZ_2009-2018.xlsx]Bal Sheet - Standardized!R73C19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3" s="3"/>
      </tp>
      <tp t="s">
        <v>—</v>
        <stp/>
        <stp>##V3_BDHV12</stp>
        <stp>AMZN US Equity</stp>
        <stp>BS_OTHER_INV</stp>
        <stp>FQ2 2016</stp>
        <stp>FQ2 2016</stp>
        <stp>[AMZ_2009-2018.xlsx]Bal Sheet - Standardized!R17C32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7" s="3"/>
      </tp>
      <tp t="s">
        <v>—</v>
        <stp/>
        <stp>##V3_BDHV12</stp>
        <stp>AMZN US Equity</stp>
        <stp>BS_OTHER_INV</stp>
        <stp>FQ3 2017</stp>
        <stp>FQ3 2017</stp>
        <stp>[AMZ_2009-2018.xlsx]Bal Sheet - Standardized!R17C37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7" s="3"/>
      </tp>
      <tp t="s">
        <v>—</v>
        <stp/>
        <stp>##V3_BDHV12</stp>
        <stp>AMZN US Equity</stp>
        <stp>BS_OTHER_INV</stp>
        <stp>FQ4 2009</stp>
        <stp>FQ4 2009</stp>
        <stp>[AMZ_2009-2018.xlsx]Bal Sheet - Standardized!R17C6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7" s="3"/>
      </tp>
      <tp>
        <v>0</v>
        <stp/>
        <stp>##V3_BDHV12</stp>
        <stp>AMZN US Equity</stp>
        <stp>CF_ACQUISITION_OF_INTANG_ASSETS</stp>
        <stp>FQ4 2009</stp>
        <stp>FQ4 2009</stp>
        <stp>[AMZ_2009-2018.xlsx]Cash Flow - Standardized!R28C6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8" s="4"/>
      </tp>
      <tp t="s">
        <v>—</v>
        <stp/>
        <stp>##V3_BDHV12</stp>
        <stp>AMZN US Equity</stp>
        <stp>INVTRY_FINISHED_GOODS</stp>
        <stp>FQ4 2015</stp>
        <stp>FQ4 2015</stp>
        <stp>[AMZ_2009-2018.xlsx]Bal Sheet - Standardized!R16C30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6" s="3"/>
      </tp>
      <tp t="s">
        <v>—</v>
        <stp/>
        <stp>##V3_BDHV12</stp>
        <stp>AMZN US Equity</stp>
        <stp>BS_ACCUM_DEPR</stp>
        <stp>FQ1 2017</stp>
        <stp>FQ1 2017</stp>
        <stp>[AMZ_2009-2018.xlsx]Bal Sheet - Standardized!R25C35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5" s="3"/>
      </tp>
      <tp t="s">
        <v>—</v>
        <stp/>
        <stp>##V3_BDHV12</stp>
        <stp>AMZN US Equity</stp>
        <stp>BS_ACCUM_DEPR</stp>
        <stp>FQ3 2014</stp>
        <stp>FQ3 2014</stp>
        <stp>[AMZ_2009-2018.xlsx]Bal Sheet - Standardized!R25C25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5" s="3"/>
      </tp>
      <tp>
        <v>3860</v>
        <stp/>
        <stp>##V3_BDHV12</stp>
        <stp>AMZN US Equity</stp>
        <stp>BS_ACCUM_DEPR</stp>
        <stp>FQ4 2013</stp>
        <stp>FQ4 2013</stp>
        <stp>[AMZ_2009-2018.xlsx]Bal Sheet - Standardized!R25C22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5" s="3"/>
      </tp>
      <tp>
        <v>456</v>
        <stp/>
        <stp>##V3_BDHV12</stp>
        <stp>AMZN US Equity</stp>
        <stp>IS_AVG_NUM_SH_FOR_EPS</stp>
        <stp>FQ2 2013</stp>
        <stp>FQ2 2013</stp>
        <stp>[AMZ_2009-2018.xlsx]Income - Adjusted!R49C20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49" s="2"/>
      </tp>
      <tp>
        <v>467</v>
        <stp/>
        <stp>##V3_BDHV12</stp>
        <stp>AMZN US Equity</stp>
        <stp>IS_SH_FOR_DILUTED_EPS</stp>
        <stp>FQ4 2013</stp>
        <stp>FQ4 2013</stp>
        <stp>[AMZ_2009-2018.xlsx]Income - Adjusted!R54C22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54" s="2"/>
      </tp>
      <tp>
        <v>486</v>
        <stp/>
        <stp>##V3_BDHV12</stp>
        <stp>AMZN US Equity</stp>
        <stp>IS_AVG_NUM_SH_FOR_EPS</stp>
        <stp>FQ2 2018</stp>
        <stp>FQ2 2018</stp>
        <stp>[AMZ_2009-2018.xlsx]Income - Adjusted!R49C40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49" s="2"/>
      </tp>
      <tp t="s">
        <v>—</v>
        <stp/>
        <stp>##V3_BDHV12</stp>
        <stp>AMZN US Equity</stp>
        <stp>INVTRY_FINISHED_GOODS</stp>
        <stp>FQ1 2012</stp>
        <stp>FQ1 2012</stp>
        <stp>[AMZ_2009-2018.xlsx]Bal Sheet - Standardized!R16C15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6" s="3"/>
      </tp>
      <tp>
        <v>3119</v>
        <stp/>
        <stp>##V3_BDHV12</stp>
        <stp>AMZN US Equity</stp>
        <stp>LONG_TERM_BORROWINGS_DETAILED</stp>
        <stp>FQ2 2014</stp>
        <stp>FQ2 2014</stp>
        <stp>[AMZ_2009-2018.xlsx]Bal Sheet - Standardized!R53C24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3" s="3"/>
      </tp>
      <tp>
        <v>842</v>
        <stp/>
        <stp>##V3_BDHV12</stp>
        <stp>AMZN US Equity</stp>
        <stp>BS_ACCUM_DEPR</stp>
        <stp>FQ4 2010</stp>
        <stp>FQ4 2010</stp>
        <stp>[AMZ_2009-2018.xlsx]Bal Sheet - Standardized!R25C10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5" s="3"/>
      </tp>
      <tp>
        <v>8219</v>
        <stp/>
        <stp>##V3_BDHV12</stp>
        <stp>AMZN US Equity</stp>
        <stp>LONG_TERM_BORROWINGS_DETAILED</stp>
        <stp>FQ1 2016</stp>
        <stp>FQ1 2016</stp>
        <stp>[AMZ_2009-2018.xlsx]Bal Sheet - Standardized!R53C31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3" s="3"/>
      </tp>
      <tp>
        <v>470</v>
        <stp/>
        <stp>##V3_BDHV12</stp>
        <stp>AMZN US Equity</stp>
        <stp>IS_AVG_NUM_SH_FOR_EPS</stp>
        <stp>FQ4 2015</stp>
        <stp>FQ4 2015</stp>
        <stp>[AMZ_2009-2018.xlsx]Income - Adjusted!R49C30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49" s="2"/>
      </tp>
      <tp>
        <v>460</v>
        <stp/>
        <stp>##V3_BDHV12</stp>
        <stp>AMZN US Equity</stp>
        <stp>IS_SH_FOR_DILUTED_EPS</stp>
        <stp>FQ2 2011</stp>
        <stp>FQ2 2011</stp>
        <stp>[AMZ_2009-2018.xlsx]Income - Adjusted!R54C12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54" s="2"/>
      </tp>
      <tp>
        <v>483</v>
        <stp/>
        <stp>##V3_BDHV12</stp>
        <stp>AMZN US Equity</stp>
        <stp>IS_SH_FOR_DILUTED_EPS</stp>
        <stp>FQ2 2016</stp>
        <stp>FQ2 2016</stp>
        <stp>[AMZ_2009-2018.xlsx]Income - Adjusted!R54C32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54" s="2"/>
      </tp>
      <tp>
        <v>450</v>
        <stp/>
        <stp>##V3_BDHV12</stp>
        <stp>AMZN US Equity</stp>
        <stp>IS_AVG_NUM_SH_FOR_EPS</stp>
        <stp>FQ4 2010</stp>
        <stp>FQ4 2010</stp>
        <stp>[AMZ_2009-2018.xlsx]Income - Adjusted!R49C10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49" s="2"/>
      </tp>
      <tp t="s">
        <v>—</v>
        <stp/>
        <stp>##V3_BDHV12</stp>
        <stp>AMZN US Equity</stp>
        <stp>INVTRY_FINISHED_GOODS</stp>
        <stp>FQ3 2013</stp>
        <stp>FQ3 2013</stp>
        <stp>[AMZ_2009-2018.xlsx]Bal Sheet - Standardized!R16C21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6" s="3"/>
      </tp>
      <tp t="s">
        <v>—</v>
        <stp/>
        <stp>##V3_BDHV12</stp>
        <stp>AMZN US Equity</stp>
        <stp>INVTRY_FINISHED_GOODS</stp>
        <stp>FQ4 2014</stp>
        <stp>FQ4 2014</stp>
        <stp>[AMZ_2009-2018.xlsx]Bal Sheet - Standardized!R16C26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6" s="3"/>
      </tp>
      <tp>
        <v>817</v>
        <stp/>
        <stp>##V3_BDHV12</stp>
        <stp>AMZN US Equity</stp>
        <stp>LONG_TERM_BORROWINGS_DETAILED</stp>
        <stp>FQ4 2011</stp>
        <stp>FQ4 2011</stp>
        <stp>[AMZ_2009-2018.xlsx]Bal Sheet - Standardized!R53C14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3" s="3"/>
      </tp>
      <tp t="s">
        <v>—</v>
        <stp/>
        <stp>##V3_BDHV12</stp>
        <stp>AMZN US Equity</stp>
        <stp>INVTRY_FINISHED_GOODS</stp>
        <stp>FQ2 2011</stp>
        <stp>FQ2 2011</stp>
        <stp>[AMZ_2009-2018.xlsx]Bal Sheet - Standardized!R16C12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6" s="3"/>
      </tp>
      <tp t="s">
        <v>—</v>
        <stp/>
        <stp>##V3_BDHV12</stp>
        <stp>AMZN US Equity</stp>
        <stp>BS_ACCUM_DEPR</stp>
        <stp>FQ2 2015</stp>
        <stp>FQ2 2015</stp>
        <stp>[AMZ_2009-2018.xlsx]Bal Sheet - Standardized!R25C28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5" s="3"/>
      </tp>
      <tp>
        <v>23</v>
        <stp/>
        <stp>##V3_BDHV12</stp>
        <stp>AMZN US Equity</stp>
        <stp>BS_NUM_OF_TSY_SH</stp>
        <stp>FQ4 2015</stp>
        <stp>FQ4 2015</stp>
        <stp>[AMZ_2009-2018.xlsx]Bal Sheet - Standardized!R79C30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79" s="3"/>
      </tp>
      <tp>
        <v>18</v>
        <stp/>
        <stp>##V3_BDHV12</stp>
        <stp>AMZN US Equity</stp>
        <stp>BS_NUM_OF_TSY_SH</stp>
        <stp>FQ4 2011</stp>
        <stp>FQ4 2011</stp>
        <stp>[AMZ_2009-2018.xlsx]Bal Sheet - Standardized!R79C14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79" s="3"/>
      </tp>
      <tp>
        <v>23</v>
        <stp/>
        <stp>##V3_BDHV12</stp>
        <stp>AMZN US Equity</stp>
        <stp>BS_NUM_OF_TSY_SH</stp>
        <stp>FQ3 2012</stp>
        <stp>FQ3 2012</stp>
        <stp>[AMZ_2009-2018.xlsx]Bal Sheet - Standardized!R79C17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79" s="3"/>
      </tp>
      <tp>
        <v>23</v>
        <stp/>
        <stp>##V3_BDHV12</stp>
        <stp>AMZN US Equity</stp>
        <stp>BS_NUM_OF_TSY_SH</stp>
        <stp>FQ3 2016</stp>
        <stp>FQ3 2016</stp>
        <stp>[AMZ_2009-2018.xlsx]Bal Sheet - Standardized!R79C33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79" s="3"/>
      </tp>
      <tp>
        <v>8243</v>
        <stp/>
        <stp>##V3_BDHV12</stp>
        <stp>AMZN US Equity</stp>
        <stp>LONG_TERM_BORROWINGS_DETAILED</stp>
        <stp>FQ3 2015</stp>
        <stp>FQ3 2015</stp>
        <stp>[AMZ_2009-2018.xlsx]Bal Sheet - Standardized!R53C29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3" s="3"/>
      </tp>
      <tp>
        <v>1.6787999999999998</v>
        <stp/>
        <stp>##V3_BDHV12</stp>
        <stp>AMZN US Equity</stp>
        <stp>FREE_CASH_FLOW_PER_SH</stp>
        <stp>FQ2 2015</stp>
        <stp>FQ2 2015</stp>
        <stp>[AMZ_2009-2018.xlsx]Per Share!R23C28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23" s="5"/>
      </tp>
      <tp>
        <v>6.7313000000000001</v>
        <stp/>
        <stp>##V3_BDHV12</stp>
        <stp>AMZN US Equity</stp>
        <stp>FREE_CASH_FLOW_PER_SH</stp>
        <stp>FQ4 2012</stp>
        <stp>FQ4 2012</stp>
        <stp>[AMZ_2009-2018.xlsx]Per Share!R23C18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23" s="5"/>
      </tp>
      <tp>
        <v>18.0642</v>
        <stp/>
        <stp>##V3_BDHV12</stp>
        <stp>AMZN US Equity</stp>
        <stp>FREE_CASH_FLOW_PER_SH</stp>
        <stp>FQ4 2017</stp>
        <stp>FQ4 2017</stp>
        <stp>[AMZ_2009-2018.xlsx]Per Share!R23C38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23" s="5"/>
      </tp>
      <tp>
        <v>3303</v>
        <stp/>
        <stp>##V3_BDHV12</stp>
        <stp>AMZN US Equity</stp>
        <stp>ST_CAPITAL_LEASE_OBLIGATIONS</stp>
        <stp>FQ1 2016</stp>
        <stp>FQ1 2016</stp>
        <stp>[AMZ_2009-2018.xlsx]Bal Sheet - Standardized!R45C31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5" s="3"/>
      </tp>
      <tp>
        <v>377</v>
        <stp/>
        <stp>##V3_BDHV12</stp>
        <stp>AMZN US Equity</stp>
        <stp>ST_CAPITAL_LEASE_OBLIGATIONS</stp>
        <stp>FQ4 2011</stp>
        <stp>FQ4 2011</stp>
        <stp>[AMZ_2009-2018.xlsx]Bal Sheet - Standardized!R45C14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5" s="3"/>
      </tp>
      <tp t="s">
        <v>—</v>
        <stp/>
        <stp>##V3_BDHV12</stp>
        <stp>AMZN US Equity</stp>
        <stp>ST_CAPITAL_LEASE_OBLIGATIONS</stp>
        <stp>FQ2 2014</stp>
        <stp>FQ2 2014</stp>
        <stp>[AMZ_2009-2018.xlsx]Bal Sheet - Standardized!R45C24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5" s="3"/>
      </tp>
      <tp t="s">
        <v>—</v>
        <stp/>
        <stp>##V3_BDHV12</stp>
        <stp>AMZN US Equity</stp>
        <stp>ST_CAPITAL_LEASE_OBLIGATIONS</stp>
        <stp>FQ3 2015</stp>
        <stp>FQ3 2015</stp>
        <stp>[AMZ_2009-2018.xlsx]Bal Sheet - Standardized!R45C29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5" s="3"/>
      </tp>
      <tp>
        <v>0</v>
        <stp/>
        <stp>##V3_BDHV12</stp>
        <stp>AMZN US Equity</stp>
        <stp>CF_DVD_PAID</stp>
        <stp>FQ2 2012</stp>
        <stp>FQ2 2012</stp>
        <stp>[AMZ_2009-2018.xlsx]Cash Flow - Standardized!R41C16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1" s="4"/>
      </tp>
      <tp t="s">
        <v>—</v>
        <stp/>
        <stp>##V3_BDHV12</stp>
        <stp>AMZN US Equity</stp>
        <stp>BS_OTHER_INV</stp>
        <stp>FQ3 2015</stp>
        <stp>FQ3 2015</stp>
        <stp>[AMZ_2009-2018.xlsx]Bal Sheet - Standardized!R17C29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7" s="3"/>
      </tp>
      <tp>
        <v>0</v>
        <stp/>
        <stp>##V3_BDHV12</stp>
        <stp>AMZN US Equity</stp>
        <stp>CF_DVD_PAID</stp>
        <stp>FQ1 2011</stp>
        <stp>FQ1 2011</stp>
        <stp>[AMZ_2009-2018.xlsx]Cash Flow - Standardized!R41C11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1" s="4"/>
      </tp>
      <tp>
        <v>0</v>
        <stp/>
        <stp>##V3_BDHV12</stp>
        <stp>AMZN US Equity</stp>
        <stp>CF_DVD_PAID</stp>
        <stp>FQ4 2016</stp>
        <stp>FQ4 2016</stp>
        <stp>[AMZ_2009-2018.xlsx]Cash Flow - Standardized!R41C34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1" s="4"/>
      </tp>
      <tp>
        <v>7553</v>
        <stp/>
        <stp>##V3_BDHV12</stp>
        <stp>AMZN US Equity</stp>
        <stp>TOTAL_EQUITY</stp>
        <stp>FQ3 2012</stp>
        <stp>FQ3 2012</stp>
        <stp>[AMZ_2009-2018.xlsx]Bal Sheet - Standardized!R73C17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3" s="3"/>
      </tp>
      <tp t="s">
        <v>—</v>
        <stp/>
        <stp>##V3_BDHV12</stp>
        <stp>AMZN US Equity</stp>
        <stp>BS_OTHER_INV</stp>
        <stp>FQ1 2016</stp>
        <stp>FQ1 2016</stp>
        <stp>[AMZ_2009-2018.xlsx]Bal Sheet - Standardized!R17C31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7" s="3"/>
      </tp>
      <tp t="s">
        <v>—</v>
        <stp/>
        <stp>##V3_BDHV12</stp>
        <stp>AMZN US Equity</stp>
        <stp>BS_OTHER_INV</stp>
        <stp>FQ4 2011</stp>
        <stp>FQ4 2011</stp>
        <stp>[AMZ_2009-2018.xlsx]Bal Sheet - Standardized!R17C14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7" s="3"/>
      </tp>
      <tp>
        <v>27709</v>
        <stp/>
        <stp>##V3_BDHV12</stp>
        <stp>AMZN US Equity</stp>
        <stp>TOTAL_EQUITY</stp>
        <stp>FQ4 2017</stp>
        <stp>FQ4 2017</stp>
        <stp>[AMZ_2009-2018.xlsx]Bal Sheet - Standardized!R73C38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3" s="3"/>
      </tp>
      <tp t="s">
        <v>—</v>
        <stp/>
        <stp>##V3_BDHV12</stp>
        <stp>AMZN US Equity</stp>
        <stp>BS_OTHER_INV</stp>
        <stp>FQ2 2014</stp>
        <stp>FQ2 2014</stp>
        <stp>[AMZ_2009-2018.xlsx]Bal Sheet - Standardized!R17C24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7" s="3"/>
      </tp>
      <tp>
        <v>12.7599</v>
        <stp/>
        <stp>##V3_BDHV12</stp>
        <stp>AMZN US Equity</stp>
        <stp>CHG_PCT_PERIOD</stp>
        <stp>FQ2 2012</stp>
        <stp>FQ2 2012</stp>
        <stp>[AMZ_2009-2018.xlsx]Stock Value!R7C16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7" s="6"/>
      </tp>
      <tp>
        <v>11.3729</v>
        <stp/>
        <stp>##V3_BDHV12</stp>
        <stp>AMZN US Equity</stp>
        <stp>CHG_PCT_PERIOD</stp>
        <stp>FQ3 2012</stp>
        <stp>FQ3 2012</stp>
        <stp>[AMZ_2009-2018.xlsx]Stock Value!R7C17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7" s="6"/>
      </tp>
      <tp>
        <v>32.0381</v>
        <stp/>
        <stp>##V3_BDHV12</stp>
        <stp>AMZN US Equity</stp>
        <stp>CHG_PCT_PERIOD</stp>
        <stp>FQ4 2015</stp>
        <stp>FQ4 2015</stp>
        <stp>[AMZ_2009-2018.xlsx]Stock Value!R7C30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7" s="6"/>
      </tp>
      <tp>
        <v>16.990200000000002</v>
        <stp/>
        <stp>##V3_BDHV12</stp>
        <stp>AMZN US Equity</stp>
        <stp>CHG_PCT_PERIOD</stp>
        <stp>FQ1 2012</stp>
        <stp>FQ1 2012</stp>
        <stp>[AMZ_2009-2018.xlsx]Stock Value!R7C15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7" s="6"/>
      </tp>
      <tp>
        <v>14.6059</v>
        <stp/>
        <stp>##V3_BDHV12</stp>
        <stp>AMZN US Equity</stp>
        <stp>CHG_PCT_PERIOD</stp>
        <stp>FQ4 2010</stp>
        <stp>FQ4 2010</stp>
        <stp>[AMZ_2009-2018.xlsx]Stock Value!R7C10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7" s="6"/>
      </tp>
      <tp>
        <v>-0.68700000000000006</v>
        <stp/>
        <stp>##V3_BDHV12</stp>
        <stp>AMZN US Equity</stp>
        <stp>CHG_PCT_PERIOD</stp>
        <stp>FQ3 2017</stp>
        <stp>FQ3 2017</stp>
        <stp>[AMZ_2009-2018.xlsx]Stock Value!R7C37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7" s="6"/>
      </tp>
      <tp>
        <v>9.1884999999999994</v>
        <stp/>
        <stp>##V3_BDHV12</stp>
        <stp>AMZN US Equity</stp>
        <stp>CHG_PCT_PERIOD</stp>
        <stp>FQ2 2017</stp>
        <stp>FQ2 2017</stp>
        <stp>[AMZ_2009-2018.xlsx]Stock Value!R7C36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7" s="6"/>
      </tp>
      <tp>
        <v>18.2258</v>
        <stp/>
        <stp>##V3_BDHV12</stp>
        <stp>AMZN US Equity</stp>
        <stp>CHG_PCT_PERIOD</stp>
        <stp>FQ1 2017</stp>
        <stp>FQ1 2017</stp>
        <stp>[AMZ_2009-2018.xlsx]Stock Value!R7C35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7" s="6"/>
      </tp>
      <tp t="s">
        <v>—</v>
        <stp/>
        <stp>##V3_BDHV12</stp>
        <stp>AMZN US Equity</stp>
        <stp>IS_LEGAL_LITIGATION_SETTLEMENT</stp>
        <stp>FQ2 2018</stp>
        <stp>FQ2 2018</stp>
        <stp>[AMZ_2009-2018.xlsx]Income - Adjusted!R28C40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8" s="2"/>
      </tp>
      <tp>
        <v>8</v>
        <stp/>
        <stp>##V3_BDHV12</stp>
        <stp>AMZN US Equity</stp>
        <stp>IS_INT_INC</stp>
        <stp>FQ2 2009</stp>
        <stp>FQ2 2009</stp>
        <stp>[AMZ_2009-2018.xlsx]Income - Adjusted!R22C4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2" s="2"/>
      </tp>
      <tp>
        <v>460</v>
        <stp/>
        <stp>##V3_BDHV12</stp>
        <stp>AMZN US Equity</stp>
        <stp>IS_AVG_NUM_SH_FOR_EPS</stp>
        <stp>FQ1 2014</stp>
        <stp>FQ1 2014</stp>
        <stp>[AMZ_2009-2018.xlsx]Income - Adjusted!R49C23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49" s="2"/>
      </tp>
      <tp t="s">
        <v>—</v>
        <stp/>
        <stp>##V3_BDHV12</stp>
        <stp>AMZN US Equity</stp>
        <stp>INVTRY_FINISHED_GOODS</stp>
        <stp>FQ2 2012</stp>
        <stp>FQ2 2012</stp>
        <stp>[AMZ_2009-2018.xlsx]Bal Sheet - Standardized!R16C16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6" s="3"/>
      </tp>
      <tp t="s">
        <v>—</v>
        <stp/>
        <stp>##V3_BDHV12</stp>
        <stp>AMZN US Equity</stp>
        <stp>BS_ACCUM_DEPR</stp>
        <stp>FQ1 2015</stp>
        <stp>FQ1 2015</stp>
        <stp>[AMZ_2009-2018.xlsx]Bal Sheet - Standardized!R25C27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5" s="3"/>
      </tp>
      <tp>
        <v>454</v>
        <stp/>
        <stp>##V3_BDHV12</stp>
        <stp>AMZN US Equity</stp>
        <stp>IS_AVG_NUM_SH_FOR_EPS</stp>
        <stp>FQ3 2011</stp>
        <stp>FQ3 2011</stp>
        <stp>[AMZ_2009-2018.xlsx]Income - Adjusted!R49C13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49" s="2"/>
      </tp>
      <tp>
        <v>474</v>
        <stp/>
        <stp>##V3_BDHV12</stp>
        <stp>AMZN US Equity</stp>
        <stp>IS_AVG_NUM_SH_FOR_EPS</stp>
        <stp>FQ3 2016</stp>
        <stp>FQ3 2016</stp>
        <stp>[AMZ_2009-2018.xlsx]Income - Adjusted!R49C33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49" s="2"/>
      </tp>
      <tp t="s">
        <v>—</v>
        <stp/>
        <stp>##V3_BDHV12</stp>
        <stp>AMZN US Equity</stp>
        <stp>BS_ACCUM_DEPR</stp>
        <stp>FQ2 2017</stp>
        <stp>FQ2 2017</stp>
        <stp>[AMZ_2009-2018.xlsx]Bal Sheet - Standardized!R25C36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5" s="3"/>
      </tp>
      <tp>
        <v>24710</v>
        <stp/>
        <stp>##V3_BDHV12</stp>
        <stp>AMZN US Equity</stp>
        <stp>LONG_TERM_BORROWINGS_DETAILED</stp>
        <stp>FQ3 2017</stp>
        <stp>FQ3 2017</stp>
        <stp>[AMZ_2009-2018.xlsx]Bal Sheet - Standardized!R53C37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3" s="3"/>
      </tp>
      <tp>
        <v>457</v>
        <stp/>
        <stp>##V3_BDHV12</stp>
        <stp>AMZN US Equity</stp>
        <stp>IS_SH_FOR_DILUTED_EPS</stp>
        <stp>FQ3 2013</stp>
        <stp>FQ3 2013</stp>
        <stp>[AMZ_2009-2018.xlsx]Income - Adjusted!R54C21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54" s="2"/>
      </tp>
      <tp t="s">
        <v>—</v>
        <stp/>
        <stp>##V3_BDHV12</stp>
        <stp>AMZN US Equity</stp>
        <stp>INVTRY_FINISHED_GOODS</stp>
        <stp>FQ1 2011</stp>
        <stp>FQ1 2011</stp>
        <stp>[AMZ_2009-2018.xlsx]Bal Sheet - Standardized!R16C11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6" s="3"/>
      </tp>
      <tp>
        <v>3147</v>
        <stp/>
        <stp>##V3_BDHV12</stp>
        <stp>AMZN US Equity</stp>
        <stp>LONG_TERM_BORROWINGS_DETAILED</stp>
        <stp>FQ1 2014</stp>
        <stp>FQ1 2014</stp>
        <stp>[AMZ_2009-2018.xlsx]Bal Sheet - Standardized!R53C23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3" s="3"/>
      </tp>
      <tp>
        <v>459</v>
        <stp/>
        <stp>##V3_BDHV12</stp>
        <stp>AMZN US Equity</stp>
        <stp>IS_SH_FOR_DILUTED_EPS</stp>
        <stp>FQ1 2011</stp>
        <stp>FQ1 2011</stp>
        <stp>[AMZ_2009-2018.xlsx]Income - Adjusted!R54C11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54" s="2"/>
      </tp>
      <tp>
        <v>481</v>
        <stp/>
        <stp>##V3_BDHV12</stp>
        <stp>AMZN US Equity</stp>
        <stp>IS_SH_FOR_DILUTED_EPS</stp>
        <stp>FQ1 2016</stp>
        <stp>FQ1 2016</stp>
        <stp>[AMZ_2009-2018.xlsx]Income - Adjusted!R54C31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54" s="2"/>
      </tp>
      <tp t="s">
        <v>—</v>
        <stp/>
        <stp>##V3_BDHV12</stp>
        <stp>AMZN US Equity</stp>
        <stp>INVTRY_FINISHED_GOODS</stp>
        <stp>FQ4 2016</stp>
        <stp>FQ4 2016</stp>
        <stp>[AMZ_2009-2018.xlsx]Bal Sheet - Standardized!R16C34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6" s="3"/>
      </tp>
      <tp t="s">
        <v>—</v>
        <stp/>
        <stp>##V3_BDHV12</stp>
        <stp>AMZN US Equity</stp>
        <stp>BS_ACCUM_DEPR</stp>
        <stp>FQ3 2016</stp>
        <stp>FQ3 2016</stp>
        <stp>[AMZ_2009-2018.xlsx]Bal Sheet - Standardized!R25C33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5" s="3"/>
      </tp>
      <tp>
        <v>8212</v>
        <stp/>
        <stp>##V3_BDHV12</stp>
        <stp>AMZN US Equity</stp>
        <stp>LONG_TERM_BORROWINGS_DETAILED</stp>
        <stp>FQ2 2016</stp>
        <stp>FQ2 2016</stp>
        <stp>[AMZ_2009-2018.xlsx]Bal Sheet - Standardized!R53C32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3" s="3"/>
      </tp>
      <tp>
        <v>3093</v>
        <stp/>
        <stp>##V3_BDHV12</stp>
        <stp>AMZN US Equity</stp>
        <stp>LONG_TERM_BORROWINGS_DETAILED</stp>
        <stp>FQ4 2012</stp>
        <stp>FQ4 2012</stp>
        <stp>[AMZ_2009-2018.xlsx]Bal Sheet - Standardized!R53C18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3" s="3"/>
      </tp>
      <tp t="s">
        <v>—</v>
        <stp/>
        <stp>##V3_BDHV12</stp>
        <stp>AMZN US Equity</stp>
        <stp>INVTRY_IN_PROGRESS</stp>
        <stp>FQ1 2018</stp>
        <stp>FQ1 2018</stp>
        <stp>[AMZ_2009-2018.xlsx]Bal Sheet - Standardized!R15C39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5" s="3"/>
      </tp>
      <tp>
        <v>-6.6856999999999998</v>
        <stp/>
        <stp>##V3_BDHV12</stp>
        <stp>AMZN US Equity</stp>
        <stp>FREE_CASH_FLOW_PER_SH</stp>
        <stp>FQ1 2013</stp>
        <stp>FQ1 2013</stp>
        <stp>[AMZ_2009-2018.xlsx]Per Share!R23C19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23" s="5"/>
      </tp>
      <tp>
        <v>-10.1012</v>
        <stp/>
        <stp>##V3_BDHV12</stp>
        <stp>AMZN US Equity</stp>
        <stp>FREE_CASH_FLOW_PER_SH</stp>
        <stp>FQ1 2018</stp>
        <stp>FQ1 2018</stp>
        <stp>[AMZ_2009-2018.xlsx]Per Share!R23C39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23" s="5"/>
      </tp>
      <tp>
        <v>3.0234999999999999</v>
        <stp/>
        <stp>##V3_BDHV12</stp>
        <stp>AMZN US Equity</stp>
        <stp>FREE_CASH_FLOW_PER_SH</stp>
        <stp>FQ3 2015</stp>
        <stp>FQ3 2015</stp>
        <stp>[AMZ_2009-2018.xlsx]Per Share!R23C29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23" s="5"/>
      </tp>
      <tp>
        <v>4559</v>
        <stp/>
        <stp>##V3_BDHV12</stp>
        <stp>AMZN US Equity</stp>
        <stp>ST_CAPITAL_LEASE_OBLIGATIONS</stp>
        <stp>FQ1 2017</stp>
        <stp>FQ1 2017</stp>
        <stp>[AMZ_2009-2018.xlsx]Bal Sheet - Standardized!R45C35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5" s="3"/>
      </tp>
      <tp>
        <v>218</v>
        <stp/>
        <stp>##V3_BDHV12</stp>
        <stp>AMZN US Equity</stp>
        <stp>ST_CAPITAL_LEASE_OBLIGATIONS</stp>
        <stp>FQ4 2010</stp>
        <stp>FQ4 2010</stp>
        <stp>[AMZ_2009-2018.xlsx]Bal Sheet - Standardized!R45C10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5" s="3"/>
      </tp>
      <tp t="s">
        <v>—</v>
        <stp/>
        <stp>##V3_BDHV12</stp>
        <stp>AMZN US Equity</stp>
        <stp>ST_CAPITAL_LEASE_OBLIGATIONS</stp>
        <stp>FQ3 2014</stp>
        <stp>FQ3 2014</stp>
        <stp>[AMZ_2009-2018.xlsx]Bal Sheet - Standardized!R45C25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5" s="3"/>
      </tp>
      <tp>
        <v>955</v>
        <stp/>
        <stp>##V3_BDHV12</stp>
        <stp>AMZN US Equity</stp>
        <stp>ST_CAPITAL_LEASE_OBLIGATIONS</stp>
        <stp>FQ4 2013</stp>
        <stp>FQ4 2013</stp>
        <stp>[AMZ_2009-2018.xlsx]Bal Sheet - Standardized!R45C22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5" s="3"/>
      </tp>
      <tp t="s">
        <v>—</v>
        <stp/>
        <stp>##V3_BDHV12</stp>
        <stp>AMZN US Equity</stp>
        <stp>ST_CAPITAL_LEASE_OBLIGATIONS</stp>
        <stp>FQ2 2015</stp>
        <stp>FQ2 2015</stp>
        <stp>[AMZ_2009-2018.xlsx]Bal Sheet - Standardized!R45C28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5" s="3"/>
      </tp>
      <tp>
        <v>0</v>
        <stp/>
        <stp>##V3_BDHV12</stp>
        <stp>AMZN US Equity</stp>
        <stp>CF_DVD_PAID</stp>
        <stp>FQ3 2012</stp>
        <stp>FQ3 2012</stp>
        <stp>[AMZ_2009-2018.xlsx]Cash Flow - Standardized!R41C17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1" s="4"/>
      </tp>
      <tp>
        <v>19285</v>
        <stp/>
        <stp>##V3_BDHV12</stp>
        <stp>AMZN US Equity</stp>
        <stp>TOTAL_EQUITY</stp>
        <stp>FQ4 2016</stp>
        <stp>FQ4 2016</stp>
        <stp>[AMZ_2009-2018.xlsx]Bal Sheet - Standardized!R73C34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3" s="3"/>
      </tp>
      <tp t="s">
        <v>—</v>
        <stp/>
        <stp>##V3_BDHV12</stp>
        <stp>AMZN US Equity</stp>
        <stp>BS_OTHER_INV</stp>
        <stp>FQ2 2015</stp>
        <stp>FQ2 2015</stp>
        <stp>[AMZ_2009-2018.xlsx]Bal Sheet - Standardized!R17C28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7" s="3"/>
      </tp>
      <tp>
        <v>7347</v>
        <stp/>
        <stp>##V3_BDHV12</stp>
        <stp>AMZN US Equity</stp>
        <stp>TOTAL_EQUITY</stp>
        <stp>FQ1 2011</stp>
        <stp>FQ1 2011</stp>
        <stp>[AMZ_2009-2018.xlsx]Bal Sheet - Standardized!R73C11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3" s="3"/>
      </tp>
      <tp>
        <v>7505</v>
        <stp/>
        <stp>##V3_BDHV12</stp>
        <stp>AMZN US Equity</stp>
        <stp>TOTAL_EQUITY</stp>
        <stp>FQ2 2012</stp>
        <stp>FQ2 2012</stp>
        <stp>[AMZ_2009-2018.xlsx]Bal Sheet - Standardized!R73C16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3" s="3"/>
      </tp>
      <tp>
        <v>0</v>
        <stp/>
        <stp>##V3_BDHV12</stp>
        <stp>AMZN US Equity</stp>
        <stp>CF_DVD_PAID</stp>
        <stp>FQ4 2017</stp>
        <stp>FQ4 2017</stp>
        <stp>[AMZ_2009-2018.xlsx]Cash Flow - Standardized!R41C38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1" s="4"/>
      </tp>
      <tp>
        <v>5257</v>
        <stp/>
        <stp>##V3_BDHV12</stp>
        <stp>AMZN US Equity</stp>
        <stp>TOTAL_EQUITY</stp>
        <stp>FQ4 2009</stp>
        <stp>FQ4 2009</stp>
        <stp>[AMZ_2009-2018.xlsx]Bal Sheet - Standardized!R73C6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3" s="3"/>
      </tp>
      <tp t="s">
        <v>—</v>
        <stp/>
        <stp>##V3_BDHV12</stp>
        <stp>AMZN US Equity</stp>
        <stp>BS_OTHER_INV</stp>
        <stp>FQ1 2017</stp>
        <stp>FQ1 2017</stp>
        <stp>[AMZ_2009-2018.xlsx]Bal Sheet - Standardized!R17C35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7" s="3"/>
      </tp>
      <tp t="s">
        <v>—</v>
        <stp/>
        <stp>##V3_BDHV12</stp>
        <stp>AMZN US Equity</stp>
        <stp>BS_OTHER_INV</stp>
        <stp>FQ4 2013</stp>
        <stp>FQ4 2013</stp>
        <stp>[AMZ_2009-2018.xlsx]Bal Sheet - Standardized!R17C22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7" s="3"/>
      </tp>
      <tp t="s">
        <v>—</v>
        <stp/>
        <stp>##V3_BDHV12</stp>
        <stp>AMZN US Equity</stp>
        <stp>BS_OTHER_INV</stp>
        <stp>FQ3 2014</stp>
        <stp>FQ3 2014</stp>
        <stp>[AMZ_2009-2018.xlsx]Bal Sheet - Standardized!R17C25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7" s="3"/>
      </tp>
      <tp t="s">
        <v>—</v>
        <stp/>
        <stp>##V3_BDHV12</stp>
        <stp>AMZN US Equity</stp>
        <stp>BS_OTHER_INV</stp>
        <stp>FQ4 2010</stp>
        <stp>FQ4 2010</stp>
        <stp>[AMZ_2009-2018.xlsx]Bal Sheet - Standardized!R17C10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7" s="3"/>
      </tp>
      <tp>
        <v>16</v>
        <stp/>
        <stp>##V3_BDHV12</stp>
        <stp>AMZN US Equity</stp>
        <stp>BS_NUM_OF_TSY_SH</stp>
        <stp>FQ1 2010</stp>
        <stp>FQ1 2010</stp>
        <stp>[AMZ_2009-2018.xlsx]Bal Sheet - Standardized!R79C7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79" s="3"/>
      </tp>
      <tp>
        <v>2610</v>
        <stp/>
        <stp>##V3_BDHV12</stp>
        <stp>AMZN US Equity</stp>
        <stp>CF_CASH_FROM_OPER</stp>
        <stp>FQ4 2009</stp>
        <stp>FQ4 2009</stp>
        <stp>[AMZ_2009-2018.xlsx]Cash Flow - Standardized!R19C6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9" s="4"/>
      </tp>
      <tp>
        <v>7</v>
        <stp/>
        <stp>##V3_BDHV12</stp>
        <stp>AMZN US Equity</stp>
        <stp>IS_INT_INC</stp>
        <stp>FQ3 2009</stp>
        <stp>FQ3 2009</stp>
        <stp>[AMZ_2009-2018.xlsx]Income - Adjusted!R22C5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2" s="2"/>
      </tp>
      <tp t="s">
        <v>—</v>
        <stp/>
        <stp>##V3_BDHV12</stp>
        <stp>AMZN US Equity</stp>
        <stp>INVTRY_FINISHED_GOODS</stp>
        <stp>FQ3 2012</stp>
        <stp>FQ3 2012</stp>
        <stp>[AMZ_2009-2018.xlsx]Bal Sheet - Standardized!R16C17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6" s="3"/>
      </tp>
      <tp>
        <v>8257</v>
        <stp/>
        <stp>##V3_BDHV12</stp>
        <stp>AMZN US Equity</stp>
        <stp>LONG_TERM_BORROWINGS_DETAILED</stp>
        <stp>FQ1 2015</stp>
        <stp>FQ1 2015</stp>
        <stp>[AMZ_2009-2018.xlsx]Bal Sheet - Standardized!R53C27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3" s="3"/>
      </tp>
      <tp>
        <v>7683</v>
        <stp/>
        <stp>##V3_BDHV12</stp>
        <stp>AMZN US Equity</stp>
        <stp>LONG_TERM_BORROWINGS_DETAILED</stp>
        <stp>FQ2 2017</stp>
        <stp>FQ2 2017</stp>
        <stp>[AMZ_2009-2018.xlsx]Bal Sheet - Standardized!R53C36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3" s="3"/>
      </tp>
      <tp>
        <v>481</v>
        <stp/>
        <stp>##V3_BDHV12</stp>
        <stp>AMZN US Equity</stp>
        <stp>IS_SH_FOR_DILUTED_EPS</stp>
        <stp>FQ4 2015</stp>
        <stp>FQ4 2015</stp>
        <stp>[AMZ_2009-2018.xlsx]Income - Adjusted!R54C30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54" s="2"/>
      </tp>
      <tp>
        <v>453</v>
        <stp/>
        <stp>##V3_BDHV12</stp>
        <stp>AMZN US Equity</stp>
        <stp>IS_AVG_NUM_SH_FOR_EPS</stp>
        <stp>FQ2 2011</stp>
        <stp>FQ2 2011</stp>
        <stp>[AMZ_2009-2018.xlsx]Income - Adjusted!R49C12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49" s="2"/>
      </tp>
      <tp>
        <v>458</v>
        <stp/>
        <stp>##V3_BDHV12</stp>
        <stp>AMZN US Equity</stp>
        <stp>IS_SH_FOR_DILUTED_EPS</stp>
        <stp>FQ4 2010</stp>
        <stp>FQ4 2010</stp>
        <stp>[AMZ_2009-2018.xlsx]Income - Adjusted!R54C10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54" s="2"/>
      </tp>
      <tp>
        <v>473</v>
        <stp/>
        <stp>##V3_BDHV12</stp>
        <stp>AMZN US Equity</stp>
        <stp>IS_AVG_NUM_SH_FOR_EPS</stp>
        <stp>FQ2 2016</stp>
        <stp>FQ2 2016</stp>
        <stp>[AMZ_2009-2018.xlsx]Income - Adjusted!R49C32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49" s="2"/>
      </tp>
      <tp t="s">
        <v>—</v>
        <stp/>
        <stp>##V3_BDHV12</stp>
        <stp>AMZN US Equity</stp>
        <stp>BS_ACCUM_DEPR</stp>
        <stp>FQ3 2017</stp>
        <stp>FQ3 2017</stp>
        <stp>[AMZ_2009-2018.xlsx]Bal Sheet - Standardized!R25C37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5" s="3"/>
      </tp>
      <tp t="s">
        <v>—</v>
        <stp/>
        <stp>##V3_BDHV12</stp>
        <stp>AMZN US Equity</stp>
        <stp>BS_ACCUM_DEPR</stp>
        <stp>FQ1 2014</stp>
        <stp>FQ1 2014</stp>
        <stp>[AMZ_2009-2018.xlsx]Bal Sheet - Standardized!R25C23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5" s="3"/>
      </tp>
      <tp>
        <v>456</v>
        <stp/>
        <stp>##V3_BDHV12</stp>
        <stp>AMZN US Equity</stp>
        <stp>IS_SH_FOR_DILUTED_EPS</stp>
        <stp>FQ2 2013</stp>
        <stp>FQ2 2013</stp>
        <stp>[AMZ_2009-2018.xlsx]Income - Adjusted!R54C20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54" s="2"/>
      </tp>
      <tp>
        <v>458</v>
        <stp/>
        <stp>##V3_BDHV12</stp>
        <stp>AMZN US Equity</stp>
        <stp>IS_AVG_NUM_SH_FOR_EPS</stp>
        <stp>FQ4 2013</stp>
        <stp>FQ4 2013</stp>
        <stp>[AMZ_2009-2018.xlsx]Income - Adjusted!R49C22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49" s="2"/>
      </tp>
      <tp>
        <v>500</v>
        <stp/>
        <stp>##V3_BDHV12</stp>
        <stp>AMZN US Equity</stp>
        <stp>IS_SH_FOR_DILUTED_EPS</stp>
        <stp>FQ2 2018</stp>
        <stp>FQ2 2018</stp>
        <stp>[AMZ_2009-2018.xlsx]Income - Adjusted!R54C40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54" s="2"/>
      </tp>
      <tp>
        <v>8205</v>
        <stp/>
        <stp>##V3_BDHV12</stp>
        <stp>AMZN US Equity</stp>
        <stp>LONG_TERM_BORROWINGS_DETAILED</stp>
        <stp>FQ3 2016</stp>
        <stp>FQ3 2016</stp>
        <stp>[AMZ_2009-2018.xlsx]Bal Sheet - Standardized!R53C33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3" s="3"/>
      </tp>
      <tp t="s">
        <v>—</v>
        <stp/>
        <stp>##V3_BDHV12</stp>
        <stp>AMZN US Equity</stp>
        <stp>BS_ACCUM_DEPR</stp>
        <stp>FQ2 2016</stp>
        <stp>FQ2 2016</stp>
        <stp>[AMZ_2009-2018.xlsx]Bal Sheet - Standardized!R25C32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5" s="3"/>
      </tp>
      <tp>
        <v>2522</v>
        <stp/>
        <stp>##V3_BDHV12</stp>
        <stp>AMZN US Equity</stp>
        <stp>BS_ACCUM_DEPR</stp>
        <stp>FQ4 2012</stp>
        <stp>FQ4 2012</stp>
        <stp>[AMZ_2009-2018.xlsx]Bal Sheet - Standardized!R25C18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5" s="3"/>
      </tp>
      <tp t="s">
        <v>—</v>
        <stp/>
        <stp>##V3_BDHV12</stp>
        <stp>AMZN US Equity</stp>
        <stp>INVTRY_FINISHED_GOODS</stp>
        <stp>FQ4 2017</stp>
        <stp>FQ4 2017</stp>
        <stp>[AMZ_2009-2018.xlsx]Bal Sheet - Standardized!R16C38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6" s="3"/>
      </tp>
      <tp>
        <v>5501</v>
        <stp/>
        <stp>##V3_BDHV12</stp>
        <stp>AMZN US Equity</stp>
        <stp>IS_COG_AND_SERVICES_SOLD</stp>
        <stp>FQ1 2010</stp>
        <stp>FQ1 2010</stp>
        <stp>[AMZ_2009-2018.xlsx]Income - Adjusted!R9C7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9" s="2"/>
      </tp>
      <tp>
        <v>24</v>
        <stp/>
        <stp>##V3_BDHV12</stp>
        <stp>AMZN US Equity</stp>
        <stp>BS_NUM_OF_TSY_SH</stp>
        <stp>FQ1 2012</stp>
        <stp>FQ1 2012</stp>
        <stp>[AMZ_2009-2018.xlsx]Bal Sheet - Standardized!R79C15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79" s="3"/>
      </tp>
      <tp>
        <v>24</v>
        <stp/>
        <stp>##V3_BDHV12</stp>
        <stp>AMZN US Equity</stp>
        <stp>BS_NUM_OF_TSY_SH</stp>
        <stp>FQ1 2014</stp>
        <stp>FQ1 2014</stp>
        <stp>[AMZ_2009-2018.xlsx]Bal Sheet - Standardized!R79C23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79" s="3"/>
      </tp>
      <tp>
        <v>23</v>
        <stp/>
        <stp>##V3_BDHV12</stp>
        <stp>AMZN US Equity</stp>
        <stp>BS_NUM_OF_TSY_SH</stp>
        <stp>FQ1 2016</stp>
        <stp>FQ1 2016</stp>
        <stp>[AMZ_2009-2018.xlsx]Bal Sheet - Standardized!R79C31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79" s="3"/>
      </tp>
      <tp t="s">
        <v>—</v>
        <stp/>
        <stp>##V3_BDHV12</stp>
        <stp>AMZN US Equity</stp>
        <stp>BS_CASH_HELD_OVERSEAS</stp>
        <stp>FQ1 2018</stp>
        <stp>FQ1 2018</stp>
        <stp>[AMZ_2009-2018.xlsx]Bal Sheet - Standardized!R88C39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88" s="3"/>
      </tp>
      <tp>
        <v>1.3304</v>
        <stp/>
        <stp>##V3_BDHV12</stp>
        <stp>AMZN US Equity</stp>
        <stp>CUR_RATIO</stp>
        <stp>FQ4 2009</stp>
        <stp>FQ4 2009</stp>
        <stp>[AMZ_2009-2018.xlsx]Bal Sheet - Standardized!R86C6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86" s="3"/>
      </tp>
      <tp>
        <v>1.4003000000000001</v>
        <stp/>
        <stp>##V3_BDHV12</stp>
        <stp>AMZN US Equity</stp>
        <stp>CUR_RATIO</stp>
        <stp>FQ1 2009</stp>
        <stp>FQ1 2009</stp>
        <stp>[AMZ_2009-2018.xlsx]Bal Sheet - Standardized!R86C3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86" s="3"/>
      </tp>
      <tp>
        <v>1.4995000000000001</v>
        <stp/>
        <stp>##V3_BDHV12</stp>
        <stp>AMZN US Equity</stp>
        <stp>CUR_RATIO</stp>
        <stp>FQ3 2010</stp>
        <stp>FQ3 2010</stp>
        <stp>[AMZ_2009-2018.xlsx]Bal Sheet - Standardized!R86C9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86" s="3"/>
      </tp>
      <tp>
        <v>1.5463</v>
        <stp/>
        <stp>##V3_BDHV12</stp>
        <stp>AMZN US Equity</stp>
        <stp>CUR_RATIO</stp>
        <stp>FQ2 2010</stp>
        <stp>FQ2 2010</stp>
        <stp>[AMZ_2009-2018.xlsx]Bal Sheet - Standardized!R86C8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86" s="3"/>
      </tp>
      <tp t="s">
        <v>—</v>
        <stp/>
        <stp>##V3_BDHV12</stp>
        <stp>AMZN US Equity</stp>
        <stp>INVTRY_IN_PROGRESS</stp>
        <stp>FQ1 2017</stp>
        <stp>FQ1 2017</stp>
        <stp>[AMZ_2009-2018.xlsx]Bal Sheet - Standardized!R15C35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5" s="3"/>
      </tp>
      <tp>
        <v>2426</v>
        <stp/>
        <stp>##V3_BDHV12</stp>
        <stp>AMZN US Equity</stp>
        <stp>BS_ACCRUAL</stp>
        <stp>FQ3 2011</stp>
        <stp>FQ3 2011</stp>
        <stp>[AMZ_2009-2018.xlsx]Bal Sheet - Standardized!R42C13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2" s="3"/>
      </tp>
      <tp t="s">
        <v>—</v>
        <stp/>
        <stp>##V3_BDHV12</stp>
        <stp>AMZN US Equity</stp>
        <stp>INVTRY_IN_PROGRESS</stp>
        <stp>FQ4 2013</stp>
        <stp>FQ4 2013</stp>
        <stp>[AMZ_2009-2018.xlsx]Bal Sheet - Standardized!R15C22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5" s="3"/>
      </tp>
      <tp t="s">
        <v>—</v>
        <stp/>
        <stp>##V3_BDHV12</stp>
        <stp>AMZN US Equity</stp>
        <stp>INVTRY_IN_PROGRESS</stp>
        <stp>FQ3 2014</stp>
        <stp>FQ3 2014</stp>
        <stp>[AMZ_2009-2018.xlsx]Bal Sheet - Standardized!R15C25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5" s="3"/>
      </tp>
      <tp>
        <v>5054</v>
        <stp/>
        <stp>##V3_BDHV12</stp>
        <stp>AMZN US Equity</stp>
        <stp>BS_ACCRUAL</stp>
        <stp>FQ2 2013</stp>
        <stp>FQ2 2013</stp>
        <stp>[AMZ_2009-2018.xlsx]Bal Sheet - Standardized!R42C20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2" s="3"/>
      </tp>
      <tp t="s">
        <v>—</v>
        <stp/>
        <stp>##V3_BDHV12</stp>
        <stp>AMZN US Equity</stp>
        <stp>INVTRY_IN_PROGRESS</stp>
        <stp>FQ4 2010</stp>
        <stp>FQ4 2010</stp>
        <stp>[AMZ_2009-2018.xlsx]Bal Sheet - Standardized!R15C10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5" s="3"/>
      </tp>
      <tp t="s">
        <v>—</v>
        <stp/>
        <stp>##V3_BDHV12</stp>
        <stp>AMZN US Equity</stp>
        <stp>INVTRY_IN_PROGRESS</stp>
        <stp>FQ2 2015</stp>
        <stp>FQ2 2015</stp>
        <stp>[AMZ_2009-2018.xlsx]Bal Sheet - Standardized!R15C28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5" s="3"/>
      </tp>
      <tp>
        <v>1.5386</v>
        <stp/>
        <stp>##V3_BDHV12</stp>
        <stp>AMZN US Equity</stp>
        <stp>FREE_CASH_FLOW_PER_SH</stp>
        <stp>FQ2 2017</stp>
        <stp>FQ2 2017</stp>
        <stp>[AMZ_2009-2018.xlsx]Per Share!R23C36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23" s="5"/>
      </tp>
      <tp>
        <v>-0.13969999999999999</v>
        <stp/>
        <stp>##V3_BDHV12</stp>
        <stp>AMZN US Equity</stp>
        <stp>FREE_CASH_FLOW_PER_SH</stp>
        <stp>FQ2 2012</stp>
        <stp>FQ2 2012</stp>
        <stp>[AMZ_2009-2018.xlsx]Per Share!R23C16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23" s="5"/>
      </tp>
      <tp>
        <v>12.006500000000001</v>
        <stp/>
        <stp>##V3_BDHV12</stp>
        <stp>AMZN US Equity</stp>
        <stp>FREE_CASH_FLOW_PER_SH</stp>
        <stp>FQ4 2014</stp>
        <stp>FQ4 2014</stp>
        <stp>[AMZ_2009-2018.xlsx]Per Share!R23C26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23" s="5"/>
      </tp>
      <tp>
        <v>4764</v>
        <stp/>
        <stp>##V3_BDHV12</stp>
        <stp>AMZN US Equity</stp>
        <stp>BS_ACCRUAL</stp>
        <stp>FQ1 2013</stp>
        <stp>FQ1 2013</stp>
        <stp>[AMZ_2009-2018.xlsx]Bal Sheet - Standardized!R42C19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2" s="3"/>
      </tp>
      <tp>
        <v>17037</v>
        <stp/>
        <stp>##V3_BDHV12</stp>
        <stp>AMZN US Equity</stp>
        <stp>BS_TOT_NON_CUR_ASSET</stp>
        <stp>FQ1 2014</stp>
        <stp>FQ1 2014</stp>
        <stp>[AMZ_2009-2018.xlsx]Bal Sheet - Standardized!R34C23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4" s="3"/>
      </tp>
      <tp>
        <v>32856</v>
        <stp/>
        <stp>##V3_BDHV12</stp>
        <stp>AMZN US Equity</stp>
        <stp>BS_TOT_NON_CUR_ASSET</stp>
        <stp>FQ2 2016</stp>
        <stp>FQ2 2016</stp>
        <stp>[AMZ_2009-2018.xlsx]Bal Sheet - Standardized!R34C32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4" s="3"/>
      </tp>
      <tp>
        <v>0</v>
        <stp/>
        <stp>##V3_BDHV12</stp>
        <stp>AMZN US Equity</stp>
        <stp>BS_LT_INVEST</stp>
        <stp>FQ2 2013</stp>
        <stp>FQ2 2013</stp>
        <stp>[AMZ_2009-2018.xlsx]Bal Sheet - Standardized!R26C20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6" s="3"/>
      </tp>
      <tp>
        <v>0</v>
        <stp/>
        <stp>##V3_BDHV12</stp>
        <stp>AMZN US Equity</stp>
        <stp>BS_LT_INVEST</stp>
        <stp>FQ3 2011</stp>
        <stp>FQ3 2011</stp>
        <stp>[AMZ_2009-2018.xlsx]Bal Sheet - Standardized!R26C13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6" s="3"/>
      </tp>
      <tp>
        <v>24363</v>
        <stp/>
        <stp>##V3_BDHV12</stp>
        <stp>AMZN US Equity</stp>
        <stp>BS_TOT_LIAB2</stp>
        <stp>FQ4 2012</stp>
        <stp>FQ4 2012</stp>
        <stp>[AMZ_2009-2018.xlsx]Bal Sheet - Standardized!R63C18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3" s="3"/>
      </tp>
      <tp>
        <v>6494</v>
        <stp/>
        <stp>##V3_BDHV12</stp>
        <stp>AMZN US Equity</stp>
        <stp>ST_CAPITAL_LEASE_OBLIGATIONS</stp>
        <stp>FQ1 2018</stp>
        <stp>FQ1 2018</stp>
        <stp>[AMZ_2009-2018.xlsx]Bal Sheet - Standardized!R45C39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5" s="3"/>
      </tp>
      <tp>
        <v>66689</v>
        <stp/>
        <stp>##V3_BDHV12</stp>
        <stp>AMZN US Equity</stp>
        <stp>BS_TOT_NON_CUR_ASSET</stp>
        <stp>FQ3 2017</stp>
        <stp>FQ3 2017</stp>
        <stp>[AMZ_2009-2018.xlsx]Bal Sheet - Standardized!R34C37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4" s="3"/>
      </tp>
      <tp>
        <v>48538</v>
        <stp/>
        <stp>##V3_BDHV12</stp>
        <stp>AMZN US Equity</stp>
        <stp>BS_TOT_LIAB2</stp>
        <stp>FQ2 2016</stp>
        <stp>FQ2 2016</stp>
        <stp>[AMZ_2009-2018.xlsx]Bal Sheet - Standardized!R63C32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3" s="3"/>
      </tp>
      <tp>
        <v>12397</v>
        <stp/>
        <stp>##V3_BDHV12</stp>
        <stp>AMZN US Equity</stp>
        <stp>BS_TOT_ASSET</stp>
        <stp>FQ2 2010</stp>
        <stp>FQ2 2010</stp>
        <stp>[AMZ_2009-2018.xlsx]Bal Sheet - Standardized!R35C8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5" s="3"/>
      </tp>
      <tp t="s">
        <v>—</v>
        <stp/>
        <stp>##V3_BDHV12</stp>
        <stp>AMZN US Equity</stp>
        <stp>BS_DERIV_&amp;_HEDGING_ASSETS_LT</stp>
        <stp>FQ1 2010</stp>
        <stp>FQ1 2010</stp>
        <stp>[AMZ_2009-2018.xlsx]Bal Sheet - Standardized!R32C7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2" s="3"/>
      </tp>
      <tp t="s">
        <v>—</v>
        <stp/>
        <stp>##V3_BDHV12</stp>
        <stp>AMZN US Equity</stp>
        <stp>BS_DERIV_&amp;_HEDGING_ASSETS_ST</stp>
        <stp>FQ1 2010</stp>
        <stp>FQ1 2010</stp>
        <stp>[AMZ_2009-2018.xlsx]Bal Sheet - Standardized!R19C7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9" s="3"/>
      </tp>
      <tp>
        <v>26036</v>
        <stp/>
        <stp>##V3_BDHV12</stp>
        <stp>AMZN US Equity</stp>
        <stp>BS_TOT_LIAB2</stp>
        <stp>FQ1 2014</stp>
        <stp>FQ1 2014</stp>
        <stp>[AMZ_2009-2018.xlsx]Bal Sheet - Standardized!R63C23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3" s="3"/>
      </tp>
      <tp>
        <v>90609</v>
        <stp/>
        <stp>##V3_BDHV12</stp>
        <stp>AMZN US Equity</stp>
        <stp>BS_TOT_LIAB2</stp>
        <stp>FQ3 2017</stp>
        <stp>FQ3 2017</stp>
        <stp>[AMZ_2009-2018.xlsx]Bal Sheet - Standardized!R63C37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3" s="3"/>
      </tp>
      <tp>
        <v>8972</v>
        <stp/>
        <stp>##V3_BDHV12</stp>
        <stp>AMZN US Equity</stp>
        <stp>BS_TOT_ASSET</stp>
        <stp>FQ3 2009</stp>
        <stp>FQ3 2009</stp>
        <stp>[AMZ_2009-2018.xlsx]Bal Sheet - Standardized!R35C5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5" s="3"/>
      </tp>
      <tp>
        <v>11259</v>
        <stp/>
        <stp>##V3_BDHV12</stp>
        <stp>AMZN US Equity</stp>
        <stp>BS_TOT_NON_CUR_ASSET</stp>
        <stp>FQ4 2012</stp>
        <stp>FQ4 2012</stp>
        <stp>[AMZ_2009-2018.xlsx]Bal Sheet - Standardized!R34C18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4" s="3"/>
      </tp>
      <tp>
        <v>0</v>
        <stp/>
        <stp>##V3_BDHV12</stp>
        <stp>AMZN US Equity</stp>
        <stp>BS_LT_INVEST</stp>
        <stp>FQ1 2013</stp>
        <stp>FQ1 2013</stp>
        <stp>[AMZ_2009-2018.xlsx]Bal Sheet - Standardized!R26C19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6" s="3"/>
      </tp>
      <tp>
        <v>3147</v>
        <stp/>
        <stp>##V3_BDHV12</stp>
        <stp>AMZN US Equity</stp>
        <stp>BS_LT_BORROW</stp>
        <stp>FQ1 2014</stp>
        <stp>FQ1 2014</stp>
        <stp>[AMZ_2009-2018.xlsx]Bal Sheet - Standardized!R52C23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2" s="3"/>
      </tp>
      <tp>
        <v>784</v>
        <stp/>
        <stp>##V3_BDHV12</stp>
        <stp>AMZN US Equity</stp>
        <stp>BS_ST_BORROW</stp>
        <stp>FQ1 2014</stp>
        <stp>FQ1 2014</stp>
        <stp>[AMZ_2009-2018.xlsx]Bal Sheet - Standardized!R43C23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3" s="3"/>
      </tp>
      <tp>
        <v>3548</v>
        <stp/>
        <stp>##V3_BDHV12</stp>
        <stp>AMZN US Equity</stp>
        <stp>BS_ST_BORROW</stp>
        <stp>FQ2 2016</stp>
        <stp>FQ2 2016</stp>
        <stp>[AMZ_2009-2018.xlsx]Bal Sheet - Standardized!R43C32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3" s="3"/>
      </tp>
      <tp>
        <v>14312</v>
        <stp/>
        <stp>##V3_BDHV12</stp>
        <stp>AMZN US Equity</stp>
        <stp>BS_LT_BORROW</stp>
        <stp>FQ2 2016</stp>
        <stp>FQ2 2016</stp>
        <stp>[AMZ_2009-2018.xlsx]Bal Sheet - Standardized!R52C32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2" s="3"/>
      </tp>
      <tp>
        <v>406</v>
        <stp/>
        <stp>##V3_BDHV12</stp>
        <stp>AMZN US Equity</stp>
        <stp>IS_GENERAL_AND_ADMINISTRATIVE</stp>
        <stp>FQ3 2014</stp>
        <stp>FQ3 2014</stp>
        <stp>[AMZ_2009-2018.xlsx]Income - Adjusted!R15C25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5" s="2"/>
      </tp>
      <tp>
        <v>6576</v>
        <stp/>
        <stp>##V3_BDHV12</stp>
        <stp>AMZN US Equity</stp>
        <stp>BS_ST_BORROW</stp>
        <stp>FQ3 2017</stp>
        <stp>FQ3 2017</stp>
        <stp>[AMZ_2009-2018.xlsx]Bal Sheet - Standardized!R43C37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3" s="3"/>
      </tp>
      <tp>
        <v>200</v>
        <stp/>
        <stp>##V3_BDHV12</stp>
        <stp>AMZN US Equity</stp>
        <stp>IS_GENERAL_AND_ADMINISTRATIVE</stp>
        <stp>FQ1 2012</stp>
        <stp>FQ1 2012</stp>
        <stp>[AMZ_2009-2018.xlsx]Income - Adjusted!R15C15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5" s="2"/>
      </tp>
      <tp>
        <v>795</v>
        <stp/>
        <stp>##V3_BDHV12</stp>
        <stp>AMZN US Equity</stp>
        <stp>IS_GENERAL_AND_ADMINISTRATIVE</stp>
        <stp>FQ1 2017</stp>
        <stp>FQ1 2017</stp>
        <stp>[AMZ_2009-2018.xlsx]Income - Adjusted!R15C35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5" s="2"/>
      </tp>
      <tp>
        <v>36610</v>
        <stp/>
        <stp>##V3_BDHV12</stp>
        <stp>AMZN US Equity</stp>
        <stp>BS_LT_BORROW</stp>
        <stp>FQ3 2017</stp>
        <stp>FQ3 2017</stp>
        <stp>[AMZ_2009-2018.xlsx]Bal Sheet - Standardized!R52C37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2" s="3"/>
      </tp>
      <tp>
        <v>2131</v>
        <stp/>
        <stp>##V3_BDHV12</stp>
        <stp>AMZN US Equity</stp>
        <stp>NON_CUR_LIAB</stp>
        <stp>FQ2 2011</stp>
        <stp>FQ2 2011</stp>
        <stp>[AMZ_2009-2018.xlsx]Bal Sheet - Standardized!R62C12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2" s="3"/>
      </tp>
      <tp>
        <v>34995</v>
        <stp/>
        <stp>##V3_BDHV12</stp>
        <stp>AMZN US Equity</stp>
        <stp>TOTAL_EQUITY</stp>
        <stp>FQ2 2018</stp>
        <stp>FQ2 2018</stp>
        <stp>[AMZ_2009-2018.xlsx]Bal Sheet - Standardized!R73C40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73" s="3"/>
      </tp>
      <tp>
        <v>15675</v>
        <stp/>
        <stp>##V3_BDHV12</stp>
        <stp>AMZN US Equity</stp>
        <stp>NON_CUR_LIAB</stp>
        <stp>FQ4 2014</stp>
        <stp>FQ4 2014</stp>
        <stp>[AMZ_2009-2018.xlsx]Bal Sheet - Standardized!R62C26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2" s="3"/>
      </tp>
      <tp>
        <v>6639</v>
        <stp/>
        <stp>##V3_BDHV12</stp>
        <stp>AMZN US Equity</stp>
        <stp>NON_CUR_LIAB</stp>
        <stp>FQ3 2013</stp>
        <stp>FQ3 2013</stp>
        <stp>[AMZ_2009-2018.xlsx]Bal Sheet - Standardized!R62C21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2" s="3"/>
      </tp>
      <tp>
        <v>1231</v>
        <stp/>
        <stp>##V3_BDHV12</stp>
        <stp>AMZN US Equity</stp>
        <stp>NON_CUR_LIAB</stp>
        <stp>FQ1 2010</stp>
        <stp>FQ1 2010</stp>
        <stp>[AMZ_2009-2018.xlsx]Bal Sheet - Standardized!R62C7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2" s="3"/>
      </tp>
      <tp>
        <v>17476</v>
        <stp/>
        <stp>##V3_BDHV12</stp>
        <stp>AMZN US Equity</stp>
        <stp>NON_CUR_LIAB</stp>
        <stp>FQ4 2015</stp>
        <stp>FQ4 2015</stp>
        <stp>[AMZ_2009-2018.xlsx]Bal Sheet - Standardized!R62C30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2" s="3"/>
      </tp>
      <tp>
        <v>1134</v>
        <stp/>
        <stp>##V3_BDHV12</stp>
        <stp>AMZN US Equity</stp>
        <stp>BS_ST_BORROW</stp>
        <stp>FQ4 2012</stp>
        <stp>FQ4 2012</stp>
        <stp>[AMZ_2009-2018.xlsx]Bal Sheet - Standardized!R43C18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3" s="3"/>
      </tp>
      <tp>
        <v>3830</v>
        <stp/>
        <stp>##V3_BDHV12</stp>
        <stp>AMZN US Equity</stp>
        <stp>BS_LT_BORROW</stp>
        <stp>FQ4 2012</stp>
        <stp>FQ4 2012</stp>
        <stp>[AMZ_2009-2018.xlsx]Bal Sheet - Standardized!R52C18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2" s="3"/>
      </tp>
      <tp>
        <v>2580</v>
        <stp/>
        <stp>##V3_BDHV12</stp>
        <stp>AMZN US Equity</stp>
        <stp>NON_CUR_LIAB</stp>
        <stp>FQ1 2012</stp>
        <stp>FQ1 2012</stp>
        <stp>[AMZ_2009-2018.xlsx]Bal Sheet - Standardized!R62C15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2" s="3"/>
      </tp>
      <tp t="s">
        <v>—</v>
        <stp/>
        <stp>##V3_BDHV12</stp>
        <stp>AMZN US Equity</stp>
        <stp>BS_OTHER_INV</stp>
        <stp>FQ1 2018</stp>
        <stp>FQ1 2018</stp>
        <stp>[AMZ_2009-2018.xlsx]Bal Sheet - Standardized!R17C39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7" s="3"/>
      </tp>
      <tp>
        <v>-1517</v>
        <stp/>
        <stp>##V3_BDHV12</stp>
        <stp>AMZN US Equity</stp>
        <stp>CF_CHNG_NON_CASH_WORK_CAP</stp>
        <stp>FQ1 2010</stp>
        <stp>FQ1 2010</stp>
        <stp>[AMZ_2009-2018.xlsx]Cash Flow - Standardized!R13C7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3" s="4"/>
      </tp>
      <tp>
        <v>17.922599999999999</v>
        <stp/>
        <stp>##V3_BDHV12</stp>
        <stp>AMZN US Equity</stp>
        <stp>CHG_PCT_PERIOD</stp>
        <stp>FQ3 2015</stp>
        <stp>FQ3 2015</stp>
        <stp>[AMZ_2009-2018.xlsx]Stock Value!R7C29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7" s="6"/>
      </tp>
      <tp>
        <v>16.659500000000001</v>
        <stp/>
        <stp>##V3_BDHV12</stp>
        <stp>AMZN US Equity</stp>
        <stp>CHG_PCT_PERIOD</stp>
        <stp>FQ2 2015</stp>
        <stp>FQ2 2015</stp>
        <stp>[AMZ_2009-2018.xlsx]Stock Value!R7C28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7" s="6"/>
      </tp>
      <tp>
        <v>266</v>
        <stp/>
        <stp>##V3_BDHV12</stp>
        <stp>AMZN US Equity</stp>
        <stp>BS_CURR_RENTAL_EXPENSE</stp>
        <stp>FQ1 2015</stp>
        <stp>FQ1 2015</stp>
        <stp>[AMZ_2009-2018.xlsx]Income - Adjusted!R73C27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73" s="2"/>
      </tp>
      <tp>
        <v>-1</v>
        <stp/>
        <stp>##V3_BDHV12</stp>
        <stp>AMZN US Equity</stp>
        <stp>OTHER_NON_CASH_ADJ_LESS_DETAILED</stp>
        <stp>FQ3 2009</stp>
        <stp>FQ3 2009</stp>
        <stp>[AMZ_2009-2018.xlsx]Cash Flow - Standardized!R12C5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2" s="4"/>
      </tp>
      <tp>
        <v>3</v>
        <stp/>
        <stp>##V3_BDHV12</stp>
        <stp>AMZN US Equity</stp>
        <stp>OTHER_NON_CASH_ADJ_LESS_DETAILED</stp>
        <stp>FQ2 2010</stp>
        <stp>FQ2 2010</stp>
        <stp>[AMZ_2009-2018.xlsx]Cash Flow - Standardized!R12C8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2" s="4"/>
      </tp>
      <tp t="s">
        <v>—</v>
        <stp/>
        <stp>##V3_BDHV12</stp>
        <stp>AMZN US Equity</stp>
        <stp>IS_LEGAL_LITIGATION_SETTLEMENT</stp>
        <stp>FQ1 2013</stp>
        <stp>FQ1 2013</stp>
        <stp>[AMZ_2009-2018.xlsx]Income - Adjusted!R28C19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8" s="2"/>
      </tp>
      <tp>
        <v>0</v>
        <stp/>
        <stp>##V3_BDHV12</stp>
        <stp>AMZN US Equity</stp>
        <stp>CF_DISPOSAL_OF_INTANGIBLE_ASSETS</stp>
        <stp>FQ1 2010</stp>
        <stp>FQ1 2010</stp>
        <stp>[AMZ_2009-2018.xlsx]Cash Flow - Standardized!R25C7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5" s="4"/>
      </tp>
      <tp>
        <v>291</v>
        <stp/>
        <stp>##V3_BDHV12</stp>
        <stp>AMZN US Equity</stp>
        <stp>BS_CURR_RENTAL_EXPENSE</stp>
        <stp>FQ3 2015</stp>
        <stp>FQ3 2015</stp>
        <stp>[AMZ_2009-2018.xlsx]Income - Adjusted!R73C29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73" s="2"/>
      </tp>
      <tp>
        <v>-108.3682</v>
        <stp/>
        <stp>##V3_BDHV12</stp>
        <stp>AMZN US Equity</stp>
        <stp>NET_DEBT_TO_SHRHLDR_EQTY</stp>
        <stp>FQ3 2009</stp>
        <stp>FQ3 2009</stp>
        <stp>[AMZ_2009-2018.xlsx]Bal Sheet - Standardized!R84C5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84" s="3"/>
      </tp>
      <tp>
        <v>-95.301000000000002</v>
        <stp/>
        <stp>##V3_BDHV12</stp>
        <stp>AMZN US Equity</stp>
        <stp>NET_DEBT_TO_SHRHLDR_EQTY</stp>
        <stp>FQ2 2009</stp>
        <stp>FQ2 2009</stp>
        <stp>[AMZ_2009-2018.xlsx]Bal Sheet - Standardized!R84C4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84" s="3"/>
      </tp>
      <tp>
        <v>267</v>
        <stp/>
        <stp>##V3_BDHV12</stp>
        <stp>AMZN US Equity</stp>
        <stp>BS_CURR_RENTAL_EXPENSE</stp>
        <stp>FQ2 2015</stp>
        <stp>FQ2 2015</stp>
        <stp>[AMZ_2009-2018.xlsx]Income - Adjusted!R73C28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73" s="2"/>
      </tp>
      <tp>
        <v>0</v>
        <stp/>
        <stp>##V3_BDHV12</stp>
        <stp>AMZN US Equity</stp>
        <stp>DISP_FXD_&amp;_INTANGIBLES_DETAILED</stp>
        <stp>FQ3 2010</stp>
        <stp>FQ3 2010</stp>
        <stp>[AMZ_2009-2018.xlsx]Cash Flow - Standardized!R23C9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3" s="4"/>
      </tp>
      <tp>
        <v>0</v>
        <stp/>
        <stp>##V3_BDHV12</stp>
        <stp>AMZN US Equity</stp>
        <stp>DISP_FXD_&amp;_INTANGIBLES_DETAILED</stp>
        <stp>FQ2 2009</stp>
        <stp>FQ2 2009</stp>
        <stp>[AMZ_2009-2018.xlsx]Cash Flow - Standardized!R23C4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3" s="4"/>
      </tp>
      <tp t="s">
        <v>—</v>
        <stp/>
        <stp>##V3_BDHV12</stp>
        <stp>AMZN US Equity</stp>
        <stp>BS_CASH_HELD_OVERSEAS</stp>
        <stp>FQ2 2015</stp>
        <stp>FQ2 2015</stp>
        <stp>[AMZ_2009-2018.xlsx]Bal Sheet - Standardized!R88C28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88" s="3"/>
      </tp>
      <tp>
        <v>0.14000000000000001</v>
        <stp/>
        <stp>##V3_BDHV12</stp>
        <stp>AMZN US Equity</stp>
        <stp>IS_BASIC_EPS_CONT_OPS</stp>
        <stp>FQ3 2011</stp>
        <stp>FQ3 2011</stp>
        <stp>[AMZ_2009-2018.xlsx]Income - Adjusted!R52C13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52" s="2"/>
      </tp>
      <tp>
        <v>0.53</v>
        <stp/>
        <stp>##V3_BDHV12</stp>
        <stp>AMZN US Equity</stp>
        <stp>IS_BASIC_EPS_CONT_OPS</stp>
        <stp>FQ3 2016</stp>
        <stp>FQ3 2016</stp>
        <stp>[AMZ_2009-2018.xlsx]Income - Adjusted!R52C33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52" s="2"/>
      </tp>
      <tp>
        <v>0.23</v>
        <stp/>
        <stp>##V3_BDHV12</stp>
        <stp>AMZN US Equity</stp>
        <stp>IS_BASIC_EPS_CONT_OPS</stp>
        <stp>FQ1 2014</stp>
        <stp>FQ1 2014</stp>
        <stp>[AMZ_2009-2018.xlsx]Income - Adjusted!R52C23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52" s="2"/>
      </tp>
      <tp t="s">
        <v>—</v>
        <stp/>
        <stp>##V3_BDHV12</stp>
        <stp>AMZN US Equity</stp>
        <stp>BS_CASH_HELD_OVERSEAS</stp>
        <stp>FQ1 2017</stp>
        <stp>FQ1 2017</stp>
        <stp>[AMZ_2009-2018.xlsx]Bal Sheet - Standardized!R88C35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88" s="3"/>
      </tp>
      <tp t="s">
        <v>—</v>
        <stp/>
        <stp>##V3_BDHV12</stp>
        <stp>AMZN US Equity</stp>
        <stp>BS_CASH_HELD_OVERSEAS</stp>
        <stp>FQ4 2010</stp>
        <stp>FQ4 2010</stp>
        <stp>[AMZ_2009-2018.xlsx]Bal Sheet - Standardized!R88C10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88" s="3"/>
      </tp>
      <tp>
        <v>24</v>
        <stp/>
        <stp>##V3_BDHV12</stp>
        <stp>AMZN US Equity</stp>
        <stp>BS_NUM_OF_TSY_SH</stp>
        <stp>FQ2 2018</stp>
        <stp>FQ2 2018</stp>
        <stp>[AMZ_2009-2018.xlsx]Bal Sheet - Standardized!R79C40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79" s="3"/>
      </tp>
      <tp t="s">
        <v>—</v>
        <stp/>
        <stp>##V3_BDHV12</stp>
        <stp>AMZN US Equity</stp>
        <stp>BS_CASH_HELD_OVERSEAS</stp>
        <stp>FQ3 2014</stp>
        <stp>FQ3 2014</stp>
        <stp>[AMZ_2009-2018.xlsx]Bal Sheet - Standardized!R88C25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88" s="3"/>
      </tp>
      <tp>
        <v>4600</v>
        <stp/>
        <stp>##V3_BDHV12</stp>
        <stp>AMZN US Equity</stp>
        <stp>BS_CASH_HELD_OVERSEAS</stp>
        <stp>FQ4 2013</stp>
        <stp>FQ4 2013</stp>
        <stp>[AMZ_2009-2018.xlsx]Bal Sheet - Standardized!R88C22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88" s="3"/>
      </tp>
      <tp t="s">
        <v>—</v>
        <stp/>
        <stp>##V3_BDHV12</stp>
        <stp>AMZN US Equity</stp>
        <stp>INVTRY_IN_PROGRESS</stp>
        <stp>FQ1 2016</stp>
        <stp>FQ1 2016</stp>
        <stp>[AMZ_2009-2018.xlsx]Bal Sheet - Standardized!R15C31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5" s="3"/>
      </tp>
      <tp>
        <v>7008</v>
        <stp/>
        <stp>##V3_BDHV12</stp>
        <stp>AMZN US Equity</stp>
        <stp>BS_ACCRUAL</stp>
        <stp>FQ4 2015</stp>
        <stp>FQ4 2015</stp>
        <stp>[AMZ_2009-2018.xlsx]Bal Sheet - Standardized!R42C30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2" s="3"/>
      </tp>
      <tp t="s">
        <v>—</v>
        <stp/>
        <stp>##V3_BDHV12</stp>
        <stp>AMZN US Equity</stp>
        <stp>INVTRY_IN_PROGRESS</stp>
        <stp>FQ4 2011</stp>
        <stp>FQ4 2011</stp>
        <stp>[AMZ_2009-2018.xlsx]Bal Sheet - Standardized!R15C14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5" s="3"/>
      </tp>
      <tp>
        <v>3602</v>
        <stp/>
        <stp>##V3_BDHV12</stp>
        <stp>AMZN US Equity</stp>
        <stp>BS_ACCRUAL</stp>
        <stp>FQ1 2012</stp>
        <stp>FQ1 2012</stp>
        <stp>[AMZ_2009-2018.xlsx]Bal Sheet - Standardized!R42C15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2" s="3"/>
      </tp>
      <tp>
        <v>6207</v>
        <stp/>
        <stp>##V3_BDHV12</stp>
        <stp>AMZN US Equity</stp>
        <stp>BS_ACCRUAL</stp>
        <stp>FQ4 2014</stp>
        <stp>FQ4 2014</stp>
        <stp>[AMZ_2009-2018.xlsx]Bal Sheet - Standardized!R42C26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2" s="3"/>
      </tp>
      <tp>
        <v>5418</v>
        <stp/>
        <stp>##V3_BDHV12</stp>
        <stp>AMZN US Equity</stp>
        <stp>BS_ACCRUAL</stp>
        <stp>FQ3 2013</stp>
        <stp>FQ3 2013</stp>
        <stp>[AMZ_2009-2018.xlsx]Bal Sheet - Standardized!R42C21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2" s="3"/>
      </tp>
      <tp>
        <v>2324</v>
        <stp/>
        <stp>##V3_BDHV12</stp>
        <stp>AMZN US Equity</stp>
        <stp>BS_ACCRUAL</stp>
        <stp>FQ2 2011</stp>
        <stp>FQ2 2011</stp>
        <stp>[AMZ_2009-2018.xlsx]Bal Sheet - Standardized!R42C12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2" s="3"/>
      </tp>
      <tp t="s">
        <v>—</v>
        <stp/>
        <stp>##V3_BDHV12</stp>
        <stp>AMZN US Equity</stp>
        <stp>INVTRY_IN_PROGRESS</stp>
        <stp>FQ2 2014</stp>
        <stp>FQ2 2014</stp>
        <stp>[AMZ_2009-2018.xlsx]Bal Sheet - Standardized!R15C24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5" s="3"/>
      </tp>
      <tp>
        <v>-5.0968</v>
        <stp/>
        <stp>##V3_BDHV12</stp>
        <stp>AMZN US Equity</stp>
        <stp>FREE_CASH_FLOW_PER_SH</stp>
        <stp>FQ1 2015</stp>
        <stp>FQ1 2015</stp>
        <stp>[AMZ_2009-2018.xlsx]Per Share!R23C27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23" s="5"/>
      </tp>
      <tp>
        <v>361.923</v>
        <stp/>
        <stp>##V3_BDHV12</stp>
        <stp>AMZN US Equity</stp>
        <stp>EQY_FLOAT</stp>
        <stp>FQ2 2012</stp>
        <stp>FQ2 2012</stp>
        <stp>[AMZ_2009-2018.xlsx]Stock Value!R14C16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14" s="6"/>
      </tp>
      <tp>
        <v>363.44299999999998</v>
        <stp/>
        <stp>##V3_BDHV12</stp>
        <stp>AMZN US Equity</stp>
        <stp>EQY_FLOAT</stp>
        <stp>FQ3 2012</stp>
        <stp>FQ3 2012</stp>
        <stp>[AMZ_2009-2018.xlsx]Stock Value!R14C17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14" s="6"/>
      </tp>
      <tp>
        <v>366.47399999999999</v>
        <stp/>
        <stp>##V3_BDHV12</stp>
        <stp>AMZN US Equity</stp>
        <stp>EQY_FLOAT</stp>
        <stp>FQ1 2012</stp>
        <stp>FQ1 2012</stp>
        <stp>[AMZ_2009-2018.xlsx]Stock Value!R14C15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14" s="6"/>
      </tp>
      <tp t="s">
        <v>—</v>
        <stp/>
        <stp>##V3_BDHV12</stp>
        <stp>AMZN US Equity</stp>
        <stp>INVTRY_IN_PROGRESS</stp>
        <stp>FQ3 2015</stp>
        <stp>FQ3 2015</stp>
        <stp>[AMZ_2009-2018.xlsx]Bal Sheet - Standardized!R15C29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5" s="3"/>
      </tp>
      <tp>
        <v>2.4782000000000002</v>
        <stp/>
        <stp>##V3_BDHV12</stp>
        <stp>AMZN US Equity</stp>
        <stp>FREE_CASH_FLOW_PER_SH</stp>
        <stp>FQ3 2017</stp>
        <stp>FQ3 2017</stp>
        <stp>[AMZ_2009-2018.xlsx]Per Share!R23C37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23" s="5"/>
      </tp>
      <tp>
        <v>0.50219999999999998</v>
        <stp/>
        <stp>##V3_BDHV12</stp>
        <stp>AMZN US Equity</stp>
        <stp>FREE_CASH_FLOW_PER_SH</stp>
        <stp>FQ3 2012</stp>
        <stp>FQ3 2012</stp>
        <stp>[AMZ_2009-2018.xlsx]Per Share!R23C17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23" s="5"/>
      </tp>
      <tp>
        <v>374.66500000000002</v>
        <stp/>
        <stp>##V3_BDHV12</stp>
        <stp>AMZN US Equity</stp>
        <stp>EQY_FLOAT</stp>
        <stp>FQ1 2014</stp>
        <stp>FQ1 2014</stp>
        <stp>[AMZ_2009-2018.xlsx]Stock Value!R14C23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14" s="6"/>
      </tp>
      <tp>
        <v>378.41800000000001</v>
        <stp/>
        <stp>##V3_BDHV12</stp>
        <stp>AMZN US Equity</stp>
        <stp>EQY_FLOAT</stp>
        <stp>FQ4 2014</stp>
        <stp>FQ4 2014</stp>
        <stp>[AMZ_2009-2018.xlsx]Stock Value!R14C26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14" s="6"/>
      </tp>
      <tp>
        <v>387.46199999999999</v>
        <stp/>
        <stp>##V3_BDHV12</stp>
        <stp>AMZN US Equity</stp>
        <stp>EQY_FLOAT</stp>
        <stp>FQ1 2016</stp>
        <stp>FQ1 2016</stp>
        <stp>[AMZ_2009-2018.xlsx]Stock Value!R14C31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14" s="6"/>
      </tp>
      <tp>
        <v>389.47800000000001</v>
        <stp/>
        <stp>##V3_BDHV12</stp>
        <stp>AMZN US Equity</stp>
        <stp>EQY_FLOAT</stp>
        <stp>FQ2 2016</stp>
        <stp>FQ2 2016</stp>
        <stp>[AMZ_2009-2018.xlsx]Stock Value!R14C32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14" s="6"/>
      </tp>
      <tp>
        <v>392.74099999999999</v>
        <stp/>
        <stp>##V3_BDHV12</stp>
        <stp>AMZN US Equity</stp>
        <stp>EQY_FLOAT</stp>
        <stp>FQ3 2016</stp>
        <stp>FQ3 2016</stp>
        <stp>[AMZ_2009-2018.xlsx]Stock Value!R14C33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14" s="6"/>
      </tp>
      <tp>
        <v>393.834</v>
        <stp/>
        <stp>##V3_BDHV12</stp>
        <stp>AMZN US Equity</stp>
        <stp>EQY_FLOAT</stp>
        <stp>FQ4 2016</stp>
        <stp>FQ4 2016</stp>
        <stp>[AMZ_2009-2018.xlsx]Stock Value!R14C34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14" s="6"/>
      </tp>
      <tp>
        <v>0</v>
        <stp/>
        <stp>##V3_BDHV12</stp>
        <stp>AMZN US Equity</stp>
        <stp>BS_LT_INVEST</stp>
        <stp>FQ1 2012</stp>
        <stp>FQ1 2012</stp>
        <stp>[AMZ_2009-2018.xlsx]Bal Sheet - Standardized!R26C15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6" s="3"/>
      </tp>
      <tp>
        <v>35288</v>
        <stp/>
        <stp>##V3_BDHV12</stp>
        <stp>AMZN US Equity</stp>
        <stp>BS_TOT_NON_CUR_ASSET</stp>
        <stp>FQ3 2016</stp>
        <stp>FQ3 2016</stp>
        <stp>[AMZ_2009-2018.xlsx]Bal Sheet - Standardized!R34C33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4" s="3"/>
      </tp>
      <tp>
        <v>0</v>
        <stp/>
        <stp>##V3_BDHV12</stp>
        <stp>AMZN US Equity</stp>
        <stp>BS_LT_INVEST</stp>
        <stp>FQ4 2015</stp>
        <stp>FQ4 2015</stp>
        <stp>[AMZ_2009-2018.xlsx]Bal Sheet - Standardized!R26C30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6" s="3"/>
      </tp>
      <tp>
        <v>0</v>
        <stp/>
        <stp>##V3_BDHV12</stp>
        <stp>AMZN US Equity</stp>
        <stp>BS_LT_INVEST</stp>
        <stp>FQ2 2011</stp>
        <stp>FQ2 2011</stp>
        <stp>[AMZ_2009-2018.xlsx]Bal Sheet - Standardized!R26C12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6" s="3"/>
      </tp>
      <tp t="s">
        <v>—</v>
        <stp/>
        <stp>##V3_BDHV12</stp>
        <stp>AMZN US Equity</stp>
        <stp>BS_DERIV_&amp;_HEDGING_ASSETS_LT</stp>
        <stp>FQ1 2009</stp>
        <stp>FQ1 2009</stp>
        <stp>[AMZ_2009-2018.xlsx]Bal Sheet - Standardized!R32C3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3"/>
      </tp>
      <tp t="s">
        <v>—</v>
        <stp/>
        <stp>##V3_BDHV12</stp>
        <stp>AMZN US Equity</stp>
        <stp>BS_DERIV_&amp;_HEDGING_ASSETS_ST</stp>
        <stp>FQ1 2009</stp>
        <stp>FQ1 2009</stp>
        <stp>[AMZ_2009-2018.xlsx]Bal Sheet - Standardized!R19C3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3"/>
      </tp>
      <tp>
        <v>24153</v>
        <stp/>
        <stp>##V3_BDHV12</stp>
        <stp>AMZN US Equity</stp>
        <stp>BS_TOT_NON_CUR_ASSET</stp>
        <stp>FQ1 2015</stp>
        <stp>FQ1 2015</stp>
        <stp>[AMZ_2009-2018.xlsx]Bal Sheet - Standardized!R34C27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4" s="3"/>
      </tp>
      <tp>
        <v>0</v>
        <stp/>
        <stp>##V3_BDHV12</stp>
        <stp>AMZN US Equity</stp>
        <stp>BS_LT_INVEST</stp>
        <stp>FQ3 2013</stp>
        <stp>FQ3 2013</stp>
        <stp>[AMZ_2009-2018.xlsx]Bal Sheet - Standardized!R26C21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6" s="3"/>
      </tp>
      <tp>
        <v>0</v>
        <stp/>
        <stp>##V3_BDHV12</stp>
        <stp>AMZN US Equity</stp>
        <stp>BS_LT_INVEST</stp>
        <stp>FQ4 2014</stp>
        <stp>FQ4 2014</stp>
        <stp>[AMZ_2009-2018.xlsx]Bal Sheet - Standardized!R26C26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6" s="3"/>
      </tp>
      <tp>
        <v>46774</v>
        <stp/>
        <stp>##V3_BDHV12</stp>
        <stp>AMZN US Equity</stp>
        <stp>BS_TOT_NON_CUR_ASSET</stp>
        <stp>FQ2 2017</stp>
        <stp>FQ2 2017</stp>
        <stp>[AMZ_2009-2018.xlsx]Bal Sheet - Standardized!R34C36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4" s="3"/>
      </tp>
      <tp>
        <v>14162</v>
        <stp/>
        <stp>##V3_BDHV12</stp>
        <stp>AMZN US Equity</stp>
        <stp>BS_TOT_ASSET</stp>
        <stp>FQ3 2010</stp>
        <stp>FQ3 2010</stp>
        <stp>[AMZ_2009-2018.xlsx]Bal Sheet - Standardized!R35C9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5" s="3"/>
      </tp>
      <tp>
        <v>53115</v>
        <stp/>
        <stp>##V3_BDHV12</stp>
        <stp>AMZN US Equity</stp>
        <stp>BS_TOT_LIAB2</stp>
        <stp>FQ3 2016</stp>
        <stp>FQ3 2016</stp>
        <stp>[AMZ_2009-2018.xlsx]Bal Sheet - Standardized!R63C33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3" s="3"/>
      </tp>
      <tp>
        <v>7675</v>
        <stp/>
        <stp>##V3_BDHV12</stp>
        <stp>AMZN US Equity</stp>
        <stp>BS_TOT_ASSET</stp>
        <stp>FQ2 2009</stp>
        <stp>FQ2 2009</stp>
        <stp>[AMZ_2009-2018.xlsx]Bal Sheet - Standardized!R35C4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5" s="3"/>
      </tp>
      <tp>
        <v>64567</v>
        <stp/>
        <stp>##V3_BDHV12</stp>
        <stp>AMZN US Equity</stp>
        <stp>BS_TOT_LIAB2</stp>
        <stp>FQ2 2017</stp>
        <stp>FQ2 2017</stp>
        <stp>[AMZ_2009-2018.xlsx]Bal Sheet - Standardized!R63C36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3" s="3"/>
      </tp>
      <tp>
        <v>39202</v>
        <stp/>
        <stp>##V3_BDHV12</stp>
        <stp>AMZN US Equity</stp>
        <stp>BS_TOT_LIAB2</stp>
        <stp>FQ1 2015</stp>
        <stp>FQ1 2015</stp>
        <stp>[AMZ_2009-2018.xlsx]Bal Sheet - Standardized!R63C27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3" s="3"/>
      </tp>
      <tp>
        <v>15105</v>
        <stp/>
        <stp>##V3_BDHV12</stp>
        <stp>AMZN US Equity</stp>
        <stp>BS_LT_BORROW</stp>
        <stp>FQ3 2016</stp>
        <stp>FQ3 2016</stp>
        <stp>[AMZ_2009-2018.xlsx]Bal Sheet - Standardized!R52C33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2" s="3"/>
      </tp>
      <tp>
        <v>5613</v>
        <stp/>
        <stp>##V3_BDHV12</stp>
        <stp>AMZN US Equity</stp>
        <stp>NON_CUR_LIAB</stp>
        <stp>FQ1 2013</stp>
        <stp>FQ1 2013</stp>
        <stp>[AMZ_2009-2018.xlsx]Bal Sheet - Standardized!R62C19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2" s="3"/>
      </tp>
      <tp>
        <v>3883</v>
        <stp/>
        <stp>##V3_BDHV12</stp>
        <stp>AMZN US Equity</stp>
        <stp>BS_ST_BORROW</stp>
        <stp>FQ3 2016</stp>
        <stp>FQ3 2016</stp>
        <stp>[AMZ_2009-2018.xlsx]Bal Sheet - Standardized!R43C33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3" s="3"/>
      </tp>
      <tp>
        <v>717</v>
        <stp/>
        <stp>##V3_BDHV12</stp>
        <stp>AMZN US Equity</stp>
        <stp>IS_GENERAL_AND_ADMINISTRATIVE</stp>
        <stp>FQ4 2016</stp>
        <stp>FQ4 2016</stp>
        <stp>[AMZ_2009-2018.xlsx]Income - Adjusted!R15C34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5" s="2"/>
      </tp>
      <tp>
        <v>184</v>
        <stp/>
        <stp>##V3_BDHV12</stp>
        <stp>AMZN US Equity</stp>
        <stp>IS_GENERAL_AND_ADMINISTRATIVE</stp>
        <stp>FQ4 2011</stp>
        <stp>FQ4 2011</stp>
        <stp>[AMZ_2009-2018.xlsx]Income - Adjusted!R15C14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5" s="2"/>
      </tp>
      <tp>
        <v>1377</v>
        <stp/>
        <stp>##V3_BDHV12</stp>
        <stp>AMZN US Equity</stp>
        <stp>BS_ST_BORROW</stp>
        <stp>FQ1 2015</stp>
        <stp>FQ1 2015</stp>
        <stp>[AMZ_2009-2018.xlsx]Bal Sheet - Standardized!R43C27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3" s="3"/>
      </tp>
      <tp>
        <v>8257</v>
        <stp/>
        <stp>##V3_BDHV12</stp>
        <stp>AMZN US Equity</stp>
        <stp>BS_LT_BORROW</stp>
        <stp>FQ1 2015</stp>
        <stp>FQ1 2015</stp>
        <stp>[AMZ_2009-2018.xlsx]Bal Sheet - Standardized!R52C27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2" s="3"/>
      </tp>
      <tp>
        <v>377</v>
        <stp/>
        <stp>##V3_BDHV12</stp>
        <stp>AMZN US Equity</stp>
        <stp>IS_GENERAL_AND_ADMINISTRATIVE</stp>
        <stp>FQ2 2014</stp>
        <stp>FQ2 2014</stp>
        <stp>[AMZ_2009-2018.xlsx]Income - Adjusted!R15C24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5" s="2"/>
      </tp>
      <tp>
        <v>17483</v>
        <stp/>
        <stp>##V3_BDHV12</stp>
        <stp>AMZN US Equity</stp>
        <stp>BS_LT_BORROW</stp>
        <stp>FQ2 2017</stp>
        <stp>FQ2 2017</stp>
        <stp>[AMZ_2009-2018.xlsx]Bal Sheet - Standardized!R52C36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2" s="3"/>
      </tp>
      <tp>
        <v>6136</v>
        <stp/>
        <stp>##V3_BDHV12</stp>
        <stp>AMZN US Equity</stp>
        <stp>BS_ST_BORROW</stp>
        <stp>FQ2 2017</stp>
        <stp>FQ2 2017</stp>
        <stp>[AMZ_2009-2018.xlsx]Bal Sheet - Standardized!R43C36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3" s="3"/>
      </tp>
      <tp>
        <v>652</v>
        <stp/>
        <stp>##V3_BDHV12</stp>
        <stp>AMZN US Equity</stp>
        <stp>NON_CUR_LIAB</stp>
        <stp>FQ1 2009</stp>
        <stp>FQ1 2009</stp>
        <stp>[AMZ_2009-2018.xlsx]Bal Sheet - Standardized!R62C3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2" s="3"/>
      </tp>
      <tp>
        <v>6155</v>
        <stp/>
        <stp>##V3_BDHV12</stp>
        <stp>AMZN US Equity</stp>
        <stp>NON_CUR_LIAB</stp>
        <stp>FQ2 2013</stp>
        <stp>FQ2 2013</stp>
        <stp>[AMZ_2009-2018.xlsx]Bal Sheet - Standardized!R62C20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2" s="3"/>
      </tp>
      <tp>
        <v>2310</v>
        <stp/>
        <stp>##V3_BDHV12</stp>
        <stp>AMZN US Equity</stp>
        <stp>NON_CUR_LIAB</stp>
        <stp>FQ3 2011</stp>
        <stp>FQ3 2011</stp>
        <stp>[AMZ_2009-2018.xlsx]Bal Sheet - Standardized!R62C13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2" s="3"/>
      </tp>
      <tp>
        <v>0</v>
        <stp/>
        <stp>##V3_BDHV12</stp>
        <stp>AMZN US Equity</stp>
        <stp>CF_DVD_PAID</stp>
        <stp>FQ2 2018</stp>
        <stp>FQ2 2018</stp>
        <stp>[AMZ_2009-2018.xlsx]Cash Flow - Standardized!R41C40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1" s="4"/>
      </tp>
      <tp>
        <v>-878</v>
        <stp/>
        <stp>##V3_BDHV12</stp>
        <stp>AMZN US Equity</stp>
        <stp>CF_CHNG_NON_CASH_WORK_CAP</stp>
        <stp>FQ1 2009</stp>
        <stp>FQ1 2009</stp>
        <stp>[AMZ_2009-2018.xlsx]Cash Flow - Standardized!R13C3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4"/>
      </tp>
      <tp>
        <v>39</v>
        <stp/>
        <stp>##V3_BDHV12</stp>
        <stp>AMZN US Equity</stp>
        <stp>OTHER_NON_CASH_ADJ_LESS_DETAILED</stp>
        <stp>FQ2 2009</stp>
        <stp>FQ2 2009</stp>
        <stp>[AMZ_2009-2018.xlsx]Cash Flow - Standardized!R12C4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2" s="4"/>
      </tp>
      <tp>
        <v>709</v>
        <stp/>
        <stp>##V3_BDHV12</stp>
        <stp>AMZN US Equity</stp>
        <stp>BS_CURR_RENTAL_EXPENSE</stp>
        <stp>FQ4 2014</stp>
        <stp>FQ4 2014</stp>
        <stp>[AMZ_2009-2018.xlsx]Income - Adjusted!R73C26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73" s="2"/>
      </tp>
      <tp>
        <v>0</v>
        <stp/>
        <stp>##V3_BDHV12</stp>
        <stp>AMZN US Equity</stp>
        <stp>CF_DISPOSAL_OF_INTANGIBLE_ASSETS</stp>
        <stp>FQ1 2009</stp>
        <stp>FQ1 2009</stp>
        <stp>[AMZ_2009-2018.xlsx]Cash Flow - Standardized!R25C3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4"/>
      </tp>
      <tp>
        <v>252</v>
        <stp/>
        <stp>##V3_BDHV12</stp>
        <stp>AMZN US Equity</stp>
        <stp>BS_CURR_RENTAL_EXPENSE</stp>
        <stp>FQ3 2014</stp>
        <stp>FQ3 2014</stp>
        <stp>[AMZ_2009-2018.xlsx]Income - Adjusted!R73C25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73" s="2"/>
      </tp>
      <tp>
        <v>229</v>
        <stp/>
        <stp>##V3_BDHV12</stp>
        <stp>AMZN US Equity</stp>
        <stp>BS_CURR_RENTAL_EXPENSE</stp>
        <stp>FQ2 2014</stp>
        <stp>FQ2 2014</stp>
        <stp>[AMZ_2009-2018.xlsx]Income - Adjusted!R73C24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73" s="2"/>
      </tp>
      <tp>
        <v>219</v>
        <stp/>
        <stp>##V3_BDHV12</stp>
        <stp>AMZN US Equity</stp>
        <stp>BS_CURR_RENTAL_EXPENSE</stp>
        <stp>FQ1 2014</stp>
        <stp>FQ1 2014</stp>
        <stp>[AMZ_2009-2018.xlsx]Income - Adjusted!R73C23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73" s="2"/>
      </tp>
      <tp>
        <v>-11</v>
        <stp/>
        <stp>##V3_BDHV12</stp>
        <stp>AMZN US Equity</stp>
        <stp>OTHER_NON_CASH_ADJ_LESS_DETAILED</stp>
        <stp>FQ3 2010</stp>
        <stp>FQ3 2010</stp>
        <stp>[AMZ_2009-2018.xlsx]Cash Flow - Standardized!R12C9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2" s="4"/>
      </tp>
      <tp t="s">
        <v>—</v>
        <stp/>
        <stp>##V3_BDHV12</stp>
        <stp>AMZN US Equity</stp>
        <stp>IS_LEGAL_LITIGATION_SETTLEMENT</stp>
        <stp>FQ4 2012</stp>
        <stp>FQ4 2012</stp>
        <stp>[AMZ_2009-2018.xlsx]Income - Adjusted!R28C18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8" s="2"/>
      </tp>
      <tp>
        <v>276</v>
        <stp/>
        <stp>##V3_BDHV12</stp>
        <stp>AMZN US Equity</stp>
        <stp>BS_CURR_RENTAL_EXPENSE</stp>
        <stp>FQ4 2015</stp>
        <stp>FQ4 2015</stp>
        <stp>[AMZ_2009-2018.xlsx]Income - Adjusted!R73C30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73" s="2"/>
      </tp>
      <tp t="s">
        <v>—</v>
        <stp/>
        <stp>##V3_BDHV12</stp>
        <stp>AMZN US Equity</stp>
        <stp>IS_LEGAL_LITIGATION_SETTLEMENT</stp>
        <stp>FQ3 2012</stp>
        <stp>FQ3 2012</stp>
        <stp>[AMZ_2009-2018.xlsx]Income - Adjusted!R28C17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8" s="2"/>
      </tp>
      <tp t="s">
        <v>—</v>
        <stp/>
        <stp>##V3_BDHV12</stp>
        <stp>AMZN US Equity</stp>
        <stp>IS_LEGAL_LITIGATION_SETTLEMENT</stp>
        <stp>FQ2 2012</stp>
        <stp>FQ2 2012</stp>
        <stp>[AMZ_2009-2018.xlsx]Income - Adjusted!R28C16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8" s="2"/>
      </tp>
      <tp t="s">
        <v>—</v>
        <stp/>
        <stp>##V3_BDHV12</stp>
        <stp>AMZN US Equity</stp>
        <stp>IS_LEGAL_LITIGATION_SETTLEMENT</stp>
        <stp>FQ1 2012</stp>
        <stp>FQ1 2012</stp>
        <stp>[AMZ_2009-2018.xlsx]Income - Adjusted!R28C15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8" s="2"/>
      </tp>
      <tp>
        <v>0</v>
        <stp/>
        <stp>##V3_BDHV12</stp>
        <stp>AMZN US Equity</stp>
        <stp>CF_CASH_FOR_ACQUIS_SUBSIDIARIES</stp>
        <stp>FQ4 2009</stp>
        <stp>FQ4 2009</stp>
        <stp>[AMZ_2009-2018.xlsx]Cash Flow - Standardized!R34C6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4" s="4"/>
      </tp>
      <tp>
        <v>0</v>
        <stp/>
        <stp>##V3_BDHV12</stp>
        <stp>AMZN US Equity</stp>
        <stp>DISP_FXD_&amp;_INTANGIBLES_DETAILED</stp>
        <stp>FQ2 2010</stp>
        <stp>FQ2 2010</stp>
        <stp>[AMZ_2009-2018.xlsx]Cash Flow - Standardized!R23C8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3" s="4"/>
      </tp>
      <tp>
        <v>0</v>
        <stp/>
        <stp>##V3_BDHV12</stp>
        <stp>AMZN US Equity</stp>
        <stp>DISP_FXD_&amp;_INTANGIBLES_DETAILED</stp>
        <stp>FQ3 2009</stp>
        <stp>FQ3 2009</stp>
        <stp>[AMZ_2009-2018.xlsx]Cash Flow - Standardized!R23C5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3" s="4"/>
      </tp>
      <tp>
        <v>0.52</v>
        <stp/>
        <stp>##V3_BDHV12</stp>
        <stp>AMZN US Equity</stp>
        <stp>IS_BASIC_EPS_CONT_OPS</stp>
        <stp>FQ4 2013</stp>
        <stp>FQ4 2013</stp>
        <stp>[AMZ_2009-2018.xlsx]Income - Adjusted!R52C22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52" s="2"/>
      </tp>
      <tp t="s">
        <v>—</v>
        <stp/>
        <stp>##V3_BDHV12</stp>
        <stp>AMZN US Equity</stp>
        <stp>BS_CASH_HELD_OVERSEAS</stp>
        <stp>FQ3 2015</stp>
        <stp>FQ3 2015</stp>
        <stp>[AMZ_2009-2018.xlsx]Bal Sheet - Standardized!R88C29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88" s="3"/>
      </tp>
      <tp>
        <v>0.42</v>
        <stp/>
        <stp>##V3_BDHV12</stp>
        <stp>AMZN US Equity</stp>
        <stp>IS_BASIC_EPS_CONT_OPS</stp>
        <stp>FQ2 2011</stp>
        <stp>FQ2 2011</stp>
        <stp>[AMZ_2009-2018.xlsx]Income - Adjusted!R52C12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52" s="2"/>
      </tp>
      <tp>
        <v>1.81</v>
        <stp/>
        <stp>##V3_BDHV12</stp>
        <stp>AMZN US Equity</stp>
        <stp>IS_BASIC_EPS_CONT_OPS</stp>
        <stp>FQ2 2016</stp>
        <stp>FQ2 2016</stp>
        <stp>[AMZ_2009-2018.xlsx]Income - Adjusted!R52C32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52" s="2"/>
      </tp>
      <tp t="s">
        <v>—</v>
        <stp/>
        <stp>##V3_BDHV12</stp>
        <stp>AMZN US Equity</stp>
        <stp>BS_CASH_HELD_OVERSEAS</stp>
        <stp>FQ1 2016</stp>
        <stp>FQ1 2016</stp>
        <stp>[AMZ_2009-2018.xlsx]Bal Sheet - Standardized!R88C31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88" s="3"/>
      </tp>
      <tp t="s">
        <v>—</v>
        <stp/>
        <stp>##V3_BDHV12</stp>
        <stp>AMZN US Equity</stp>
        <stp>BS_CASH_HELD_OVERSEAS</stp>
        <stp>FQ4 2011</stp>
        <stp>FQ4 2011</stp>
        <stp>[AMZ_2009-2018.xlsx]Bal Sheet - Standardized!R88C14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88" s="3"/>
      </tp>
      <tp t="s">
        <v>—</v>
        <stp/>
        <stp>##V3_BDHV12</stp>
        <stp>AMZN US Equity</stp>
        <stp>INVTRY_FINISHED_GOODS</stp>
        <stp>FQ2 2018</stp>
        <stp>FQ2 2018</stp>
        <stp>[AMZ_2009-2018.xlsx]Bal Sheet - Standardized!R16C40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6" s="3"/>
      </tp>
      <tp t="s">
        <v>—</v>
        <stp/>
        <stp>##V3_BDHV12</stp>
        <stp>AMZN US Equity</stp>
        <stp>BS_CASH_HELD_OVERSEAS</stp>
        <stp>FQ2 2014</stp>
        <stp>FQ2 2014</stp>
        <stp>[AMZ_2009-2018.xlsx]Bal Sheet - Standardized!R88C24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88" s="3"/>
      </tp>
      <tp>
        <v>3892</v>
        <stp/>
        <stp>##V3_BDHV12</stp>
        <stp>AMZN US Equity</stp>
        <stp>BS_ACCRUAL</stp>
        <stp>FQ2 2012</stp>
        <stp>FQ2 2012</stp>
        <stp>[AMZ_2009-2018.xlsx]Bal Sheet - Standardized!R42C16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2" s="3"/>
      </tp>
      <tp t="s">
        <v>—</v>
        <stp/>
        <stp>##V3_BDHV12</stp>
        <stp>AMZN US Equity</stp>
        <stp>INVTRY_IN_PROGRESS</stp>
        <stp>FQ1 2014</stp>
        <stp>FQ1 2014</stp>
        <stp>[AMZ_2009-2018.xlsx]Bal Sheet - Standardized!R15C23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5" s="3"/>
      </tp>
      <tp t="s">
        <v>—</v>
        <stp/>
        <stp>##V3_BDHV12</stp>
        <stp>AMZN US Equity</stp>
        <stp>INVTRY_IN_PROGRESS</stp>
        <stp>FQ2 2016</stp>
        <stp>FQ2 2016</stp>
        <stp>[AMZ_2009-2018.xlsx]Bal Sheet - Standardized!R15C32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5" s="3"/>
      </tp>
      <tp>
        <v>2190</v>
        <stp/>
        <stp>##V3_BDHV12</stp>
        <stp>AMZN US Equity</stp>
        <stp>BS_ACCRUAL</stp>
        <stp>FQ1 2011</stp>
        <stp>FQ1 2011</stp>
        <stp>[AMZ_2009-2018.xlsx]Bal Sheet - Standardized!R42C11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2" s="3"/>
      </tp>
      <tp>
        <v>8542</v>
        <stp/>
        <stp>##V3_BDHV12</stp>
        <stp>AMZN US Equity</stp>
        <stp>BS_ACCRUAL</stp>
        <stp>FQ4 2016</stp>
        <stp>FQ4 2016</stp>
        <stp>[AMZ_2009-2018.xlsx]Bal Sheet - Standardized!R42C34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2" s="3"/>
      </tp>
      <tp t="s">
        <v>—</v>
        <stp/>
        <stp>##V3_BDHV12</stp>
        <stp>AMZN US Equity</stp>
        <stp>INVTRY_IN_PROGRESS</stp>
        <stp>FQ3 2017</stp>
        <stp>FQ3 2017</stp>
        <stp>[AMZ_2009-2018.xlsx]Bal Sheet - Standardized!R15C37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5" s="3"/>
      </tp>
      <tp>
        <v>-0.9284</v>
        <stp/>
        <stp>##V3_BDHV12</stp>
        <stp>AMZN US Equity</stp>
        <stp>FREE_CASH_FLOW_PER_SH</stp>
        <stp>FQ2 2014</stp>
        <stp>FQ2 2014</stp>
        <stp>[AMZ_2009-2018.xlsx]Per Share!R23C24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23" s="5"/>
      </tp>
      <tp>
        <v>372.149</v>
        <stp/>
        <stp>##V3_BDHV12</stp>
        <stp>AMZN US Equity</stp>
        <stp>EQY_FLOAT</stp>
        <stp>FQ4 2013</stp>
        <stp>FQ4 2013</stp>
        <stp>[AMZ_2009-2018.xlsx]Stock Value!R14C22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14" s="6"/>
      </tp>
      <tp>
        <v>8.1736000000000004</v>
        <stp/>
        <stp>##V3_BDHV12</stp>
        <stp>AMZN US Equity</stp>
        <stp>FREE_CASH_FLOW_PER_SH</stp>
        <stp>FQ4 2011</stp>
        <stp>FQ4 2011</stp>
        <stp>[AMZ_2009-2018.xlsx]Per Share!R23C14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23" s="5"/>
      </tp>
      <tp>
        <v>18.0105</v>
        <stp/>
        <stp>##V3_BDHV12</stp>
        <stp>AMZN US Equity</stp>
        <stp>FREE_CASH_FLOW_PER_SH</stp>
        <stp>FQ4 2016</stp>
        <stp>FQ4 2016</stp>
        <stp>[AMZ_2009-2018.xlsx]Per Share!R23C34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23" s="5"/>
      </tp>
      <tp t="s">
        <v>—</v>
        <stp/>
        <stp>##V3_BDHV12</stp>
        <stp>AMZN US Equity</stp>
        <stp>INVTRY_IN_PROGRESS</stp>
        <stp>FQ4 2012</stp>
        <stp>FQ4 2012</stp>
        <stp>[AMZ_2009-2018.xlsx]Bal Sheet - Standardized!R15C18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5" s="3"/>
      </tp>
      <tp t="s">
        <v>—</v>
        <stp/>
        <stp>##V3_BDHV12</stp>
        <stp>AMZN US Equity</stp>
        <stp>BS_DERIV_&amp;_HEDGING_ASSETS_LT</stp>
        <stp>FQ2 2009</stp>
        <stp>FQ2 2009</stp>
        <stp>[AMZ_2009-2018.xlsx]Bal Sheet - Standardized!R32C4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2" s="3"/>
      </tp>
      <tp t="s">
        <v>—</v>
        <stp/>
        <stp>##V3_BDHV12</stp>
        <stp>AMZN US Equity</stp>
        <stp>BS_DERIV_&amp;_HEDGING_ASSETS_ST</stp>
        <stp>FQ2 2009</stp>
        <stp>FQ2 2009</stp>
        <stp>[AMZ_2009-2018.xlsx]Bal Sheet - Standardized!R19C4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9" s="3"/>
      </tp>
      <tp>
        <v>40672</v>
        <stp/>
        <stp>##V3_BDHV12</stp>
        <stp>AMZN US Equity</stp>
        <stp>BS_TOT_LIAB2</stp>
        <stp>FQ2 2015</stp>
        <stp>FQ2 2015</stp>
        <stp>[AMZ_2009-2018.xlsx]Bal Sheet - Standardized!R63C28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3" s="3"/>
      </tp>
      <tp>
        <v>0</v>
        <stp/>
        <stp>##V3_BDHV12</stp>
        <stp>AMZN US Equity</stp>
        <stp>BS_LT_INVEST</stp>
        <stp>FQ2 2012</stp>
        <stp>FQ2 2012</stp>
        <stp>[AMZ_2009-2018.xlsx]Bal Sheet - Standardized!R26C16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6" s="3"/>
      </tp>
      <tp t="s">
        <v>—</v>
        <stp/>
        <stp>##V3_BDHV12</stp>
        <stp>AMZN US Equity</stp>
        <stp>BS_DERIV_&amp;_HEDGING_ASSETS_LT</stp>
        <stp>FQ3 2010</stp>
        <stp>FQ3 2010</stp>
        <stp>[AMZ_2009-2018.xlsx]Bal Sheet - Standardized!R32C9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2" s="3"/>
      </tp>
      <tp t="s">
        <v>—</v>
        <stp/>
        <stp>##V3_BDHV12</stp>
        <stp>AMZN US Equity</stp>
        <stp>BS_DERIV_&amp;_HEDGING_ASSETS_ST</stp>
        <stp>FQ3 2010</stp>
        <stp>FQ3 2010</stp>
        <stp>[AMZ_2009-2018.xlsx]Bal Sheet - Standardized!R19C9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9" s="3"/>
      </tp>
      <tp>
        <v>41509</v>
        <stp/>
        <stp>##V3_BDHV12</stp>
        <stp>AMZN US Equity</stp>
        <stp>BS_TOT_NON_CUR_ASSET</stp>
        <stp>FQ1 2017</stp>
        <stp>FQ1 2017</stp>
        <stp>[AMZ_2009-2018.xlsx]Bal Sheet - Standardized!R34C35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4" s="3"/>
      </tp>
      <tp>
        <v>0</v>
        <stp/>
        <stp>##V3_BDHV12</stp>
        <stp>AMZN US Equity</stp>
        <stp>BS_LT_INVEST</stp>
        <stp>FQ4 2016</stp>
        <stp>FQ4 2016</stp>
        <stp>[AMZ_2009-2018.xlsx]Bal Sheet - Standardized!R26C34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6" s="3"/>
      </tp>
      <tp>
        <v>21847</v>
        <stp/>
        <stp>##V3_BDHV12</stp>
        <stp>AMZN US Equity</stp>
        <stp>BS_TOT_NON_CUR_ASSET</stp>
        <stp>FQ3 2014</stp>
        <stp>FQ3 2014</stp>
        <stp>[AMZ_2009-2018.xlsx]Bal Sheet - Standardized!R34C25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4" s="3"/>
      </tp>
      <tp>
        <v>15534</v>
        <stp/>
        <stp>##V3_BDHV12</stp>
        <stp>AMZN US Equity</stp>
        <stp>BS_TOT_NON_CUR_ASSET</stp>
        <stp>FQ4 2013</stp>
        <stp>FQ4 2013</stp>
        <stp>[AMZ_2009-2018.xlsx]Bal Sheet - Standardized!R34C22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4" s="3"/>
      </tp>
      <tp>
        <v>5050</v>
        <stp/>
        <stp>##V3_BDHV12</stp>
        <stp>AMZN US Equity</stp>
        <stp>BS_TOT_NON_CUR_ASSET</stp>
        <stp>FQ4 2010</stp>
        <stp>FQ4 2010</stp>
        <stp>[AMZ_2009-2018.xlsx]Bal Sheet - Standardized!R34C10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4" s="3"/>
      </tp>
      <tp>
        <v>0</v>
        <stp/>
        <stp>##V3_BDHV12</stp>
        <stp>AMZN US Equity</stp>
        <stp>BS_LT_INVEST</stp>
        <stp>FQ1 2011</stp>
        <stp>FQ1 2011</stp>
        <stp>[AMZ_2009-2018.xlsx]Bal Sheet - Standardized!R26C11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6" s="3"/>
      </tp>
      <tp>
        <v>6980</v>
        <stp/>
        <stp>##V3_BDHV12</stp>
        <stp>AMZN US Equity</stp>
        <stp>BS_TOT_ASSET</stp>
        <stp>FQ1 2009</stp>
        <stp>FQ1 2009</stp>
        <stp>[AMZ_2009-2018.xlsx]Bal Sheet - Standardized!R35C3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3"/>
      </tp>
      <tp>
        <v>26049</v>
        <stp/>
        <stp>##V3_BDHV12</stp>
        <stp>AMZN US Equity</stp>
        <stp>BS_TOT_NON_CUR_ASSET</stp>
        <stp>FQ2 2015</stp>
        <stp>FQ2 2015</stp>
        <stp>[AMZ_2009-2018.xlsx]Bal Sheet - Standardized!R34C28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4" s="3"/>
      </tp>
      <tp>
        <v>11933</v>
        <stp/>
        <stp>##V3_BDHV12</stp>
        <stp>AMZN US Equity</stp>
        <stp>BS_TOT_LIAB2</stp>
        <stp>FQ4 2010</stp>
        <stp>FQ4 2010</stp>
        <stp>[AMZ_2009-2018.xlsx]Bal Sheet - Standardized!R63C10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3" s="3"/>
      </tp>
      <tp>
        <v>30413</v>
        <stp/>
        <stp>##V3_BDHV12</stp>
        <stp>AMZN US Equity</stp>
        <stp>BS_TOT_LIAB2</stp>
        <stp>FQ4 2013</stp>
        <stp>FQ4 2013</stp>
        <stp>[AMZ_2009-2018.xlsx]Bal Sheet - Standardized!R63C22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3" s="3"/>
      </tp>
      <tp>
        <v>30083</v>
        <stp/>
        <stp>##V3_BDHV12</stp>
        <stp>AMZN US Equity</stp>
        <stp>BS_TOT_LIAB2</stp>
        <stp>FQ3 2014</stp>
        <stp>FQ3 2014</stp>
        <stp>[AMZ_2009-2018.xlsx]Bal Sheet - Standardized!R63C25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3" s="3"/>
      </tp>
      <tp>
        <v>59295</v>
        <stp/>
        <stp>##V3_BDHV12</stp>
        <stp>AMZN US Equity</stp>
        <stp>BS_TOT_LIAB2</stp>
        <stp>FQ1 2017</stp>
        <stp>FQ1 2017</stp>
        <stp>[AMZ_2009-2018.xlsx]Bal Sheet - Standardized!R63C35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3" s="3"/>
      </tp>
      <tp>
        <v>783</v>
        <stp/>
        <stp>##V3_BDHV12</stp>
        <stp>AMZN US Equity</stp>
        <stp>NON_CUR_LIAB</stp>
        <stp>FQ2 2009</stp>
        <stp>FQ2 2009</stp>
        <stp>[AMZ_2009-2018.xlsx]Bal Sheet - Standardized!R62C4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2" s="3"/>
      </tp>
      <tp>
        <v>5608</v>
        <stp/>
        <stp>##V3_BDHV12</stp>
        <stp>AMZN US Equity</stp>
        <stp>BS_ST_BORROW</stp>
        <stp>FQ1 2017</stp>
        <stp>FQ1 2017</stp>
        <stp>[AMZ_2009-2018.xlsx]Bal Sheet - Standardized!R43C35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3" s="3"/>
      </tp>
      <tp>
        <v>230</v>
        <stp/>
        <stp>##V3_BDHV12</stp>
        <stp>AMZN US Equity</stp>
        <stp>IS_GENERAL_AND_ADMINISTRATIVE</stp>
        <stp>FQ3 2012</stp>
        <stp>FQ3 2012</stp>
        <stp>[AMZ_2009-2018.xlsx]Income - Adjusted!R15C17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5" s="2"/>
      </tp>
      <tp>
        <v>960</v>
        <stp/>
        <stp>##V3_BDHV12</stp>
        <stp>AMZN US Equity</stp>
        <stp>IS_GENERAL_AND_ADMINISTRATIVE</stp>
        <stp>FQ3 2017</stp>
        <stp>FQ3 2017</stp>
        <stp>[AMZ_2009-2018.xlsx]Income - Adjusted!R15C37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5" s="2"/>
      </tp>
      <tp>
        <v>15991</v>
        <stp/>
        <stp>##V3_BDHV12</stp>
        <stp>AMZN US Equity</stp>
        <stp>BS_LT_BORROW</stp>
        <stp>FQ1 2017</stp>
        <stp>FQ1 2017</stp>
        <stp>[AMZ_2009-2018.xlsx]Bal Sheet - Standardized!R52C35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2" s="3"/>
      </tp>
      <tp>
        <v>45718</v>
        <stp/>
        <stp>##V3_BDHV12</stp>
        <stp>AMZN US Equity</stp>
        <stp>NON_CUR_LIAB</stp>
        <stp>FQ4 2017</stp>
        <stp>FQ4 2017</stp>
        <stp>[AMZ_2009-2018.xlsx]Bal Sheet - Standardized!R62C38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2" s="3"/>
      </tp>
      <tp>
        <v>3099</v>
        <stp/>
        <stp>##V3_BDHV12</stp>
        <stp>AMZN US Equity</stp>
        <stp>BS_LT_BORROW</stp>
        <stp>FQ3 2014</stp>
        <stp>FQ3 2014</stp>
        <stp>[AMZ_2009-2018.xlsx]Bal Sheet - Standardized!R52C25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2" s="3"/>
      </tp>
      <tp>
        <v>5181</v>
        <stp/>
        <stp>##V3_BDHV12</stp>
        <stp>AMZN US Equity</stp>
        <stp>BS_LT_BORROW</stp>
        <stp>FQ4 2013</stp>
        <stp>FQ4 2013</stp>
        <stp>[AMZ_2009-2018.xlsx]Bal Sheet - Standardized!R52C22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2" s="3"/>
      </tp>
      <tp>
        <v>218</v>
        <stp/>
        <stp>##V3_BDHV12</stp>
        <stp>AMZN US Equity</stp>
        <stp>BS_ST_BORROW</stp>
        <stp>FQ4 2010</stp>
        <stp>FQ4 2010</stp>
        <stp>[AMZ_2009-2018.xlsx]Bal Sheet - Standardized!R43C10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3" s="3"/>
      </tp>
      <tp>
        <v>427</v>
        <stp/>
        <stp>##V3_BDHV12</stp>
        <stp>AMZN US Equity</stp>
        <stp>IS_GENERAL_AND_ADMINISTRATIVE</stp>
        <stp>FQ1 2015</stp>
        <stp>FQ1 2015</stp>
        <stp>[AMZ_2009-2018.xlsx]Income - Adjusted!R15C27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5" s="2"/>
      </tp>
      <tp>
        <v>460</v>
        <stp/>
        <stp>##V3_BDHV12</stp>
        <stp>AMZN US Equity</stp>
        <stp>BS_LT_BORROW</stp>
        <stp>FQ4 2010</stp>
        <stp>FQ4 2010</stp>
        <stp>[AMZ_2009-2018.xlsx]Bal Sheet - Standardized!R52C10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2" s="3"/>
      </tp>
      <tp>
        <v>1708</v>
        <stp/>
        <stp>##V3_BDHV12</stp>
        <stp>AMZN US Equity</stp>
        <stp>BS_ST_BORROW</stp>
        <stp>FQ4 2013</stp>
        <stp>FQ4 2013</stp>
        <stp>[AMZ_2009-2018.xlsx]Bal Sheet - Standardized!R43C22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3" s="3"/>
      </tp>
      <tp>
        <v>864</v>
        <stp/>
        <stp>##V3_BDHV12</stp>
        <stp>AMZN US Equity</stp>
        <stp>BS_ST_BORROW</stp>
        <stp>FQ3 2014</stp>
        <stp>FQ3 2014</stp>
        <stp>[AMZ_2009-2018.xlsx]Bal Sheet - Standardized!R43C25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3" s="3"/>
      </tp>
      <tp>
        <v>1390</v>
        <stp/>
        <stp>##V3_BDHV12</stp>
        <stp>AMZN US Equity</stp>
        <stp>NON_CUR_LIAB</stp>
        <stp>FQ3 2010</stp>
        <stp>FQ3 2010</stp>
        <stp>[AMZ_2009-2018.xlsx]Bal Sheet - Standardized!R62C9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2" s="3"/>
      </tp>
      <tp>
        <v>8250</v>
        <stp/>
        <stp>##V3_BDHV12</stp>
        <stp>AMZN US Equity</stp>
        <stp>BS_LT_BORROW</stp>
        <stp>FQ2 2015</stp>
        <stp>FQ2 2015</stp>
        <stp>[AMZ_2009-2018.xlsx]Bal Sheet - Standardized!R52C28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2" s="3"/>
      </tp>
      <tp>
        <v>1259</v>
        <stp/>
        <stp>##V3_BDHV12</stp>
        <stp>AMZN US Equity</stp>
        <stp>BS_ST_BORROW</stp>
        <stp>FQ2 2015</stp>
        <stp>FQ2 2015</stp>
        <stp>[AMZ_2009-2018.xlsx]Bal Sheet - Standardized!R43C28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3" s="3"/>
      </tp>
      <tp>
        <v>2676</v>
        <stp/>
        <stp>##V3_BDHV12</stp>
        <stp>AMZN US Equity</stp>
        <stp>NON_CUR_LIAB</stp>
        <stp>FQ3 2012</stp>
        <stp>FQ3 2012</stp>
        <stp>[AMZ_2009-2018.xlsx]Bal Sheet - Standardized!R62C17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2" s="3"/>
      </tp>
      <tp>
        <v>23.760300000000001</v>
        <stp/>
        <stp>##V3_BDHV12</stp>
        <stp>AMZN US Equity</stp>
        <stp>CHG_PCT_PERIOD</stp>
        <stp>FQ1 2018</stp>
        <stp>FQ1 2018</stp>
        <stp>[AMZ_2009-2018.xlsx]Stock Value!R7C39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7" s="6"/>
      </tp>
      <tp>
        <v>469</v>
        <stp/>
        <stp>##V3_BDHV12</stp>
        <stp>AMZN US Equity</stp>
        <stp>CF_CHNG_NON_CASH_WORK_CAP</stp>
        <stp>FQ3 2010</stp>
        <stp>FQ3 2010</stp>
        <stp>[AMZ_2009-2018.xlsx]Cash Flow - Standardized!R13C9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3" s="4"/>
      </tp>
      <tp>
        <v>6.2263000000000002</v>
        <stp/>
        <stp>##V3_BDHV12</stp>
        <stp>AMZN US Equity</stp>
        <stp>CHG_PCT_PERIOD</stp>
        <stp>FQ1 2013</stp>
        <stp>FQ1 2013</stp>
        <stp>[AMZ_2009-2018.xlsx]Stock Value!R7C19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7" s="6"/>
      </tp>
      <tp>
        <v>125</v>
        <stp/>
        <stp>##V3_BDHV12</stp>
        <stp>AMZN US Equity</stp>
        <stp>CF_CHNG_NON_CASH_WORK_CAP</stp>
        <stp>FQ2 2009</stp>
        <stp>FQ2 2009</stp>
        <stp>[AMZ_2009-2018.xlsx]Cash Flow - Standardized!R13C4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3" s="4"/>
      </tp>
      <tp>
        <v>0</v>
        <stp/>
        <stp>##V3_BDHV12</stp>
        <stp>AMZN US Equity</stp>
        <stp>CF_DISPOSAL_OF_FIXED_PROD_ASSETS</stp>
        <stp>FQ4 2009</stp>
        <stp>FQ4 2009</stp>
        <stp>[AMZ_2009-2018.xlsx]Cash Flow - Standardized!R24C6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4" s="4"/>
      </tp>
      <tp>
        <v>0</v>
        <stp/>
        <stp>##V3_BDHV12</stp>
        <stp>AMZN US Equity</stp>
        <stp>CF_DISPOSAL_OF_INTANGIBLE_ASSETS</stp>
        <stp>FQ3 2010</stp>
        <stp>FQ3 2010</stp>
        <stp>[AMZ_2009-2018.xlsx]Cash Flow - Standardized!R25C9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5" s="4"/>
      </tp>
      <tp>
        <v>400</v>
        <stp/>
        <stp>##V3_BDHV12</stp>
        <stp>AMZN US Equity</stp>
        <stp>BS_CURR_RENTAL_EXPENSE</stp>
        <stp>FQ4 2016</stp>
        <stp>FQ4 2016</stp>
        <stp>[AMZ_2009-2018.xlsx]Income - Adjusted!R73C34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73" s="2"/>
      </tp>
      <tp>
        <v>367</v>
        <stp/>
        <stp>##V3_BDHV12</stp>
        <stp>AMZN US Equity</stp>
        <stp>BS_CURR_RENTAL_EXPENSE</stp>
        <stp>FQ3 2016</stp>
        <stp>FQ3 2016</stp>
        <stp>[AMZ_2009-2018.xlsx]Income - Adjusted!R73C33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73" s="2"/>
      </tp>
      <tp>
        <v>9</v>
        <stp/>
        <stp>##V3_BDHV12</stp>
        <stp>AMZN US Equity</stp>
        <stp>OTHER_NON_CASH_ADJ_LESS_DETAILED</stp>
        <stp>FQ1 2009</stp>
        <stp>FQ1 2009</stp>
        <stp>[AMZ_2009-2018.xlsx]Cash Flow - Standardized!R12C3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4"/>
      </tp>
      <tp>
        <v>336</v>
        <stp/>
        <stp>##V3_BDHV12</stp>
        <stp>AMZN US Equity</stp>
        <stp>BS_CURR_RENTAL_EXPENSE</stp>
        <stp>FQ2 2016</stp>
        <stp>FQ2 2016</stp>
        <stp>[AMZ_2009-2018.xlsx]Income - Adjusted!R73C32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73" s="2"/>
      </tp>
      <tp>
        <v>0</v>
        <stp/>
        <stp>##V3_BDHV12</stp>
        <stp>AMZN US Equity</stp>
        <stp>CF_DISPOSAL_OF_INTANGIBLE_ASSETS</stp>
        <stp>FQ2 2009</stp>
        <stp>FQ2 2009</stp>
        <stp>[AMZ_2009-2018.xlsx]Cash Flow - Standardized!R25C4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5" s="4"/>
      </tp>
      <tp>
        <v>322</v>
        <stp/>
        <stp>##V3_BDHV12</stp>
        <stp>AMZN US Equity</stp>
        <stp>BS_CURR_RENTAL_EXPENSE</stp>
        <stp>FQ1 2016</stp>
        <stp>FQ1 2016</stp>
        <stp>[AMZ_2009-2018.xlsx]Income - Adjusted!R73C31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73" s="2"/>
      </tp>
      <tp>
        <v>0</v>
        <stp/>
        <stp>##V3_BDHV12</stp>
        <stp>AMZN US Equity</stp>
        <stp>CF_NET_CASH_DISCONTINUED_OPS_INV</stp>
        <stp>FQ4 2009</stp>
        <stp>FQ4 2009</stp>
        <stp>[AMZ_2009-2018.xlsx]Cash Flow - Standardized!R37C6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7" s="4"/>
      </tp>
      <tp t="s">
        <v>—</v>
        <stp/>
        <stp>##V3_BDHV12</stp>
        <stp>AMZN US Equity</stp>
        <stp>IS_LEGAL_LITIGATION_SETTLEMENT</stp>
        <stp>FQ4 2011</stp>
        <stp>FQ4 2011</stp>
        <stp>[AMZ_2009-2018.xlsx]Income - Adjusted!R28C14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8" s="2"/>
      </tp>
      <tp t="s">
        <v>—</v>
        <stp/>
        <stp>##V3_BDHV12</stp>
        <stp>AMZN US Equity</stp>
        <stp>IS_LEGAL_LITIGATION_SETTLEMENT</stp>
        <stp>FQ3 2011</stp>
        <stp>FQ3 2011</stp>
        <stp>[AMZ_2009-2018.xlsx]Income - Adjusted!R28C13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8" s="2"/>
      </tp>
      <tp t="s">
        <v>—</v>
        <stp/>
        <stp>##V3_BDHV12</stp>
        <stp>AMZN US Equity</stp>
        <stp>IS_LEGAL_LITIGATION_SETTLEMENT</stp>
        <stp>FQ2 2011</stp>
        <stp>FQ2 2011</stp>
        <stp>[AMZ_2009-2018.xlsx]Income - Adjusted!R28C12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8" s="2"/>
      </tp>
      <tp t="s">
        <v>—</v>
        <stp/>
        <stp>##V3_BDHV12</stp>
        <stp>AMZN US Equity</stp>
        <stp>IS_LEGAL_LITIGATION_SETTLEMENT</stp>
        <stp>FQ1 2011</stp>
        <stp>FQ1 2011</stp>
        <stp>[AMZ_2009-2018.xlsx]Income - Adjusted!R28C11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8" s="2"/>
      </tp>
      <tp>
        <v>0</v>
        <stp/>
        <stp>##V3_BDHV12</stp>
        <stp>AMZN US Equity</stp>
        <stp>DISP_FXD_&amp;_INTANGIBLES_DETAILED</stp>
        <stp>FQ1 2010</stp>
        <stp>FQ1 2010</stp>
        <stp>[AMZ_2009-2018.xlsx]Cash Flow - Standardized!R23C7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3" s="4"/>
      </tp>
      <tp>
        <v>25</v>
        <stp/>
        <stp>##V3_BDHV12</stp>
        <stp>AMZN US Equity</stp>
        <stp>CF_PROC_LT_DEBT_&amp;_CAPITAL_LEASE</stp>
        <stp>FQ4 2009</stp>
        <stp>FQ4 2009</stp>
        <stp>[AMZ_2009-2018.xlsx]Cash Flow - Standardized!R44C6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4" s="4"/>
      </tp>
      <tp t="s">
        <v>—</v>
        <stp/>
        <stp>##V3_BDHV12</stp>
        <stp>AMZN US Equity</stp>
        <stp>BS_ACCUM_DEPR</stp>
        <stp>FQ1 2018</stp>
        <stp>FQ1 2018</stp>
        <stp>[AMZ_2009-2018.xlsx]Bal Sheet - Standardized!R25C39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5" s="3"/>
      </tp>
      <tp t="s">
        <v>—</v>
        <stp/>
        <stp>##V3_BDHV12</stp>
        <stp>AMZN US Equity</stp>
        <stp>BS_CASH_HELD_OVERSEAS</stp>
        <stp>FQ4 2012</stp>
        <stp>FQ4 2012</stp>
        <stp>[AMZ_2009-2018.xlsx]Bal Sheet - Standardized!R88C18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88" s="3"/>
      </tp>
      <tp>
        <v>-0.09</v>
        <stp/>
        <stp>##V3_BDHV12</stp>
        <stp>AMZN US Equity</stp>
        <stp>IS_BASIC_EPS_CONT_OPS</stp>
        <stp>FQ3 2013</stp>
        <stp>FQ3 2013</stp>
        <stp>[AMZ_2009-2018.xlsx]Income - Adjusted!R52C21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52" s="2"/>
      </tp>
      <tp>
        <v>0.44</v>
        <stp/>
        <stp>##V3_BDHV12</stp>
        <stp>AMZN US Equity</stp>
        <stp>IS_BASIC_EPS_CONT_OPS</stp>
        <stp>FQ1 2011</stp>
        <stp>FQ1 2011</stp>
        <stp>[AMZ_2009-2018.xlsx]Income - Adjusted!R52C11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52" s="2"/>
      </tp>
      <tp>
        <v>1.0900000000000001</v>
        <stp/>
        <stp>##V3_BDHV12</stp>
        <stp>AMZN US Equity</stp>
        <stp>IS_BASIC_EPS_CONT_OPS</stp>
        <stp>FQ1 2016</stp>
        <stp>FQ1 2016</stp>
        <stp>[AMZ_2009-2018.xlsx]Income - Adjusted!R52C31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52" s="2"/>
      </tp>
      <tp t="s">
        <v>—</v>
        <stp/>
        <stp>##V3_BDHV12</stp>
        <stp>AMZN US Equity</stp>
        <stp>BS_CASH_HELD_OVERSEAS</stp>
        <stp>FQ1 2014</stp>
        <stp>FQ1 2014</stp>
        <stp>[AMZ_2009-2018.xlsx]Bal Sheet - Standardized!R88C23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88" s="3"/>
      </tp>
      <tp t="s">
        <v>—</v>
        <stp/>
        <stp>##V3_BDHV12</stp>
        <stp>AMZN US Equity</stp>
        <stp>BS_CASH_HELD_OVERSEAS</stp>
        <stp>FQ2 2016</stp>
        <stp>FQ2 2016</stp>
        <stp>[AMZ_2009-2018.xlsx]Bal Sheet - Standardized!R88C32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88" s="3"/>
      </tp>
      <tp t="s">
        <v>—</v>
        <stp/>
        <stp>##V3_BDHV12</stp>
        <stp>AMZN US Equity</stp>
        <stp>BS_CASH_HELD_OVERSEAS</stp>
        <stp>FQ3 2017</stp>
        <stp>FQ3 2017</stp>
        <stp>[AMZ_2009-2018.xlsx]Bal Sheet - Standardized!R88C37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88" s="3"/>
      </tp>
      <tp>
        <v>24</v>
        <stp/>
        <stp>##V3_BDHV12</stp>
        <stp>AMZN US Equity</stp>
        <stp>BS_NUM_OF_TSY_SH</stp>
        <stp>FQ4 2012</stp>
        <stp>FQ4 2012</stp>
        <stp>[AMZ_2009-2018.xlsx]Bal Sheet - Standardized!R79C18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79" s="3"/>
      </tp>
      <tp>
        <v>24</v>
        <stp/>
        <stp>##V3_BDHV12</stp>
        <stp>AMZN US Equity</stp>
        <stp>BS_NUM_OF_TSY_SH</stp>
        <stp>FQ1 2013</stp>
        <stp>FQ1 2013</stp>
        <stp>[AMZ_2009-2018.xlsx]Bal Sheet - Standardized!R79C19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79" s="3"/>
      </tp>
      <tp>
        <v>4236</v>
        <stp/>
        <stp>##V3_BDHV12</stp>
        <stp>AMZN US Equity</stp>
        <stp>BS_ACCRUAL</stp>
        <stp>FQ3 2012</stp>
        <stp>FQ3 2012</stp>
        <stp>[AMZ_2009-2018.xlsx]Bal Sheet - Standardized!R42C17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2" s="3"/>
      </tp>
      <tp t="s">
        <v>—</v>
        <stp/>
        <stp>##V3_BDHV12</stp>
        <stp>AMZN US Equity</stp>
        <stp>INVTRY_IN_PROGRESS</stp>
        <stp>FQ3 2016</stp>
        <stp>FQ3 2016</stp>
        <stp>[AMZ_2009-2018.xlsx]Bal Sheet - Standardized!R15C33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5" s="3"/>
      </tp>
      <tp t="s">
        <v>—</v>
        <stp/>
        <stp>##V3_BDHV12</stp>
        <stp>AMZN US Equity</stp>
        <stp>INVTRY_IN_PROGRESS</stp>
        <stp>FQ1 2015</stp>
        <stp>FQ1 2015</stp>
        <stp>[AMZ_2009-2018.xlsx]Bal Sheet - Standardized!R15C27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5" s="3"/>
      </tp>
      <tp t="s">
        <v>—</v>
        <stp/>
        <stp>##V3_BDHV12</stp>
        <stp>AMZN US Equity</stp>
        <stp>INVTRY_IN_PROGRESS</stp>
        <stp>FQ2 2017</stp>
        <stp>FQ2 2017</stp>
        <stp>[AMZ_2009-2018.xlsx]Bal Sheet - Standardized!R15C36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5" s="3"/>
      </tp>
      <tp>
        <v>150</v>
        <stp/>
        <stp>##V3_BDHV12</stp>
        <stp>AMZN US Equity</stp>
        <stp>CF_DEPR_AMORT</stp>
        <stp>FQ3 2010</stp>
        <stp>FQ3 2010</stp>
        <stp>[AMZ_2009-2018.xlsx]Cash Flow - Standardized!R8C9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8" s="4"/>
      </tp>
      <tp>
        <v>129</v>
        <stp/>
        <stp>##V3_BDHV12</stp>
        <stp>AMZN US Equity</stp>
        <stp>CF_DEPR_AMORT</stp>
        <stp>FQ2 2010</stp>
        <stp>FQ2 2010</stp>
        <stp>[AMZ_2009-2018.xlsx]Cash Flow - Standardized!R8C8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8" s="4"/>
      </tp>
      <tp>
        <v>357.21300000000002</v>
        <stp/>
        <stp>##V3_BDHV12</stp>
        <stp>AMZN US Equity</stp>
        <stp>EQY_FLOAT</stp>
        <stp>FQ4 2010</stp>
        <stp>FQ4 2010</stp>
        <stp>[AMZ_2009-2018.xlsx]Stock Value!R14C10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14" s="6"/>
      </tp>
      <tp>
        <v>-7.8972999999999995</v>
        <stp/>
        <stp>##V3_BDHV12</stp>
        <stp>AMZN US Equity</stp>
        <stp>FREE_CASH_FLOW_PER_SH</stp>
        <stp>FQ1 2017</stp>
        <stp>FQ1 2017</stp>
        <stp>[AMZ_2009-2018.xlsx]Per Share!R23C35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23" s="5"/>
      </tp>
      <tp>
        <v>-6.234</v>
        <stp/>
        <stp>##V3_BDHV12</stp>
        <stp>AMZN US Equity</stp>
        <stp>FREE_CASH_FLOW_PER_SH</stp>
        <stp>FQ1 2012</stp>
        <stp>FQ1 2012</stp>
        <stp>[AMZ_2009-2018.xlsx]Per Share!R23C15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23" s="5"/>
      </tp>
      <tp>
        <v>119</v>
        <stp/>
        <stp>##V3_BDHV12</stp>
        <stp>AMZN US Equity</stp>
        <stp>CF_DEPR_AMORT</stp>
        <stp>FQ1 2010</stp>
        <stp>FQ1 2010</stp>
        <stp>[AMZ_2009-2018.xlsx]Cash Flow - Standardized!R8C7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8" s="4"/>
      </tp>
      <tp>
        <v>11949</v>
        <stp/>
        <stp>##V3_BDHV12</stp>
        <stp>AMZN US Equity</stp>
        <stp>BS_ACCRUAL</stp>
        <stp>FQ4 2017</stp>
        <stp>FQ4 2017</stp>
        <stp>[AMZ_2009-2018.xlsx]Bal Sheet - Standardized!R42C38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2" s="3"/>
      </tp>
      <tp>
        <v>0.83799999999999997</v>
        <stp/>
        <stp>##V3_BDHV12</stp>
        <stp>AMZN US Equity</stp>
        <stp>FREE_CASH_FLOW_PER_SH</stp>
        <stp>FQ3 2014</stp>
        <stp>FQ3 2014</stp>
        <stp>[AMZ_2009-2018.xlsx]Per Share!R23C25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23" s="5"/>
      </tp>
      <tp>
        <v>96</v>
        <stp/>
        <stp>##V3_BDHV12</stp>
        <stp>AMZN US Equity</stp>
        <stp>CF_DEPR_AMORT</stp>
        <stp>FQ3 2009</stp>
        <stp>FQ3 2009</stp>
        <stp>[AMZ_2009-2018.xlsx]Cash Flow - Standardized!R8C5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8" s="4"/>
      </tp>
      <tp>
        <v>91</v>
        <stp/>
        <stp>##V3_BDHV12</stp>
        <stp>AMZN US Equity</stp>
        <stp>CF_DEPR_AMORT</stp>
        <stp>FQ2 2009</stp>
        <stp>FQ2 2009</stp>
        <stp>[AMZ_2009-2018.xlsx]Cash Flow - Standardized!R8C4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8" s="4"/>
      </tp>
      <tp>
        <v>112</v>
        <stp/>
        <stp>##V3_BDHV12</stp>
        <stp>AMZN US Equity</stp>
        <stp>CF_DEPR_AMORT</stp>
        <stp>FQ4 2009</stp>
        <stp>FQ4 2009</stp>
        <stp>[AMZ_2009-2018.xlsx]Cash Flow - Standardized!R8C6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8" s="4"/>
      </tp>
      <tp>
        <v>89</v>
        <stp/>
        <stp>##V3_BDHV12</stp>
        <stp>AMZN US Equity</stp>
        <stp>CF_DEPR_AMORT</stp>
        <stp>FQ1 2009</stp>
        <stp>FQ1 2009</stp>
        <stp>[AMZ_2009-2018.xlsx]Cash Flow - Standardized!R8C3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4"/>
      </tp>
      <tp>
        <v>30615</v>
        <stp/>
        <stp>##V3_BDHV12</stp>
        <stp>AMZN US Equity</stp>
        <stp>BS_TOT_NON_CUR_ASSET</stp>
        <stp>FQ1 2016</stp>
        <stp>FQ1 2016</stp>
        <stp>[AMZ_2009-2018.xlsx]Bal Sheet - Standardized!R34C31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4" s="3"/>
      </tp>
      <tp>
        <v>43800</v>
        <stp/>
        <stp>##V3_BDHV12</stp>
        <stp>AMZN US Equity</stp>
        <stp>BS_TOT_LIAB2</stp>
        <stp>FQ3 2015</stp>
        <stp>FQ3 2015</stp>
        <stp>[AMZ_2009-2018.xlsx]Bal Sheet - Standardized!R63C29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3" s="3"/>
      </tp>
      <tp>
        <v>143</v>
        <stp/>
        <stp>##V3_BDHV12</stp>
        <stp>AMZN US Equity</stp>
        <stp>LT_CAPITAL_LEASE_OBLIGATIONS</stp>
        <stp>FQ4 2009</stp>
        <stp>FQ4 2009</stp>
        <stp>[AMZ_2009-2018.xlsx]Bal Sheet - Standardized!R54C6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4" s="3"/>
      </tp>
      <tp t="s">
        <v>—</v>
        <stp/>
        <stp>##V3_BDHV12</stp>
        <stp>AMZN US Equity</stp>
        <stp>BS_DERIV_&amp;_HEDGING_ASSETS_LT</stp>
        <stp>FQ3 2009</stp>
        <stp>FQ3 2009</stp>
        <stp>[AMZ_2009-2018.xlsx]Bal Sheet - Standardized!R32C5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2" s="3"/>
      </tp>
      <tp t="s">
        <v>—</v>
        <stp/>
        <stp>##V3_BDHV12</stp>
        <stp>AMZN US Equity</stp>
        <stp>BS_DERIV_&amp;_HEDGING_ASSETS_ST</stp>
        <stp>FQ3 2009</stp>
        <stp>FQ3 2009</stp>
        <stp>[AMZ_2009-2018.xlsx]Bal Sheet - Standardized!R19C5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9" s="3"/>
      </tp>
      <tp>
        <v>7788</v>
        <stp/>
        <stp>##V3_BDHV12</stp>
        <stp>AMZN US Equity</stp>
        <stp>BS_TOT_NON_CUR_ASSET</stp>
        <stp>FQ4 2011</stp>
        <stp>FQ4 2011</stp>
        <stp>[AMZ_2009-2018.xlsx]Bal Sheet - Standardized!R34C14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4" s="3"/>
      </tp>
      <tp>
        <v>0</v>
        <stp/>
        <stp>##V3_BDHV12</stp>
        <stp>AMZN US Equity</stp>
        <stp>BS_LT_INVEST</stp>
        <stp>FQ3 2012</stp>
        <stp>FQ3 2012</stp>
        <stp>[AMZ_2009-2018.xlsx]Bal Sheet - Standardized!R26C17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6" s="3"/>
      </tp>
      <tp>
        <v>12042</v>
        <stp/>
        <stp>##V3_BDHV12</stp>
        <stp>AMZN US Equity</stp>
        <stp>BS_TOT_ASSET</stp>
        <stp>FQ1 2010</stp>
        <stp>FQ1 2010</stp>
        <stp>[AMZ_2009-2018.xlsx]Bal Sheet - Standardized!R35C7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5" s="3"/>
      </tp>
      <tp t="s">
        <v>—</v>
        <stp/>
        <stp>##V3_BDHV12</stp>
        <stp>AMZN US Equity</stp>
        <stp>BS_DERIV_&amp;_HEDGING_ASSETS_LT</stp>
        <stp>FQ2 2010</stp>
        <stp>FQ2 2010</stp>
        <stp>[AMZ_2009-2018.xlsx]Bal Sheet - Standardized!R32C8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2" s="3"/>
      </tp>
      <tp t="s">
        <v>—</v>
        <stp/>
        <stp>##V3_BDHV12</stp>
        <stp>AMZN US Equity</stp>
        <stp>BS_DERIV_&amp;_HEDGING_ASSETS_ST</stp>
        <stp>FQ2 2010</stp>
        <stp>FQ2 2010</stp>
        <stp>[AMZ_2009-2018.xlsx]Bal Sheet - Standardized!R19C8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9" s="3"/>
      </tp>
      <tp>
        <v>19143</v>
        <stp/>
        <stp>##V3_BDHV12</stp>
        <stp>AMZN US Equity</stp>
        <stp>BS_TOT_NON_CUR_ASSET</stp>
        <stp>FQ2 2014</stp>
        <stp>FQ2 2014</stp>
        <stp>[AMZ_2009-2018.xlsx]Bal Sheet - Standardized!R34C24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4" s="3"/>
      </tp>
      <tp>
        <v>0</v>
        <stp/>
        <stp>##V3_BDHV12</stp>
        <stp>AMZN US Equity</stp>
        <stp>BS_LT_INVEST</stp>
        <stp>FQ4 2017</stp>
        <stp>FQ4 2017</stp>
        <stp>[AMZ_2009-2018.xlsx]Bal Sheet - Standardized!R26C38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6" s="3"/>
      </tp>
      <tp>
        <v>17521</v>
        <stp/>
        <stp>##V3_BDHV12</stp>
        <stp>AMZN US Equity</stp>
        <stp>BS_TOT_LIAB2</stp>
        <stp>FQ4 2011</stp>
        <stp>FQ4 2011</stp>
        <stp>[AMZ_2009-2018.xlsx]Bal Sheet - Standardized!R63C14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3" s="3"/>
      </tp>
      <tp>
        <v>27381</v>
        <stp/>
        <stp>##V3_BDHV12</stp>
        <stp>AMZN US Equity</stp>
        <stp>BS_TOT_NON_CUR_ASSET</stp>
        <stp>FQ3 2015</stp>
        <stp>FQ3 2015</stp>
        <stp>[AMZ_2009-2018.xlsx]Bal Sheet - Standardized!R34C29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4" s="3"/>
      </tp>
      <tp>
        <v>46372</v>
        <stp/>
        <stp>##V3_BDHV12</stp>
        <stp>AMZN US Equity</stp>
        <stp>BS_TOT_LIAB2</stp>
        <stp>FQ1 2016</stp>
        <stp>FQ1 2016</stp>
        <stp>[AMZ_2009-2018.xlsx]Bal Sheet - Standardized!R63C31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3" s="3"/>
      </tp>
      <tp>
        <v>27296</v>
        <stp/>
        <stp>##V3_BDHV12</stp>
        <stp>AMZN US Equity</stp>
        <stp>BS_TOT_LIAB2</stp>
        <stp>FQ2 2014</stp>
        <stp>FQ2 2014</stp>
        <stp>[AMZ_2009-2018.xlsx]Bal Sheet - Standardized!R63C24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3" s="3"/>
      </tp>
      <tp>
        <v>14219</v>
        <stp/>
        <stp>##V3_BDHV12</stp>
        <stp>AMZN US Equity</stp>
        <stp>BS_LT_BORROW</stp>
        <stp>FQ1 2016</stp>
        <stp>FQ1 2016</stp>
        <stp>[AMZ_2009-2018.xlsx]Bal Sheet - Standardized!R52C31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2" s="3"/>
      </tp>
      <tp>
        <v>3393</v>
        <stp/>
        <stp>##V3_BDHV12</stp>
        <stp>AMZN US Equity</stp>
        <stp>BS_ST_BORROW</stp>
        <stp>FQ1 2016</stp>
        <stp>FQ1 2016</stp>
        <stp>[AMZ_2009-2018.xlsx]Bal Sheet - Standardized!R43C31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3" s="3"/>
      </tp>
      <tp>
        <v>1415</v>
        <stp/>
        <stp>##V3_BDHV12</stp>
        <stp>AMZN US Equity</stp>
        <stp>BS_LT_BORROW</stp>
        <stp>FQ4 2011</stp>
        <stp>FQ4 2011</stp>
        <stp>[AMZ_2009-2018.xlsx]Bal Sheet - Standardized!R52C14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2" s="3"/>
      </tp>
      <tp>
        <v>524</v>
        <stp/>
        <stp>##V3_BDHV12</stp>
        <stp>AMZN US Equity</stp>
        <stp>BS_ST_BORROW</stp>
        <stp>FQ4 2011</stp>
        <stp>FQ4 2011</stp>
        <stp>[AMZ_2009-2018.xlsx]Bal Sheet - Standardized!R43C14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3" s="3"/>
      </tp>
      <tp>
        <v>850</v>
        <stp/>
        <stp>##V3_BDHV12</stp>
        <stp>AMZN US Equity</stp>
        <stp>NON_CUR_LIAB</stp>
        <stp>FQ3 2009</stp>
        <stp>FQ3 2009</stp>
        <stp>[AMZ_2009-2018.xlsx]Bal Sheet - Standardized!R62C5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2" s="3"/>
      </tp>
      <tp>
        <v>442</v>
        <stp/>
        <stp>##V3_BDHV12</stp>
        <stp>AMZN US Equity</stp>
        <stp>IS_GENERAL_AND_ADMINISTRATIVE</stp>
        <stp>FQ4 2014</stp>
        <stp>FQ4 2014</stp>
        <stp>[AMZ_2009-2018.xlsx]Income - Adjusted!R15C26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5" s="2"/>
      </tp>
      <tp>
        <v>232</v>
        <stp/>
        <stp>##V3_BDHV12</stp>
        <stp>AMZN US Equity</stp>
        <stp>IS_GENERAL_AND_ADMINISTRATIVE</stp>
        <stp>FQ2 2012</stp>
        <stp>FQ2 2012</stp>
        <stp>[AMZ_2009-2018.xlsx]Income - Adjusted!R15C16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5" s="2"/>
      </tp>
      <tp>
        <v>874</v>
        <stp/>
        <stp>##V3_BDHV12</stp>
        <stp>AMZN US Equity</stp>
        <stp>IS_GENERAL_AND_ADMINISTRATIVE</stp>
        <stp>FQ2 2017</stp>
        <stp>FQ2 2017</stp>
        <stp>[AMZ_2009-2018.xlsx]Income - Adjusted!R15C36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5" s="2"/>
      </tp>
      <tp>
        <v>860</v>
        <stp/>
        <stp>##V3_BDHV12</stp>
        <stp>AMZN US Equity</stp>
        <stp>BS_ST_BORROW</stp>
        <stp>FQ2 2014</stp>
        <stp>FQ2 2014</stp>
        <stp>[AMZ_2009-2018.xlsx]Bal Sheet - Standardized!R43C24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3" s="3"/>
      </tp>
      <tp>
        <v>3119</v>
        <stp/>
        <stp>##V3_BDHV12</stp>
        <stp>AMZN US Equity</stp>
        <stp>BS_LT_BORROW</stp>
        <stp>FQ2 2014</stp>
        <stp>FQ2 2014</stp>
        <stp>[AMZ_2009-2018.xlsx]Bal Sheet - Standardized!R52C24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2" s="3"/>
      </tp>
      <tp>
        <v>1290</v>
        <stp/>
        <stp>##V3_BDHV12</stp>
        <stp>AMZN US Equity</stp>
        <stp>NON_CUR_LIAB</stp>
        <stp>FQ2 2010</stp>
        <stp>FQ2 2010</stp>
        <stp>[AMZ_2009-2018.xlsx]Bal Sheet - Standardized!R62C8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2" s="3"/>
      </tp>
      <tp>
        <v>1805</v>
        <stp/>
        <stp>##V3_BDHV12</stp>
        <stp>AMZN US Equity</stp>
        <stp>NON_CUR_LIAB</stp>
        <stp>FQ1 2011</stp>
        <stp>FQ1 2011</stp>
        <stp>[AMZ_2009-2018.xlsx]Bal Sheet - Standardized!R62C11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2" s="3"/>
      </tp>
      <tp>
        <v>1117</v>
        <stp/>
        <stp>##V3_BDHV12</stp>
        <stp>AMZN US Equity</stp>
        <stp>BS_ST_BORROW</stp>
        <stp>FQ3 2015</stp>
        <stp>FQ3 2015</stp>
        <stp>[AMZ_2009-2018.xlsx]Bal Sheet - Standardized!R43C29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3" s="3"/>
      </tp>
      <tp>
        <v>20301</v>
        <stp/>
        <stp>##V3_BDHV12</stp>
        <stp>AMZN US Equity</stp>
        <stp>NON_CUR_LIAB</stp>
        <stp>FQ4 2016</stp>
        <stp>FQ4 2016</stp>
        <stp>[AMZ_2009-2018.xlsx]Bal Sheet - Standardized!R62C34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2" s="3"/>
      </tp>
      <tp>
        <v>8243</v>
        <stp/>
        <stp>##V3_BDHV12</stp>
        <stp>AMZN US Equity</stp>
        <stp>BS_LT_BORROW</stp>
        <stp>FQ3 2015</stp>
        <stp>FQ3 2015</stp>
        <stp>[AMZ_2009-2018.xlsx]Bal Sheet - Standardized!R52C29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2" s="3"/>
      </tp>
      <tp>
        <v>2553</v>
        <stp/>
        <stp>##V3_BDHV12</stp>
        <stp>AMZN US Equity</stp>
        <stp>NON_CUR_LIAB</stp>
        <stp>FQ2 2012</stp>
        <stp>FQ2 2012</stp>
        <stp>[AMZ_2009-2018.xlsx]Bal Sheet - Standardized!R62C16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2" s="3"/>
      </tp>
      <tp>
        <v>119</v>
        <stp/>
        <stp>##V3_BDHV12</stp>
        <stp>AMZN US Equity</stp>
        <stp>ST_CAPITAL_LEASE_OBLIGATIONS</stp>
        <stp>FQ4 2009</stp>
        <stp>FQ4 2009</stp>
        <stp>[AMZ_2009-2018.xlsx]Bal Sheet - Standardized!R45C6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5" s="3"/>
      </tp>
      <tp>
        <v>17</v>
        <stp/>
        <stp>##V3_BDHV12</stp>
        <stp>AMZN US Equity</stp>
        <stp>BS_NUM_OF_TSY_SH</stp>
        <stp>FQ4 2009</stp>
        <stp>FQ4 2009</stp>
        <stp>[AMZ_2009-2018.xlsx]Bal Sheet - Standardized!R79C6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79" s="3"/>
      </tp>
      <tp>
        <v>17</v>
        <stp/>
        <stp>##V3_BDHV12</stp>
        <stp>AMZN US Equity</stp>
        <stp>BS_NUM_OF_TSY_SH</stp>
        <stp>FQ1 2009</stp>
        <stp>FQ1 2009</stp>
        <stp>[AMZ_2009-2018.xlsx]Bal Sheet - Standardized!R79C3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79" s="3"/>
      </tp>
      <tp>
        <v>-117</v>
        <stp/>
        <stp>##V3_BDHV12</stp>
        <stp>AMZN US Equity</stp>
        <stp>CF_CHNG_NON_CASH_WORK_CAP</stp>
        <stp>FQ2 2010</stp>
        <stp>FQ2 2010</stp>
        <stp>[AMZ_2009-2018.xlsx]Cash Flow - Standardized!R13C8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3" s="4"/>
      </tp>
      <tp>
        <v>321</v>
        <stp/>
        <stp>##V3_BDHV12</stp>
        <stp>AMZN US Equity</stp>
        <stp>CF_CHNG_NON_CASH_WORK_CAP</stp>
        <stp>FQ3 2009</stp>
        <stp>FQ3 2009</stp>
        <stp>[AMZ_2009-2018.xlsx]Cash Flow - Standardized!R13C5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3" s="4"/>
      </tp>
      <tp>
        <v>16</v>
        <stp/>
        <stp>##V3_BDHV12</stp>
        <stp>AMZN US Equity</stp>
        <stp>BS_NUM_OF_TSY_SH</stp>
        <stp>FQ2 2010</stp>
        <stp>FQ2 2010</stp>
        <stp>[AMZ_2009-2018.xlsx]Bal Sheet - Standardized!R79C8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79" s="3"/>
      </tp>
      <tp>
        <v>17</v>
        <stp/>
        <stp>##V3_BDHV12</stp>
        <stp>AMZN US Equity</stp>
        <stp>BS_NUM_OF_TSY_SH</stp>
        <stp>FQ3 2010</stp>
        <stp>FQ3 2010</stp>
        <stp>[AMZ_2009-2018.xlsx]Bal Sheet - Standardized!R79C9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79" s="3"/>
      </tp>
      <tp>
        <v>553</v>
        <stp/>
        <stp>##V3_BDHV12</stp>
        <stp>AMZN US Equity</stp>
        <stp>BS_CURR_RENTAL_EXPENSE</stp>
        <stp>FQ3 2017</stp>
        <stp>FQ3 2017</stp>
        <stp>[AMZ_2009-2018.xlsx]Income - Adjusted!R73C37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73" s="2"/>
      </tp>
      <tp>
        <v>439</v>
        <stp/>
        <stp>##V3_BDHV12</stp>
        <stp>AMZN US Equity</stp>
        <stp>BS_CURR_RENTAL_EXPENSE</stp>
        <stp>FQ2 2017</stp>
        <stp>FQ2 2017</stp>
        <stp>[AMZ_2009-2018.xlsx]Income - Adjusted!R73C36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73" s="2"/>
      </tp>
      <tp>
        <v>0</v>
        <stp/>
        <stp>##V3_BDHV12</stp>
        <stp>AMZN US Equity</stp>
        <stp>CF_DISPOSAL_OF_INTANGIBLE_ASSETS</stp>
        <stp>FQ2 2010</stp>
        <stp>FQ2 2010</stp>
        <stp>[AMZ_2009-2018.xlsx]Cash Flow - Standardized!R25C8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5" s="4"/>
      </tp>
      <tp>
        <v>411</v>
        <stp/>
        <stp>##V3_BDHV12</stp>
        <stp>AMZN US Equity</stp>
        <stp>BS_CURR_RENTAL_EXPENSE</stp>
        <stp>FQ1 2017</stp>
        <stp>FQ1 2017</stp>
        <stp>[AMZ_2009-2018.xlsx]Income - Adjusted!R73C35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73" s="2"/>
      </tp>
      <tp>
        <v>0</v>
        <stp/>
        <stp>##V3_BDHV12</stp>
        <stp>AMZN US Equity</stp>
        <stp>CF_DISPOSAL_OF_INTANGIBLE_ASSETS</stp>
        <stp>FQ3 2009</stp>
        <stp>FQ3 2009</stp>
        <stp>[AMZ_2009-2018.xlsx]Cash Flow - Standardized!R25C5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5" s="4"/>
      </tp>
      <tp>
        <v>20</v>
        <stp/>
        <stp>##V3_BDHV12</stp>
        <stp>AMZN US Equity</stp>
        <stp>OTHER_NON_CASH_ADJ_LESS_DETAILED</stp>
        <stp>FQ1 2010</stp>
        <stp>FQ1 2010</stp>
        <stp>[AMZ_2009-2018.xlsx]Cash Flow - Standardized!R12C7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2" s="4"/>
      </tp>
      <tp>
        <v>0</v>
        <stp/>
        <stp>##V3_BDHV12</stp>
        <stp>AMZN US Equity</stp>
        <stp>CF_CASH_FOR_JOINT_VENTURES_ASSOC</stp>
        <stp>FQ4 2009</stp>
        <stp>FQ4 2009</stp>
        <stp>[AMZ_2009-2018.xlsx]Cash Flow - Standardized!R35C6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5" s="4"/>
      </tp>
      <tp t="s">
        <v>—</v>
        <stp/>
        <stp>##V3_BDHV12</stp>
        <stp>AMZN US Equity</stp>
        <stp>IS_LEGAL_LITIGATION_SETTLEMENT</stp>
        <stp>FQ4 2013</stp>
        <stp>FQ4 2013</stp>
        <stp>[AMZ_2009-2018.xlsx]Income - Adjusted!R28C22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8" s="2"/>
      </tp>
      <tp t="s">
        <v>—</v>
        <stp/>
        <stp>##V3_BDHV12</stp>
        <stp>AMZN US Equity</stp>
        <stp>IS_LEGAL_LITIGATION_SETTLEMENT</stp>
        <stp>FQ3 2013</stp>
        <stp>FQ3 2013</stp>
        <stp>[AMZ_2009-2018.xlsx]Income - Adjusted!R28C21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8" s="2"/>
      </tp>
      <tp t="s">
        <v>—</v>
        <stp/>
        <stp>##V3_BDHV12</stp>
        <stp>AMZN US Equity</stp>
        <stp>IS_LEGAL_LITIGATION_SETTLEMENT</stp>
        <stp>FQ2 2013</stp>
        <stp>FQ2 2013</stp>
        <stp>[AMZ_2009-2018.xlsx]Income - Adjusted!R28C20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8" s="2"/>
      </tp>
      <tp t="s">
        <v>—</v>
        <stp/>
        <stp>##V3_BDHV12</stp>
        <stp>AMZN US Equity</stp>
        <stp>IS_LEGAL_LITIGATION_SETTLEMENT</stp>
        <stp>FQ4 2010</stp>
        <stp>FQ4 2010</stp>
        <stp>[AMZ_2009-2018.xlsx]Income - Adjusted!R28C10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8" s="2"/>
      </tp>
      <tp>
        <v>800</v>
        <stp/>
        <stp>##V3_BDHV12</stp>
        <stp>AMZN US Equity</stp>
        <stp>BS_CURR_RENTAL_EXPENSE</stp>
        <stp>FQ4 2017</stp>
        <stp>FQ4 2017</stp>
        <stp>[AMZ_2009-2018.xlsx]Income - Adjusted!R73C38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73" s="2"/>
      </tp>
      <tp>
        <v>0</v>
        <stp/>
        <stp>##V3_BDHV12</stp>
        <stp>AMZN US Equity</stp>
        <stp>DISP_FXD_&amp;_INTANGIBLES_DETAILED</stp>
        <stp>FQ1 2009</stp>
        <stp>FQ1 2009</stp>
        <stp>[AMZ_2009-2018.xlsx]Cash Flow - Standardized!R23C3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4"/>
      </tp>
      <tp>
        <v>1.0297000000000001</v>
        <stp/>
        <stp>##V3_BDHV12</stp>
        <stp>AMZN US Equity</stp>
        <stp>IS_BASIC_EPS_CONT_OPS</stp>
        <stp>FQ4 2015</stp>
        <stp>FQ4 2015</stp>
        <stp>[AMZ_2009-2018.xlsx]Income - Adjusted!R52C30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52" s="2"/>
      </tp>
      <tp>
        <v>0.93</v>
        <stp/>
        <stp>##V3_BDHV12</stp>
        <stp>AMZN US Equity</stp>
        <stp>IS_BASIC_EPS_CONT_OPS</stp>
        <stp>FQ4 2010</stp>
        <stp>FQ4 2010</stp>
        <stp>[AMZ_2009-2018.xlsx]Income - Adjusted!R52C10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52" s="2"/>
      </tp>
      <tp>
        <v>24640</v>
        <stp/>
        <stp>##V3_BDHV12</stp>
        <stp>AMZN US Equity</stp>
        <stp>LONG_TERM_BORROWINGS_DETAILED</stp>
        <stp>FQ1 2018</stp>
        <stp>FQ1 2018</stp>
        <stp>[AMZ_2009-2018.xlsx]Bal Sheet - Standardized!R53C39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3" s="3"/>
      </tp>
      <tp>
        <v>-0.02</v>
        <stp/>
        <stp>##V3_BDHV12</stp>
        <stp>AMZN US Equity</stp>
        <stp>IS_BASIC_EPS_CONT_OPS</stp>
        <stp>FQ2 2013</stp>
        <stp>FQ2 2013</stp>
        <stp>[AMZ_2009-2018.xlsx]Income - Adjusted!R52C20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52" s="2"/>
      </tp>
      <tp>
        <v>3.9877000000000002</v>
        <stp/>
        <stp>##V3_BDHV12</stp>
        <stp>AMZN US Equity</stp>
        <stp>IS_BASIC_EPS_CONT_OPS</stp>
        <stp>FQ2 2018</stp>
        <stp>FQ2 2018</stp>
        <stp>[AMZ_2009-2018.xlsx]Income - Adjusted!R52C40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52" s="2"/>
      </tp>
      <tp>
        <v>7543</v>
        <stp/>
        <stp>##V3_BDHV12</stp>
        <stp>AMZN US Equity</stp>
        <stp>IS_COG_AND_SERVICES_SOLD</stp>
        <stp>FQ4 2009</stp>
        <stp>FQ4 2009</stp>
        <stp>[AMZ_2009-2018.xlsx]Income - Adjusted!R9C6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9" s="2"/>
      </tp>
      <tp>
        <v>3741</v>
        <stp/>
        <stp>##V3_BDHV12</stp>
        <stp>AMZN US Equity</stp>
        <stp>IS_COG_AND_SERVICES_SOLD</stp>
        <stp>FQ1 2009</stp>
        <stp>FQ1 2009</stp>
        <stp>[AMZ_2009-2018.xlsx]Income - Adjusted!R9C3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9" s="2"/>
      </tp>
      <tp t="s">
        <v>—</v>
        <stp/>
        <stp>##V3_BDHV12</stp>
        <stp>AMZN US Equity</stp>
        <stp>BS_CASH_HELD_OVERSEAS</stp>
        <stp>FQ3 2016</stp>
        <stp>FQ3 2016</stp>
        <stp>[AMZ_2009-2018.xlsx]Bal Sheet - Standardized!R88C33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88" s="3"/>
      </tp>
      <tp t="s">
        <v>—</v>
        <stp/>
        <stp>##V3_BDHV12</stp>
        <stp>AMZN US Equity</stp>
        <stp>BS_CASH_HELD_OVERSEAS</stp>
        <stp>FQ1 2015</stp>
        <stp>FQ1 2015</stp>
        <stp>[AMZ_2009-2018.xlsx]Bal Sheet - Standardized!R88C27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88" s="3"/>
      </tp>
      <tp>
        <v>5786</v>
        <stp/>
        <stp>##V3_BDHV12</stp>
        <stp>AMZN US Equity</stp>
        <stp>IS_COG_AND_SERVICES_SOLD</stp>
        <stp>FQ3 2010</stp>
        <stp>FQ3 2010</stp>
        <stp>[AMZ_2009-2018.xlsx]Income - Adjusted!R9C9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9" s="2"/>
      </tp>
      <tp>
        <v>4957</v>
        <stp/>
        <stp>##V3_BDHV12</stp>
        <stp>AMZN US Equity</stp>
        <stp>IS_COG_AND_SERVICES_SOLD</stp>
        <stp>FQ2 2010</stp>
        <stp>FQ2 2010</stp>
        <stp>[AMZ_2009-2018.xlsx]Income - Adjusted!R9C8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9" s="2"/>
      </tp>
      <tp t="s">
        <v>—</v>
        <stp/>
        <stp>##V3_BDHV12</stp>
        <stp>AMZN US Equity</stp>
        <stp>BS_CASH_HELD_OVERSEAS</stp>
        <stp>FQ2 2017</stp>
        <stp>FQ2 2017</stp>
        <stp>[AMZ_2009-2018.xlsx]Bal Sheet - Standardized!R88C36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88" s="3"/>
      </tp>
      <tp>
        <v>1.4586999999999999</v>
        <stp/>
        <stp>##V3_BDHV12</stp>
        <stp>AMZN US Equity</stp>
        <stp>CUR_RATIO</stp>
        <stp>FQ2 2009</stp>
        <stp>FQ2 2009</stp>
        <stp>[AMZ_2009-2018.xlsx]Bal Sheet - Standardized!R86C4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86" s="3"/>
      </tp>
      <tp>
        <v>1.4037999999999999</v>
        <stp/>
        <stp>##V3_BDHV12</stp>
        <stp>AMZN US Equity</stp>
        <stp>CUR_RATIO</stp>
        <stp>FQ3 2009</stp>
        <stp>FQ3 2009</stp>
        <stp>[AMZ_2009-2018.xlsx]Bal Sheet - Standardized!R86C5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86" s="3"/>
      </tp>
      <tp>
        <v>6065</v>
        <stp/>
        <stp>##V3_BDHV12</stp>
        <stp>AMZN US Equity</stp>
        <stp>BS_ACCRUAL</stp>
        <stp>FQ2 2016</stp>
        <stp>FQ2 2016</stp>
        <stp>[AMZ_2009-2018.xlsx]Bal Sheet - Standardized!R42C32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2" s="3"/>
      </tp>
      <tp>
        <v>5467</v>
        <stp/>
        <stp>##V3_BDHV12</stp>
        <stp>AMZN US Equity</stp>
        <stp>BS_ACCRUAL</stp>
        <stp>FQ1 2014</stp>
        <stp>FQ1 2014</stp>
        <stp>[AMZ_2009-2018.xlsx]Bal Sheet - Standardized!R42C23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2" s="3"/>
      </tp>
      <tp t="s">
        <v>—</v>
        <stp/>
        <stp>##V3_BDHV12</stp>
        <stp>AMZN US Equity</stp>
        <stp>INVTRY_IN_PROGRESS</stp>
        <stp>FQ2 2012</stp>
        <stp>FQ2 2012</stp>
        <stp>[AMZ_2009-2018.xlsx]Bal Sheet - Standardized!R15C16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5" s="3"/>
      </tp>
      <tp>
        <v>9268</v>
        <stp/>
        <stp>##V3_BDHV12</stp>
        <stp>AMZN US Equity</stp>
        <stp>BS_ACCRUAL</stp>
        <stp>FQ3 2017</stp>
        <stp>FQ3 2017</stp>
        <stp>[AMZ_2009-2018.xlsx]Bal Sheet - Standardized!R42C37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2" s="3"/>
      </tp>
      <tp t="s">
        <v>—</v>
        <stp/>
        <stp>##V3_BDHV12</stp>
        <stp>AMZN US Equity</stp>
        <stp>INVTRY_IN_PROGRESS</stp>
        <stp>FQ4 2016</stp>
        <stp>FQ4 2016</stp>
        <stp>[AMZ_2009-2018.xlsx]Bal Sheet - Standardized!R15C34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5" s="3"/>
      </tp>
      <tp t="s">
        <v>—</v>
        <stp/>
        <stp>##V3_BDHV12</stp>
        <stp>AMZN US Equity</stp>
        <stp>INVTRY_IN_PROGRESS</stp>
        <stp>FQ1 2011</stp>
        <stp>FQ1 2011</stp>
        <stp>[AMZ_2009-2018.xlsx]Bal Sheet - Standardized!R15C11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5" s="3"/>
      </tp>
      <tp>
        <v>3.9470999999999998</v>
        <stp/>
        <stp>##V3_BDHV12</stp>
        <stp>AMZN US Equity</stp>
        <stp>FREE_CASH_FLOW_PER_SH</stp>
        <stp>FQ2 2016</stp>
        <stp>FQ2 2016</stp>
        <stp>[AMZ_2009-2018.xlsx]Per Share!R23C32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23" s="5"/>
      </tp>
      <tp>
        <v>-2.2100000000000002E-2</v>
        <stp/>
        <stp>##V3_BDHV12</stp>
        <stp>AMZN US Equity</stp>
        <stp>FREE_CASH_FLOW_PER_SH</stp>
        <stp>FQ2 2011</stp>
        <stp>FQ2 2011</stp>
        <stp>[AMZ_2009-2018.xlsx]Per Share!R23C12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23" s="5"/>
      </tp>
      <tp>
        <v>10.2576</v>
        <stp/>
        <stp>##V3_BDHV12</stp>
        <stp>AMZN US Equity</stp>
        <stp>FREE_CASH_FLOW_PER_SH</stp>
        <stp>FQ4 2013</stp>
        <stp>FQ4 2013</stp>
        <stp>[AMZ_2009-2018.xlsx]Per Share!R23C22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23" s="5"/>
      </tp>
      <tp>
        <v>379.846</v>
        <stp/>
        <stp>##V3_BDHV12</stp>
        <stp>AMZN US Equity</stp>
        <stp>EQY_FLOAT</stp>
        <stp>FQ1 2015</stp>
        <stp>FQ1 2015</stp>
        <stp>[AMZ_2009-2018.xlsx]Stock Value!R14C27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14" s="6"/>
      </tp>
      <tp>
        <v>4550</v>
        <stp/>
        <stp>##V3_BDHV12</stp>
        <stp>AMZN US Equity</stp>
        <stp>BS_ACCRUAL</stp>
        <stp>FQ4 2012</stp>
        <stp>FQ4 2012</stp>
        <stp>[AMZ_2009-2018.xlsx]Bal Sheet - Standardized!R42C18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2" s="3"/>
      </tp>
      <tp>
        <v>395.84500000000003</v>
        <stp/>
        <stp>##V3_BDHV12</stp>
        <stp>AMZN US Equity</stp>
        <stp>EQY_FLOAT</stp>
        <stp>FQ1 2017</stp>
        <stp>FQ1 2017</stp>
        <stp>[AMZ_2009-2018.xlsx]Stock Value!R14C35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14" s="6"/>
      </tp>
      <tp>
        <v>397.69600000000003</v>
        <stp/>
        <stp>##V3_BDHV12</stp>
        <stp>AMZN US Equity</stp>
        <stp>EQY_FLOAT</stp>
        <stp>FQ2 2017</stp>
        <stp>FQ2 2017</stp>
        <stp>[AMZ_2009-2018.xlsx]Stock Value!R14C36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14" s="6"/>
      </tp>
      <tp>
        <v>400.09300000000002</v>
        <stp/>
        <stp>##V3_BDHV12</stp>
        <stp>AMZN US Equity</stp>
        <stp>EQY_FLOAT</stp>
        <stp>FQ3 2017</stp>
        <stp>FQ3 2017</stp>
        <stp>[AMZ_2009-2018.xlsx]Stock Value!R14C37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14" s="6"/>
      </tp>
      <tp>
        <v>0</v>
        <stp/>
        <stp>##V3_BDHV12</stp>
        <stp>AMZN US Equity</stp>
        <stp>BS_LT_INVEST</stp>
        <stp>FQ1 2014</stp>
        <stp>FQ1 2014</stp>
        <stp>[AMZ_2009-2018.xlsx]Bal Sheet - Standardized!R26C23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6" s="3"/>
      </tp>
      <tp t="s">
        <v>—</v>
        <stp/>
        <stp>##V3_BDHV12</stp>
        <stp>AMZN US Equity</stp>
        <stp>LT_CAPITAL_LEASE_OBLIGATIONS</stp>
        <stp>FQ2 2010</stp>
        <stp>FQ2 2010</stp>
        <stp>[AMZ_2009-2018.xlsx]Bal Sheet - Standardized!R54C8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4" s="3"/>
      </tp>
      <tp>
        <v>0</v>
        <stp/>
        <stp>##V3_BDHV12</stp>
        <stp>AMZN US Equity</stp>
        <stp>BS_LT_INVEST</stp>
        <stp>FQ2 2016</stp>
        <stp>FQ2 2016</stp>
        <stp>[AMZ_2009-2018.xlsx]Bal Sheet - Standardized!R26C32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6" s="3"/>
      </tp>
      <tp>
        <v>13338</v>
        <stp/>
        <stp>##V3_BDHV12</stp>
        <stp>AMZN US Equity</stp>
        <stp>BS_TOT_NON_CUR_ASSET</stp>
        <stp>FQ2 2013</stp>
        <stp>FQ2 2013</stp>
        <stp>[AMZ_2009-2018.xlsx]Bal Sheet - Standardized!R34C20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4" s="3"/>
      </tp>
      <tp t="s">
        <v>—</v>
        <stp/>
        <stp>##V3_BDHV12</stp>
        <stp>AMZN US Equity</stp>
        <stp>LT_CAPITAL_LEASE_OBLIGATIONS</stp>
        <stp>FQ3 2009</stp>
        <stp>FQ3 2009</stp>
        <stp>[AMZ_2009-2018.xlsx]Bal Sheet - Standardized!R54C5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4" s="3"/>
      </tp>
      <tp t="s">
        <v>—</v>
        <stp/>
        <stp>##V3_BDHV12</stp>
        <stp>AMZN US Equity</stp>
        <stp>BS_DERIV_&amp;_HEDGING_ASSETS_LT</stp>
        <stp>FQ4 2009</stp>
        <stp>FQ4 2009</stp>
        <stp>[AMZ_2009-2018.xlsx]Bal Sheet - Standardized!R32C6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2" s="3"/>
      </tp>
      <tp t="s">
        <v>—</v>
        <stp/>
        <stp>##V3_BDHV12</stp>
        <stp>AMZN US Equity</stp>
        <stp>BS_DERIV_&amp;_HEDGING_ASSETS_ST</stp>
        <stp>FQ4 2009</stp>
        <stp>FQ4 2009</stp>
        <stp>[AMZ_2009-2018.xlsx]Bal Sheet - Standardized!R19C6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9" s="3"/>
      </tp>
      <tp>
        <v>7150</v>
        <stp/>
        <stp>##V3_BDHV12</stp>
        <stp>AMZN US Equity</stp>
        <stp>BS_TOT_NON_CUR_ASSET</stp>
        <stp>FQ3 2011</stp>
        <stp>FQ3 2011</stp>
        <stp>[AMZ_2009-2018.xlsx]Bal Sheet - Standardized!R34C13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4" s="3"/>
      </tp>
      <tp>
        <v>19945</v>
        <stp/>
        <stp>##V3_BDHV12</stp>
        <stp>AMZN US Equity</stp>
        <stp>BS_TOT_LIAB2</stp>
        <stp>FQ1 2013</stp>
        <stp>FQ1 2013</stp>
        <stp>[AMZ_2009-2018.xlsx]Bal Sheet - Standardized!R63C19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3" s="3"/>
      </tp>
      <tp>
        <v>0</v>
        <stp/>
        <stp>##V3_BDHV12</stp>
        <stp>AMZN US Equity</stp>
        <stp>BS_LT_INVEST</stp>
        <stp>FQ3 2017</stp>
        <stp>FQ3 2017</stp>
        <stp>[AMZ_2009-2018.xlsx]Bal Sheet - Standardized!R26C37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6" s="3"/>
      </tp>
      <tp>
        <v>12064</v>
        <stp/>
        <stp>##V3_BDHV12</stp>
        <stp>AMZN US Equity</stp>
        <stp>BS_TOT_NON_CUR_ASSET</stp>
        <stp>FQ1 2013</stp>
        <stp>FQ1 2013</stp>
        <stp>[AMZ_2009-2018.xlsx]Bal Sheet - Standardized!R34C19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4" s="3"/>
      </tp>
      <tp>
        <v>0</v>
        <stp/>
        <stp>##V3_BDHV12</stp>
        <stp>AMZN US Equity</stp>
        <stp>BS_LT_INVEST</stp>
        <stp>FQ4 2012</stp>
        <stp>FQ4 2012</stp>
        <stp>[AMZ_2009-2018.xlsx]Bal Sheet - Standardized!R26C18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6" s="3"/>
      </tp>
      <tp>
        <v>6920</v>
        <stp/>
        <stp>##V3_BDHV12</stp>
        <stp>AMZN US Equity</stp>
        <stp>ST_CAPITAL_LEASE_OBLIGATIONS</stp>
        <stp>FQ2 2018</stp>
        <stp>FQ2 2018</stp>
        <stp>[AMZ_2009-2018.xlsx]Bal Sheet - Standardized!R45C40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5" s="3"/>
      </tp>
      <tp>
        <v>11288</v>
        <stp/>
        <stp>##V3_BDHV12</stp>
        <stp>AMZN US Equity</stp>
        <stp>BS_TOT_LIAB2</stp>
        <stp>FQ3 2011</stp>
        <stp>FQ3 2011</stp>
        <stp>[AMZ_2009-2018.xlsx]Bal Sheet - Standardized!R63C13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3" s="3"/>
      </tp>
      <tp>
        <v>20890</v>
        <stp/>
        <stp>##V3_BDHV12</stp>
        <stp>AMZN US Equity</stp>
        <stp>BS_TOT_LIAB2</stp>
        <stp>FQ2 2013</stp>
        <stp>FQ2 2013</stp>
        <stp>[AMZ_2009-2018.xlsx]Bal Sheet - Standardized!R63C20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3" s="3"/>
      </tp>
      <tp>
        <v>31463</v>
        <stp/>
        <stp>##V3_BDHV12</stp>
        <stp>AMZN US Equity</stp>
        <stp>TOTAL_EQUITY</stp>
        <stp>FQ1 2018</stp>
        <stp>FQ1 2018</stp>
        <stp>[AMZ_2009-2018.xlsx]Bal Sheet - Standardized!R73C39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73" s="3"/>
      </tp>
      <tp>
        <v>3042</v>
        <stp/>
        <stp>##V3_BDHV12</stp>
        <stp>AMZN US Equity</stp>
        <stp>BS_LT_BORROW</stp>
        <stp>FQ2 2013</stp>
        <stp>FQ2 2013</stp>
        <stp>[AMZ_2009-2018.xlsx]Bal Sheet - Standardized!R52C20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2" s="3"/>
      </tp>
      <tp>
        <v>0</v>
        <stp/>
        <stp>##V3_BDHV12</stp>
        <stp>AMZN US Equity</stp>
        <stp>BS_ST_BORROW</stp>
        <stp>FQ3 2011</stp>
        <stp>FQ3 2011</stp>
        <stp>[AMZ_2009-2018.xlsx]Bal Sheet - Standardized!R43C13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3" s="3"/>
      </tp>
      <tp>
        <v>278</v>
        <stp/>
        <stp>##V3_BDHV12</stp>
        <stp>AMZN US Equity</stp>
        <stp>IS_GENERAL_AND_ADMINISTRATIVE</stp>
        <stp>FQ3 2013</stp>
        <stp>FQ3 2013</stp>
        <stp>[AMZ_2009-2018.xlsx]Income - Adjusted!R15C21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5" s="2"/>
      </tp>
      <tp>
        <v>0</v>
        <stp/>
        <stp>##V3_BDHV12</stp>
        <stp>AMZN US Equity</stp>
        <stp>BS_LT_BORROW</stp>
        <stp>FQ3 2011</stp>
        <stp>FQ3 2011</stp>
        <stp>[AMZ_2009-2018.xlsx]Bal Sheet - Standardized!R52C13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2" s="3"/>
      </tp>
      <tp>
        <v>691</v>
        <stp/>
        <stp>##V3_BDHV12</stp>
        <stp>AMZN US Equity</stp>
        <stp>BS_ST_BORROW</stp>
        <stp>FQ2 2013</stp>
        <stp>FQ2 2013</stp>
        <stp>[AMZ_2009-2018.xlsx]Bal Sheet - Standardized!R43C20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3" s="3"/>
      </tp>
      <tp>
        <v>133</v>
        <stp/>
        <stp>##V3_BDHV12</stp>
        <stp>AMZN US Equity</stp>
        <stp>IS_GENERAL_AND_ADMINISTRATIVE</stp>
        <stp>FQ1 2011</stp>
        <stp>FQ1 2011</stp>
        <stp>[AMZ_2009-2018.xlsx]Income - Adjusted!R15C11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5" s="2"/>
      </tp>
      <tp>
        <v>497</v>
        <stp/>
        <stp>##V3_BDHV12</stp>
        <stp>AMZN US Equity</stp>
        <stp>IS_GENERAL_AND_ADMINISTRATIVE</stp>
        <stp>FQ1 2016</stp>
        <stp>FQ1 2016</stp>
        <stp>[AMZ_2009-2018.xlsx]Income - Adjusted!R15C31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5" s="2"/>
      </tp>
      <tp t="s">
        <v>—</v>
        <stp/>
        <stp>##V3_BDHV12</stp>
        <stp>AMZN US Equity</stp>
        <stp>BS_OTHER_INV</stp>
        <stp>FQ2 2018</stp>
        <stp>FQ2 2018</stp>
        <stp>[AMZ_2009-2018.xlsx]Bal Sheet - Standardized!R17C40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7" s="3"/>
      </tp>
      <tp>
        <v>1192</v>
        <stp/>
        <stp>##V3_BDHV12</stp>
        <stp>AMZN US Equity</stp>
        <stp>NON_CUR_LIAB</stp>
        <stp>FQ4 2009</stp>
        <stp>FQ4 2009</stp>
        <stp>[AMZ_2009-2018.xlsx]Bal Sheet - Standardized!R62C6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2" s="3"/>
      </tp>
      <tp>
        <v>24047</v>
        <stp/>
        <stp>##V3_BDHV12</stp>
        <stp>AMZN US Equity</stp>
        <stp>NON_CUR_LIAB</stp>
        <stp>FQ2 2017</stp>
        <stp>FQ2 2017</stp>
        <stp>[AMZ_2009-2018.xlsx]Bal Sheet - Standardized!R62C36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2" s="3"/>
      </tp>
      <tp>
        <v>16025</v>
        <stp/>
        <stp>##V3_BDHV12</stp>
        <stp>AMZN US Equity</stp>
        <stp>NON_CUR_LIAB</stp>
        <stp>FQ1 2015</stp>
        <stp>FQ1 2015</stp>
        <stp>[AMZ_2009-2018.xlsx]Bal Sheet - Standardized!R62C27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2" s="3"/>
      </tp>
      <tp t="s">
        <v>—</v>
        <stp/>
        <stp>##V3_BDHV12</stp>
        <stp>AMZN US Equity</stp>
        <stp>ST_CAPITAL_LEASE_OBLIGATIONS</stp>
        <stp>FQ3 2009</stp>
        <stp>FQ3 2009</stp>
        <stp>[AMZ_2009-2018.xlsx]Bal Sheet - Standardized!R45C5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5" s="3"/>
      </tp>
      <tp>
        <v>19617</v>
        <stp/>
        <stp>##V3_BDHV12</stp>
        <stp>AMZN US Equity</stp>
        <stp>NON_CUR_LIAB</stp>
        <stp>FQ3 2016</stp>
        <stp>FQ3 2016</stp>
        <stp>[AMZ_2009-2018.xlsx]Bal Sheet - Standardized!R62C33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2" s="3"/>
      </tp>
      <tp>
        <v>652</v>
        <stp/>
        <stp>##V3_BDHV12</stp>
        <stp>AMZN US Equity</stp>
        <stp>BS_ST_BORROW</stp>
        <stp>FQ1 2013</stp>
        <stp>FQ1 2013</stp>
        <stp>[AMZ_2009-2018.xlsx]Bal Sheet - Standardized!R43C19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3" s="3"/>
      </tp>
      <tp>
        <v>3040</v>
        <stp/>
        <stp>##V3_BDHV12</stp>
        <stp>AMZN US Equity</stp>
        <stp>BS_LT_BORROW</stp>
        <stp>FQ1 2013</stp>
        <stp>FQ1 2013</stp>
        <stp>[AMZ_2009-2018.xlsx]Bal Sheet - Standardized!R52C19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2" s="3"/>
      </tp>
      <tp t="s">
        <v>—</v>
        <stp/>
        <stp>##V3_BDHV12</stp>
        <stp>AMZN US Equity</stp>
        <stp>ST_CAPITAL_LEASE_OBLIGATIONS</stp>
        <stp>FQ2 2010</stp>
        <stp>FQ2 2010</stp>
        <stp>[AMZ_2009-2018.xlsx]Bal Sheet - Standardized!R45C8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5" s="3"/>
      </tp>
      <tp>
        <v>2041</v>
        <stp/>
        <stp>##V3_BDHV12</stp>
        <stp>AMZN US Equity</stp>
        <stp>CF_CHNG_NON_CASH_WORK_CAP</stp>
        <stp>FQ4 2009</stp>
        <stp>FQ4 2009</stp>
        <stp>[AMZ_2009-2018.xlsx]Cash Flow - Standardized!R13C6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3" s="4"/>
      </tp>
      <tp>
        <v>0</v>
        <stp/>
        <stp>##V3_BDHV12</stp>
        <stp>AMZN US Equity</stp>
        <stp>CF_DISPOSAL_OF_FIXED_PROD_ASSETS</stp>
        <stp>FQ2 2009</stp>
        <stp>FQ2 2009</stp>
        <stp>[AMZ_2009-2018.xlsx]Cash Flow - Standardized!R24C4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4" s="4"/>
      </tp>
      <tp>
        <v>0</v>
        <stp/>
        <stp>##V3_BDHV12</stp>
        <stp>AMZN US Equity</stp>
        <stp>CF_DISPOSAL_OF_FIXED_PROD_ASSETS</stp>
        <stp>FQ3 2010</stp>
        <stp>FQ3 2010</stp>
        <stp>[AMZ_2009-2018.xlsx]Cash Flow - Standardized!R24C9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4" s="4"/>
      </tp>
      <tp>
        <v>139</v>
        <stp/>
        <stp>##V3_BDHV12</stp>
        <stp>AMZN US Equity</stp>
        <stp>BS_CURR_RENTAL_EXPENSE</stp>
        <stp>FQ3 2012</stp>
        <stp>FQ3 2012</stp>
        <stp>[AMZ_2009-2018.xlsx]Income - Adjusted!R73C17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73" s="2"/>
      </tp>
      <tp>
        <v>126</v>
        <stp/>
        <stp>##V3_BDHV12</stp>
        <stp>AMZN US Equity</stp>
        <stp>BS_CURR_RENTAL_EXPENSE</stp>
        <stp>FQ2 2012</stp>
        <stp>FQ2 2012</stp>
        <stp>[AMZ_2009-2018.xlsx]Income - Adjusted!R73C16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73" s="2"/>
      </tp>
      <tp>
        <v>0</v>
        <stp/>
        <stp>##V3_BDHV12</stp>
        <stp>AMZN US Equity</stp>
        <stp>CF_DISPOSAL_OF_INTANGIBLE_ASSETS</stp>
        <stp>FQ4 2009</stp>
        <stp>FQ4 2009</stp>
        <stp>[AMZ_2009-2018.xlsx]Cash Flow - Standardized!R25C6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5" s="4"/>
      </tp>
      <tp>
        <v>111</v>
        <stp/>
        <stp>##V3_BDHV12</stp>
        <stp>AMZN US Equity</stp>
        <stp>BS_CURR_RENTAL_EXPENSE</stp>
        <stp>FQ1 2012</stp>
        <stp>FQ1 2012</stp>
        <stp>[AMZ_2009-2018.xlsx]Income - Adjusted!R73C15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73" s="2"/>
      </tp>
      <tp>
        <v>-84.958200000000005</v>
        <stp/>
        <stp>##V3_BDHV12</stp>
        <stp>AMZN US Equity</stp>
        <stp>NET_DEBT_TO_SHRHLDR_EQTY</stp>
        <stp>FQ2 2010</stp>
        <stp>FQ2 2010</stp>
        <stp>[AMZ_2009-2018.xlsx]Bal Sheet - Standardized!R84C8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84" s="3"/>
      </tp>
      <tp>
        <v>-89.432500000000005</v>
        <stp/>
        <stp>##V3_BDHV12</stp>
        <stp>AMZN US Equity</stp>
        <stp>NET_DEBT_TO_SHRHLDR_EQTY</stp>
        <stp>FQ3 2010</stp>
        <stp>FQ3 2010</stp>
        <stp>[AMZ_2009-2018.xlsx]Bal Sheet - Standardized!R84C9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84" s="3"/>
      </tp>
      <tp t="s">
        <v>—</v>
        <stp/>
        <stp>##V3_BDHV12</stp>
        <stp>AMZN US Equity</stp>
        <stp>IS_LEGAL_LITIGATION_SETTLEMENT</stp>
        <stp>FQ4 2014</stp>
        <stp>FQ4 2014</stp>
        <stp>[AMZ_2009-2018.xlsx]Income - Adjusted!R28C26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8" s="2"/>
      </tp>
      <tp t="s">
        <v>—</v>
        <stp/>
        <stp>##V3_BDHV12</stp>
        <stp>AMZN US Equity</stp>
        <stp>IS_LEGAL_LITIGATION_SETTLEMENT</stp>
        <stp>FQ3 2014</stp>
        <stp>FQ3 2014</stp>
        <stp>[AMZ_2009-2018.xlsx]Income - Adjusted!R28C25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8" s="2"/>
      </tp>
      <tp>
        <v>0</v>
        <stp/>
        <stp>##V3_BDHV12</stp>
        <stp>AMZN US Equity</stp>
        <stp>CF_CASH_FOR_JOINT_VENTURES_ASSOC</stp>
        <stp>FQ2 2010</stp>
        <stp>FQ2 2010</stp>
        <stp>[AMZ_2009-2018.xlsx]Cash Flow - Standardized!R35C8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5" s="4"/>
      </tp>
      <tp>
        <v>0</v>
        <stp/>
        <stp>##V3_BDHV12</stp>
        <stp>AMZN US Equity</stp>
        <stp>CF_NET_CASH_DISCONTINUED_OPS_INV</stp>
        <stp>FQ3 2010</stp>
        <stp>FQ3 2010</stp>
        <stp>[AMZ_2009-2018.xlsx]Cash Flow - Standardized!R37C9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7" s="4"/>
      </tp>
      <tp t="s">
        <v>—</v>
        <stp/>
        <stp>##V3_BDHV12</stp>
        <stp>AMZN US Equity</stp>
        <stp>IS_LEGAL_LITIGATION_SETTLEMENT</stp>
        <stp>FQ2 2014</stp>
        <stp>FQ2 2014</stp>
        <stp>[AMZ_2009-2018.xlsx]Income - Adjusted!R28C24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8" s="2"/>
      </tp>
      <tp t="s">
        <v>—</v>
        <stp/>
        <stp>##V3_BDHV12</stp>
        <stp>AMZN US Equity</stp>
        <stp>IS_LEGAL_LITIGATION_SETTLEMENT</stp>
        <stp>FQ1 2014</stp>
        <stp>FQ1 2014</stp>
        <stp>[AMZ_2009-2018.xlsx]Income - Adjusted!R28C23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8" s="2"/>
      </tp>
      <tp>
        <v>-113.84820000000001</v>
        <stp/>
        <stp>##V3_BDHV12</stp>
        <stp>AMZN US Equity</stp>
        <stp>NET_DEBT_TO_SHRHLDR_EQTY</stp>
        <stp>FQ4 2009</stp>
        <stp>FQ4 2009</stp>
        <stp>[AMZ_2009-2018.xlsx]Bal Sheet - Standardized!R84C6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84" s="3"/>
      </tp>
      <tp>
        <v>-88.999300000000005</v>
        <stp/>
        <stp>##V3_BDHV12</stp>
        <stp>AMZN US Equity</stp>
        <stp>NET_DEBT_TO_SHRHLDR_EQTY</stp>
        <stp>FQ1 2009</stp>
        <stp>FQ1 2009</stp>
        <stp>[AMZ_2009-2018.xlsx]Bal Sheet - Standardized!R84C3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84" s="3"/>
      </tp>
      <tp>
        <v>0</v>
        <stp/>
        <stp>##V3_BDHV12</stp>
        <stp>AMZN US Equity</stp>
        <stp>CF_NET_CASH_DISCONTINUED_OPS_INV</stp>
        <stp>FQ2 2009</stp>
        <stp>FQ2 2009</stp>
        <stp>[AMZ_2009-2018.xlsx]Cash Flow - Standardized!R37C4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7" s="4"/>
      </tp>
      <tp>
        <v>0</v>
        <stp/>
        <stp>##V3_BDHV12</stp>
        <stp>AMZN US Equity</stp>
        <stp>CF_CASH_FOR_JOINT_VENTURES_ASSOC</stp>
        <stp>FQ3 2009</stp>
        <stp>FQ3 2009</stp>
        <stp>[AMZ_2009-2018.xlsx]Cash Flow - Standardized!R35C5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5" s="4"/>
      </tp>
      <tp t="s">
        <v>—</v>
        <stp/>
        <stp>##V3_BDHV12</stp>
        <stp>AMZN US Equity</stp>
        <stp>IS_LEGAL_LITIGATION_SETTLEMENT</stp>
        <stp>FQ4 2015</stp>
        <stp>FQ4 2015</stp>
        <stp>[AMZ_2009-2018.xlsx]Income - Adjusted!R28C30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8" s="2"/>
      </tp>
      <tp t="s">
        <v>—</v>
        <stp/>
        <stp>##V3_BDHV12</stp>
        <stp>AMZN US Equity</stp>
        <stp>BS_CURR_RENTAL_EXPENSE</stp>
        <stp>FQ4 2012</stp>
        <stp>FQ4 2012</stp>
        <stp>[AMZ_2009-2018.xlsx]Income - Adjusted!R73C18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73" s="2"/>
      </tp>
      <tp>
        <v>-15</v>
        <stp/>
        <stp>##V3_BDHV12</stp>
        <stp>AMZN US Equity</stp>
        <stp>CF_CASH_FOR_ACQUIS_SUBSIDIARIES</stp>
        <stp>FQ1 2009</stp>
        <stp>FQ1 2009</stp>
        <stp>[AMZ_2009-2018.xlsx]Cash Flow - Standardized!R34C3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4"/>
      </tp>
      <tp>
        <v>11</v>
        <stp/>
        <stp>##V3_BDHV12</stp>
        <stp>AMZN US Equity</stp>
        <stp>IS_INT_INC</stp>
        <stp>FQ1 2010</stp>
        <stp>FQ1 2010</stp>
        <stp>[AMZ_2009-2018.xlsx]Income - Adjusted!R22C7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2" s="2"/>
      </tp>
      <tp>
        <v>67</v>
        <stp/>
        <stp>##V3_BDHV12</stp>
        <stp>AMZN US Equity</stp>
        <stp>CF_PROC_LT_DEBT_&amp;_CAPITAL_LEASE</stp>
        <stp>FQ3 2010</stp>
        <stp>FQ3 2010</stp>
        <stp>[AMZ_2009-2018.xlsx]Cash Flow - Standardized!R44C9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4" s="4"/>
      </tp>
      <tp>
        <v>2</v>
        <stp/>
        <stp>##V3_BDHV12</stp>
        <stp>AMZN US Equity</stp>
        <stp>CF_PROC_LT_DEBT_&amp;_CAPITAL_LEASE</stp>
        <stp>FQ2 2009</stp>
        <stp>FQ2 2009</stp>
        <stp>[AMZ_2009-2018.xlsx]Cash Flow - Standardized!R44C4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4" s="4"/>
      </tp>
      <tp>
        <v>455</v>
        <stp/>
        <stp>##V3_BDHV12</stp>
        <stp>AMZN US Equity</stp>
        <stp>IS_AVG_NUM_SH_FOR_EPS</stp>
        <stp>FQ1 2013</stp>
        <stp>FQ1 2013</stp>
        <stp>[AMZ_2009-2018.xlsx]Income - Adjusted!R49C19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49" s="2"/>
      </tp>
      <tp>
        <v>484</v>
        <stp/>
        <stp>##V3_BDHV12</stp>
        <stp>AMZN US Equity</stp>
        <stp>IS_AVG_NUM_SH_FOR_EPS</stp>
        <stp>FQ1 2018</stp>
        <stp>FQ1 2018</stp>
        <stp>[AMZ_2009-2018.xlsx]Income - Adjusted!R49C39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49" s="2"/>
      </tp>
      <tp>
        <v>468</v>
        <stp/>
        <stp>##V3_BDHV12</stp>
        <stp>AMZN US Equity</stp>
        <stp>IS_AVG_NUM_SH_FOR_EPS</stp>
        <stp>FQ3 2015</stp>
        <stp>FQ3 2015</stp>
        <stp>[AMZ_2009-2018.xlsx]Income - Adjusted!R49C29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49" s="2"/>
      </tp>
      <tp>
        <v>-0.28539999999999999</v>
        <stp/>
        <stp>##V3_BDHV12</stp>
        <stp>AMZN US Equity</stp>
        <stp>IS_BASIC_EPS_CONT_OPS</stp>
        <stp>FQ3 2012</stp>
        <stp>FQ3 2012</stp>
        <stp>[AMZ_2009-2018.xlsx]Income - Adjusted!R52C17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52" s="2"/>
      </tp>
      <tp>
        <v>0.53</v>
        <stp/>
        <stp>##V3_BDHV12</stp>
        <stp>AMZN US Equity</stp>
        <stp>IS_BASIC_EPS_CONT_OPS</stp>
        <stp>FQ3 2017</stp>
        <stp>FQ3 2017</stp>
        <stp>[AMZ_2009-2018.xlsx]Income - Adjusted!R52C37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52" s="2"/>
      </tp>
      <tp>
        <v>-0.1212</v>
        <stp/>
        <stp>##V3_BDHV12</stp>
        <stp>AMZN US Equity</stp>
        <stp>IS_BASIC_EPS_CONT_OPS</stp>
        <stp>FQ1 2015</stp>
        <stp>FQ1 2015</stp>
        <stp>[AMZ_2009-2018.xlsx]Income - Adjusted!R52C27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52" s="2"/>
      </tp>
      <tp t="s">
        <v>—</v>
        <stp/>
        <stp>##V3_BDHV12</stp>
        <stp>AMZN US Equity</stp>
        <stp>BS_CASH_HELD_OVERSEAS</stp>
        <stp>FQ2 2012</stp>
        <stp>FQ2 2012</stp>
        <stp>[AMZ_2009-2018.xlsx]Bal Sheet - Standardized!R88C16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88" s="3"/>
      </tp>
      <tp>
        <v>8600</v>
        <stp/>
        <stp>##V3_BDHV12</stp>
        <stp>AMZN US Equity</stp>
        <stp>BS_CASH_HELD_OVERSEAS</stp>
        <stp>FQ4 2016</stp>
        <stp>FQ4 2016</stp>
        <stp>[AMZ_2009-2018.xlsx]Bal Sheet - Standardized!R88C34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88" s="3"/>
      </tp>
      <tp t="s">
        <v>—</v>
        <stp/>
        <stp>##V3_BDHV12</stp>
        <stp>AMZN US Equity</stp>
        <stp>BS_CASH_HELD_OVERSEAS</stp>
        <stp>FQ1 2011</stp>
        <stp>FQ1 2011</stp>
        <stp>[AMZ_2009-2018.xlsx]Bal Sheet - Standardized!R88C11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88" s="3"/>
      </tp>
      <tp>
        <v>23</v>
        <stp/>
        <stp>##V3_BDHV12</stp>
        <stp>AMZN US Equity</stp>
        <stp>BS_NUM_OF_TSY_SH</stp>
        <stp>FQ3 2015</stp>
        <stp>FQ3 2015</stp>
        <stp>[AMZ_2009-2018.xlsx]Bal Sheet - Standardized!R79C29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79" s="3"/>
      </tp>
      <tp>
        <v>6614</v>
        <stp/>
        <stp>##V3_BDHV12</stp>
        <stp>AMZN US Equity</stp>
        <stp>BS_ACCRUAL</stp>
        <stp>FQ3 2016</stp>
        <stp>FQ3 2016</stp>
        <stp>[AMZ_2009-2018.xlsx]Bal Sheet - Standardized!R42C33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2" s="3"/>
      </tp>
      <tp t="s">
        <v>—</v>
        <stp/>
        <stp>##V3_BDHV12</stp>
        <stp>AMZN US Equity</stp>
        <stp>INVTRY_IN_PROGRESS</stp>
        <stp>FQ3 2012</stp>
        <stp>FQ3 2012</stp>
        <stp>[AMZ_2009-2018.xlsx]Bal Sheet - Standardized!R15C17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5" s="3"/>
      </tp>
      <tp>
        <v>7880</v>
        <stp/>
        <stp>##V3_BDHV12</stp>
        <stp>AMZN US Equity</stp>
        <stp>BS_ACCRUAL</stp>
        <stp>FQ2 2017</stp>
        <stp>FQ2 2017</stp>
        <stp>[AMZ_2009-2018.xlsx]Bal Sheet - Standardized!R42C36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2" s="3"/>
      </tp>
      <tp>
        <v>7463</v>
        <stp/>
        <stp>##V3_BDHV12</stp>
        <stp>AMZN US Equity</stp>
        <stp>BS_ACCRUAL</stp>
        <stp>FQ1 2015</stp>
        <stp>FQ1 2015</stp>
        <stp>[AMZ_2009-2018.xlsx]Bal Sheet - Standardized!R42C27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2" s="3"/>
      </tp>
      <tp t="s">
        <v>—</v>
        <stp/>
        <stp>##V3_BDHV12</stp>
        <stp>AMZN US Equity</stp>
        <stp>INVTRY_IN_PROGRESS</stp>
        <stp>FQ4 2017</stp>
        <stp>FQ4 2017</stp>
        <stp>[AMZ_2009-2018.xlsx]Bal Sheet - Standardized!R15C38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5" s="3"/>
      </tp>
      <tp>
        <v>-7.7869999999999999</v>
        <stp/>
        <stp>##V3_BDHV12</stp>
        <stp>AMZN US Equity</stp>
        <stp>FREE_CASH_FLOW_PER_SH</stp>
        <stp>FQ1 2014</stp>
        <stp>FQ1 2014</stp>
        <stp>[AMZ_2009-2018.xlsx]Per Share!R23C23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23" s="5"/>
      </tp>
      <tp>
        <v>5.9451000000000001</v>
        <stp/>
        <stp>##V3_BDHV12</stp>
        <stp>AMZN US Equity</stp>
        <stp>FREE_CASH_FLOW_PER_SH</stp>
        <stp>FQ3 2016</stp>
        <stp>FQ3 2016</stp>
        <stp>[AMZ_2009-2018.xlsx]Per Share!R23C33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23" s="5"/>
      </tp>
      <tp>
        <v>0.59030000000000005</v>
        <stp/>
        <stp>##V3_BDHV12</stp>
        <stp>AMZN US Equity</stp>
        <stp>FREE_CASH_FLOW_PER_SH</stp>
        <stp>FQ3 2011</stp>
        <stp>FQ3 2011</stp>
        <stp>[AMZ_2009-2018.xlsx]Per Share!R23C13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23" s="5"/>
      </tp>
      <tp>
        <v>377.44900000000001</v>
        <stp/>
        <stp>##V3_BDHV12</stp>
        <stp>AMZN US Equity</stp>
        <stp>EQY_FLOAT</stp>
        <stp>FQ3 2014</stp>
        <stp>FQ3 2014</stp>
        <stp>[AMZ_2009-2018.xlsx]Stock Value!R14C25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14" s="6"/>
      </tp>
      <tp>
        <v>375.59399999999999</v>
        <stp/>
        <stp>##V3_BDHV12</stp>
        <stp>AMZN US Equity</stp>
        <stp>EQY_FLOAT</stp>
        <stp>FQ2 2014</stp>
        <stp>FQ2 2014</stp>
        <stp>[AMZ_2009-2018.xlsx]Stock Value!R14C24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14" s="6"/>
      </tp>
      <tp>
        <v>8185</v>
        <stp/>
        <stp>##V3_BDHV12</stp>
        <stp>AMZN US Equity</stp>
        <stp>BS_TOT_NON_CUR_ASSET</stp>
        <stp>FQ1 2012</stp>
        <stp>FQ1 2012</stp>
        <stp>[AMZ_2009-2018.xlsx]Bal Sheet - Standardized!R34C15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4" s="3"/>
      </tp>
      <tp t="s">
        <v>—</v>
        <stp/>
        <stp>##V3_BDHV12</stp>
        <stp>AMZN US Equity</stp>
        <stp>LT_CAPITAL_LEASE_OBLIGATIONS</stp>
        <stp>FQ3 2010</stp>
        <stp>FQ3 2010</stp>
        <stp>[AMZ_2009-2018.xlsx]Bal Sheet - Standardized!R54C9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4" s="3"/>
      </tp>
      <tp>
        <v>29042</v>
        <stp/>
        <stp>##V3_BDHV12</stp>
        <stp>AMZN US Equity</stp>
        <stp>BS_TOT_NON_CUR_ASSET</stp>
        <stp>FQ4 2015</stp>
        <stp>FQ4 2015</stp>
        <stp>[AMZ_2009-2018.xlsx]Bal Sheet - Standardized!R34C30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4" s="3"/>
      </tp>
      <tp>
        <v>0</v>
        <stp/>
        <stp>##V3_BDHV12</stp>
        <stp>AMZN US Equity</stp>
        <stp>BS_LT_INVEST</stp>
        <stp>FQ3 2016</stp>
        <stp>FQ3 2016</stp>
        <stp>[AMZ_2009-2018.xlsx]Bal Sheet - Standardized!R26C33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6" s="3"/>
      </tp>
      <tp>
        <v>6662</v>
        <stp/>
        <stp>##V3_BDHV12</stp>
        <stp>AMZN US Equity</stp>
        <stp>BS_TOT_NON_CUR_ASSET</stp>
        <stp>FQ2 2011</stp>
        <stp>FQ2 2011</stp>
        <stp>[AMZ_2009-2018.xlsx]Bal Sheet - Standardized!R34C12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4" s="3"/>
      </tp>
      <tp t="s">
        <v>—</v>
        <stp/>
        <stp>##V3_BDHV12</stp>
        <stp>AMZN US Equity</stp>
        <stp>LT_CAPITAL_LEASE_OBLIGATIONS</stp>
        <stp>FQ2 2009</stp>
        <stp>FQ2 2009</stp>
        <stp>[AMZ_2009-2018.xlsx]Bal Sheet - Standardized!R54C4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4" s="3"/>
      </tp>
      <tp>
        <v>14527</v>
        <stp/>
        <stp>##V3_BDHV12</stp>
        <stp>AMZN US Equity</stp>
        <stp>BS_TOT_NON_CUR_ASSET</stp>
        <stp>FQ3 2013</stp>
        <stp>FQ3 2013</stp>
        <stp>[AMZ_2009-2018.xlsx]Bal Sheet - Standardized!R34C21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4" s="3"/>
      </tp>
      <tp>
        <v>23178</v>
        <stp/>
        <stp>##V3_BDHV12</stp>
        <stp>AMZN US Equity</stp>
        <stp>BS_TOT_NON_CUR_ASSET</stp>
        <stp>FQ4 2014</stp>
        <stp>FQ4 2014</stp>
        <stp>[AMZ_2009-2018.xlsx]Bal Sheet - Standardized!R34C26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4" s="3"/>
      </tp>
      <tp>
        <v>0</v>
        <stp/>
        <stp>##V3_BDHV12</stp>
        <stp>AMZN US Equity</stp>
        <stp>BS_LT_INVEST</stp>
        <stp>FQ1 2015</stp>
        <stp>FQ1 2015</stp>
        <stp>[AMZ_2009-2018.xlsx]Bal Sheet - Standardized!R26C27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6" s="3"/>
      </tp>
      <tp>
        <v>0</v>
        <stp/>
        <stp>##V3_BDHV12</stp>
        <stp>AMZN US Equity</stp>
        <stp>BS_LT_INVEST</stp>
        <stp>FQ2 2017</stp>
        <stp>FQ2 2017</stp>
        <stp>[AMZ_2009-2018.xlsx]Bal Sheet - Standardized!R26C36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6" s="3"/>
      </tp>
      <tp>
        <v>51363</v>
        <stp/>
        <stp>##V3_BDHV12</stp>
        <stp>AMZN US Equity</stp>
        <stp>BS_TOT_LIAB2</stp>
        <stp>FQ4 2015</stp>
        <stp>FQ4 2015</stp>
        <stp>[AMZ_2009-2018.xlsx]Bal Sheet - Standardized!R63C30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3" s="3"/>
      </tp>
      <tp>
        <v>13068</v>
        <stp/>
        <stp>##V3_BDHV12</stp>
        <stp>AMZN US Equity</stp>
        <stp>BS_TOT_LIAB2</stp>
        <stp>FQ1 2012</stp>
        <stp>FQ1 2012</stp>
        <stp>[AMZ_2009-2018.xlsx]Bal Sheet - Standardized!R63C15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3" s="3"/>
      </tp>
      <tp>
        <v>43764</v>
        <stp/>
        <stp>##V3_BDHV12</stp>
        <stp>AMZN US Equity</stp>
        <stp>BS_TOT_LIAB2</stp>
        <stp>FQ4 2014</stp>
        <stp>FQ4 2014</stp>
        <stp>[AMZ_2009-2018.xlsx]Bal Sheet - Standardized!R63C26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3" s="3"/>
      </tp>
      <tp>
        <v>22774</v>
        <stp/>
        <stp>##V3_BDHV12</stp>
        <stp>AMZN US Equity</stp>
        <stp>BS_TOT_LIAB2</stp>
        <stp>FQ3 2013</stp>
        <stp>FQ3 2013</stp>
        <stp>[AMZ_2009-2018.xlsx]Bal Sheet - Standardized!R63C21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3" s="3"/>
      </tp>
      <tp>
        <v>10176</v>
        <stp/>
        <stp>##V3_BDHV12</stp>
        <stp>AMZN US Equity</stp>
        <stp>BS_TOT_LIAB2</stp>
        <stp>FQ2 2011</stp>
        <stp>FQ2 2011</stp>
        <stp>[AMZ_2009-2018.xlsx]Bal Sheet - Standardized!R63C12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3" s="3"/>
      </tp>
      <tp>
        <v>0</v>
        <stp/>
        <stp>##V3_BDHV12</stp>
        <stp>AMZN US Equity</stp>
        <stp>BS_LT_BORROW</stp>
        <stp>FQ1 2012</stp>
        <stp>FQ1 2012</stp>
        <stp>[AMZ_2009-2018.xlsx]Bal Sheet - Standardized!R52C15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2" s="3"/>
      </tp>
      <tp t="s">
        <v>—</v>
        <stp/>
        <stp>##V3_BDHV12</stp>
        <stp>AMZN US Equity</stp>
        <stp>BS_ST_BORROW</stp>
        <stp>FQ1 2012</stp>
        <stp>FQ1 2012</stp>
        <stp>[AMZ_2009-2018.xlsx]Bal Sheet - Standardized!R43C15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3" s="3"/>
      </tp>
      <tp>
        <v>14175</v>
        <stp/>
        <stp>##V3_BDHV12</stp>
        <stp>AMZN US Equity</stp>
        <stp>BS_LT_BORROW</stp>
        <stp>FQ4 2015</stp>
        <stp>FQ4 2015</stp>
        <stp>[AMZ_2009-2018.xlsx]Bal Sheet - Standardized!R52C30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2" s="3"/>
      </tp>
      <tp>
        <v>5361</v>
        <stp/>
        <stp>##V3_BDHV12</stp>
        <stp>AMZN US Equity</stp>
        <stp>NON_CUR_LIAB</stp>
        <stp>FQ4 2012</stp>
        <stp>FQ4 2012</stp>
        <stp>[AMZ_2009-2018.xlsx]Bal Sheet - Standardized!R62C18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2" s="3"/>
      </tp>
      <tp>
        <v>3364</v>
        <stp/>
        <stp>##V3_BDHV12</stp>
        <stp>AMZN US Equity</stp>
        <stp>BS_ST_BORROW</stp>
        <stp>FQ4 2015</stp>
        <stp>FQ4 2015</stp>
        <stp>[AMZ_2009-2018.xlsx]Bal Sheet - Standardized!R43C30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3" s="3"/>
      </tp>
      <tp>
        <v>390</v>
        <stp/>
        <stp>##V3_BDHV12</stp>
        <stp>AMZN US Equity</stp>
        <stp>IS_GENERAL_AND_ADMINISTRATIVE</stp>
        <stp>FQ4 2015</stp>
        <stp>FQ4 2015</stp>
        <stp>[AMZ_2009-2018.xlsx]Income - Adjusted!R15C30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5" s="2"/>
      </tp>
      <tp>
        <v>143</v>
        <stp/>
        <stp>##V3_BDHV12</stp>
        <stp>AMZN US Equity</stp>
        <stp>IS_GENERAL_AND_ADMINISTRATIVE</stp>
        <stp>FQ4 2010</stp>
        <stp>FQ4 2010</stp>
        <stp>[AMZ_2009-2018.xlsx]Income - Adjusted!R15C10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5" s="2"/>
      </tp>
      <tp>
        <v>0</v>
        <stp/>
        <stp>##V3_BDHV12</stp>
        <stp>AMZN US Equity</stp>
        <stp>CF_DVD_PAID</stp>
        <stp>FQ1 2018</stp>
        <stp>FQ1 2018</stp>
        <stp>[AMZ_2009-2018.xlsx]Cash Flow - Standardized!R41C39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1" s="4"/>
      </tp>
      <tp>
        <v>0</v>
        <stp/>
        <stp>##V3_BDHV12</stp>
        <stp>AMZN US Equity</stp>
        <stp>BS_LT_BORROW</stp>
        <stp>FQ2 2011</stp>
        <stp>FQ2 2011</stp>
        <stp>[AMZ_2009-2018.xlsx]Bal Sheet - Standardized!R52C12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2" s="3"/>
      </tp>
      <tp>
        <v>3600</v>
        <stp/>
        <stp>##V3_BDHV12</stp>
        <stp>AMZN US Equity</stp>
        <stp>BS_ST_BORROW</stp>
        <stp>FQ4 2014</stp>
        <stp>FQ4 2014</stp>
        <stp>[AMZ_2009-2018.xlsx]Bal Sheet - Standardized!R43C26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3" s="3"/>
      </tp>
      <tp>
        <v>680</v>
        <stp/>
        <stp>##V3_BDHV12</stp>
        <stp>AMZN US Equity</stp>
        <stp>BS_ST_BORROW</stp>
        <stp>FQ3 2013</stp>
        <stp>FQ3 2013</stp>
        <stp>[AMZ_2009-2018.xlsx]Bal Sheet - Standardized!R43C21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3" s="3"/>
      </tp>
      <tp>
        <v>3043</v>
        <stp/>
        <stp>##V3_BDHV12</stp>
        <stp>AMZN US Equity</stp>
        <stp>BS_LT_BORROW</stp>
        <stp>FQ3 2013</stp>
        <stp>FQ3 2013</stp>
        <stp>[AMZ_2009-2018.xlsx]Bal Sheet - Standardized!R52C21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2" s="3"/>
      </tp>
      <tp>
        <v>12489</v>
        <stp/>
        <stp>##V3_BDHV12</stp>
        <stp>AMZN US Equity</stp>
        <stp>BS_LT_BORROW</stp>
        <stp>FQ4 2014</stp>
        <stp>FQ4 2014</stp>
        <stp>[AMZ_2009-2018.xlsx]Bal Sheet - Standardized!R52C26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2" s="3"/>
      </tp>
      <tp>
        <v>0</v>
        <stp/>
        <stp>##V3_BDHV12</stp>
        <stp>AMZN US Equity</stp>
        <stp>BS_ST_BORROW</stp>
        <stp>FQ2 2011</stp>
        <stp>FQ2 2011</stp>
        <stp>[AMZ_2009-2018.xlsx]Bal Sheet - Standardized!R43C12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3" s="3"/>
      </tp>
      <tp>
        <v>286</v>
        <stp/>
        <stp>##V3_BDHV12</stp>
        <stp>AMZN US Equity</stp>
        <stp>IS_GENERAL_AND_ADMINISTRATIVE</stp>
        <stp>FQ2 2013</stp>
        <stp>FQ2 2013</stp>
        <stp>[AMZ_2009-2018.xlsx]Income - Adjusted!R15C20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5" s="2"/>
      </tp>
      <tp>
        <v>1111</v>
        <stp/>
        <stp>##V3_BDHV12</stp>
        <stp>AMZN US Equity</stp>
        <stp>IS_GENERAL_AND_ADMINISTRATIVE</stp>
        <stp>FQ2 2018</stp>
        <stp>FQ2 2018</stp>
        <stp>[AMZ_2009-2018.xlsx]Income - Adjusted!R15C40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5" s="2"/>
      </tp>
      <tp>
        <v>43537</v>
        <stp/>
        <stp>##V3_BDHV12</stp>
        <stp>AMZN US Equity</stp>
        <stp>NON_CUR_LIAB</stp>
        <stp>FQ3 2017</stp>
        <stp>FQ3 2017</stp>
        <stp>[AMZ_2009-2018.xlsx]Bal Sheet - Standardized!R62C37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2" s="3"/>
      </tp>
      <tp t="s">
        <v>—</v>
        <stp/>
        <stp>##V3_BDHV12</stp>
        <stp>AMZN US Equity</stp>
        <stp>ST_CAPITAL_LEASE_OBLIGATIONS</stp>
        <stp>FQ2 2009</stp>
        <stp>FQ2 2009</stp>
        <stp>[AMZ_2009-2018.xlsx]Bal Sheet - Standardized!R45C4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5" s="3"/>
      </tp>
      <tp>
        <v>18951</v>
        <stp/>
        <stp>##V3_BDHV12</stp>
        <stp>AMZN US Equity</stp>
        <stp>NON_CUR_LIAB</stp>
        <stp>FQ2 2016</stp>
        <stp>FQ2 2016</stp>
        <stp>[AMZ_2009-2018.xlsx]Bal Sheet - Standardized!R62C32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2" s="3"/>
      </tp>
      <tp>
        <v>7679</v>
        <stp/>
        <stp>##V3_BDHV12</stp>
        <stp>AMZN US Equity</stp>
        <stp>NON_CUR_LIAB</stp>
        <stp>FQ1 2014</stp>
        <stp>FQ1 2014</stp>
        <stp>[AMZ_2009-2018.xlsx]Bal Sheet - Standardized!R62C23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2" s="3"/>
      </tp>
      <tp t="s">
        <v>—</v>
        <stp/>
        <stp>##V3_BDHV12</stp>
        <stp>AMZN US Equity</stp>
        <stp>ST_CAPITAL_LEASE_OBLIGATIONS</stp>
        <stp>FQ3 2010</stp>
        <stp>FQ3 2010</stp>
        <stp>[AMZ_2009-2018.xlsx]Bal Sheet - Standardized!R45C9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5" s="3"/>
      </tp>
      <tp>
        <v>0</v>
        <stp/>
        <stp>##V3_BDHV12</stp>
        <stp>AMZN US Equity</stp>
        <stp>CF_DISPOSAL_OF_FIXED_PROD_ASSETS</stp>
        <stp>FQ3 2009</stp>
        <stp>FQ3 2009</stp>
        <stp>[AMZ_2009-2018.xlsx]Cash Flow - Standardized!R24C5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4" s="4"/>
      </tp>
      <tp>
        <v>0</v>
        <stp/>
        <stp>##V3_BDHV12</stp>
        <stp>AMZN US Equity</stp>
        <stp>CF_DISPOSAL_OF_FIXED_PROD_ASSETS</stp>
        <stp>FQ2 2010</stp>
        <stp>FQ2 2010</stp>
        <stp>[AMZ_2009-2018.xlsx]Cash Flow - Standardized!R24C8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4" s="4"/>
      </tp>
      <tp>
        <v>106.01</v>
        <stp/>
        <stp>##V3_BDHV12</stp>
        <stp>AMZN US Equity</stp>
        <stp>PX_LOW</stp>
        <stp>FQ2 2010</stp>
        <stp>FQ2 2010</stp>
        <stp>[AMZ_2009-2018.xlsx]Stock Value!R10C8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10" s="6"/>
      </tp>
      <tp>
        <v>105.8</v>
        <stp/>
        <stp>##V3_BDHV12</stp>
        <stp>AMZN US Equity</stp>
        <stp>PX_LOW</stp>
        <stp>FQ3 2010</stp>
        <stp>FQ3 2010</stp>
        <stp>[AMZ_2009-2018.xlsx]Stock Value!R10C9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10" s="6"/>
      </tp>
      <tp t="s">
        <v>—</v>
        <stp/>
        <stp>##V3_BDHV12</stp>
        <stp>AMZN US Equity</stp>
        <stp>IS_LEGAL_LITIGATION_SETTLEMENT</stp>
        <stp>FQ3 2015</stp>
        <stp>FQ3 2015</stp>
        <stp>[AMZ_2009-2018.xlsx]Income - Adjusted!R28C29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8" s="2"/>
      </tp>
      <tp t="s">
        <v>—</v>
        <stp/>
        <stp>##V3_BDHV12</stp>
        <stp>AMZN US Equity</stp>
        <stp>IS_LEGAL_LITIGATION_SETTLEMENT</stp>
        <stp>FQ2 2015</stp>
        <stp>FQ2 2015</stp>
        <stp>[AMZ_2009-2018.xlsx]Income - Adjusted!R28C28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8" s="2"/>
      </tp>
      <tp t="s">
        <v>—</v>
        <stp/>
        <stp>##V3_BDHV12</stp>
        <stp>AMZN US Equity</stp>
        <stp>IS_LEGAL_LITIGATION_SETTLEMENT</stp>
        <stp>FQ1 2015</stp>
        <stp>FQ1 2015</stp>
        <stp>[AMZ_2009-2018.xlsx]Income - Adjusted!R28C27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8" s="2"/>
      </tp>
      <tp>
        <v>0</v>
        <stp/>
        <stp>##V3_BDHV12</stp>
        <stp>AMZN US Equity</stp>
        <stp>CF_CASH_FOR_JOINT_VENTURES_ASSOC</stp>
        <stp>FQ3 2010</stp>
        <stp>FQ3 2010</stp>
        <stp>[AMZ_2009-2018.xlsx]Cash Flow - Standardized!R35C9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5" s="4"/>
      </tp>
      <tp>
        <v>0</v>
        <stp/>
        <stp>##V3_BDHV12</stp>
        <stp>AMZN US Equity</stp>
        <stp>CF_NET_CASH_DISCONTINUED_OPS_INV</stp>
        <stp>FQ2 2010</stp>
        <stp>FQ2 2010</stp>
        <stp>[AMZ_2009-2018.xlsx]Cash Flow - Standardized!R37C8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7" s="4"/>
      </tp>
      <tp>
        <v>167</v>
        <stp/>
        <stp>##V3_BDHV12</stp>
        <stp>AMZN US Equity</stp>
        <stp>BS_CURR_RENTAL_EXPENSE</stp>
        <stp>FQ1 2013</stp>
        <stp>FQ1 2013</stp>
        <stp>[AMZ_2009-2018.xlsx]Income - Adjusted!R73C19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73" s="2"/>
      </tp>
      <tp>
        <v>0</v>
        <stp/>
        <stp>##V3_BDHV12</stp>
        <stp>AMZN US Equity</stp>
        <stp>CF_NET_CASH_DISCONTINUED_OPS_INV</stp>
        <stp>FQ3 2009</stp>
        <stp>FQ3 2009</stp>
        <stp>[AMZ_2009-2018.xlsx]Cash Flow - Standardized!R37C5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7" s="4"/>
      </tp>
      <tp>
        <v>0</v>
        <stp/>
        <stp>##V3_BDHV12</stp>
        <stp>AMZN US Equity</stp>
        <stp>CF_CASH_FOR_JOINT_VENTURES_ASSOC</stp>
        <stp>FQ2 2009</stp>
        <stp>FQ2 2009</stp>
        <stp>[AMZ_2009-2018.xlsx]Cash Flow - Standardized!R35C4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5" s="4"/>
      </tp>
      <tp>
        <v>-19</v>
        <stp/>
        <stp>##V3_BDHV12</stp>
        <stp>AMZN US Equity</stp>
        <stp>CF_CASH_FOR_ACQUIS_SUBSIDIARIES</stp>
        <stp>FQ1 2010</stp>
        <stp>FQ1 2010</stp>
        <stp>[AMZ_2009-2018.xlsx]Cash Flow - Standardized!R34C7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4" s="4"/>
      </tp>
      <tp>
        <v>5</v>
        <stp/>
        <stp>##V3_BDHV12</stp>
        <stp>AMZN US Equity</stp>
        <stp>CF_PROC_LT_DEBT_&amp;_CAPITAL_LEASE</stp>
        <stp>FQ2 2010</stp>
        <stp>FQ2 2010</stp>
        <stp>[AMZ_2009-2018.xlsx]Cash Flow - Standardized!R44C8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4" s="4"/>
      </tp>
      <tp>
        <v>101</v>
        <stp/>
        <stp>##V3_BDHV12</stp>
        <stp>AMZN US Equity</stp>
        <stp>CF_PROC_LT_DEBT_&amp;_CAPITAL_LEASE</stp>
        <stp>FQ3 2009</stp>
        <stp>FQ3 2009</stp>
        <stp>[AMZ_2009-2018.xlsx]Cash Flow - Standardized!R44C5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4" s="4"/>
      </tp>
      <tp>
        <v>9600</v>
        <stp/>
        <stp>##V3_BDHV12</stp>
        <stp>AMZN US Equity</stp>
        <stp>BS_CASH_HELD_OVERSEAS</stp>
        <stp>FQ4 2017</stp>
        <stp>FQ4 2017</stp>
        <stp>[AMZ_2009-2018.xlsx]Bal Sheet - Standardized!R88C38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88" s="3"/>
      </tp>
      <tp>
        <v>0.46</v>
        <stp/>
        <stp>##V3_BDHV12</stp>
        <stp>AMZN US Equity</stp>
        <stp>IS_BASIC_EPS_CONT_OPS</stp>
        <stp>FQ4 2014</stp>
        <stp>FQ4 2014</stp>
        <stp>[AMZ_2009-2018.xlsx]Income - Adjusted!R52C26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52" s="2"/>
      </tp>
      <tp>
        <v>467</v>
        <stp/>
        <stp>##V3_BDHV12</stp>
        <stp>AMZN US Equity</stp>
        <stp>IS_AVG_NUM_SH_FOR_EPS</stp>
        <stp>FQ2 2015</stp>
        <stp>FQ2 2015</stp>
        <stp>[AMZ_2009-2018.xlsx]Income - Adjusted!R49C28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49" s="2"/>
      </tp>
      <tp>
        <v>0.15959999999999999</v>
        <stp/>
        <stp>##V3_BDHV12</stp>
        <stp>AMZN US Equity</stp>
        <stp>IS_BASIC_EPS_CONT_OPS</stp>
        <stp>FQ2 2012</stp>
        <stp>FQ2 2012</stp>
        <stp>[AMZ_2009-2018.xlsx]Income - Adjusted!R52C16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52" s="2"/>
      </tp>
      <tp>
        <v>0.41</v>
        <stp/>
        <stp>##V3_BDHV12</stp>
        <stp>AMZN US Equity</stp>
        <stp>IS_BASIC_EPS_CONT_OPS</stp>
        <stp>FQ2 2017</stp>
        <stp>FQ2 2017</stp>
        <stp>[AMZ_2009-2018.xlsx]Income - Adjusted!R52C36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52" s="2"/>
      </tp>
      <tp>
        <v>483</v>
        <stp/>
        <stp>##V3_BDHV12</stp>
        <stp>AMZN US Equity</stp>
        <stp>IS_AVG_NUM_SH_FOR_EPS</stp>
        <stp>FQ4 2017</stp>
        <stp>FQ4 2017</stp>
        <stp>[AMZ_2009-2018.xlsx]Income - Adjusted!R49C38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49" s="2"/>
      </tp>
      <tp>
        <v>454</v>
        <stp/>
        <stp>##V3_BDHV12</stp>
        <stp>AMZN US Equity</stp>
        <stp>IS_AVG_NUM_SH_FOR_EPS</stp>
        <stp>FQ4 2012</stp>
        <stp>FQ4 2012</stp>
        <stp>[AMZ_2009-2018.xlsx]Income - Adjusted!R49C18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49" s="2"/>
      </tp>
      <tp t="s">
        <v>—</v>
        <stp/>
        <stp>##V3_BDHV12</stp>
        <stp>AMZN US Equity</stp>
        <stp>INVTRY_FINISHED_GOODS</stp>
        <stp>FQ1 2018</stp>
        <stp>FQ1 2018</stp>
        <stp>[AMZ_2009-2018.xlsx]Bal Sheet - Standardized!R16C39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6" s="3"/>
      </tp>
      <tp t="s">
        <v>—</v>
        <stp/>
        <stp>##V3_BDHV12</stp>
        <stp>AMZN US Equity</stp>
        <stp>BS_CASH_HELD_OVERSEAS</stp>
        <stp>FQ3 2012</stp>
        <stp>FQ3 2012</stp>
        <stp>[AMZ_2009-2018.xlsx]Bal Sheet - Standardized!R88C17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88" s="3"/>
      </tp>
      <tp>
        <v>23</v>
        <stp/>
        <stp>##V3_BDHV12</stp>
        <stp>AMZN US Equity</stp>
        <stp>BS_NUM_OF_TSY_SH</stp>
        <stp>FQ2 2015</stp>
        <stp>FQ2 2015</stp>
        <stp>[AMZ_2009-2018.xlsx]Bal Sheet - Standardized!R79C28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79" s="3"/>
      </tp>
      <tp>
        <v>2103</v>
        <stp/>
        <stp>##V3_BDHV12</stp>
        <stp>AMZN US Equity</stp>
        <stp>BS_ACCRUAL</stp>
        <stp>FQ4 2010</stp>
        <stp>FQ4 2010</stp>
        <stp>[AMZ_2009-2018.xlsx]Bal Sheet - Standardized!R42C10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2" s="3"/>
      </tp>
      <tp t="s">
        <v>—</v>
        <stp/>
        <stp>##V3_BDHV12</stp>
        <stp>AMZN US Equity</stp>
        <stp>INVTRY_IN_PROGRESS</stp>
        <stp>FQ2 2013</stp>
        <stp>FQ2 2013</stp>
        <stp>[AMZ_2009-2018.xlsx]Bal Sheet - Standardized!R15C20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5" s="3"/>
      </tp>
      <tp>
        <v>4980</v>
        <stp/>
        <stp>##V3_BDHV12</stp>
        <stp>AMZN US Equity</stp>
        <stp>BS_ACCRUAL</stp>
        <stp>FQ4 2013</stp>
        <stp>FQ4 2013</stp>
        <stp>[AMZ_2009-2018.xlsx]Bal Sheet - Standardized!R42C22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2" s="3"/>
      </tp>
      <tp>
        <v>6353</v>
        <stp/>
        <stp>##V3_BDHV12</stp>
        <stp>AMZN US Equity</stp>
        <stp>BS_ACCRUAL</stp>
        <stp>FQ3 2014</stp>
        <stp>FQ3 2014</stp>
        <stp>[AMZ_2009-2018.xlsx]Bal Sheet - Standardized!R42C25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2" s="3"/>
      </tp>
      <tp t="s">
        <v>—</v>
        <stp/>
        <stp>##V3_BDHV12</stp>
        <stp>AMZN US Equity</stp>
        <stp>INVTRY_IN_PROGRESS</stp>
        <stp>FQ3 2011</stp>
        <stp>FQ3 2011</stp>
        <stp>[AMZ_2009-2018.xlsx]Bal Sheet - Standardized!R15C13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5" s="3"/>
      </tp>
      <tp>
        <v>7446</v>
        <stp/>
        <stp>##V3_BDHV12</stp>
        <stp>AMZN US Equity</stp>
        <stp>BS_ACCRUAL</stp>
        <stp>FQ1 2017</stp>
        <stp>FQ1 2017</stp>
        <stp>[AMZ_2009-2018.xlsx]Bal Sheet - Standardized!R42C35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2" s="3"/>
      </tp>
      <tp>
        <v>7700</v>
        <stp/>
        <stp>##V3_BDHV12</stp>
        <stp>AMZN US Equity</stp>
        <stp>BS_ACCRUAL</stp>
        <stp>FQ2 2015</stp>
        <stp>FQ2 2015</stp>
        <stp>[AMZ_2009-2018.xlsx]Bal Sheet - Standardized!R42C28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2" s="3"/>
      </tp>
      <tp>
        <v>363.358</v>
        <stp/>
        <stp>##V3_BDHV12</stp>
        <stp>AMZN US Equity</stp>
        <stp>EQY_FLOAT</stp>
        <stp>FQ2 2011</stp>
        <stp>FQ2 2011</stp>
        <stp>[AMZ_2009-2018.xlsx]Stock Value!R14C12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14" s="6"/>
      </tp>
      <tp>
        <v>365.279</v>
        <stp/>
        <stp>##V3_BDHV12</stp>
        <stp>AMZN US Equity</stp>
        <stp>EQY_FLOAT</stp>
        <stp>FQ3 2011</stp>
        <stp>FQ3 2011</stp>
        <stp>[AMZ_2009-2018.xlsx]Stock Value!R14C13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14" s="6"/>
      </tp>
      <tp>
        <v>359.38900000000001</v>
        <stp/>
        <stp>##V3_BDHV12</stp>
        <stp>AMZN US Equity</stp>
        <stp>EQY_FLOAT</stp>
        <stp>FQ1 2011</stp>
        <stp>FQ1 2011</stp>
        <stp>[AMZ_2009-2018.xlsx]Stock Value!R14C11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14" s="6"/>
      </tp>
      <tp>
        <v>366.07</v>
        <stp/>
        <stp>##V3_BDHV12</stp>
        <stp>AMZN US Equity</stp>
        <stp>EQY_FLOAT</stp>
        <stp>FQ4 2011</stp>
        <stp>FQ4 2011</stp>
        <stp>[AMZ_2009-2018.xlsx]Stock Value!R14C14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14" s="6"/>
      </tp>
      <tp>
        <v>5.4800000000000001E-2</v>
        <stp/>
        <stp>##V3_BDHV12</stp>
        <stp>AMZN US Equity</stp>
        <stp>FREE_CASH_FLOW_PER_SH</stp>
        <stp>FQ2 2013</stp>
        <stp>FQ2 2013</stp>
        <stp>[AMZ_2009-2018.xlsx]Per Share!R23C20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23" s="5"/>
      </tp>
      <tp>
        <v>8.6542999999999992</v>
        <stp/>
        <stp>##V3_BDHV12</stp>
        <stp>AMZN US Equity</stp>
        <stp>FREE_CASH_FLOW_PER_SH</stp>
        <stp>FQ2 2018</stp>
        <stp>FQ2 2018</stp>
        <stp>[AMZ_2009-2018.xlsx]Per Share!R23C40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23" s="5"/>
      </tp>
      <tp>
        <v>370.24799999999999</v>
        <stp/>
        <stp>##V3_BDHV12</stp>
        <stp>AMZN US Equity</stp>
        <stp>EQY_FLOAT</stp>
        <stp>FQ3 2013</stp>
        <stp>FQ3 2013</stp>
        <stp>[AMZ_2009-2018.xlsx]Stock Value!R14C21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14" s="6"/>
      </tp>
      <tp>
        <v>367.601</v>
        <stp/>
        <stp>##V3_BDHV12</stp>
        <stp>AMZN US Equity</stp>
        <stp>EQY_FLOAT</stp>
        <stp>FQ2 2013</stp>
        <stp>FQ2 2013</stp>
        <stp>[AMZ_2009-2018.xlsx]Stock Value!R14C20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14" s="6"/>
      </tp>
      <tp>
        <v>7.0044000000000004</v>
        <stp/>
        <stp>##V3_BDHV12</stp>
        <stp>AMZN US Equity</stp>
        <stp>FREE_CASH_FLOW_PER_SH</stp>
        <stp>FQ4 2010</stp>
        <stp>FQ4 2010</stp>
        <stp>[AMZ_2009-2018.xlsx]Per Share!R23C10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23" s="5"/>
      </tp>
      <tp>
        <v>15.963799999999999</v>
        <stp/>
        <stp>##V3_BDHV12</stp>
        <stp>AMZN US Equity</stp>
        <stp>FREE_CASH_FLOW_PER_SH</stp>
        <stp>FQ4 2015</stp>
        <stp>FQ4 2015</stp>
        <stp>[AMZ_2009-2018.xlsx]Per Share!R23C30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23" s="5"/>
      </tp>
      <tp t="s">
        <v>—</v>
        <stp/>
        <stp>##V3_BDHV12</stp>
        <stp>AMZN US Equity</stp>
        <stp>INVTRY_IN_PROGRESS</stp>
        <stp>FQ1 2013</stp>
        <stp>FQ1 2013</stp>
        <stp>[AMZ_2009-2018.xlsx]Bal Sheet - Standardized!R15C19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5" s="3"/>
      </tp>
      <tp>
        <v>385.37599999999998</v>
        <stp/>
        <stp>##V3_BDHV12</stp>
        <stp>AMZN US Equity</stp>
        <stp>EQY_FLOAT</stp>
        <stp>FQ4 2015</stp>
        <stp>FQ4 2015</stp>
        <stp>[AMZ_2009-2018.xlsx]Stock Value!R14C30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14" s="6"/>
      </tp>
      <tp t="s">
        <v>—</v>
        <stp/>
        <stp>##V3_BDHV12</stp>
        <stp>AMZN US Equity</stp>
        <stp>LT_CAPITAL_LEASE_OBLIGATIONS</stp>
        <stp>FQ1 2009</stp>
        <stp>FQ1 2009</stp>
        <stp>[AMZ_2009-2018.xlsx]Bal Sheet - Standardized!R54C3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4" s="3"/>
      </tp>
      <tp>
        <v>20.758500000000002</v>
        <stp/>
        <stp>##V3_BDHV12</stp>
        <stp>AMZN US Equity</stp>
        <stp>GROSS_MARGIN</stp>
        <stp>FQ4 2009</stp>
        <stp>FQ4 2009</stp>
        <stp>[AMZ_2009-2018.xlsx]Income - Adjusted!R65C6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F65" s="2"/>
      </tp>
      <tp>
        <v>9229</v>
        <stp/>
        <stp>##V3_BDHV12</stp>
        <stp>AMZN US Equity</stp>
        <stp>BS_TOT_NON_CUR_ASSET</stp>
        <stp>FQ2 2012</stp>
        <stp>FQ2 2012</stp>
        <stp>[AMZ_2009-2018.xlsx]Bal Sheet - Standardized!R34C16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4" s="3"/>
      </tp>
      <tp>
        <v>24.360399999999998</v>
        <stp/>
        <stp>##V3_BDHV12</stp>
        <stp>AMZN US Equity</stp>
        <stp>GROSS_MARGIN</stp>
        <stp>FQ2 2009</stp>
        <stp>FQ2 2009</stp>
        <stp>[AMZ_2009-2018.xlsx]Income - Adjusted!R65C4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D65" s="2"/>
      </tp>
      <tp>
        <v>23.465599999999998</v>
        <stp/>
        <stp>##V3_BDHV12</stp>
        <stp>AMZN US Equity</stp>
        <stp>GROSS_MARGIN</stp>
        <stp>FQ3 2010</stp>
        <stp>FQ3 2010</stp>
        <stp>[AMZ_2009-2018.xlsx]Income - Adjusted!R65C9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I65" s="2"/>
      </tp>
      <tp>
        <v>37621</v>
        <stp/>
        <stp>##V3_BDHV12</stp>
        <stp>AMZN US Equity</stp>
        <stp>BS_TOT_NON_CUR_ASSET</stp>
        <stp>FQ4 2016</stp>
        <stp>FQ4 2016</stp>
        <stp>[AMZ_2009-2018.xlsx]Bal Sheet - Standardized!R34C34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4" s="3"/>
      </tp>
      <tp>
        <v>0</v>
        <stp/>
        <stp>##V3_BDHV12</stp>
        <stp>AMZN US Equity</stp>
        <stp>BS_LT_INVEST</stp>
        <stp>FQ1 2017</stp>
        <stp>FQ1 2017</stp>
        <stp>[AMZ_2009-2018.xlsx]Bal Sheet - Standardized!R26C35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6" s="3"/>
      </tp>
      <tp>
        <v>23.362100000000002</v>
        <stp/>
        <stp>##V3_BDHV12</stp>
        <stp>AMZN US Equity</stp>
        <stp>GROSS_MARGIN</stp>
        <stp>FQ3 2009</stp>
        <stp>FQ3 2009</stp>
        <stp>[AMZ_2009-2018.xlsx]Income - Adjusted!R65C5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E65" s="2"/>
      </tp>
      <tp>
        <v>24.504999999999999</v>
        <stp/>
        <stp>##V3_BDHV12</stp>
        <stp>AMZN US Equity</stp>
        <stp>GROSS_MARGIN</stp>
        <stp>FQ2 2010</stp>
        <stp>FQ2 2010</stp>
        <stp>[AMZ_2009-2018.xlsx]Income - Adjusted!R65C8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H65" s="2"/>
      </tp>
      <tp>
        <v>0</v>
        <stp/>
        <stp>##V3_BDHV12</stp>
        <stp>AMZN US Equity</stp>
        <stp>BS_LT_INVEST</stp>
        <stp>FQ3 2014</stp>
        <stp>FQ3 2014</stp>
        <stp>[AMZ_2009-2018.xlsx]Bal Sheet - Standardized!R26C25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6" s="3"/>
      </tp>
      <tp>
        <v>0</v>
        <stp/>
        <stp>##V3_BDHV12</stp>
        <stp>AMZN US Equity</stp>
        <stp>BS_LT_INVEST</stp>
        <stp>FQ4 2013</stp>
        <stp>FQ4 2013</stp>
        <stp>[AMZ_2009-2018.xlsx]Bal Sheet - Standardized!R26C22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6" s="3"/>
      </tp>
      <tp>
        <v>22.857900000000001</v>
        <stp/>
        <stp>##V3_BDHV12</stp>
        <stp>AMZN US Equity</stp>
        <stp>GROSS_MARGIN</stp>
        <stp>FQ1 2010</stp>
        <stp>FQ1 2010</stp>
        <stp>[AMZ_2009-2018.xlsx]Income - Adjusted!R65C7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G65" s="2"/>
      </tp>
      <tp>
        <v>5594</v>
        <stp/>
        <stp>##V3_BDHV12</stp>
        <stp>AMZN US Equity</stp>
        <stp>BS_TOT_NON_CUR_ASSET</stp>
        <stp>FQ1 2011</stp>
        <stp>FQ1 2011</stp>
        <stp>[AMZ_2009-2018.xlsx]Bal Sheet - Standardized!R34C11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4" s="3"/>
      </tp>
      <tp>
        <v>0</v>
        <stp/>
        <stp>##V3_BDHV12</stp>
        <stp>AMZN US Equity</stp>
        <stp>BS_LT_INVEST</stp>
        <stp>FQ4 2010</stp>
        <stp>FQ4 2010</stp>
        <stp>[AMZ_2009-2018.xlsx]Bal Sheet - Standardized!R26C10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6" s="3"/>
      </tp>
      <tp>
        <v>23.481300000000001</v>
        <stp/>
        <stp>##V3_BDHV12</stp>
        <stp>AMZN US Equity</stp>
        <stp>GROSS_MARGIN</stp>
        <stp>FQ1 2009</stp>
        <stp>FQ1 2009</stp>
        <stp>[AMZ_2009-2018.xlsx]Income - Adjusted!R65C3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C65" s="2"/>
      </tp>
      <tp>
        <v>13517</v>
        <stp/>
        <stp>##V3_BDHV12</stp>
        <stp>AMZN US Equity</stp>
        <stp>BS_TOT_LIAB2</stp>
        <stp>FQ2 2012</stp>
        <stp>FQ2 2012</stp>
        <stp>[AMZ_2009-2018.xlsx]Bal Sheet - Standardized!R63C16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3" s="3"/>
      </tp>
      <tp>
        <v>0</v>
        <stp/>
        <stp>##V3_BDHV12</stp>
        <stp>AMZN US Equity</stp>
        <stp>BS_LT_INVEST</stp>
        <stp>FQ2 2015</stp>
        <stp>FQ2 2015</stp>
        <stp>[AMZ_2009-2018.xlsx]Bal Sheet - Standardized!R26C28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6" s="3"/>
      </tp>
      <tp>
        <v>9535</v>
        <stp/>
        <stp>##V3_BDHV12</stp>
        <stp>AMZN US Equity</stp>
        <stp>BS_TOT_LIAB2</stp>
        <stp>FQ1 2011</stp>
        <stp>FQ1 2011</stp>
        <stp>[AMZ_2009-2018.xlsx]Bal Sheet - Standardized!R63C11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3" s="3"/>
      </tp>
      <tp>
        <v>64117</v>
        <stp/>
        <stp>##V3_BDHV12</stp>
        <stp>AMZN US Equity</stp>
        <stp>BS_TOT_LIAB2</stp>
        <stp>FQ4 2016</stp>
        <stp>FQ4 2016</stp>
        <stp>[AMZ_2009-2018.xlsx]Bal Sheet - Standardized!R63C34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3" s="3"/>
      </tp>
      <tp>
        <v>0</v>
        <stp/>
        <stp>##V3_BDHV12</stp>
        <stp>AMZN US Equity</stp>
        <stp>BS_ST_BORROW</stp>
        <stp>FQ2 2012</stp>
        <stp>FQ2 2012</stp>
        <stp>[AMZ_2009-2018.xlsx]Bal Sheet - Standardized!R43C16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3" s="3"/>
      </tp>
      <tp>
        <v>0</v>
        <stp/>
        <stp>##V3_BDHV12</stp>
        <stp>AMZN US Equity</stp>
        <stp>BS_LT_BORROW</stp>
        <stp>FQ2 2012</stp>
        <stp>FQ2 2012</stp>
        <stp>[AMZ_2009-2018.xlsx]Bal Sheet - Standardized!R52C16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2" s="3"/>
      </tp>
      <tp>
        <v>5197</v>
        <stp/>
        <stp>##V3_BDHV12</stp>
        <stp>AMZN US Equity</stp>
        <stp>BS_ST_BORROW</stp>
        <stp>FQ4 2016</stp>
        <stp>FQ4 2016</stp>
        <stp>[AMZ_2009-2018.xlsx]Bal Sheet - Standardized!R43C34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3" s="3"/>
      </tp>
      <tp>
        <v>175</v>
        <stp/>
        <stp>##V3_BDHV12</stp>
        <stp>AMZN US Equity</stp>
        <stp>IS_GENERAL_AND_ADMINISTRATIVE</stp>
        <stp>FQ3 2011</stp>
        <stp>FQ3 2011</stp>
        <stp>[AMZ_2009-2018.xlsx]Income - Adjusted!R15C13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5" s="2"/>
      </tp>
      <tp>
        <v>639</v>
        <stp/>
        <stp>##V3_BDHV12</stp>
        <stp>AMZN US Equity</stp>
        <stp>IS_GENERAL_AND_ADMINISTRATIVE</stp>
        <stp>FQ3 2016</stp>
        <stp>FQ3 2016</stp>
        <stp>[AMZ_2009-2018.xlsx]Income - Adjusted!R15C33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5" s="2"/>
      </tp>
      <tp>
        <v>17143</v>
        <stp/>
        <stp>##V3_BDHV12</stp>
        <stp>AMZN US Equity</stp>
        <stp>NON_CUR_LIAB</stp>
        <stp>FQ3 2015</stp>
        <stp>FQ3 2015</stp>
        <stp>[AMZ_2009-2018.xlsx]Bal Sheet - Standardized!R62C29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2" s="3"/>
      </tp>
      <tp>
        <v>15213</v>
        <stp/>
        <stp>##V3_BDHV12</stp>
        <stp>AMZN US Equity</stp>
        <stp>BS_LT_BORROW</stp>
        <stp>FQ4 2016</stp>
        <stp>FQ4 2016</stp>
        <stp>[AMZ_2009-2018.xlsx]Bal Sheet - Standardized!R52C34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2" s="3"/>
      </tp>
      <tp t="s">
        <v>—</v>
        <stp/>
        <stp>##V3_BDHV12</stp>
        <stp>AMZN US Equity</stp>
        <stp>BS_ST_BORROW</stp>
        <stp>FQ1 2011</stp>
        <stp>FQ1 2011</stp>
        <stp>[AMZ_2009-2018.xlsx]Bal Sheet - Standardized!R43C11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3" s="3"/>
      </tp>
      <tp>
        <v>327</v>
        <stp/>
        <stp>##V3_BDHV12</stp>
        <stp>AMZN US Equity</stp>
        <stp>IS_GENERAL_AND_ADMINISTRATIVE</stp>
        <stp>FQ1 2014</stp>
        <stp>FQ1 2014</stp>
        <stp>[AMZ_2009-2018.xlsx]Income - Adjusted!R15C23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5" s="2"/>
      </tp>
      <tp>
        <v>0</v>
        <stp/>
        <stp>##V3_BDHV12</stp>
        <stp>AMZN US Equity</stp>
        <stp>BS_LT_BORROW</stp>
        <stp>FQ1 2011</stp>
        <stp>FQ1 2011</stp>
        <stp>[AMZ_2009-2018.xlsx]Bal Sheet - Standardized!R52C11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2" s="3"/>
      </tp>
      <tp>
        <v>8545</v>
        <stp/>
        <stp>##V3_BDHV12</stp>
        <stp>AMZN US Equity</stp>
        <stp>NON_CUR_LIAB</stp>
        <stp>FQ2 2014</stp>
        <stp>FQ2 2014</stp>
        <stp>[AMZ_2009-2018.xlsx]Bal Sheet - Standardized!R62C24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2" s="3"/>
      </tp>
      <tp>
        <v>2625</v>
        <stp/>
        <stp>##V3_BDHV12</stp>
        <stp>AMZN US Equity</stp>
        <stp>NON_CUR_LIAB</stp>
        <stp>FQ4 2011</stp>
        <stp>FQ4 2011</stp>
        <stp>[AMZ_2009-2018.xlsx]Bal Sheet - Standardized!R62C14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2" s="3"/>
      </tp>
      <tp>
        <v>18185</v>
        <stp/>
        <stp>##V3_BDHV12</stp>
        <stp>AMZN US Equity</stp>
        <stp>NON_CUR_LIAB</stp>
        <stp>FQ1 2016</stp>
        <stp>FQ1 2016</stp>
        <stp>[AMZ_2009-2018.xlsx]Bal Sheet - Standardized!R62C31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2" s="3"/>
      </tp>
      <tp t="s">
        <v>—</v>
        <stp/>
        <stp>##V3_BDHV12</stp>
        <stp>AMZN US Equity</stp>
        <stp>ST_CAPITAL_LEASE_OBLIGATIONS</stp>
        <stp>FQ1 2009</stp>
        <stp>FQ1 2009</stp>
        <stp>[AMZ_2009-2018.xlsx]Bal Sheet - Standardized!R45C3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5" s="3"/>
      </tp>
      <tp>
        <v>0</v>
        <stp/>
        <stp>##V3_BDHV12</stp>
        <stp>AMZN US Equity</stp>
        <stp>CF_DISPOSAL_OF_FIXED_PROD_ASSETS</stp>
        <stp>FQ1 2010</stp>
        <stp>FQ1 2010</stp>
        <stp>[AMZ_2009-2018.xlsx]Cash Flow - Standardized!R24C7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4" s="4"/>
      </tp>
      <tp>
        <v>21.648700000000002</v>
        <stp/>
        <stp>##V3_BDHV12</stp>
        <stp>AMZN US Equity</stp>
        <stp>CHG_PCT_PERIOD</stp>
        <stp>FQ4 2017</stp>
        <stp>FQ4 2017</stp>
        <stp>[AMZ_2009-2018.xlsx]Stock Value!R7C38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7" s="6"/>
      </tp>
      <tp t="s">
        <v>—</v>
        <stp/>
        <stp>##V3_BDHV12</stp>
        <stp>AMZN US Equity</stp>
        <stp>CHG_PCT_PERIOD</stp>
        <stp>FQ4 2012</stp>
        <stp>FQ4 2012</stp>
        <stp>[AMZ_2009-2018.xlsx]Stock Value!R7C18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7" s="6"/>
      </tp>
      <tp>
        <v>215</v>
        <stp/>
        <stp>##V3_BDHV12</stp>
        <stp>AMZN US Equity</stp>
        <stp>BS_CURR_RENTAL_EXPENSE</stp>
        <stp>FQ4 2013</stp>
        <stp>FQ4 2013</stp>
        <stp>[AMZ_2009-2018.xlsx]Income - Adjusted!R73C22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73" s="2"/>
      </tp>
      <tp>
        <v>197</v>
        <stp/>
        <stp>##V3_BDHV12</stp>
        <stp>AMZN US Equity</stp>
        <stp>BS_CURR_RENTAL_EXPENSE</stp>
        <stp>FQ3 2013</stp>
        <stp>FQ3 2013</stp>
        <stp>[AMZ_2009-2018.xlsx]Income - Adjusted!R73C21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73" s="2"/>
      </tp>
      <tp>
        <v>0</v>
        <stp/>
        <stp>##V3_BDHV12</stp>
        <stp>AMZN US Equity</stp>
        <stp>CF_NET_CASH_DISCONTINUED_OPS_INV</stp>
        <stp>FQ1 2010</stp>
        <stp>FQ1 2010</stp>
        <stp>[AMZ_2009-2018.xlsx]Cash Flow - Standardized!R37C7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7" s="4"/>
      </tp>
      <tp t="s">
        <v>—</v>
        <stp/>
        <stp>##V3_BDHV12</stp>
        <stp>AMZN US Equity</stp>
        <stp>IS_LEGAL_LITIGATION_SETTLEMENT</stp>
        <stp>FQ4 2017</stp>
        <stp>FQ4 2017</stp>
        <stp>[AMZ_2009-2018.xlsx]Income - Adjusted!R28C38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8" s="2"/>
      </tp>
      <tp>
        <v>180</v>
        <stp/>
        <stp>##V3_BDHV12</stp>
        <stp>AMZN US Equity</stp>
        <stp>BS_CURR_RENTAL_EXPENSE</stp>
        <stp>FQ2 2013</stp>
        <stp>FQ2 2013</stp>
        <stp>[AMZ_2009-2018.xlsx]Income - Adjusted!R73C20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73" s="2"/>
      </tp>
      <tp>
        <v>69</v>
        <stp/>
        <stp>##V3_BDHV12</stp>
        <stp>AMZN US Equity</stp>
        <stp>BS_CURR_RENTAL_EXPENSE</stp>
        <stp>FQ4 2010</stp>
        <stp>FQ4 2010</stp>
        <stp>[AMZ_2009-2018.xlsx]Income - Adjusted!R73C10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73" s="2"/>
      </tp>
      <tp t="s">
        <v>—</v>
        <stp/>
        <stp>##V3_BDHV12</stp>
        <stp>AMZN US Equity</stp>
        <stp>IS_LEGAL_LITIGATION_SETTLEMENT</stp>
        <stp>FQ3 2017</stp>
        <stp>FQ3 2017</stp>
        <stp>[AMZ_2009-2018.xlsx]Income - Adjusted!R28C37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8" s="2"/>
      </tp>
      <tp t="s">
        <v>—</v>
        <stp/>
        <stp>##V3_BDHV12</stp>
        <stp>AMZN US Equity</stp>
        <stp>IS_LEGAL_LITIGATION_SETTLEMENT</stp>
        <stp>FQ2 2017</stp>
        <stp>FQ2 2017</stp>
        <stp>[AMZ_2009-2018.xlsx]Income - Adjusted!R28C36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8" s="2"/>
      </tp>
      <tp t="s">
        <v>—</v>
        <stp/>
        <stp>##V3_BDHV12</stp>
        <stp>AMZN US Equity</stp>
        <stp>IS_LEGAL_LITIGATION_SETTLEMENT</stp>
        <stp>FQ1 2017</stp>
        <stp>FQ1 2017</stp>
        <stp>[AMZ_2009-2018.xlsx]Income - Adjusted!R28C35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8" s="2"/>
      </tp>
      <tp>
        <v>0</v>
        <stp/>
        <stp>##V3_BDHV12</stp>
        <stp>AMZN US Equity</stp>
        <stp>CF_CASH_FOR_JOINT_VENTURES_ASSOC</stp>
        <stp>FQ1 2009</stp>
        <stp>FQ1 2009</stp>
        <stp>[AMZ_2009-2018.xlsx]Cash Flow - Standardized!R35C3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4"/>
      </tp>
      <tp>
        <v>-5</v>
        <stp/>
        <stp>##V3_BDHV12</stp>
        <stp>AMZN US Equity</stp>
        <stp>CF_CASH_FOR_ACQUIS_SUBSIDIARIES</stp>
        <stp>FQ3 2009</stp>
        <stp>FQ3 2009</stp>
        <stp>[AMZ_2009-2018.xlsx]Cash Flow - Standardized!R34C5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4" s="4"/>
      </tp>
      <tp>
        <v>-21</v>
        <stp/>
        <stp>##V3_BDHV12</stp>
        <stp>AMZN US Equity</stp>
        <stp>CF_CASH_FOR_ACQUIS_SUBSIDIARIES</stp>
        <stp>FQ2 2010</stp>
        <stp>FQ2 2010</stp>
        <stp>[AMZ_2009-2018.xlsx]Cash Flow - Standardized!R34C8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4" s="4"/>
      </tp>
      <tp>
        <v>62</v>
        <stp/>
        <stp>##V3_BDHV12</stp>
        <stp>AMZN US Equity</stp>
        <stp>CF_PROC_LT_DEBT_&amp;_CAPITAL_LEASE</stp>
        <stp>FQ1 2010</stp>
        <stp>FQ1 2010</stp>
        <stp>[AMZ_2009-2018.xlsx]Cash Flow - Standardized!R44C7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4" s="4"/>
      </tp>
      <tp>
        <v>0</v>
        <stp/>
        <stp>##V3_BDHV12</stp>
        <stp>AMZN US Equity</stp>
        <stp>DISP_FXD_&amp;_INTANGIBLES_DETAILED</stp>
        <stp>FQ4 2009</stp>
        <stp>FQ4 2009</stp>
        <stp>[AMZ_2009-2018.xlsx]Cash Flow - Standardized!R23C6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3" s="4"/>
      </tp>
      <tp>
        <v>478</v>
        <stp/>
        <stp>##V3_BDHV12</stp>
        <stp>AMZN US Equity</stp>
        <stp>IS_SH_FOR_DILUTED_EPS</stp>
        <stp>FQ3 2015</stp>
        <stp>FQ3 2015</stp>
        <stp>[AMZ_2009-2018.xlsx]Income - Adjusted!R54C29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54" s="2"/>
      </tp>
      <tp t="s">
        <v>—</v>
        <stp/>
        <stp>##V3_BDHV12</stp>
        <stp>AMZN US Equity</stp>
        <stp>BS_CASH_HELD_OVERSEAS</stp>
        <stp>FQ1 2013</stp>
        <stp>FQ1 2013</stp>
        <stp>[AMZ_2009-2018.xlsx]Bal Sheet - Standardized!R88C19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88" s="3"/>
      </tp>
      <tp>
        <v>-0.70520000000000005</v>
        <stp/>
        <stp>##V3_BDHV12</stp>
        <stp>AMZN US Equity</stp>
        <stp>IS_BASIC_EPS_CONT_OPS</stp>
        <stp>FQ3 2014</stp>
        <stp>FQ3 2014</stp>
        <stp>[AMZ_2009-2018.xlsx]Income - Adjusted!R52C25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52" s="2"/>
      </tp>
      <tp>
        <v>463</v>
        <stp/>
        <stp>##V3_BDHV12</stp>
        <stp>AMZN US Equity</stp>
        <stp>IS_SH_FOR_DILUTED_EPS</stp>
        <stp>FQ1 2013</stp>
        <stp>FQ1 2013</stp>
        <stp>[AMZ_2009-2018.xlsx]Income - Adjusted!R54C19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54" s="2"/>
      </tp>
      <tp>
        <v>498</v>
        <stp/>
        <stp>##V3_BDHV12</stp>
        <stp>AMZN US Equity</stp>
        <stp>IS_SH_FOR_DILUTED_EPS</stp>
        <stp>FQ1 2018</stp>
        <stp>FQ1 2018</stp>
        <stp>[AMZ_2009-2018.xlsx]Income - Adjusted!R54C39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54" s="2"/>
      </tp>
      <tp>
        <v>0.28999999999999998</v>
        <stp/>
        <stp>##V3_BDHV12</stp>
        <stp>AMZN US Equity</stp>
        <stp>IS_BASIC_EPS_CONT_OPS</stp>
        <stp>FQ1 2012</stp>
        <stp>FQ1 2012</stp>
        <stp>[AMZ_2009-2018.xlsx]Income - Adjusted!R52C15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52" s="2"/>
      </tp>
      <tp>
        <v>1.52</v>
        <stp/>
        <stp>##V3_BDHV12</stp>
        <stp>AMZN US Equity</stp>
        <stp>IS_BASIC_EPS_CONT_OPS</stp>
        <stp>FQ1 2017</stp>
        <stp>FQ1 2017</stp>
        <stp>[AMZ_2009-2018.xlsx]Income - Adjusted!R52C35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52" s="2"/>
      </tp>
      <tp t="s">
        <v>—</v>
        <stp/>
        <stp>##V3_BDHV12</stp>
        <stp>AMZN US Equity</stp>
        <stp>BS_ACCUM_DEPR</stp>
        <stp>FQ2 2018</stp>
        <stp>FQ2 2018</stp>
        <stp>[AMZ_2009-2018.xlsx]Bal Sheet - Standardized!R25C40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5" s="3"/>
      </tp>
      <tp t="s">
        <v>—</v>
        <stp/>
        <stp>##V3_BDHV12</stp>
        <stp>AMZN US Equity</stp>
        <stp>BS_CASH_HELD_OVERSEAS</stp>
        <stp>FQ3 2011</stp>
        <stp>FQ3 2011</stp>
        <stp>[AMZ_2009-2018.xlsx]Bal Sheet - Standardized!R88C13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88" s="3"/>
      </tp>
      <tp t="s">
        <v>—</v>
        <stp/>
        <stp>##V3_BDHV12</stp>
        <stp>AMZN US Equity</stp>
        <stp>BS_CASH_HELD_OVERSEAS</stp>
        <stp>FQ2 2013</stp>
        <stp>FQ2 2013</stp>
        <stp>[AMZ_2009-2018.xlsx]Bal Sheet - Standardized!R88C20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88" s="3"/>
      </tp>
      <tp t="s">
        <v>—</v>
        <stp/>
        <stp>##V3_BDHV12</stp>
        <stp>AMZN US Equity</stp>
        <stp>INVTRY_IN_PROGRESS</stp>
        <stp>FQ1 2012</stp>
        <stp>FQ1 2012</stp>
        <stp>[AMZ_2009-2018.xlsx]Bal Sheet - Standardized!R15C15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5" s="3"/>
      </tp>
      <tp>
        <v>404.834</v>
        <stp/>
        <stp>##V3_BDHV12</stp>
        <stp>AMZN US Equity</stp>
        <stp>EQY_FLOAT</stp>
        <stp>FQ1 2018</stp>
        <stp>FQ1 2018</stp>
        <stp>[AMZ_2009-2018.xlsx]Stock Value!R14C39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14" s="6"/>
      </tp>
      <tp>
        <v>3227</v>
        <stp/>
        <stp>##V3_BDHV12</stp>
        <stp>AMZN US Equity</stp>
        <stp>BS_ACCRUAL</stp>
        <stp>FQ4 2011</stp>
        <stp>FQ4 2011</stp>
        <stp>[AMZ_2009-2018.xlsx]Bal Sheet - Standardized!R42C14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2" s="3"/>
      </tp>
      <tp t="s">
        <v>—</v>
        <stp/>
        <stp>##V3_BDHV12</stp>
        <stp>AMZN US Equity</stp>
        <stp>INVTRY_IN_PROGRESS</stp>
        <stp>FQ4 2015</stp>
        <stp>FQ4 2015</stp>
        <stp>[AMZ_2009-2018.xlsx]Bal Sheet - Standardized!R15C30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5" s="3"/>
      </tp>
      <tp>
        <v>6038</v>
        <stp/>
        <stp>##V3_BDHV12</stp>
        <stp>AMZN US Equity</stp>
        <stp>BS_ACCRUAL</stp>
        <stp>FQ1 2016</stp>
        <stp>FQ1 2016</stp>
        <stp>[AMZ_2009-2018.xlsx]Bal Sheet - Standardized!R42C31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2" s="3"/>
      </tp>
      <tp>
        <v>5828</v>
        <stp/>
        <stp>##V3_BDHV12</stp>
        <stp>AMZN US Equity</stp>
        <stp>BS_ACCRUAL</stp>
        <stp>FQ2 2014</stp>
        <stp>FQ2 2014</stp>
        <stp>[AMZ_2009-2018.xlsx]Bal Sheet - Standardized!R42C24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2" s="3"/>
      </tp>
      <tp t="s">
        <v>—</v>
        <stp/>
        <stp>##V3_BDHV12</stp>
        <stp>AMZN US Equity</stp>
        <stp>INVTRY_IN_PROGRESS</stp>
        <stp>FQ2 2011</stp>
        <stp>FQ2 2011</stp>
        <stp>[AMZ_2009-2018.xlsx]Bal Sheet - Standardized!R15C12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5" s="3"/>
      </tp>
      <tp t="s">
        <v>—</v>
        <stp/>
        <stp>##V3_BDHV12</stp>
        <stp>AMZN US Equity</stp>
        <stp>INVTRY_IN_PROGRESS</stp>
        <stp>FQ4 2014</stp>
        <stp>FQ4 2014</stp>
        <stp>[AMZ_2009-2018.xlsx]Bal Sheet - Standardized!R15C26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5" s="3"/>
      </tp>
      <tp t="s">
        <v>—</v>
        <stp/>
        <stp>##V3_BDHV12</stp>
        <stp>AMZN US Equity</stp>
        <stp>INVTRY_IN_PROGRESS</stp>
        <stp>FQ3 2013</stp>
        <stp>FQ3 2013</stp>
        <stp>[AMZ_2009-2018.xlsx]Bal Sheet - Standardized!R15C21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5" s="3"/>
      </tp>
      <tp>
        <v>8040</v>
        <stp/>
        <stp>##V3_BDHV12</stp>
        <stp>AMZN US Equity</stp>
        <stp>BS_ACCRUAL</stp>
        <stp>FQ3 2015</stp>
        <stp>FQ3 2015</stp>
        <stp>[AMZ_2009-2018.xlsx]Bal Sheet - Standardized!R42C29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2" s="3"/>
      </tp>
      <tp>
        <v>-6.6497000000000002</v>
        <stp/>
        <stp>##V3_BDHV12</stp>
        <stp>AMZN US Equity</stp>
        <stp>FREE_CASH_FLOW_PER_SH</stp>
        <stp>FQ1 2016</stp>
        <stp>FQ1 2016</stp>
        <stp>[AMZ_2009-2018.xlsx]Per Share!R23C31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23" s="5"/>
      </tp>
      <tp>
        <v>-4.1774000000000004</v>
        <stp/>
        <stp>##V3_BDHV12</stp>
        <stp>AMZN US Equity</stp>
        <stp>FREE_CASH_FLOW_PER_SH</stp>
        <stp>FQ1 2011</stp>
        <stp>FQ1 2011</stp>
        <stp>[AMZ_2009-2018.xlsx]Per Share!R23C11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23" s="5"/>
      </tp>
      <tp>
        <v>0.76590000000000003</v>
        <stp/>
        <stp>##V3_BDHV12</stp>
        <stp>AMZN US Equity</stp>
        <stp>FREE_CASH_FLOW_PER_SH</stp>
        <stp>FQ3 2013</stp>
        <stp>FQ3 2013</stp>
        <stp>[AMZ_2009-2018.xlsx]Per Share!R23C21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23" s="5"/>
      </tp>
      <tp>
        <v>0</v>
        <stp/>
        <stp>##V3_BDHV12</stp>
        <stp>AMZN US Equity</stp>
        <stp>BS_LT_INVEST</stp>
        <stp>FQ1 2016</stp>
        <stp>FQ1 2016</stp>
        <stp>[AMZ_2009-2018.xlsx]Bal Sheet - Standardized!R26C31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6" s="3"/>
      </tp>
      <tp>
        <v>9716</v>
        <stp/>
        <stp>##V3_BDHV12</stp>
        <stp>AMZN US Equity</stp>
        <stp>BS_TOT_NON_CUR_ASSET</stp>
        <stp>FQ3 2012</stp>
        <stp>FQ3 2012</stp>
        <stp>[AMZ_2009-2018.xlsx]Bal Sheet - Standardized!R34C17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4" s="3"/>
      </tp>
      <tp>
        <v>0</v>
        <stp/>
        <stp>##V3_BDHV12</stp>
        <stp>AMZN US Equity</stp>
        <stp>BS_LT_INVEST</stp>
        <stp>FQ4 2011</stp>
        <stp>FQ4 2011</stp>
        <stp>[AMZ_2009-2018.xlsx]Bal Sheet - Standardized!R26C14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6" s="3"/>
      </tp>
      <tp>
        <v>103601</v>
        <stp/>
        <stp>##V3_BDHV12</stp>
        <stp>AMZN US Equity</stp>
        <stp>BS_TOT_LIAB2</stp>
        <stp>FQ4 2017</stp>
        <stp>FQ4 2017</stp>
        <stp>[AMZ_2009-2018.xlsx]Bal Sheet - Standardized!R63C38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3" s="3"/>
      </tp>
      <tp>
        <v>0</v>
        <stp/>
        <stp>##V3_BDHV12</stp>
        <stp>AMZN US Equity</stp>
        <stp>BS_LT_INVEST</stp>
        <stp>FQ2 2014</stp>
        <stp>FQ2 2014</stp>
        <stp>[AMZ_2009-2018.xlsx]Bal Sheet - Standardized!R26C24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6" s="3"/>
      </tp>
      <tp>
        <v>71113</v>
        <stp/>
        <stp>##V3_BDHV12</stp>
        <stp>AMZN US Equity</stp>
        <stp>BS_TOT_NON_CUR_ASSET</stp>
        <stp>FQ4 2017</stp>
        <stp>FQ4 2017</stp>
        <stp>[AMZ_2009-2018.xlsx]Bal Sheet - Standardized!R34C38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4" s="3"/>
      </tp>
      <tp>
        <v>13813</v>
        <stp/>
        <stp>##V3_BDHV12</stp>
        <stp>AMZN US Equity</stp>
        <stp>BS_TOT_ASSET</stp>
        <stp>FQ4 2009</stp>
        <stp>FQ4 2009</stp>
        <stp>[AMZ_2009-2018.xlsx]Bal Sheet - Standardized!R35C6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5" s="3"/>
      </tp>
      <tp>
        <v>15281</v>
        <stp/>
        <stp>##V3_BDHV12</stp>
        <stp>AMZN US Equity</stp>
        <stp>BS_TOT_LIAB2</stp>
        <stp>FQ3 2012</stp>
        <stp>FQ3 2012</stp>
        <stp>[AMZ_2009-2018.xlsx]Bal Sheet - Standardized!R63C17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3" s="3"/>
      </tp>
      <tp>
        <v>0</v>
        <stp/>
        <stp>##V3_BDHV12</stp>
        <stp>AMZN US Equity</stp>
        <stp>BS_LT_INVEST</stp>
        <stp>FQ3 2015</stp>
        <stp>FQ3 2015</stp>
        <stp>[AMZ_2009-2018.xlsx]Bal Sheet - Standardized!R26C29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6" s="3"/>
      </tp>
      <tp t="s">
        <v>—</v>
        <stp/>
        <stp>##V3_BDHV12</stp>
        <stp>AMZN US Equity</stp>
        <stp>LT_CAPITAL_LEASE_OBLIGATIONS</stp>
        <stp>FQ1 2010</stp>
        <stp>FQ1 2010</stp>
        <stp>[AMZ_2009-2018.xlsx]Bal Sheet - Standardized!R54C7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4" s="3"/>
      </tp>
      <tp>
        <v>0</v>
        <stp/>
        <stp>##V3_BDHV12</stp>
        <stp>AMZN US Equity</stp>
        <stp>BS_LT_BORROW</stp>
        <stp>FQ3 2012</stp>
        <stp>FQ3 2012</stp>
        <stp>[AMZ_2009-2018.xlsx]Bal Sheet - Standardized!R52C17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2" s="3"/>
      </tp>
      <tp>
        <v>0</v>
        <stp/>
        <stp>##V3_BDHV12</stp>
        <stp>AMZN US Equity</stp>
        <stp>BS_ST_BORROW</stp>
        <stp>FQ3 2012</stp>
        <stp>FQ3 2012</stp>
        <stp>[AMZ_2009-2018.xlsx]Bal Sheet - Standardized!R43C17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3" s="3"/>
      </tp>
      <tp>
        <v>318</v>
        <stp/>
        <stp>##V3_BDHV12</stp>
        <stp>AMZN US Equity</stp>
        <stp>IS_GENERAL_AND_ADMINISTRATIVE</stp>
        <stp>FQ4 2013</stp>
        <stp>FQ4 2013</stp>
        <stp>[AMZ_2009-2018.xlsx]Income - Adjusted!R15C22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5" s="2"/>
      </tp>
      <tp t="s">
        <v>—</v>
        <stp/>
        <stp>##V3_BDHV12</stp>
        <stp>AMZN US Equity</stp>
        <stp>ST_CAPITAL_LEASE_OBLIGATIONS</stp>
        <stp>FQ1 2010</stp>
        <stp>FQ1 2010</stp>
        <stp>[AMZ_2009-2018.xlsx]Bal Sheet - Standardized!R45C7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5" s="3"/>
      </tp>
      <tp>
        <v>16760</v>
        <stp/>
        <stp>##V3_BDHV12</stp>
        <stp>AMZN US Equity</stp>
        <stp>NON_CUR_LIAB</stp>
        <stp>FQ2 2015</stp>
        <stp>FQ2 2015</stp>
        <stp>[AMZ_2009-2018.xlsx]Bal Sheet - Standardized!R62C28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2" s="3"/>
      </tp>
      <tp>
        <v>166</v>
        <stp/>
        <stp>##V3_BDHV12</stp>
        <stp>AMZN US Equity</stp>
        <stp>IS_GENERAL_AND_ADMINISTRATIVE</stp>
        <stp>FQ2 2011</stp>
        <stp>FQ2 2011</stp>
        <stp>[AMZ_2009-2018.xlsx]Income - Adjusted!R15C12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5" s="2"/>
      </tp>
      <tp>
        <v>580</v>
        <stp/>
        <stp>##V3_BDHV12</stp>
        <stp>AMZN US Equity</stp>
        <stp>IS_GENERAL_AND_ADMINISTRATIVE</stp>
        <stp>FQ2 2016</stp>
        <stp>FQ2 2016</stp>
        <stp>[AMZ_2009-2018.xlsx]Income - Adjusted!R15C32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5" s="2"/>
      </tp>
      <tp>
        <v>7433</v>
        <stp/>
        <stp>##V3_BDHV12</stp>
        <stp>AMZN US Equity</stp>
        <stp>NON_CUR_LIAB</stp>
        <stp>FQ4 2013</stp>
        <stp>FQ4 2013</stp>
        <stp>[AMZ_2009-2018.xlsx]Bal Sheet - Standardized!R62C22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2" s="3"/>
      </tp>
      <tp>
        <v>9241</v>
        <stp/>
        <stp>##V3_BDHV12</stp>
        <stp>AMZN US Equity</stp>
        <stp>NON_CUR_LIAB</stp>
        <stp>FQ3 2014</stp>
        <stp>FQ3 2014</stp>
        <stp>[AMZ_2009-2018.xlsx]Bal Sheet - Standardized!R62C25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2" s="3"/>
      </tp>
      <tp>
        <v>37926</v>
        <stp/>
        <stp>##V3_BDHV12</stp>
        <stp>AMZN US Equity</stp>
        <stp>BS_LT_BORROW</stp>
        <stp>FQ4 2017</stp>
        <stp>FQ4 2017</stp>
        <stp>[AMZ_2009-2018.xlsx]Bal Sheet - Standardized!R52C38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2" s="3"/>
      </tp>
      <tp>
        <v>1561</v>
        <stp/>
        <stp>##V3_BDHV12</stp>
        <stp>AMZN US Equity</stp>
        <stp>NON_CUR_LIAB</stp>
        <stp>FQ4 2010</stp>
        <stp>FQ4 2010</stp>
        <stp>[AMZ_2009-2018.xlsx]Bal Sheet - Standardized!R62C10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2" s="3"/>
      </tp>
      <tp>
        <v>6221</v>
        <stp/>
        <stp>##V3_BDHV12</stp>
        <stp>AMZN US Equity</stp>
        <stp>BS_ST_BORROW</stp>
        <stp>FQ4 2017</stp>
        <stp>FQ4 2017</stp>
        <stp>[AMZ_2009-2018.xlsx]Bal Sheet - Standardized!R43C38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3" s="3"/>
      </tp>
      <tp>
        <v>21896</v>
        <stp/>
        <stp>##V3_BDHV12</stp>
        <stp>AMZN US Equity</stp>
        <stp>NON_CUR_LIAB</stp>
        <stp>FQ1 2017</stp>
        <stp>FQ1 2017</stp>
        <stp>[AMZ_2009-2018.xlsx]Bal Sheet - Standardized!R62C35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2" s="3"/>
      </tp>
      <tp>
        <v>16</v>
        <stp/>
        <stp>##V3_BDHV12</stp>
        <stp>AMZN US Equity</stp>
        <stp>BS_NUM_OF_TSY_SH</stp>
        <stp>FQ3 2009</stp>
        <stp>FQ3 2009</stp>
        <stp>[AMZ_2009-2018.xlsx]Bal Sheet - Standardized!R79C5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79" s="3"/>
      </tp>
      <tp>
        <v>16</v>
        <stp/>
        <stp>##V3_BDHV12</stp>
        <stp>AMZN US Equity</stp>
        <stp>BS_NUM_OF_TSY_SH</stp>
        <stp>FQ2 2009</stp>
        <stp>FQ2 2009</stp>
        <stp>[AMZ_2009-2018.xlsx]Bal Sheet - Standardized!R79C4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79" s="3"/>
      </tp>
      <tp>
        <v>0</v>
        <stp/>
        <stp>##V3_BDHV12</stp>
        <stp>AMZN US Equity</stp>
        <stp>CF_DISPOSAL_OF_FIXED_PROD_ASSETS</stp>
        <stp>FQ1 2009</stp>
        <stp>FQ1 2009</stp>
        <stp>[AMZ_2009-2018.xlsx]Cash Flow - Standardized!R24C3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4"/>
      </tp>
      <tp>
        <v>116</v>
        <stp/>
        <stp>##V3_BDHV12</stp>
        <stp>AMZN US Equity</stp>
        <stp>BS_CURR_RENTAL_EXPENSE</stp>
        <stp>FQ4 2011</stp>
        <stp>FQ4 2011</stp>
        <stp>[AMZ_2009-2018.xlsx]Income - Adjusted!R73C14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73" s="2"/>
      </tp>
      <tp t="s">
        <v>—</v>
        <stp/>
        <stp>##V3_BDHV12</stp>
        <stp>AMZN US Equity</stp>
        <stp>BS_CURR_RENTAL_EXPENSE</stp>
        <stp>FQ3 2011</stp>
        <stp>FQ3 2011</stp>
        <stp>[AMZ_2009-2018.xlsx]Income - Adjusted!R73C13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73" s="2"/>
      </tp>
      <tp>
        <v>26</v>
        <stp/>
        <stp>##V3_BDHV12</stp>
        <stp>AMZN US Equity</stp>
        <stp>OTHER_NON_CASH_ADJ_LESS_DETAILED</stp>
        <stp>FQ4 2009</stp>
        <stp>FQ4 2009</stp>
        <stp>[AMZ_2009-2018.xlsx]Cash Flow - Standardized!R12C6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2" s="4"/>
      </tp>
      <tp>
        <v>85</v>
        <stp/>
        <stp>##V3_BDHV12</stp>
        <stp>AMZN US Equity</stp>
        <stp>BS_CURR_RENTAL_EXPENSE</stp>
        <stp>FQ2 2011</stp>
        <stp>FQ2 2011</stp>
        <stp>[AMZ_2009-2018.xlsx]Income - Adjusted!R73C12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73" s="2"/>
      </tp>
      <tp>
        <v>74</v>
        <stp/>
        <stp>##V3_BDHV12</stp>
        <stp>AMZN US Equity</stp>
        <stp>BS_CURR_RENTAL_EXPENSE</stp>
        <stp>FQ1 2011</stp>
        <stp>FQ1 2011</stp>
        <stp>[AMZ_2009-2018.xlsx]Income - Adjusted!R73C11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73" s="2"/>
      </tp>
      <tp>
        <v>0</v>
        <stp/>
        <stp>##V3_BDHV12</stp>
        <stp>AMZN US Equity</stp>
        <stp>CF_CASH_FOR_JOINT_VENTURES_ASSOC</stp>
        <stp>FQ1 2010</stp>
        <stp>FQ1 2010</stp>
        <stp>[AMZ_2009-2018.xlsx]Cash Flow - Standardized!R35C7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5" s="4"/>
      </tp>
      <tp>
        <v>0</v>
        <stp/>
        <stp>##V3_BDHV12</stp>
        <stp>AMZN US Equity</stp>
        <stp>CF_NET_CASH_DISCONTINUED_OPS_INV</stp>
        <stp>FQ1 2009</stp>
        <stp>FQ1 2009</stp>
        <stp>[AMZ_2009-2018.xlsx]Cash Flow - Standardized!R37C3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4"/>
      </tp>
      <tp t="s">
        <v>—</v>
        <stp/>
        <stp>##V3_BDHV12</stp>
        <stp>AMZN US Equity</stp>
        <stp>IS_LEGAL_LITIGATION_SETTLEMENT</stp>
        <stp>FQ4 2016</stp>
        <stp>FQ4 2016</stp>
        <stp>[AMZ_2009-2018.xlsx]Income - Adjusted!R28C34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8" s="2"/>
      </tp>
      <tp t="s">
        <v>—</v>
        <stp/>
        <stp>##V3_BDHV12</stp>
        <stp>AMZN US Equity</stp>
        <stp>IS_LEGAL_LITIGATION_SETTLEMENT</stp>
        <stp>FQ3 2016</stp>
        <stp>FQ3 2016</stp>
        <stp>[AMZ_2009-2018.xlsx]Income - Adjusted!R28C33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8" s="2"/>
      </tp>
      <tp t="s">
        <v>—</v>
        <stp/>
        <stp>##V3_BDHV12</stp>
        <stp>AMZN US Equity</stp>
        <stp>IS_LEGAL_LITIGATION_SETTLEMENT</stp>
        <stp>FQ2 2016</stp>
        <stp>FQ2 2016</stp>
        <stp>[AMZ_2009-2018.xlsx]Income - Adjusted!R28C32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8" s="2"/>
      </tp>
      <tp t="s">
        <v>—</v>
        <stp/>
        <stp>##V3_BDHV12</stp>
        <stp>AMZN US Equity</stp>
        <stp>IS_LEGAL_LITIGATION_SETTLEMENT</stp>
        <stp>FQ1 2016</stp>
        <stp>FQ1 2016</stp>
        <stp>[AMZ_2009-2018.xlsx]Income - Adjusted!R28C31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8" s="2"/>
      </tp>
      <tp>
        <v>-19</v>
        <stp/>
        <stp>##V3_BDHV12</stp>
        <stp>AMZN US Equity</stp>
        <stp>CF_CASH_FOR_ACQUIS_SUBSIDIARIES</stp>
        <stp>FQ2 2009</stp>
        <stp>FQ2 2009</stp>
        <stp>[AMZ_2009-2018.xlsx]Cash Flow - Standardized!R34C4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4" s="4"/>
      </tp>
      <tp>
        <v>-42</v>
        <stp/>
        <stp>##V3_BDHV12</stp>
        <stp>AMZN US Equity</stp>
        <stp>CF_CASH_FOR_ACQUIS_SUBSIDIARIES</stp>
        <stp>FQ3 2010</stp>
        <stp>FQ3 2010</stp>
        <stp>[AMZ_2009-2018.xlsx]Cash Flow - Standardized!R34C9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4" s="4"/>
      </tp>
      <tp>
        <v>3</v>
        <stp/>
        <stp>##V3_BDHV12</stp>
        <stp>AMZN US Equity</stp>
        <stp>CF_PROC_LT_DEBT_&amp;_CAPITAL_LEASE</stp>
        <stp>FQ1 2009</stp>
        <stp>FQ1 2009</stp>
        <stp>[AMZ_2009-2018.xlsx]Cash Flow - Standardized!R44C3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4" s="4"/>
      </tp>
      <tp>
        <v>1.5804</v>
        <stp/>
        <stp>##V3_BDHV12</stp>
        <stp>AMZN US Equity</stp>
        <stp>IS_BASIC_EPS_CONT_OPS</stp>
        <stp>FQ4 2016</stp>
        <stp>FQ4 2016</stp>
        <stp>[AMZ_2009-2018.xlsx]Income - Adjusted!R52C34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52" s="2"/>
      </tp>
      <tp>
        <v>0.39</v>
        <stp/>
        <stp>##V3_BDHV12</stp>
        <stp>AMZN US Equity</stp>
        <stp>IS_BASIC_EPS_CONT_OPS</stp>
        <stp>FQ4 2011</stp>
        <stp>FQ4 2011</stp>
        <stp>[AMZ_2009-2018.xlsx]Income - Adjusted!R52C14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52" s="2"/>
      </tp>
      <tp>
        <v>496</v>
        <stp/>
        <stp>##V3_BDHV12</stp>
        <stp>AMZN US Equity</stp>
        <stp>IS_SH_FOR_DILUTED_EPS</stp>
        <stp>FQ4 2017</stp>
        <stp>FQ4 2017</stp>
        <stp>[AMZ_2009-2018.xlsx]Income - Adjusted!R54C38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54" s="2"/>
      </tp>
      <tp>
        <v>461</v>
        <stp/>
        <stp>##V3_BDHV12</stp>
        <stp>AMZN US Equity</stp>
        <stp>IS_SH_FOR_DILUTED_EPS</stp>
        <stp>FQ4 2012</stp>
        <stp>FQ4 2012</stp>
        <stp>[AMZ_2009-2018.xlsx]Income - Adjusted!R54C18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54" s="2"/>
      </tp>
      <tp>
        <v>-0.27</v>
        <stp/>
        <stp>##V3_BDHV12</stp>
        <stp>AMZN US Equity</stp>
        <stp>IS_BASIC_EPS_CONT_OPS</stp>
        <stp>FQ2 2014</stp>
        <stp>FQ2 2014</stp>
        <stp>[AMZ_2009-2018.xlsx]Income - Adjusted!R52C24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52" s="2"/>
      </tp>
      <tp>
        <v>476</v>
        <stp/>
        <stp>##V3_BDHV12</stp>
        <stp>AMZN US Equity</stp>
        <stp>IS_SH_FOR_DILUTED_EPS</stp>
        <stp>FQ2 2015</stp>
        <stp>FQ2 2015</stp>
        <stp>[AMZ_2009-2018.xlsx]Income - Adjusted!R54C28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54" s="2"/>
      </tp>
      <tp>
        <v>3518</v>
        <stp/>
        <stp>##V3_BDHV12</stp>
        <stp>AMZN US Equity</stp>
        <stp>IS_COG_AND_SERVICES_SOLD</stp>
        <stp>FQ2 2009</stp>
        <stp>FQ2 2009</stp>
        <stp>[AMZ_2009-2018.xlsx]Income - Adjusted!R9C4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9" s="2"/>
      </tp>
      <tp>
        <v>4176</v>
        <stp/>
        <stp>##V3_BDHV12</stp>
        <stp>AMZN US Equity</stp>
        <stp>IS_COG_AND_SERVICES_SOLD</stp>
        <stp>FQ3 2009</stp>
        <stp>FQ3 2009</stp>
        <stp>[AMZ_2009-2018.xlsx]Income - Adjusted!R9C5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9" s="2"/>
      </tp>
      <tp t="s">
        <v>—</v>
        <stp/>
        <stp>##V3_BDHV12</stp>
        <stp>AMZN US Equity</stp>
        <stp>BS_CASH_HELD_OVERSEAS</stp>
        <stp>FQ1 2012</stp>
        <stp>FQ1 2012</stp>
        <stp>[AMZ_2009-2018.xlsx]Bal Sheet - Standardized!R88C15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88" s="3"/>
      </tp>
      <tp>
        <v>5800</v>
        <stp/>
        <stp>##V3_BDHV12</stp>
        <stp>AMZN US Equity</stp>
        <stp>BS_CASH_HELD_OVERSEAS</stp>
        <stp>FQ4 2015</stp>
        <stp>FQ4 2015</stp>
        <stp>[AMZ_2009-2018.xlsx]Bal Sheet - Standardized!R88C30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88" s="3"/>
      </tp>
      <tp>
        <v>24638</v>
        <stp/>
        <stp>##V3_BDHV12</stp>
        <stp>AMZN US Equity</stp>
        <stp>LONG_TERM_BORROWINGS_DETAILED</stp>
        <stp>FQ2 2018</stp>
        <stp>FQ2 2018</stp>
        <stp>[AMZ_2009-2018.xlsx]Bal Sheet - Standardized!R53C40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3" s="3"/>
      </tp>
      <tp t="s">
        <v>—</v>
        <stp/>
        <stp>##V3_BDHV12</stp>
        <stp>AMZN US Equity</stp>
        <stp>BS_CASH_HELD_OVERSEAS</stp>
        <stp>FQ3 2013</stp>
        <stp>FQ3 2013</stp>
        <stp>[AMZ_2009-2018.xlsx]Bal Sheet - Standardized!R88C21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88" s="3"/>
      </tp>
      <tp>
        <v>4600</v>
        <stp/>
        <stp>##V3_BDHV12</stp>
        <stp>AMZN US Equity</stp>
        <stp>BS_CASH_HELD_OVERSEAS</stp>
        <stp>FQ4 2014</stp>
        <stp>FQ4 2014</stp>
        <stp>[AMZ_2009-2018.xlsx]Bal Sheet - Standardized!R88C26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88" s="3"/>
      </tp>
      <tp t="s">
        <v>—</v>
        <stp/>
        <stp>##V3_BDHV12</stp>
        <stp>AMZN US Equity</stp>
        <stp>BS_CASH_HELD_OVERSEAS</stp>
        <stp>FQ2 2011</stp>
        <stp>FQ2 2011</stp>
        <stp>[AMZ_2009-2018.xlsx]Bal Sheet - Standardized!R88C12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88" s="3"/>
      </tp>
      <tp>
        <v>23</v>
        <stp/>
        <stp>##V3_BDHV12</stp>
        <stp>AMZN US Equity</stp>
        <stp>BS_NUM_OF_TSY_SH</stp>
        <stp>FQ4 2017</stp>
        <stp>FQ4 2017</stp>
        <stp>[AMZ_2009-2018.xlsx]Bal Sheet - Standardized!R79C38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79" s="3"/>
      </tp>
      <tp>
        <v>233</v>
        <stp/>
        <stp>##V3_BDHV12</stp>
        <stp>AMZN US Equity</stp>
        <stp>IS_NONOP_INCOME_LOSS</stp>
        <stp>FQ1 2015</stp>
        <stp>FQ1 2015</stp>
        <stp>[AMZ_2009-2018.xlsx]Income - Adjusted!R19C27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9" s="2"/>
      </tp>
      <tp>
        <v>0</v>
        <stp/>
        <stp>##V3_BDHV12</stp>
        <stp>AMZN US Equity</stp>
        <stp>IS_ABNORMAL_ITEM</stp>
        <stp>FQ1 2011</stp>
        <stp>FQ1 2011</stp>
        <stp>[AMZ_2009-2018.xlsx]Income - Adjusted!R26C11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6" s="2"/>
      </tp>
      <tp>
        <v>-151</v>
        <stp/>
        <stp>##V3_BDHV12</stp>
        <stp>AMZN US Equity</stp>
        <stp>IS_NONOP_INCOME_LOSS</stp>
        <stp>FQ3 2012</stp>
        <stp>FQ3 2012</stp>
        <stp>[AMZ_2009-2018.xlsx]Income - Adjusted!R19C17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9" s="2"/>
      </tp>
      <tp>
        <v>31</v>
        <stp/>
        <stp>##V3_BDHV12</stp>
        <stp>AMZN US Equity</stp>
        <stp>IS_NONOP_INCOME_LOSS</stp>
        <stp>FQ3 2017</stp>
        <stp>FQ3 2017</stp>
        <stp>[AMZ_2009-2018.xlsx]Income - Adjusted!R19C37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9" s="2"/>
      </tp>
      <tp>
        <v>0</v>
        <stp/>
        <stp>##V3_BDHV12</stp>
        <stp>AMZN US Equity</stp>
        <stp>IS_ABNORMAL_ITEM</stp>
        <stp>FQ3 2011</stp>
        <stp>FQ3 2011</stp>
        <stp>[AMZ_2009-2018.xlsx]Income - Adjusted!R26C13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6" s="2"/>
      </tp>
      <tp>
        <v>-1</v>
        <stp/>
        <stp>##V3_BDHV12</stp>
        <stp>AMZN US Equity</stp>
        <stp>IS_ABNORMAL_ITEM</stp>
        <stp>FQ3 2009</stp>
        <stp>FQ3 2009</stp>
        <stp>[AMZ_2009-2018.xlsx]Income - Adjusted!R26C5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6" s="2"/>
      </tp>
      <tp>
        <v>0</v>
        <stp/>
        <stp>##V3_BDHV12</stp>
        <stp>AMZN US Equity</stp>
        <stp>IS_ABNORMAL_ITEM</stp>
        <stp>FQ2 2011</stp>
        <stp>FQ2 2011</stp>
        <stp>[AMZ_2009-2018.xlsx]Income - Adjusted!R26C12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6" s="2"/>
      </tp>
      <tp>
        <v>0</v>
        <stp/>
        <stp>##V3_BDHV12</stp>
        <stp>AMZN US Equity</stp>
        <stp>IS_ABNORMAL_ITEM</stp>
        <stp>FQ4 2011</stp>
        <stp>FQ4 2011</stp>
        <stp>[AMZ_2009-2018.xlsx]Income - Adjusted!R26C14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6" s="2"/>
      </tp>
      <tp>
        <v>7364</v>
        <stp/>
        <stp>##V3_BDHV12</stp>
        <stp>AMZN US Equity</stp>
        <stp>BS_CUR_LIAB</stp>
        <stp>FQ4 2009</stp>
        <stp>FQ4 2009</stp>
        <stp>[AMZ_2009-2018.xlsx]Bal Sheet - Standardized!R51C6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1" s="3"/>
      </tp>
      <tp>
        <v>1071</v>
        <stp/>
        <stp>##V3_BDHV12</stp>
        <stp>AMZN US Equity</stp>
        <stp>EBIT</stp>
        <stp>FQ1 2016</stp>
        <stp>FQ1 2016</stp>
        <stp>[AMZ_2009-2018.xlsx]Income - Adjusted!R64C31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64" s="2"/>
      </tp>
      <tp>
        <v>322</v>
        <stp/>
        <stp>##V3_BDHV12</stp>
        <stp>AMZN US Equity</stp>
        <stp>EBIT</stp>
        <stp>FQ1 2011</stp>
        <stp>FQ1 2011</stp>
        <stp>[AMZ_2009-2018.xlsx]Income - Adjusted!R64C11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64" s="2"/>
      </tp>
      <tp>
        <v>14</v>
        <stp/>
        <stp>##V3_BDHV12</stp>
        <stp>AMZN US Equity</stp>
        <stp>CF_NET_CASH_PAID_FOR_AQUIS</stp>
        <stp>FQ2 2016</stp>
        <stp>FQ2 2016</stp>
        <stp>[AMZ_2009-2018.xlsx]Cash Flow - Standardized!R63C32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3" s="4"/>
      </tp>
      <tp>
        <v>0</v>
        <stp/>
        <stp>##V3_BDHV12</stp>
        <stp>AMZN US Equity</stp>
        <stp>CF_NET_CASH_PAID_FOR_AQUIS</stp>
        <stp>FQ1 2014</stp>
        <stp>FQ1 2014</stp>
        <stp>[AMZ_2009-2018.xlsx]Cash Flow - Standardized!R63C23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3" s="4"/>
      </tp>
      <tp>
        <v>-25</v>
        <stp/>
        <stp>##V3_BDHV12</stp>
        <stp>AMZN US Equity</stp>
        <stp>EBIT</stp>
        <stp>FQ3 2013</stp>
        <stp>FQ3 2013</stp>
        <stp>[AMZ_2009-2018.xlsx]Income - Adjusted!R64C21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64" s="2"/>
      </tp>
      <tp>
        <v>13213</v>
        <stp/>
        <stp>##V3_BDHV12</stp>
        <stp>AMZN US Equity</stp>
        <stp>CF_NET_CASH_PAID_FOR_AQUIS</stp>
        <stp>FQ3 2017</stp>
        <stp>FQ3 2017</stp>
        <stp>[AMZ_2009-2018.xlsx]Cash Flow - Standardized!R63C37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3" s="4"/>
      </tp>
      <tp>
        <v>3.36</v>
        <stp/>
        <stp>##V3_BDHV12</stp>
        <stp>AMZN US Equity</stp>
        <stp>IS_EPS</stp>
        <stp>FQ1 2018</stp>
        <stp>FQ1 2018</stp>
        <stp>[AMZ_2009-2018.xlsx]Per Share!R14C39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14" s="5"/>
      </tp>
      <tp>
        <v>1.52</v>
        <stp/>
        <stp>##V3_BDHV12</stp>
        <stp>AMZN US Equity</stp>
        <stp>IS_EPS</stp>
        <stp>FQ1 2017</stp>
        <stp>FQ1 2017</stp>
        <stp>[AMZ_2009-2018.xlsx]Per Share!R14C35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14" s="5"/>
      </tp>
      <tp>
        <v>1.0900000000000001</v>
        <stp/>
        <stp>##V3_BDHV12</stp>
        <stp>AMZN US Equity</stp>
        <stp>IS_EPS</stp>
        <stp>FQ1 2016</stp>
        <stp>FQ1 2016</stp>
        <stp>[AMZ_2009-2018.xlsx]Per Share!R14C31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14" s="5"/>
      </tp>
      <tp>
        <v>-0.12</v>
        <stp/>
        <stp>##V3_BDHV12</stp>
        <stp>AMZN US Equity</stp>
        <stp>IS_EPS</stp>
        <stp>FQ1 2015</stp>
        <stp>FQ1 2015</stp>
        <stp>[AMZ_2009-2018.xlsx]Per Share!R14C27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14" s="5"/>
      </tp>
      <tp>
        <v>0.23</v>
        <stp/>
        <stp>##V3_BDHV12</stp>
        <stp>AMZN US Equity</stp>
        <stp>IS_EPS</stp>
        <stp>FQ1 2014</stp>
        <stp>FQ1 2014</stp>
        <stp>[AMZ_2009-2018.xlsx]Per Share!R14C23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14" s="5"/>
      </tp>
      <tp>
        <v>0.18</v>
        <stp/>
        <stp>##V3_BDHV12</stp>
        <stp>AMZN US Equity</stp>
        <stp>IS_EPS</stp>
        <stp>FQ1 2013</stp>
        <stp>FQ1 2013</stp>
        <stp>[AMZ_2009-2018.xlsx]Per Share!R14C19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14" s="5"/>
      </tp>
      <tp>
        <v>0.28999999999999998</v>
        <stp/>
        <stp>##V3_BDHV12</stp>
        <stp>AMZN US Equity</stp>
        <stp>IS_EPS</stp>
        <stp>FQ1 2012</stp>
        <stp>FQ1 2012</stp>
        <stp>[AMZ_2009-2018.xlsx]Per Share!R14C15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14" s="5"/>
      </tp>
      <tp>
        <v>0.44</v>
        <stp/>
        <stp>##V3_BDHV12</stp>
        <stp>AMZN US Equity</stp>
        <stp>IS_EPS</stp>
        <stp>FQ1 2011</stp>
        <stp>FQ1 2011</stp>
        <stp>[AMZ_2009-2018.xlsx]Per Share!R14C11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14" s="5"/>
      </tp>
      <tp>
        <v>35</v>
        <stp/>
        <stp>##V3_BDHV12</stp>
        <stp>AMZN US Equity</stp>
        <stp>CF_NET_CASH_PAID_FOR_AQUIS</stp>
        <stp>FQ4 2012</stp>
        <stp>FQ4 2012</stp>
        <stp>[AMZ_2009-2018.xlsx]Cash Flow - Standardized!R63C18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3" s="4"/>
      </tp>
      <tp>
        <v>619</v>
        <stp/>
        <stp>##V3_BDHV12</stp>
        <stp>AMZN US Equity</stp>
        <stp>EBITDA</stp>
        <stp>FQ4 2011</stp>
        <stp>FQ4 2011</stp>
        <stp>[AMZ_2009-2018.xlsx]Income - Adjusted!R61C14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61" s="2"/>
      </tp>
      <tp>
        <v>3552</v>
        <stp/>
        <stp>##V3_BDHV12</stp>
        <stp>AMZN US Equity</stp>
        <stp>EBITDA</stp>
        <stp>FQ4 2016</stp>
        <stp>FQ4 2016</stp>
        <stp>[AMZ_2009-2018.xlsx]Income - Adjusted!R61C34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61" s="2"/>
      </tp>
      <tp>
        <v>1.0858000000000001</v>
        <stp/>
        <stp>##V3_BDHV12</stp>
        <stp>AMZN US Equity</stp>
        <stp>CASH_FLOW_PER_SH</stp>
        <stp>FQ2 2009</stp>
        <stp>FQ2 2009</stp>
        <stp>[AMZ_2009-2018.xlsx]Per Share!R22C4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22" s="5"/>
      </tp>
      <tp>
        <v>1094</v>
        <stp/>
        <stp>##V3_BDHV12</stp>
        <stp>AMZN US Equity</stp>
        <stp>EBITDA</stp>
        <stp>FQ2 2014</stp>
        <stp>FQ2 2014</stp>
        <stp>[AMZ_2009-2018.xlsx]Income - Adjusted!R61C24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61" s="2"/>
      </tp>
      <tp>
        <v>16135</v>
        <stp/>
        <stp>##V3_BDHV12</stp>
        <stp>AMZN US Equity</stp>
        <stp>BS_CUR_LIAB</stp>
        <stp>FQ3 2013</stp>
        <stp>FQ3 2013</stp>
        <stp>[AMZ_2009-2018.xlsx]Bal Sheet - Standardized!R51C21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1" s="3"/>
      </tp>
      <tp>
        <v>28089</v>
        <stp/>
        <stp>##V3_BDHV12</stp>
        <stp>AMZN US Equity</stp>
        <stp>BS_CUR_LIAB</stp>
        <stp>FQ4 2014</stp>
        <stp>FQ4 2014</stp>
        <stp>[AMZ_2009-2018.xlsx]Bal Sheet - Standardized!R51C26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1" s="3"/>
      </tp>
      <tp>
        <v>8045</v>
        <stp/>
        <stp>##V3_BDHV12</stp>
        <stp>AMZN US Equity</stp>
        <stp>BS_CUR_LIAB</stp>
        <stp>FQ2 2011</stp>
        <stp>FQ2 2011</stp>
        <stp>[AMZ_2009-2018.xlsx]Bal Sheet - Standardized!R51C12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1" s="3"/>
      </tp>
      <tp>
        <v>33887</v>
        <stp/>
        <stp>##V3_BDHV12</stp>
        <stp>AMZN US Equity</stp>
        <stp>BS_CUR_LIAB</stp>
        <stp>FQ4 2015</stp>
        <stp>FQ4 2015</stp>
        <stp>[AMZ_2009-2018.xlsx]Bal Sheet - Standardized!R51C30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1" s="3"/>
      </tp>
      <tp>
        <v>108</v>
        <stp/>
        <stp>##V3_BDHV12</stp>
        <stp>AMZN US Equity</stp>
        <stp>NET_INCOME</stp>
        <stp>FQ1 2014</stp>
        <stp>FQ1 2014</stp>
        <stp>[AMZ_2009-2018.xlsx]Income - Adjusted!R40C23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40" s="2"/>
      </tp>
      <tp>
        <v>10488</v>
        <stp/>
        <stp>##V3_BDHV12</stp>
        <stp>AMZN US Equity</stp>
        <stp>BS_CUR_LIAB</stp>
        <stp>FQ1 2012</stp>
        <stp>FQ1 2012</stp>
        <stp>[AMZ_2009-2018.xlsx]Bal Sheet - Standardized!R51C15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1" s="3"/>
      </tp>
      <tp>
        <v>252</v>
        <stp/>
        <stp>##V3_BDHV12</stp>
        <stp>AMZN US Equity</stp>
        <stp>NET_INCOME</stp>
        <stp>FQ3 2016</stp>
        <stp>FQ3 2016</stp>
        <stp>[AMZ_2009-2018.xlsx]Income - Adjusted!R40C33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40" s="2"/>
      </tp>
      <tp>
        <v>63</v>
        <stp/>
        <stp>##V3_BDHV12</stp>
        <stp>AMZN US Equity</stp>
        <stp>NET_INCOME</stp>
        <stp>FQ3 2011</stp>
        <stp>FQ3 2011</stp>
        <stp>[AMZ_2009-2018.xlsx]Income - Adjusted!R40C13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40" s="2"/>
      </tp>
      <tp>
        <v>0</v>
        <stp/>
        <stp>##V3_BDHV12</stp>
        <stp>AMZN US Equity</stp>
        <stp>EQY_DPS</stp>
        <stp>FQ4 2013</stp>
        <stp>FQ4 2013</stp>
        <stp>[AMZ_2009-2018.xlsx]Income - Adjusted!R69C22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69" s="2"/>
      </tp>
      <tp>
        <v>52</v>
        <stp/>
        <stp>##V3_BDHV12</stp>
        <stp>AMZN US Equity</stp>
        <stp>CF_CASH_PAID_FOR_TAX</stp>
        <stp>FQ4 2012</stp>
        <stp>FQ4 2012</stp>
        <stp>[AMZ_2009-2018.xlsx]Cash Flow - Standardized!R57C18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7" s="4"/>
      </tp>
      <tp>
        <v>0</v>
        <stp/>
        <stp>##V3_BDHV12</stp>
        <stp>AMZN US Equity</stp>
        <stp>EQY_DPS</stp>
        <stp>FQ2 2011</stp>
        <stp>FQ2 2011</stp>
        <stp>[AMZ_2009-2018.xlsx]Income - Adjusted!R69C12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69" s="2"/>
      </tp>
      <tp>
        <v>0</v>
        <stp/>
        <stp>##V3_BDHV12</stp>
        <stp>AMZN US Equity</stp>
        <stp>EQY_DPS</stp>
        <stp>FQ2 2016</stp>
        <stp>FQ2 2016</stp>
        <stp>[AMZ_2009-2018.xlsx]Income - Adjusted!R69C32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69" s="2"/>
      </tp>
      <tp>
        <v>172</v>
        <stp/>
        <stp>##V3_BDHV12</stp>
        <stp>AMZN US Equity</stp>
        <stp>CF_CASH_PAID_FOR_TAX</stp>
        <stp>FQ3 2017</stp>
        <stp>FQ3 2017</stp>
        <stp>[AMZ_2009-2018.xlsx]Cash Flow - Standardized!R57C37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7" s="4"/>
      </tp>
      <tp>
        <v>88</v>
        <stp/>
        <stp>##V3_BDHV12</stp>
        <stp>AMZN US Equity</stp>
        <stp>CF_CASH_PAID_FOR_TAX</stp>
        <stp>FQ2 2016</stp>
        <stp>FQ2 2016</stp>
        <stp>[AMZ_2009-2018.xlsx]Cash Flow - Standardized!R57C32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7" s="4"/>
      </tp>
      <tp>
        <v>38</v>
        <stp/>
        <stp>##V3_BDHV12</stp>
        <stp>AMZN US Equity</stp>
        <stp>CF_CASH_PAID_FOR_TAX</stp>
        <stp>FQ1 2014</stp>
        <stp>FQ1 2014</stp>
        <stp>[AMZ_2009-2018.xlsx]Cash Flow - Standardized!R57C23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7" s="4"/>
      </tp>
      <tp>
        <v>473</v>
        <stp/>
        <stp>##V3_BDHV12</stp>
        <stp>AMZN US Equity</stp>
        <stp>IS_AVG_NUM_SH_FOR_EPS</stp>
        <stp>FQ2 2016</stp>
        <stp>FQ2 2016</stp>
        <stp>[AMZ_2009-2018.xlsx]Per Share!R8C32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8" s="5"/>
      </tp>
      <tp>
        <v>451</v>
        <stp/>
        <stp>##V3_BDHV12</stp>
        <stp>AMZN US Equity</stp>
        <stp>IS_AVG_NUM_SH_FOR_EPS</stp>
        <stp>FQ2 2012</stp>
        <stp>FQ2 2012</stp>
        <stp>[AMZ_2009-2018.xlsx]Per Share!R8C16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8" s="5"/>
      </tp>
      <tp>
        <v>3</v>
        <stp/>
        <stp>##V3_BDHV12</stp>
        <stp>AMZN US Equity</stp>
        <stp>CF_ACT_CASH_PAID_FOR_INT_DEBT</stp>
        <stp>FQ1 2011</stp>
        <stp>FQ1 2011</stp>
        <stp>[AMZ_2009-2018.xlsx]Cash Flow - Standardized!R58C11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8" s="4"/>
      </tp>
      <tp>
        <v>205</v>
        <stp/>
        <stp>##V3_BDHV12</stp>
        <stp>AMZN US Equity</stp>
        <stp>CF_ACT_CASH_PAID_FOR_INT_DEBT</stp>
        <stp>FQ4 2016</stp>
        <stp>FQ4 2016</stp>
        <stp>[AMZ_2009-2018.xlsx]Cash Flow - Standardized!R58C34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8" s="4"/>
      </tp>
      <tp>
        <v>8</v>
        <stp/>
        <stp>##V3_BDHV12</stp>
        <stp>AMZN US Equity</stp>
        <stp>CF_ACT_CASH_PAID_FOR_INT_DEBT</stp>
        <stp>FQ2 2012</stp>
        <stp>FQ2 2012</stp>
        <stp>[AMZ_2009-2018.xlsx]Cash Flow - Standardized!R58C16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8" s="4"/>
      </tp>
      <tp>
        <v>384</v>
        <stp/>
        <stp>##V3_BDHV12</stp>
        <stp>AMZN US Equity</stp>
        <stp>NI_INCLUDING_MINORITY_INT_RATIO</stp>
        <stp>FQ4 2009</stp>
        <stp>FQ4 2009</stp>
        <stp>[AMZ_2009-2018.xlsx]Income - Adjusted!R38C6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38" s="2"/>
      </tp>
      <tp>
        <v>0</v>
        <stp/>
        <stp>##V3_BDHV12</stp>
        <stp>AMZN US Equity</stp>
        <stp>BS_OTHER_CUR_ASSET_LESS_PREPAY</stp>
        <stp>FQ1 2009</stp>
        <stp>FQ1 2009</stp>
        <stp>[AMZ_2009-2018.xlsx]Bal Sheet - Standardized!R21C3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1" s="3"/>
      </tp>
      <tp>
        <v>-276</v>
        <stp/>
        <stp>##V3_BDHV12</stp>
        <stp>AMZN US Equity</stp>
        <stp>PROC_FR_REPURCH_EQTY_DETAILED</stp>
        <stp>FQ4 2011</stp>
        <stp>FQ4 2011</stp>
        <stp>[AMZ_2009-2018.xlsx]Cash Flow - Standardized!R46C14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6" s="4"/>
      </tp>
      <tp>
        <v>13.073700000000001</v>
        <stp/>
        <stp>##V3_BDHV12</stp>
        <stp>AMZN US Equity</stp>
        <stp>BOOK_VAL_PER_SH</stp>
        <stp>FQ2 2010</stp>
        <stp>FQ2 2010</stp>
        <stp>[AMZ_2009-2018.xlsx]Per Share!R26C8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26" s="5"/>
      </tp>
      <tp>
        <v>0</v>
        <stp/>
        <stp>##V3_BDHV12</stp>
        <stp>AMZN US Equity</stp>
        <stp>PROC_FR_REPURCH_EQTY_DETAILED</stp>
        <stp>FQ1 2016</stp>
        <stp>FQ1 2016</stp>
        <stp>[AMZ_2009-2018.xlsx]Cash Flow - Standardized!R46C31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6" s="4"/>
      </tp>
      <tp>
        <v>0</v>
        <stp/>
        <stp>##V3_BDHV12</stp>
        <stp>AMZN US Equity</stp>
        <stp>PROC_FR_REPURCH_EQTY_DETAILED</stp>
        <stp>FQ2 2014</stp>
        <stp>FQ2 2014</stp>
        <stp>[AMZ_2009-2018.xlsx]Cash Flow - Standardized!R46C24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6" s="4"/>
      </tp>
      <tp>
        <v>177</v>
        <stp/>
        <stp>##V3_BDHV12</stp>
        <stp>AMZN US Equity</stp>
        <stp>EARN_FOR_COMMON</stp>
        <stp>FQ1 2009</stp>
        <stp>FQ1 2009</stp>
        <stp>[AMZ_2009-2018.xlsx]Income - Adjusted!R43C3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3" s="2"/>
      </tp>
      <tp>
        <v>95</v>
        <stp/>
        <stp>##V3_BDHV12</stp>
        <stp>AMZN US Equity</stp>
        <stp>PROC_FR_REPURCH_EQTY_DETAILED</stp>
        <stp>FQ3 2015</stp>
        <stp>FQ3 2015</stp>
        <stp>[AMZ_2009-2018.xlsx]Cash Flow - Standardized!R46C29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6" s="4"/>
      </tp>
      <tp>
        <v>-3044</v>
        <stp/>
        <stp>##V3_BDHV12</stp>
        <stp>AMZN US Equity</stp>
        <stp>FREE_CASH_FLOW_EQUITY</stp>
        <stp>FQ1 2015</stp>
        <stp>FQ1 2015</stp>
        <stp>[AMZ_2009-2018.xlsx]Cash Flow - Standardized!R67C27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7" s="4"/>
      </tp>
      <tp>
        <v>75</v>
        <stp/>
        <stp>##V3_BDHV12</stp>
        <stp>AMZN US Equity</stp>
        <stp>FREE_CASH_FLOW_EQUITY</stp>
        <stp>FQ2 2017</stp>
        <stp>FQ2 2017</stp>
        <stp>[AMZ_2009-2018.xlsx]Cash Flow - Standardized!R67C36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7" s="4"/>
      </tp>
      <tp>
        <v>1818</v>
        <stp/>
        <stp>##V3_BDHV12</stp>
        <stp>AMZN US Equity</stp>
        <stp>FREE_CASH_FLOW_EQUITY</stp>
        <stp>FQ3 2016</stp>
        <stp>FQ3 2016</stp>
        <stp>[AMZ_2009-2018.xlsx]Cash Flow - Standardized!R67C33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7" s="4"/>
      </tp>
      <tp>
        <v>0</v>
        <stp/>
        <stp>##V3_BDHV12</stp>
        <stp>AMZN US Equity</stp>
        <stp>IS_ABNORMAL_ITEM</stp>
        <stp>FQ3 2013</stp>
        <stp>FQ3 2013</stp>
        <stp>[AMZ_2009-2018.xlsx]Income - Adjusted!R26C21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6" s="2"/>
      </tp>
      <tp>
        <v>0</v>
        <stp/>
        <stp>##V3_BDHV12</stp>
        <stp>AMZN US Equity</stp>
        <stp>IS_ABNORMAL_ITEM</stp>
        <stp>FQ2 2013</stp>
        <stp>FQ2 2013</stp>
        <stp>[AMZ_2009-2018.xlsx]Income - Adjusted!R26C20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6" s="2"/>
      </tp>
      <tp>
        <v>0</v>
        <stp/>
        <stp>##V3_BDHV12</stp>
        <stp>AMZN US Equity</stp>
        <stp>IS_ABNORMAL_ITEM</stp>
        <stp>FQ4 2010</stp>
        <stp>FQ4 2010</stp>
        <stp>[AMZ_2009-2018.xlsx]Income - Adjusted!R26C10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6" s="2"/>
      </tp>
      <tp>
        <v>49</v>
        <stp/>
        <stp>##V3_BDHV12</stp>
        <stp>AMZN US Equity</stp>
        <stp>IS_ABNORMAL_ITEM</stp>
        <stp>FQ2 2009</stp>
        <stp>FQ2 2009</stp>
        <stp>[AMZ_2009-2018.xlsx]Income - Adjusted!R26C4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6" s="2"/>
      </tp>
      <tp>
        <v>-39</v>
        <stp/>
        <stp>##V3_BDHV12</stp>
        <stp>AMZN US Equity</stp>
        <stp>IS_NONOP_INCOME_LOSS</stp>
        <stp>FQ2 2012</stp>
        <stp>FQ2 2012</stp>
        <stp>[AMZ_2009-2018.xlsx]Income - Adjusted!R19C16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9" s="2"/>
      </tp>
      <tp>
        <v>-38</v>
        <stp/>
        <stp>##V3_BDHV12</stp>
        <stp>AMZN US Equity</stp>
        <stp>IS_NONOP_INCOME_LOSS</stp>
        <stp>FQ2 2017</stp>
        <stp>FQ2 2017</stp>
        <stp>[AMZ_2009-2018.xlsx]Income - Adjusted!R19C36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9" s="2"/>
      </tp>
      <tp>
        <v>0</v>
        <stp/>
        <stp>##V3_BDHV12</stp>
        <stp>AMZN US Equity</stp>
        <stp>IS_ABNORMAL_ITEM</stp>
        <stp>FQ4 2013</stp>
        <stp>FQ4 2013</stp>
        <stp>[AMZ_2009-2018.xlsx]Income - Adjusted!R26C22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6" s="2"/>
      </tp>
      <tp>
        <v>162</v>
        <stp/>
        <stp>##V3_BDHV12</stp>
        <stp>AMZN US Equity</stp>
        <stp>IS_NONOP_INCOME_LOSS</stp>
        <stp>FQ4 2014</stp>
        <stp>FQ4 2014</stp>
        <stp>[AMZ_2009-2018.xlsx]Income - Adjusted!R19C26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9" s="2"/>
      </tp>
      <tp>
        <v>84</v>
        <stp/>
        <stp>##V3_BDHV12</stp>
        <stp>AMZN US Equity</stp>
        <stp>CF_NET_CASH_PAID_FOR_AQUIS</stp>
        <stp>FQ3 2016</stp>
        <stp>FQ3 2016</stp>
        <stp>[AMZ_2009-2018.xlsx]Cash Flow - Standardized!R63C33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3" s="4"/>
      </tp>
      <tp>
        <v>79</v>
        <stp/>
        <stp>##V3_BDHV12</stp>
        <stp>AMZN US Equity</stp>
        <stp>EBIT</stp>
        <stp>FQ2 2013</stp>
        <stp>FQ2 2013</stp>
        <stp>[AMZ_2009-2018.xlsx]Income - Adjusted!R64C20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64" s="2"/>
      </tp>
      <tp>
        <v>2983</v>
        <stp/>
        <stp>##V3_BDHV12</stp>
        <stp>AMZN US Equity</stp>
        <stp>EBIT</stp>
        <stp>FQ2 2018</stp>
        <stp>FQ2 2018</stp>
        <stp>[AMZ_2009-2018.xlsx]Income - Adjusted!R64C40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64" s="2"/>
      </tp>
      <tp>
        <v>633</v>
        <stp/>
        <stp>##V3_BDHV12</stp>
        <stp>AMZN US Equity</stp>
        <stp>CF_NET_CASH_PAID_FOR_AQUIS</stp>
        <stp>FQ2 2017</stp>
        <stp>FQ2 2017</stp>
        <stp>[AMZ_2009-2018.xlsx]Cash Flow - Standardized!R63C36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3" s="4"/>
      </tp>
      <tp>
        <v>474</v>
        <stp/>
        <stp>##V3_BDHV12</stp>
        <stp>AMZN US Equity</stp>
        <stp>EBIT</stp>
        <stp>FQ4 2010</stp>
        <stp>FQ4 2010</stp>
        <stp>[AMZ_2009-2018.xlsx]Income - Adjusted!R64C10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64" s="2"/>
      </tp>
      <tp>
        <v>1108</v>
        <stp/>
        <stp>##V3_BDHV12</stp>
        <stp>AMZN US Equity</stp>
        <stp>EBIT</stp>
        <stp>FQ4 2015</stp>
        <stp>FQ4 2015</stp>
        <stp>[AMZ_2009-2018.xlsx]Income - Adjusted!R64C30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64" s="2"/>
      </tp>
      <tp>
        <v>365</v>
        <stp/>
        <stp>##V3_BDHV12</stp>
        <stp>AMZN US Equity</stp>
        <stp>CF_NET_CASH_PAID_FOR_AQUIS</stp>
        <stp>FQ1 2015</stp>
        <stp>FQ1 2015</stp>
        <stp>[AMZ_2009-2018.xlsx]Cash Flow - Standardized!R63C27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3" s="4"/>
      </tp>
      <tp>
        <v>14332</v>
        <stp/>
        <stp>##V3_BDHV12</stp>
        <stp>AMZN US Equity</stp>
        <stp>BS_CUR_LIAB</stp>
        <stp>FQ1 2013</stp>
        <stp>FQ1 2013</stp>
        <stp>[AMZ_2009-2018.xlsx]Bal Sheet - Standardized!R51C19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1" s="3"/>
      </tp>
      <tp>
        <v>3440</v>
        <stp/>
        <stp>##V3_BDHV12</stp>
        <stp>AMZN US Equity</stp>
        <stp>EBITDA</stp>
        <stp>FQ1 2017</stp>
        <stp>FQ1 2017</stp>
        <stp>[AMZ_2009-2018.xlsx]Income - Adjusted!R61C35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61" s="2"/>
      </tp>
      <tp>
        <v>649</v>
        <stp/>
        <stp>##V3_BDHV12</stp>
        <stp>AMZN US Equity</stp>
        <stp>EBITDA</stp>
        <stp>FQ1 2012</stp>
        <stp>FQ1 2012</stp>
        <stp>[AMZ_2009-2018.xlsx]Income - Adjusted!R61C15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61" s="2"/>
      </tp>
      <tp>
        <v>873</v>
        <stp/>
        <stp>##V3_BDHV12</stp>
        <stp>AMZN US Equity</stp>
        <stp>EBITDA</stp>
        <stp>FQ3 2014</stp>
        <stp>FQ3 2014</stp>
        <stp>[AMZ_2009-2018.xlsx]Income - Adjusted!R61C25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61" s="2"/>
      </tp>
      <tp>
        <v>1.8494999999999999</v>
        <stp/>
        <stp>##V3_BDHV12</stp>
        <stp>AMZN US Equity</stp>
        <stp>CASH_FLOW_PER_SH</stp>
        <stp>FQ3 2009</stp>
        <stp>FQ3 2009</stp>
        <stp>[AMZ_2009-2018.xlsx]Per Share!R22C5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22" s="5"/>
      </tp>
      <tp>
        <v>239</v>
        <stp/>
        <stp>##V3_BDHV12</stp>
        <stp>AMZN US Equity</stp>
        <stp>NET_INCOME</stp>
        <stp>FQ4 2013</stp>
        <stp>FQ4 2013</stp>
        <stp>[AMZ_2009-2018.xlsx]Income - Adjusted!R40C22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40" s="2"/>
      </tp>
      <tp>
        <v>8978</v>
        <stp/>
        <stp>##V3_BDHV12</stp>
        <stp>AMZN US Equity</stp>
        <stp>BS_CUR_LIAB</stp>
        <stp>FQ3 2011</stp>
        <stp>FQ3 2011</stp>
        <stp>[AMZ_2009-2018.xlsx]Bal Sheet - Standardized!R51C13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1" s="3"/>
      </tp>
      <tp t="s">
        <v>—</v>
        <stp/>
        <stp>##V3_BDHV12</stp>
        <stp>AMZN US Equity</stp>
        <stp>PENSION_LIABILITIES</stp>
        <stp>FQ2 2018</stp>
        <stp>FQ2 2018</stp>
        <stp>[AMZ_2009-2018.xlsx]Bal Sheet - Standardized!R57C40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7" s="3"/>
      </tp>
      <tp>
        <v>14735</v>
        <stp/>
        <stp>##V3_BDHV12</stp>
        <stp>AMZN US Equity</stp>
        <stp>BS_CUR_LIAB</stp>
        <stp>FQ2 2013</stp>
        <stp>FQ2 2013</stp>
        <stp>[AMZ_2009-2018.xlsx]Bal Sheet - Standardized!R51C20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1" s="3"/>
      </tp>
      <tp>
        <v>857</v>
        <stp/>
        <stp>##V3_BDHV12</stp>
        <stp>AMZN US Equity</stp>
        <stp>NET_INCOME</stp>
        <stp>FQ2 2016</stp>
        <stp>FQ2 2016</stp>
        <stp>[AMZ_2009-2018.xlsx]Income - Adjusted!R40C32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40" s="2"/>
      </tp>
      <tp>
        <v>191</v>
        <stp/>
        <stp>##V3_BDHV12</stp>
        <stp>AMZN US Equity</stp>
        <stp>NET_INCOME</stp>
        <stp>FQ2 2011</stp>
        <stp>FQ2 2011</stp>
        <stp>[AMZ_2009-2018.xlsx]Income - Adjusted!R40C12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40" s="2"/>
      </tp>
      <tp>
        <v>0</v>
        <stp/>
        <stp>##V3_BDHV12</stp>
        <stp>AMZN US Equity</stp>
        <stp>EQY_DPS</stp>
        <stp>FQ1 2014</stp>
        <stp>FQ1 2014</stp>
        <stp>[AMZ_2009-2018.xlsx]Income - Adjusted!R69C23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69" s="2"/>
      </tp>
      <tp>
        <v>0</v>
        <stp/>
        <stp>##V3_BDHV12</stp>
        <stp>AMZN US Equity</stp>
        <stp>EQY_DPS</stp>
        <stp>FQ3 2011</stp>
        <stp>FQ3 2011</stp>
        <stp>[AMZ_2009-2018.xlsx]Income - Adjusted!R69C13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69" s="2"/>
      </tp>
      <tp>
        <v>0</v>
        <stp/>
        <stp>##V3_BDHV12</stp>
        <stp>AMZN US Equity</stp>
        <stp>EQY_DPS</stp>
        <stp>FQ3 2016</stp>
        <stp>FQ3 2016</stp>
        <stp>[AMZ_2009-2018.xlsx]Income - Adjusted!R69C33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69" s="2"/>
      </tp>
      <tp t="s">
        <v>—</v>
        <stp/>
        <stp>##V3_BDHV12</stp>
        <stp>AMZN US Equity</stp>
        <stp>IS_LEGAL_LITIGATION_SETTLEMENT</stp>
        <stp>FQ1 2009</stp>
        <stp>FQ1 2009</stp>
        <stp>[AMZ_2009-2018.xlsx]Income - Adjusted!R28C3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2"/>
      </tp>
      <tp>
        <v>447</v>
        <stp/>
        <stp>##V3_BDHV12</stp>
        <stp>AMZN US Equity</stp>
        <stp>CF_CASH_PAID_FOR_TAX</stp>
        <stp>FQ2 2017</stp>
        <stp>FQ2 2017</stp>
        <stp>[AMZ_2009-2018.xlsx]Cash Flow - Standardized!R57C36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7" s="4"/>
      </tp>
      <tp t="s">
        <v>—</v>
        <stp/>
        <stp>##V3_BDHV12</stp>
        <stp>AMZN US Equity</stp>
        <stp>INVTRY_FINISHED_GOODS</stp>
        <stp>FQ4 2009</stp>
        <stp>FQ4 2009</stp>
        <stp>[AMZ_2009-2018.xlsx]Bal Sheet - Standardized!R16C6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6" s="3"/>
      </tp>
      <tp>
        <v>55</v>
        <stp/>
        <stp>##V3_BDHV12</stp>
        <stp>AMZN US Equity</stp>
        <stp>CF_CASH_PAID_FOR_TAX</stp>
        <stp>FQ1 2015</stp>
        <stp>FQ1 2015</stp>
        <stp>[AMZ_2009-2018.xlsx]Cash Flow - Standardized!R57C27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7" s="4"/>
      </tp>
      <tp>
        <v>91</v>
        <stp/>
        <stp>##V3_BDHV12</stp>
        <stp>AMZN US Equity</stp>
        <stp>CF_CASH_PAID_FOR_TAX</stp>
        <stp>FQ3 2016</stp>
        <stp>FQ3 2016</stp>
        <stp>[AMZ_2009-2018.xlsx]Cash Flow - Standardized!R57C33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7" s="4"/>
      </tp>
      <tp>
        <v>-509</v>
        <stp/>
        <stp>##V3_BDHV12</stp>
        <stp>AMZN US Equity</stp>
        <stp>CF_ACCT_RCV_UNBILLED_REV</stp>
        <stp>FQ4 2009</stp>
        <stp>FQ4 2009</stp>
        <stp>[AMZ_2009-2018.xlsx]Cash Flow - Standardized!R14C6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4" s="4"/>
      </tp>
      <tp>
        <v>0</v>
        <stp/>
        <stp>##V3_BDHV12</stp>
        <stp>AMZN US Equity</stp>
        <stp>OTHER_ADJUSTMENTS</stp>
        <stp>FQ1 2010</stp>
        <stp>FQ1 2010</stp>
        <stp>[AMZ_2009-2018.xlsx]Income - Adjusted!R42C7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2" s="2"/>
      </tp>
      <tp>
        <v>455</v>
        <stp/>
        <stp>##V3_BDHV12</stp>
        <stp>AMZN US Equity</stp>
        <stp>IS_AVG_NUM_SH_FOR_EPS</stp>
        <stp>FQ4 2011</stp>
        <stp>FQ4 2011</stp>
        <stp>[AMZ_2009-2018.xlsx]Per Share!R8C14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8" s="5"/>
      </tp>
      <tp>
        <v>470</v>
        <stp/>
        <stp>##V3_BDHV12</stp>
        <stp>AMZN US Equity</stp>
        <stp>IS_AVG_NUM_SH_FOR_EPS</stp>
        <stp>FQ4 2015</stp>
        <stp>FQ4 2015</stp>
        <stp>[AMZ_2009-2018.xlsx]Per Share!R8C30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8" s="5"/>
      </tp>
      <tp>
        <v>474</v>
        <stp/>
        <stp>##V3_BDHV12</stp>
        <stp>AMZN US Equity</stp>
        <stp>IS_AVG_NUM_SH_FOR_EPS</stp>
        <stp>FQ3 2016</stp>
        <stp>FQ3 2016</stp>
        <stp>[AMZ_2009-2018.xlsx]Per Share!R8C33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8" s="5"/>
      </tp>
      <tp>
        <v>452</v>
        <stp/>
        <stp>##V3_BDHV12</stp>
        <stp>AMZN US Equity</stp>
        <stp>IS_AVG_NUM_SH_FOR_EPS</stp>
        <stp>FQ3 2012</stp>
        <stp>FQ3 2012</stp>
        <stp>[AMZ_2009-2018.xlsx]Per Share!R8C17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8" s="5"/>
      </tp>
      <tp t="s">
        <v>—</v>
        <stp/>
        <stp>##V3_BDHV12</stp>
        <stp>AMZN US Equity</stp>
        <stp>IS_OTHER_ONE_TIME_ITEMS</stp>
        <stp>FQ1 2018</stp>
        <stp>FQ1 2018</stp>
        <stp>[AMZ_2009-2018.xlsx]Income - Adjusted!R30C39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0" s="2"/>
      </tp>
      <tp>
        <v>0</v>
        <stp/>
        <stp>##V3_BDHV12</stp>
        <stp>AMZN US Equity</stp>
        <stp>BS_OTHER_CUR_ASSET_LESS_PREPAY</stp>
        <stp>FQ1 2010</stp>
        <stp>FQ1 2010</stp>
        <stp>[AMZ_2009-2018.xlsx]Bal Sheet - Standardized!R21C7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1" s="3"/>
      </tp>
      <tp>
        <v>258</v>
        <stp/>
        <stp>##V3_BDHV12</stp>
        <stp>AMZN US Equity</stp>
        <stp>CF_ACT_CASH_PAID_FOR_INT_DEBT</stp>
        <stp>FQ4 2017</stp>
        <stp>FQ4 2017</stp>
        <stp>[AMZ_2009-2018.xlsx]Cash Flow - Standardized!R58C38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8" s="4"/>
      </tp>
      <tp>
        <v>7</v>
        <stp/>
        <stp>##V3_BDHV12</stp>
        <stp>AMZN US Equity</stp>
        <stp>CF_ACT_CASH_PAID_FOR_INT_DEBT</stp>
        <stp>FQ3 2012</stp>
        <stp>FQ3 2012</stp>
        <stp>[AMZ_2009-2018.xlsx]Cash Flow - Standardized!R58C17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8" s="4"/>
      </tp>
      <tp>
        <v>5983</v>
        <stp/>
        <stp>##V3_BDHV12</stp>
        <stp>AMZN US Equity</stp>
        <stp>FREE_CASH_FLOW_EQUITY</stp>
        <stp>FQ4 2012</stp>
        <stp>FQ4 2012</stp>
        <stp>[AMZ_2009-2018.xlsx]Cash Flow - Standardized!R67C18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7" s="4"/>
      </tp>
      <tp>
        <v>14.247199999999999</v>
        <stp/>
        <stp>##V3_BDHV12</stp>
        <stp>AMZN US Equity</stp>
        <stp>BOOK_VAL_PER_SH</stp>
        <stp>FQ3 2010</stp>
        <stp>FQ3 2010</stp>
        <stp>[AMZ_2009-2018.xlsx]Per Share!R26C9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26" s="5"/>
      </tp>
      <tp>
        <v>23</v>
        <stp/>
        <stp>##V3_BDHV12</stp>
        <stp>AMZN US Equity</stp>
        <stp>PROC_FR_REPURCH_EQTY_DETAILED</stp>
        <stp>FQ4 2010</stp>
        <stp>FQ4 2010</stp>
        <stp>[AMZ_2009-2018.xlsx]Cash Flow - Standardized!R46C10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6" s="4"/>
      </tp>
      <tp>
        <v>78</v>
        <stp/>
        <stp>##V3_BDHV12</stp>
        <stp>AMZN US Equity</stp>
        <stp>PROC_FR_REPURCH_EQTY_DETAILED</stp>
        <stp>FQ4 2013</stp>
        <stp>FQ4 2013</stp>
        <stp>[AMZ_2009-2018.xlsx]Cash Flow - Standardized!R46C22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6" s="4"/>
      </tp>
      <tp>
        <v>0</v>
        <stp/>
        <stp>##V3_BDHV12</stp>
        <stp>AMZN US Equity</stp>
        <stp>PROC_FR_REPURCH_EQTY_DETAILED</stp>
        <stp>FQ3 2014</stp>
        <stp>FQ3 2014</stp>
        <stp>[AMZ_2009-2018.xlsx]Cash Flow - Standardized!R46C25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6" s="4"/>
      </tp>
      <tp>
        <v>0</v>
        <stp/>
        <stp>##V3_BDHV12</stp>
        <stp>AMZN US Equity</stp>
        <stp>PROC_FR_REPURCH_EQTY_DETAILED</stp>
        <stp>FQ1 2017</stp>
        <stp>FQ1 2017</stp>
        <stp>[AMZ_2009-2018.xlsx]Cash Flow - Standardized!R46C35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6" s="4"/>
      </tp>
      <tp>
        <v>95</v>
        <stp/>
        <stp>##V3_BDHV12</stp>
        <stp>AMZN US Equity</stp>
        <stp>PROC_FR_REPURCH_EQTY_DETAILED</stp>
        <stp>FQ2 2015</stp>
        <stp>FQ2 2015</stp>
        <stp>[AMZ_2009-2018.xlsx]Cash Flow - Standardized!R46C28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6" s="4"/>
      </tp>
      <tp>
        <v>15877</v>
        <stp/>
        <stp>##V3_BDHV12</stp>
        <stp>AMZN US Equity</stp>
        <stp>FREE_CASH_FLOW_EQUITY</stp>
        <stp>FQ3 2017</stp>
        <stp>FQ3 2017</stp>
        <stp>[AMZ_2009-2018.xlsx]Cash Flow - Standardized!R67C37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7" s="4"/>
      </tp>
      <tp>
        <v>-3878</v>
        <stp/>
        <stp>##V3_BDHV12</stp>
        <stp>AMZN US Equity</stp>
        <stp>FREE_CASH_FLOW_EQUITY</stp>
        <stp>FQ1 2014</stp>
        <stp>FQ1 2014</stp>
        <stp>[AMZ_2009-2018.xlsx]Cash Flow - Standardized!R67C23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7" s="4"/>
      </tp>
      <tp>
        <v>715</v>
        <stp/>
        <stp>##V3_BDHV12</stp>
        <stp>AMZN US Equity</stp>
        <stp>FREE_CASH_FLOW_EQUITY</stp>
        <stp>FQ2 2016</stp>
        <stp>FQ2 2016</stp>
        <stp>[AMZ_2009-2018.xlsx]Cash Flow - Standardized!R67C32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7" s="4"/>
      </tp>
      <tp>
        <v>0</v>
        <stp/>
        <stp>##V3_BDHV12</stp>
        <stp>AMZN US Equity</stp>
        <stp>IS_ABNORMAL_ITEM</stp>
        <stp>FQ1 2013</stp>
        <stp>FQ1 2013</stp>
        <stp>[AMZ_2009-2018.xlsx]Income - Adjusted!R26C19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6" s="2"/>
      </tp>
      <tp>
        <v>108</v>
        <stp/>
        <stp>##V3_BDHV12</stp>
        <stp>AMZN US Equity</stp>
        <stp>IS_NONOP_INCOME_LOSS</stp>
        <stp>FQ1 2012</stp>
        <stp>FQ1 2012</stp>
        <stp>[AMZ_2009-2018.xlsx]Income - Adjusted!R19C15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9" s="2"/>
      </tp>
      <tp>
        <v>52</v>
        <stp/>
        <stp>##V3_BDHV12</stp>
        <stp>AMZN US Equity</stp>
        <stp>IS_NONOP_INCOME_LOSS</stp>
        <stp>FQ1 2017</stp>
        <stp>FQ1 2017</stp>
        <stp>[AMZ_2009-2018.xlsx]Income - Adjusted!R19C35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9" s="2"/>
      </tp>
      <tp>
        <v>90</v>
        <stp/>
        <stp>##V3_BDHV12</stp>
        <stp>AMZN US Equity</stp>
        <stp>IS_NONOP_INCOME_LOSS</stp>
        <stp>FQ3 2014</stp>
        <stp>FQ3 2014</stp>
        <stp>[AMZ_2009-2018.xlsx]Income - Adjusted!R19C25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9" s="2"/>
      </tp>
      <tp>
        <v>-2</v>
        <stp/>
        <stp>##V3_BDHV12</stp>
        <stp>AMZN US Equity</stp>
        <stp>IS_ABNORMAL_ITEM</stp>
        <stp>FQ1 2009</stp>
        <stp>FQ1 2009</stp>
        <stp>[AMZ_2009-2018.xlsx]Income - Adjusted!R26C3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2"/>
      </tp>
      <tp>
        <v>146</v>
        <stp/>
        <stp>##V3_BDHV12</stp>
        <stp>AMZN US Equity</stp>
        <stp>EBIT</stp>
        <stp>FQ1 2014</stp>
        <stp>FQ1 2014</stp>
        <stp>[AMZ_2009-2018.xlsx]Income - Adjusted!R64C23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64" s="2"/>
      </tp>
      <tp>
        <v>575</v>
        <stp/>
        <stp>##V3_BDHV12</stp>
        <stp>AMZN US Equity</stp>
        <stp>EBIT</stp>
        <stp>FQ3 2016</stp>
        <stp>FQ3 2016</stp>
        <stp>[AMZ_2009-2018.xlsx]Income - Adjusted!R64C33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64" s="2"/>
      </tp>
      <tp>
        <v>79</v>
        <stp/>
        <stp>##V3_BDHV12</stp>
        <stp>AMZN US Equity</stp>
        <stp>EBIT</stp>
        <stp>FQ3 2011</stp>
        <stp>FQ3 2011</stp>
        <stp>[AMZ_2009-2018.xlsx]Income - Adjusted!R64C13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64" s="2"/>
      </tp>
      <tp>
        <v>59</v>
        <stp/>
        <stp>##V3_BDHV12</stp>
        <stp>AMZN US Equity</stp>
        <stp>CF_NET_CASH_PAID_FOR_AQUIS</stp>
        <stp>FQ4 2013</stp>
        <stp>FQ4 2013</stp>
        <stp>[AMZ_2009-2018.xlsx]Cash Flow - Standardized!R63C22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3" s="4"/>
      </tp>
      <tp>
        <v>860</v>
        <stp/>
        <stp>##V3_BDHV12</stp>
        <stp>AMZN US Equity</stp>
        <stp>CF_NET_CASH_PAID_FOR_AQUIS</stp>
        <stp>FQ3 2014</stp>
        <stp>FQ3 2014</stp>
        <stp>[AMZ_2009-2018.xlsx]Cash Flow - Standardized!R63C25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3" s="4"/>
      </tp>
      <tp>
        <v>271</v>
        <stp/>
        <stp>##V3_BDHV12</stp>
        <stp>AMZN US Equity</stp>
        <stp>CF_NET_CASH_PAID_FOR_AQUIS</stp>
        <stp>FQ4 2010</stp>
        <stp>FQ4 2010</stp>
        <stp>[AMZ_2009-2018.xlsx]Cash Flow - Standardized!R63C10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3" s="4"/>
      </tp>
      <tp>
        <v>45</v>
        <stp/>
        <stp>##V3_BDHV12</stp>
        <stp>AMZN US Equity</stp>
        <stp>CF_NET_CASH_PAID_FOR_AQUIS</stp>
        <stp>FQ1 2017</stp>
        <stp>FQ1 2017</stp>
        <stp>[AMZ_2009-2018.xlsx]Cash Flow - Standardized!R63C35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3" s="4"/>
      </tp>
      <tp>
        <v>0.17</v>
        <stp/>
        <stp>##V3_BDHV12</stp>
        <stp>AMZN US Equity</stp>
        <stp>IS_EPS</stp>
        <stp>FQ3 2015</stp>
        <stp>FQ3 2015</stp>
        <stp>[AMZ_2009-2018.xlsx]Per Share!R14C29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14" s="5"/>
      </tp>
      <tp>
        <v>8</v>
        <stp/>
        <stp>##V3_BDHV12</stp>
        <stp>AMZN US Equity</stp>
        <stp>CF_NET_CASH_PAID_FOR_AQUIS</stp>
        <stp>FQ2 2015</stp>
        <stp>FQ2 2015</stp>
        <stp>[AMZ_2009-2018.xlsx]Cash Flow - Standardized!R63C28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3" s="4"/>
      </tp>
      <tp>
        <v>-0.95</v>
        <stp/>
        <stp>##V3_BDHV12</stp>
        <stp>AMZN US Equity</stp>
        <stp>IS_EPS</stp>
        <stp>FQ3 2014</stp>
        <stp>FQ3 2014</stp>
        <stp>[AMZ_2009-2018.xlsx]Per Share!R14C25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14" s="5"/>
      </tp>
      <tp>
        <v>0.53</v>
        <stp/>
        <stp>##V3_BDHV12</stp>
        <stp>AMZN US Equity</stp>
        <stp>IS_EPS</stp>
        <stp>FQ3 2017</stp>
        <stp>FQ3 2017</stp>
        <stp>[AMZ_2009-2018.xlsx]Per Share!R14C37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14" s="5"/>
      </tp>
      <tp>
        <v>0.53</v>
        <stp/>
        <stp>##V3_BDHV12</stp>
        <stp>AMZN US Equity</stp>
        <stp>IS_EPS</stp>
        <stp>FQ3 2016</stp>
        <stp>FQ3 2016</stp>
        <stp>[AMZ_2009-2018.xlsx]Per Share!R14C33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14" s="5"/>
      </tp>
      <tp>
        <v>0.14000000000000001</v>
        <stp/>
        <stp>##V3_BDHV12</stp>
        <stp>AMZN US Equity</stp>
        <stp>IS_EPS</stp>
        <stp>FQ3 2011</stp>
        <stp>FQ3 2011</stp>
        <stp>[AMZ_2009-2018.xlsx]Per Share!R14C13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14" s="5"/>
      </tp>
      <tp>
        <v>-0.09</v>
        <stp/>
        <stp>##V3_BDHV12</stp>
        <stp>AMZN US Equity</stp>
        <stp>IS_EPS</stp>
        <stp>FQ3 2013</stp>
        <stp>FQ3 2013</stp>
        <stp>[AMZ_2009-2018.xlsx]Per Share!R14C21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14" s="5"/>
      </tp>
      <tp>
        <v>-0.6</v>
        <stp/>
        <stp>##V3_BDHV12</stp>
        <stp>AMZN US Equity</stp>
        <stp>IS_EPS</stp>
        <stp>FQ3 2012</stp>
        <stp>FQ3 2012</stp>
        <stp>[AMZ_2009-2018.xlsx]Per Share!R14C17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14" s="5"/>
      </tp>
      <tp>
        <v>1970</v>
        <stp/>
        <stp>##V3_BDHV12</stp>
        <stp>AMZN US Equity</stp>
        <stp>EBITDA</stp>
        <stp>FQ4 2014</stp>
        <stp>FQ4 2014</stp>
        <stp>[AMZ_2009-2018.xlsx]Income - Adjusted!R61C26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61" s="2"/>
      </tp>
      <tp>
        <v>-7</v>
        <stp/>
        <stp>##V3_BDHV12</stp>
        <stp>AMZN US Equity</stp>
        <stp>IS_NONOP_INCOME_LOSS</stp>
        <stp>FQ1 2010</stp>
        <stp>FQ1 2010</stp>
        <stp>[AMZ_2009-2018.xlsx]Income - Adjusted!R19C7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9" s="2"/>
      </tp>
      <tp>
        <v>5.9318</v>
        <stp/>
        <stp>##V3_BDHV12</stp>
        <stp>AMZN US Equity</stp>
        <stp>CASH_FLOW_PER_SH</stp>
        <stp>FQ4 2009</stp>
        <stp>FQ4 2009</stp>
        <stp>[AMZ_2009-2018.xlsx]Per Share!R22C6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22" s="5"/>
      </tp>
      <tp>
        <v>57883</v>
        <stp/>
        <stp>##V3_BDHV12</stp>
        <stp>AMZN US Equity</stp>
        <stp>BS_CUR_LIAB</stp>
        <stp>FQ4 2017</stp>
        <stp>FQ4 2017</stp>
        <stp>[AMZ_2009-2018.xlsx]Bal Sheet - Standardized!R51C38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1" s="3"/>
      </tp>
      <tp>
        <v>3261</v>
        <stp/>
        <stp>##V3_BDHV12</stp>
        <stp>AMZN US Equity</stp>
        <stp>EBITDA</stp>
        <stp>FQ2 2017</stp>
        <stp>FQ2 2017</stp>
        <stp>[AMZ_2009-2018.xlsx]Income - Adjusted!R61C36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61" s="2"/>
      </tp>
      <tp>
        <v>692</v>
        <stp/>
        <stp>##V3_BDHV12</stp>
        <stp>AMZN US Equity</stp>
        <stp>EBITDA</stp>
        <stp>FQ2 2012</stp>
        <stp>FQ2 2012</stp>
        <stp>[AMZ_2009-2018.xlsx]Income - Adjusted!R61C16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61" s="2"/>
      </tp>
      <tp>
        <v>0.66</v>
        <stp/>
        <stp>##V3_BDHV12</stp>
        <stp>AMZN US Equity</stp>
        <stp>IS_DIL_EPS_CONT_OPS</stp>
        <stp>FQ1 2010</stp>
        <stp>FQ1 2010</stp>
        <stp>[AMZ_2009-2018.xlsx]Income - Adjusted!R57C7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57" s="2"/>
      </tp>
      <tp>
        <v>12605</v>
        <stp/>
        <stp>##V3_BDHV12</stp>
        <stp>AMZN US Equity</stp>
        <stp>BS_CUR_LIAB</stp>
        <stp>FQ3 2012</stp>
        <stp>FQ3 2012</stp>
        <stp>[AMZ_2009-2018.xlsx]Bal Sheet - Standardized!R51C17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1" s="3"/>
      </tp>
      <tp>
        <v>513</v>
        <stp/>
        <stp>##V3_BDHV12</stp>
        <stp>AMZN US Equity</stp>
        <stp>NET_INCOME</stp>
        <stp>FQ1 2016</stp>
        <stp>FQ1 2016</stp>
        <stp>[AMZ_2009-2018.xlsx]Income - Adjusted!R40C31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40" s="2"/>
      </tp>
      <tp>
        <v>201</v>
        <stp/>
        <stp>##V3_BDHV12</stp>
        <stp>AMZN US Equity</stp>
        <stp>NET_INCOME</stp>
        <stp>FQ1 2011</stp>
        <stp>FQ1 2011</stp>
        <stp>[AMZ_2009-2018.xlsx]Income - Adjusted!R40C11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40" s="2"/>
      </tp>
      <tp>
        <v>-41</v>
        <stp/>
        <stp>##V3_BDHV12</stp>
        <stp>AMZN US Equity</stp>
        <stp>NET_INCOME</stp>
        <stp>FQ3 2013</stp>
        <stp>FQ3 2013</stp>
        <stp>[AMZ_2009-2018.xlsx]Income - Adjusted!R40C21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40" s="2"/>
      </tp>
      <tp>
        <v>51</v>
        <stp/>
        <stp>##V3_BDHV12</stp>
        <stp>AMZN US Equity</stp>
        <stp>IS_LEGAL_LITIGATION_SETTLEMENT</stp>
        <stp>FQ2 2009</stp>
        <stp>FQ2 2009</stp>
        <stp>[AMZ_2009-2018.xlsx]Income - Adjusted!R28C4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8" s="2"/>
      </tp>
      <tp>
        <v>0</v>
        <stp/>
        <stp>##V3_BDHV12</stp>
        <stp>AMZN US Equity</stp>
        <stp>EQY_DPS</stp>
        <stp>FQ4 2015</stp>
        <stp>FQ4 2015</stp>
        <stp>[AMZ_2009-2018.xlsx]Income - Adjusted!R69C30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69" s="2"/>
      </tp>
      <tp>
        <v>0</v>
        <stp/>
        <stp>##V3_BDHV12</stp>
        <stp>AMZN US Equity</stp>
        <stp>EQY_DPS</stp>
        <stp>FQ4 2010</stp>
        <stp>FQ4 2010</stp>
        <stp>[AMZ_2009-2018.xlsx]Income - Adjusted!R69C10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69" s="2"/>
      </tp>
      <tp>
        <v>65</v>
        <stp/>
        <stp>##V3_BDHV12</stp>
        <stp>AMZN US Equity</stp>
        <stp>CF_CASH_PAID_FOR_TAX</stp>
        <stp>FQ2 2015</stp>
        <stp>FQ2 2015</stp>
        <stp>[AMZ_2009-2018.xlsx]Cash Flow - Standardized!R57C28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7" s="4"/>
      </tp>
      <tp>
        <v>0</v>
        <stp/>
        <stp>##V3_BDHV12</stp>
        <stp>AMZN US Equity</stp>
        <stp>EQY_DPS</stp>
        <stp>FQ2 2013</stp>
        <stp>FQ2 2013</stp>
        <stp>[AMZ_2009-2018.xlsx]Income - Adjusted!R69C20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69" s="2"/>
      </tp>
      <tp>
        <v>0</v>
        <stp/>
        <stp>##V3_BDHV12</stp>
        <stp>AMZN US Equity</stp>
        <stp>EQY_DPS</stp>
        <stp>FQ2 2018</stp>
        <stp>FQ2 2018</stp>
        <stp>[AMZ_2009-2018.xlsx]Income - Adjusted!R69C40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69" s="2"/>
      </tp>
      <tp>
        <v>25</v>
        <stp/>
        <stp>##V3_BDHV12</stp>
        <stp>AMZN US Equity</stp>
        <stp>CF_CASH_PAID_FOR_TAX</stp>
        <stp>FQ4 2013</stp>
        <stp>FQ4 2013</stp>
        <stp>[AMZ_2009-2018.xlsx]Cash Flow - Standardized!R57C22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7" s="4"/>
      </tp>
      <tp>
        <v>38</v>
        <stp/>
        <stp>##V3_BDHV12</stp>
        <stp>AMZN US Equity</stp>
        <stp>CF_CASH_PAID_FOR_TAX</stp>
        <stp>FQ3 2014</stp>
        <stp>FQ3 2014</stp>
        <stp>[AMZ_2009-2018.xlsx]Cash Flow - Standardized!R57C25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7" s="4"/>
      </tp>
      <tp>
        <v>13</v>
        <stp/>
        <stp>##V3_BDHV12</stp>
        <stp>AMZN US Equity</stp>
        <stp>CF_CASH_PAID_FOR_TAX</stp>
        <stp>FQ4 2010</stp>
        <stp>FQ4 2010</stp>
        <stp>[AMZ_2009-2018.xlsx]Cash Flow - Standardized!R57C10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7" s="4"/>
      </tp>
      <tp>
        <v>246</v>
        <stp/>
        <stp>##V3_BDHV12</stp>
        <stp>AMZN US Equity</stp>
        <stp>CF_CASH_PAID_FOR_TAX</stp>
        <stp>FQ1 2017</stp>
        <stp>FQ1 2017</stp>
        <stp>[AMZ_2009-2018.xlsx]Cash Flow - Standardized!R57C35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7" s="4"/>
      </tp>
      <tp>
        <v>0</v>
        <stp/>
        <stp>##V3_BDHV12</stp>
        <stp>AMZN US Equity</stp>
        <stp>OTHER_ADJUSTMENTS</stp>
        <stp>FQ2 2010</stp>
        <stp>FQ2 2010</stp>
        <stp>[AMZ_2009-2018.xlsx]Income - Adjusted!R42C8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2" s="2"/>
      </tp>
      <tp>
        <v>25.145299999999999</v>
        <stp/>
        <stp>##V3_BDHV12</stp>
        <stp>AMZN US Equity</stp>
        <stp>BOOK_VAL_PER_SH</stp>
        <stp>FQ2 2015</stp>
        <stp>FQ2 2015</stp>
        <stp>[AMZ_2009-2018.xlsx]Per Share!R26C28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26" s="5"/>
      </tp>
      <tp>
        <v>18.0441</v>
        <stp/>
        <stp>##V3_BDHV12</stp>
        <stp>AMZN US Equity</stp>
        <stp>BOOK_VAL_PER_SH</stp>
        <stp>FQ4 2012</stp>
        <stp>FQ4 2012</stp>
        <stp>[AMZ_2009-2018.xlsx]Per Share!R26C18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26" s="5"/>
      </tp>
      <tp>
        <v>57.25</v>
        <stp/>
        <stp>##V3_BDHV12</stp>
        <stp>AMZN US Equity</stp>
        <stp>BOOK_VAL_PER_SH</stp>
        <stp>FQ4 2017</stp>
        <stp>FQ4 2017</stp>
        <stp>[AMZ_2009-2018.xlsx]Per Share!R26C38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26" s="5"/>
      </tp>
      <tp>
        <v>13</v>
        <stp/>
        <stp>##V3_BDHV12</stp>
        <stp>AMZN US Equity</stp>
        <stp>CF_ACT_CASH_PAID_FOR_INT_DEBT</stp>
        <stp>FQ1 2013</stp>
        <stp>FQ1 2013</stp>
        <stp>[AMZ_2009-2018.xlsx]Cash Flow - Standardized!R58C19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8" s="4"/>
      </tp>
      <tp>
        <v>0</v>
        <stp/>
        <stp>##V3_BDHV12</stp>
        <stp>AMZN US Equity</stp>
        <stp>BS_OTHER_CUR_ASSET_LESS_PREPAY</stp>
        <stp>FQ3 2009</stp>
        <stp>FQ3 2009</stp>
        <stp>[AMZ_2009-2018.xlsx]Bal Sheet - Standardized!R21C5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1" s="3"/>
      </tp>
      <tp>
        <v>4</v>
        <stp/>
        <stp>##V3_BDHV12</stp>
        <stp>AMZN US Equity</stp>
        <stp>CF_ACT_CASH_PAID_FOR_INT_DEBT</stp>
        <stp>FQ3 2011</stp>
        <stp>FQ3 2011</stp>
        <stp>[AMZ_2009-2018.xlsx]Cash Flow - Standardized!R58C13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8" s="4"/>
      </tp>
      <tp>
        <v>39</v>
        <stp/>
        <stp>##V3_BDHV12</stp>
        <stp>AMZN US Equity</stp>
        <stp>CF_ACT_CASH_PAID_FOR_INT_DEBT</stp>
        <stp>FQ2 2013</stp>
        <stp>FQ2 2013</stp>
        <stp>[AMZ_2009-2018.xlsx]Cash Flow - Standardized!R58C20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8" s="4"/>
      </tp>
      <tp>
        <v>142</v>
        <stp/>
        <stp>##V3_BDHV12</stp>
        <stp>AMZN US Equity</stp>
        <stp>NI_INCLUDING_MINORITY_INT_RATIO</stp>
        <stp>FQ2 2009</stp>
        <stp>FQ2 2009</stp>
        <stp>[AMZ_2009-2018.xlsx]Income - Adjusted!R38C4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38" s="2"/>
      </tp>
      <tp>
        <v>0</v>
        <stp/>
        <stp>##V3_BDHV12</stp>
        <stp>AMZN US Equity</stp>
        <stp>BS_OTHER_CUR_ASSET_LESS_PREPAY</stp>
        <stp>FQ2 2010</stp>
        <stp>FQ2 2010</stp>
        <stp>[AMZ_2009-2018.xlsx]Bal Sheet - Standardized!R21C8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1" s="3"/>
      </tp>
      <tp>
        <v>0</v>
        <stp/>
        <stp>##V3_BDHV12</stp>
        <stp>AMZN US Equity</stp>
        <stp>PROC_FR_REPURCH_EQTY_DETAILED</stp>
        <stp>FQ3 2016</stp>
        <stp>FQ3 2016</stp>
        <stp>[AMZ_2009-2018.xlsx]Cash Flow - Standardized!R46C33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6" s="4"/>
      </tp>
      <tp>
        <v>6.8018999999999998</v>
        <stp/>
        <stp>##V3_BDHV12</stp>
        <stp>AMZN US Equity</stp>
        <stp>BOOK_VAL_PER_SH</stp>
        <stp>FQ1 2009</stp>
        <stp>FQ1 2009</stp>
        <stp>[AMZ_2009-2018.xlsx]Per Share!R26C3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26" s="5"/>
      </tp>
      <tp>
        <v>201</v>
        <stp/>
        <stp>##V3_BDHV12</stp>
        <stp>AMZN US Equity</stp>
        <stp>IS_SELLING_EXPENSES</stp>
        <stp>FQ1 2010</stp>
        <stp>FQ1 2010</stp>
        <stp>[AMZ_2009-2018.xlsx]Income - Adjusted!R14C7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4" s="2"/>
      </tp>
      <tp>
        <v>207</v>
        <stp/>
        <stp>##V3_BDHV12</stp>
        <stp>AMZN US Equity</stp>
        <stp>EARN_FOR_COMMON</stp>
        <stp>FQ2 2010</stp>
        <stp>FQ2 2010</stp>
        <stp>[AMZ_2009-2018.xlsx]Income - Adjusted!R43C8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43" s="2"/>
      </tp>
      <tp>
        <v>0</v>
        <stp/>
        <stp>##V3_BDHV12</stp>
        <stp>AMZN US Equity</stp>
        <stp>PROC_FR_REPURCH_EQTY_DETAILED</stp>
        <stp>FQ2 2017</stp>
        <stp>FQ2 2017</stp>
        <stp>[AMZ_2009-2018.xlsx]Cash Flow - Standardized!R46C36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6" s="4"/>
      </tp>
      <tp>
        <v>22</v>
        <stp/>
        <stp>##V3_BDHV12</stp>
        <stp>AMZN US Equity</stp>
        <stp>PROC_FR_REPURCH_EQTY_DETAILED</stp>
        <stp>FQ1 2015</stp>
        <stp>FQ1 2015</stp>
        <stp>[AMZ_2009-2018.xlsx]Cash Flow - Standardized!R46C27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6" s="4"/>
      </tp>
      <tp>
        <v>590</v>
        <stp/>
        <stp>##V3_BDHV12</stp>
        <stp>AMZN US Equity</stp>
        <stp>FREE_CASH_FLOW_EQUITY</stp>
        <stp>FQ3 2015</stp>
        <stp>FQ3 2015</stp>
        <stp>[AMZ_2009-2018.xlsx]Cash Flow - Standardized!R67C29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7" s="4"/>
      </tp>
      <tp>
        <v>-617</v>
        <stp/>
        <stp>##V3_BDHV12</stp>
        <stp>AMZN US Equity</stp>
        <stp>FREE_CASH_FLOW_EQUITY</stp>
        <stp>FQ2 2014</stp>
        <stp>FQ2 2014</stp>
        <stp>[AMZ_2009-2018.xlsx]Cash Flow - Standardized!R67C24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7" s="4"/>
      </tp>
      <tp>
        <v>-4128</v>
        <stp/>
        <stp>##V3_BDHV12</stp>
        <stp>AMZN US Equity</stp>
        <stp>FREE_CASH_FLOW_EQUITY</stp>
        <stp>FQ1 2016</stp>
        <stp>FQ1 2016</stp>
        <stp>[AMZ_2009-2018.xlsx]Cash Flow - Standardized!R67C31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7" s="4"/>
      </tp>
      <tp>
        <v>3662</v>
        <stp/>
        <stp>##V3_BDHV12</stp>
        <stp>AMZN US Equity</stp>
        <stp>FREE_CASH_FLOW_EQUITY</stp>
        <stp>FQ4 2011</stp>
        <stp>FQ4 2011</stp>
        <stp>[AMZ_2009-2018.xlsx]Cash Flow - Standardized!R67C14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7" s="4"/>
      </tp>
      <tp>
        <v>25</v>
        <stp/>
        <stp>##V3_BDHV12</stp>
        <stp>AMZN US Equity</stp>
        <stp>IS_ABNORMAL_ITEM</stp>
        <stp>FQ4 2012</stp>
        <stp>FQ4 2012</stp>
        <stp>[AMZ_2009-2018.xlsx]Income - Adjusted!R26C18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6" s="2"/>
      </tp>
      <tp>
        <v>12</v>
        <stp/>
        <stp>##V3_BDHV12</stp>
        <stp>AMZN US Equity</stp>
        <stp>IS_NONOP_INCOME_LOSS</stp>
        <stp>FQ2 2014</stp>
        <stp>FQ2 2014</stp>
        <stp>[AMZ_2009-2018.xlsx]Income - Adjusted!R19C24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9" s="2"/>
      </tp>
      <tp>
        <v>0</v>
        <stp/>
        <stp>##V3_BDHV12</stp>
        <stp>AMZN US Equity</stp>
        <stp>IS_ABNORMAL_ITEM</stp>
        <stp>FQ1 2012</stp>
        <stp>FQ1 2012</stp>
        <stp>[AMZ_2009-2018.xlsx]Income - Adjusted!R26C15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6" s="2"/>
      </tp>
      <tp>
        <v>84</v>
        <stp/>
        <stp>##V3_BDHV12</stp>
        <stp>AMZN US Equity</stp>
        <stp>IS_NONOP_INCOME_LOSS</stp>
        <stp>FQ4 2016</stp>
        <stp>FQ4 2016</stp>
        <stp>[AMZ_2009-2018.xlsx]Income - Adjusted!R19C34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9" s="2"/>
      </tp>
      <tp>
        <v>-13</v>
        <stp/>
        <stp>##V3_BDHV12</stp>
        <stp>AMZN US Equity</stp>
        <stp>IS_NONOP_INCOME_LOSS</stp>
        <stp>FQ4 2011</stp>
        <stp>FQ4 2011</stp>
        <stp>[AMZ_2009-2018.xlsx]Income - Adjusted!R19C14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9" s="2"/>
      </tp>
      <tp>
        <v>145</v>
        <stp/>
        <stp>##V3_BDHV12</stp>
        <stp>AMZN US Equity</stp>
        <stp>IS_ABNORMAL_ITEM</stp>
        <stp>FQ3 2012</stp>
        <stp>FQ3 2012</stp>
        <stp>[AMZ_2009-2018.xlsx]Income - Adjusted!R26C17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6" s="2"/>
      </tp>
      <tp>
        <v>100</v>
        <stp/>
        <stp>##V3_BDHV12</stp>
        <stp>AMZN US Equity</stp>
        <stp>IS_ABNORMAL_ITEM</stp>
        <stp>FQ2 2012</stp>
        <stp>FQ2 2012</stp>
        <stp>[AMZ_2009-2018.xlsx]Income - Adjusted!R26C16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6" s="2"/>
      </tp>
      <tp>
        <v>49</v>
        <stp/>
        <stp>##V3_BDHV12</stp>
        <stp>AMZN US Equity</stp>
        <stp>CF_NET_CASH_PAID_FOR_AQUIS</stp>
        <stp>FQ4 2011</stp>
        <stp>FQ4 2011</stp>
        <stp>[AMZ_2009-2018.xlsx]Cash Flow - Standardized!R63C14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3" s="4"/>
      </tp>
      <tp>
        <v>16</v>
        <stp/>
        <stp>##V3_BDHV12</stp>
        <stp>AMZN US Equity</stp>
        <stp>CF_NET_CASH_PAID_FOR_AQUIS</stp>
        <stp>FQ1 2016</stp>
        <stp>FQ1 2016</stp>
        <stp>[AMZ_2009-2018.xlsx]Cash Flow - Standardized!R63C31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3" s="4"/>
      </tp>
      <tp>
        <v>1285</v>
        <stp/>
        <stp>##V3_BDHV12</stp>
        <stp>AMZN US Equity</stp>
        <stp>EBIT</stp>
        <stp>FQ2 2016</stp>
        <stp>FQ2 2016</stp>
        <stp>[AMZ_2009-2018.xlsx]Income - Adjusted!R64C32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64" s="2"/>
      </tp>
      <tp>
        <v>201</v>
        <stp/>
        <stp>##V3_BDHV12</stp>
        <stp>AMZN US Equity</stp>
        <stp>EBIT</stp>
        <stp>FQ2 2011</stp>
        <stp>FQ2 2011</stp>
        <stp>[AMZ_2009-2018.xlsx]Income - Adjusted!R64C12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64" s="2"/>
      </tp>
      <tp>
        <v>5.21</v>
        <stp/>
        <stp>##V3_BDHV12</stp>
        <stp>AMZN US Equity</stp>
        <stp>IS_EPS</stp>
        <stp>FQ2 2018</stp>
        <stp>FQ2 2018</stp>
        <stp>[AMZ_2009-2018.xlsx]Per Share!R14C40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14" s="5"/>
      </tp>
      <tp>
        <v>67</v>
        <stp/>
        <stp>##V3_BDHV12</stp>
        <stp>AMZN US Equity</stp>
        <stp>CF_NET_CASH_PAID_FOR_AQUIS</stp>
        <stp>FQ2 2014</stp>
        <stp>FQ2 2014</stp>
        <stp>[AMZ_2009-2018.xlsx]Cash Flow - Standardized!R63C24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3" s="4"/>
      </tp>
      <tp>
        <v>510</v>
        <stp/>
        <stp>##V3_BDHV12</stp>
        <stp>AMZN US Equity</stp>
        <stp>EBIT</stp>
        <stp>FQ4 2013</stp>
        <stp>FQ4 2013</stp>
        <stp>[AMZ_2009-2018.xlsx]Income - Adjusted!R64C22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64" s="2"/>
      </tp>
      <tp>
        <v>-0.27</v>
        <stp/>
        <stp>##V3_BDHV12</stp>
        <stp>AMZN US Equity</stp>
        <stp>IS_EPS</stp>
        <stp>FQ2 2014</stp>
        <stp>FQ2 2014</stp>
        <stp>[AMZ_2009-2018.xlsx]Per Share!R14C24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14" s="5"/>
      </tp>
      <tp>
        <v>0.2</v>
        <stp/>
        <stp>##V3_BDHV12</stp>
        <stp>AMZN US Equity</stp>
        <stp>IS_EPS</stp>
        <stp>FQ2 2015</stp>
        <stp>FQ2 2015</stp>
        <stp>[AMZ_2009-2018.xlsx]Per Share!R14C28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14" s="5"/>
      </tp>
      <tp>
        <v>105</v>
        <stp/>
        <stp>##V3_BDHV12</stp>
        <stp>AMZN US Equity</stp>
        <stp>CF_NET_CASH_PAID_FOR_AQUIS</stp>
        <stp>FQ3 2015</stp>
        <stp>FQ3 2015</stp>
        <stp>[AMZ_2009-2018.xlsx]Cash Flow - Standardized!R63C29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3" s="4"/>
      </tp>
      <tp>
        <v>1.81</v>
        <stp/>
        <stp>##V3_BDHV12</stp>
        <stp>AMZN US Equity</stp>
        <stp>IS_EPS</stp>
        <stp>FQ2 2016</stp>
        <stp>FQ2 2016</stp>
        <stp>[AMZ_2009-2018.xlsx]Per Share!R14C32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14" s="5"/>
      </tp>
      <tp>
        <v>0.41</v>
        <stp/>
        <stp>##V3_BDHV12</stp>
        <stp>AMZN US Equity</stp>
        <stp>IS_EPS</stp>
        <stp>FQ2 2017</stp>
        <stp>FQ2 2017</stp>
        <stp>[AMZ_2009-2018.xlsx]Per Share!R14C36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14" s="5"/>
      </tp>
      <tp>
        <v>0.42</v>
        <stp/>
        <stp>##V3_BDHV12</stp>
        <stp>AMZN US Equity</stp>
        <stp>IS_EPS</stp>
        <stp>FQ2 2011</stp>
        <stp>FQ2 2011</stp>
        <stp>[AMZ_2009-2018.xlsx]Per Share!R14C12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14" s="5"/>
      </tp>
      <tp>
        <v>0.02</v>
        <stp/>
        <stp>##V3_BDHV12</stp>
        <stp>AMZN US Equity</stp>
        <stp>IS_EPS</stp>
        <stp>FQ2 2012</stp>
        <stp>FQ2 2012</stp>
        <stp>[AMZ_2009-2018.xlsx]Per Share!R14C16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14" s="5"/>
      </tp>
      <tp>
        <v>-0.02</v>
        <stp/>
        <stp>##V3_BDHV12</stp>
        <stp>AMZN US Equity</stp>
        <stp>IS_EPS</stp>
        <stp>FQ2 2013</stp>
        <stp>FQ2 2013</stp>
        <stp>[AMZ_2009-2018.xlsx]Per Share!R14C20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14" s="5"/>
      </tp>
      <tp>
        <v>1681</v>
        <stp/>
        <stp>##V3_BDHV12</stp>
        <stp>AMZN US Equity</stp>
        <stp>EBITDA</stp>
        <stp>FQ1 2015</stp>
        <stp>FQ1 2015</stp>
        <stp>[AMZ_2009-2018.xlsx]Income - Adjusted!R61C27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61" s="2"/>
      </tp>
      <tp>
        <v>3259</v>
        <stp/>
        <stp>##V3_BDHV12</stp>
        <stp>AMZN US Equity</stp>
        <stp>EBITDA</stp>
        <stp>FQ3 2017</stp>
        <stp>FQ3 2017</stp>
        <stp>[AMZ_2009-2018.xlsx]Income - Adjusted!R61C37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61" s="2"/>
      </tp>
      <tp>
        <v>526</v>
        <stp/>
        <stp>##V3_BDHV12</stp>
        <stp>AMZN US Equity</stp>
        <stp>EBITDA</stp>
        <stp>FQ3 2012</stp>
        <stp>FQ3 2012</stp>
        <stp>[AMZ_2009-2018.xlsx]Income - Adjusted!R61C17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61" s="2"/>
      </tp>
      <tp>
        <v>7730</v>
        <stp/>
        <stp>##V3_BDHV12</stp>
        <stp>AMZN US Equity</stp>
        <stp>BS_CUR_LIAB</stp>
        <stp>FQ1 2011</stp>
        <stp>FQ1 2011</stp>
        <stp>[AMZ_2009-2018.xlsx]Bal Sheet - Standardized!R51C11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1" s="3"/>
      </tp>
      <tp>
        <v>416</v>
        <stp/>
        <stp>##V3_BDHV12</stp>
        <stp>AMZN US Equity</stp>
        <stp>NET_INCOME</stp>
        <stp>FQ4 2010</stp>
        <stp>FQ4 2010</stp>
        <stp>[AMZ_2009-2018.xlsx]Income - Adjusted!R40C10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40" s="2"/>
      </tp>
      <tp>
        <v>482</v>
        <stp/>
        <stp>##V3_BDHV12</stp>
        <stp>AMZN US Equity</stp>
        <stp>NET_INCOME</stp>
        <stp>FQ4 2015</stp>
        <stp>FQ4 2015</stp>
        <stp>[AMZ_2009-2018.xlsx]Income - Adjusted!R40C30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40" s="2"/>
      </tp>
      <tp>
        <v>43816</v>
        <stp/>
        <stp>##V3_BDHV12</stp>
        <stp>AMZN US Equity</stp>
        <stp>BS_CUR_LIAB</stp>
        <stp>FQ4 2016</stp>
        <stp>FQ4 2016</stp>
        <stp>[AMZ_2009-2018.xlsx]Bal Sheet - Standardized!R51C34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1" s="3"/>
      </tp>
      <tp>
        <v>10964</v>
        <stp/>
        <stp>##V3_BDHV12</stp>
        <stp>AMZN US Equity</stp>
        <stp>BS_CUR_LIAB</stp>
        <stp>FQ2 2012</stp>
        <stp>FQ2 2012</stp>
        <stp>[AMZ_2009-2018.xlsx]Bal Sheet - Standardized!R51C16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1" s="3"/>
      </tp>
      <tp>
        <v>2534</v>
        <stp/>
        <stp>##V3_BDHV12</stp>
        <stp>AMZN US Equity</stp>
        <stp>NET_INCOME</stp>
        <stp>FQ2 2018</stp>
        <stp>FQ2 2018</stp>
        <stp>[AMZ_2009-2018.xlsx]Income - Adjusted!R40C40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40" s="2"/>
      </tp>
      <tp>
        <v>-7</v>
        <stp/>
        <stp>##V3_BDHV12</stp>
        <stp>AMZN US Equity</stp>
        <stp>NET_INCOME</stp>
        <stp>FQ2 2013</stp>
        <stp>FQ2 2013</stp>
        <stp>[AMZ_2009-2018.xlsx]Income - Adjusted!R40C20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40" s="2"/>
      </tp>
      <tp t="s">
        <v>—</v>
        <stp/>
        <stp>##V3_BDHV12</stp>
        <stp>AMZN US Equity</stp>
        <stp>IS_LEGAL_LITIGATION_SETTLEMENT</stp>
        <stp>FQ3 2009</stp>
        <stp>FQ3 2009</stp>
        <stp>[AMZ_2009-2018.xlsx]Income - Adjusted!R28C5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8" s="2"/>
      </tp>
      <tp>
        <v>0</v>
        <stp/>
        <stp>##V3_BDHV12</stp>
        <stp>AMZN US Equity</stp>
        <stp>EQY_DPS</stp>
        <stp>FQ1 2011</stp>
        <stp>FQ1 2011</stp>
        <stp>[AMZ_2009-2018.xlsx]Income - Adjusted!R69C11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69" s="2"/>
      </tp>
      <tp>
        <v>0</v>
        <stp/>
        <stp>##V3_BDHV12</stp>
        <stp>AMZN US Equity</stp>
        <stp>EQY_DPS</stp>
        <stp>FQ1 2016</stp>
        <stp>FQ1 2016</stp>
        <stp>[AMZ_2009-2018.xlsx]Income - Adjusted!R69C31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69" s="2"/>
      </tp>
      <tp>
        <v>80</v>
        <stp/>
        <stp>##V3_BDHV12</stp>
        <stp>AMZN US Equity</stp>
        <stp>CF_CASH_PAID_FOR_TAX</stp>
        <stp>FQ3 2015</stp>
        <stp>FQ3 2015</stp>
        <stp>[AMZ_2009-2018.xlsx]Cash Flow - Standardized!R57C29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7" s="4"/>
      </tp>
      <tp>
        <v>0</v>
        <stp/>
        <stp>##V3_BDHV12</stp>
        <stp>AMZN US Equity</stp>
        <stp>EQY_DPS</stp>
        <stp>FQ3 2013</stp>
        <stp>FQ3 2013</stp>
        <stp>[AMZ_2009-2018.xlsx]Income - Adjusted!R69C21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69" s="2"/>
      </tp>
      <tp>
        <v>71</v>
        <stp/>
        <stp>##V3_BDHV12</stp>
        <stp>AMZN US Equity</stp>
        <stp>CF_CASH_PAID_FOR_TAX</stp>
        <stp>FQ2 2014</stp>
        <stp>FQ2 2014</stp>
        <stp>[AMZ_2009-2018.xlsx]Cash Flow - Standardized!R57C24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7" s="4"/>
      </tp>
      <tp>
        <v>15</v>
        <stp/>
        <stp>##V3_BDHV12</stp>
        <stp>AMZN US Equity</stp>
        <stp>CF_CASH_PAID_FOR_TAX</stp>
        <stp>FQ4 2011</stp>
        <stp>FQ4 2011</stp>
        <stp>[AMZ_2009-2018.xlsx]Cash Flow - Standardized!R57C14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7" s="4"/>
      </tp>
      <tp>
        <v>625</v>
        <stp/>
        <stp>##V3_BDHV12</stp>
        <stp>AMZN US Equity</stp>
        <stp>BS_ACCUM_DEPR</stp>
        <stp>FQ4 2009</stp>
        <stp>FQ4 2009</stp>
        <stp>[AMZ_2009-2018.xlsx]Bal Sheet - Standardized!R25C6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5" s="3"/>
      </tp>
      <tp>
        <v>139</v>
        <stp/>
        <stp>##V3_BDHV12</stp>
        <stp>AMZN US Equity</stp>
        <stp>CF_CASH_PAID_FOR_TAX</stp>
        <stp>FQ1 2016</stp>
        <stp>FQ1 2016</stp>
        <stp>[AMZ_2009-2018.xlsx]Cash Flow - Standardized!R57C31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7" s="4"/>
      </tp>
      <tp>
        <v>0</v>
        <stp/>
        <stp>##V3_BDHV12</stp>
        <stp>AMZN US Equity</stp>
        <stp>OTHER_ADJUSTMENTS</stp>
        <stp>FQ3 2010</stp>
        <stp>FQ3 2010</stp>
        <stp>[AMZ_2009-2018.xlsx]Income - Adjusted!R42C9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2" s="2"/>
      </tp>
      <tp>
        <v>18.5319</v>
        <stp/>
        <stp>##V3_BDHV12</stp>
        <stp>AMZN US Equity</stp>
        <stp>BOOK_VAL_PER_SH</stp>
        <stp>FQ1 2013</stp>
        <stp>FQ1 2013</stp>
        <stp>[AMZ_2009-2018.xlsx]Per Share!R26C19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26" s="5"/>
      </tp>
      <tp>
        <v>65.006200000000007</v>
        <stp/>
        <stp>##V3_BDHV12</stp>
        <stp>AMZN US Equity</stp>
        <stp>BOOK_VAL_PER_SH</stp>
        <stp>FQ1 2018</stp>
        <stp>FQ1 2018</stp>
        <stp>[AMZ_2009-2018.xlsx]Per Share!R26C39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26" s="5"/>
      </tp>
      <tp>
        <v>-3.3050999999999999</v>
        <stp/>
        <stp>##V3_BDHV12</stp>
        <stp>AMZN US Equity</stp>
        <stp>CASH_FLOW_TO_NET_INC</stp>
        <stp>FQ1 2009</stp>
        <stp>FQ1 2009</stp>
        <stp>[AMZ_2009-2018.xlsx]Cash Flow - Standardized!R70C3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C70" s="4"/>
      </tp>
      <tp>
        <v>4.0151000000000003</v>
        <stp/>
        <stp>##V3_BDHV12</stp>
        <stp>AMZN US Equity</stp>
        <stp>CASH_FLOW_TO_NET_INC</stp>
        <stp>FQ3 2009</stp>
        <stp>FQ3 2009</stp>
        <stp>[AMZ_2009-2018.xlsx]Cash Flow - Standardized!R70C5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E70" s="4"/>
      </tp>
      <tp>
        <v>3.2957999999999998</v>
        <stp/>
        <stp>##V3_BDHV12</stp>
        <stp>AMZN US Equity</stp>
        <stp>CASH_FLOW_TO_NET_INC</stp>
        <stp>FQ2 2009</stp>
        <stp>FQ2 2009</stp>
        <stp>[AMZ_2009-2018.xlsx]Cash Flow - Standardized!R70C4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D70" s="4"/>
      </tp>
      <tp>
        <v>6.7968999999999999</v>
        <stp/>
        <stp>##V3_BDHV12</stp>
        <stp>AMZN US Equity</stp>
        <stp>CASH_FLOW_TO_NET_INC</stp>
        <stp>FQ4 2009</stp>
        <stp>FQ4 2009</stp>
        <stp>[AMZ_2009-2018.xlsx]Cash Flow - Standardized!R70C6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F70" s="4"/>
      </tp>
      <tp>
        <v>26.5032</v>
        <stp/>
        <stp>##V3_BDHV12</stp>
        <stp>AMZN US Equity</stp>
        <stp>BOOK_VAL_PER_SH</stp>
        <stp>FQ3 2015</stp>
        <stp>FQ3 2015</stp>
        <stp>[AMZ_2009-2018.xlsx]Per Share!R26C29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26" s="5"/>
      </tp>
      <tp>
        <v>471</v>
        <stp/>
        <stp>##V3_BDHV12</stp>
        <stp>AMZN US Equity</stp>
        <stp>IS_AVG_NUM_SH_FOR_EPS</stp>
        <stp>FQ1 2016</stp>
        <stp>FQ1 2016</stp>
        <stp>[AMZ_2009-2018.xlsx]Per Share!R8C31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8" s="5"/>
      </tp>
      <tp>
        <v>460</v>
        <stp/>
        <stp>##V3_BDHV12</stp>
        <stp>AMZN US Equity</stp>
        <stp>IS_AVG_NUM_SH_FOR_EPS</stp>
        <stp>FQ1 2014</stp>
        <stp>FQ1 2014</stp>
        <stp>[AMZ_2009-2018.xlsx]Per Share!R8C23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8" s="5"/>
      </tp>
      <tp>
        <v>453</v>
        <stp/>
        <stp>##V3_BDHV12</stp>
        <stp>AMZN US Equity</stp>
        <stp>IS_AVG_NUM_SH_FOR_EPS</stp>
        <stp>FQ1 2012</stp>
        <stp>FQ1 2012</stp>
        <stp>[AMZ_2009-2018.xlsx]Per Share!R8C15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8" s="5"/>
      </tp>
      <tp t="s">
        <v>—</v>
        <stp/>
        <stp>##V3_BDHV12</stp>
        <stp>AMZN US Equity</stp>
        <stp>IS_MERGER_ACQUISITION_EXPENSE</stp>
        <stp>FQ1 2018</stp>
        <stp>FQ1 2018</stp>
        <stp>[AMZ_2009-2018.xlsx]Income - Adjusted!R27C39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7" s="2"/>
      </tp>
      <tp>
        <v>0</v>
        <stp/>
        <stp>##V3_BDHV12</stp>
        <stp>AMZN US Equity</stp>
        <stp>BS_OTHER_CUR_ASSET_LESS_PREPAY</stp>
        <stp>FQ2 2009</stp>
        <stp>FQ2 2009</stp>
        <stp>[AMZ_2009-2018.xlsx]Bal Sheet - Standardized!R21C4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1" s="3"/>
      </tp>
      <tp>
        <v>36</v>
        <stp/>
        <stp>##V3_BDHV12</stp>
        <stp>AMZN US Equity</stp>
        <stp>CF_ACT_CASH_PAID_FOR_INT_DEBT</stp>
        <stp>FQ4 2014</stp>
        <stp>FQ4 2014</stp>
        <stp>[AMZ_2009-2018.xlsx]Cash Flow - Standardized!R58C26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8" s="4"/>
      </tp>
      <tp>
        <v>8</v>
        <stp/>
        <stp>##V3_BDHV12</stp>
        <stp>AMZN US Equity</stp>
        <stp>CF_ACT_CASH_PAID_FOR_INT_DEBT</stp>
        <stp>FQ3 2013</stp>
        <stp>FQ3 2013</stp>
        <stp>[AMZ_2009-2018.xlsx]Cash Flow - Standardized!R58C21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8" s="4"/>
      </tp>
      <tp>
        <v>3</v>
        <stp/>
        <stp>##V3_BDHV12</stp>
        <stp>AMZN US Equity</stp>
        <stp>CF_ACT_CASH_PAID_FOR_INT_DEBT</stp>
        <stp>FQ2 2011</stp>
        <stp>FQ2 2011</stp>
        <stp>[AMZ_2009-2018.xlsx]Cash Flow - Standardized!R58C12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8" s="4"/>
      </tp>
      <tp>
        <v>192</v>
        <stp/>
        <stp>##V3_BDHV12</stp>
        <stp>AMZN US Equity</stp>
        <stp>CF_ACT_CASH_PAID_FOR_INT_DEBT</stp>
        <stp>FQ4 2015</stp>
        <stp>FQ4 2015</stp>
        <stp>[AMZ_2009-2018.xlsx]Cash Flow - Standardized!R58C30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8" s="4"/>
      </tp>
      <tp>
        <v>199</v>
        <stp/>
        <stp>##V3_BDHV12</stp>
        <stp>AMZN US Equity</stp>
        <stp>NI_INCLUDING_MINORITY_INT_RATIO</stp>
        <stp>FQ3 2009</stp>
        <stp>FQ3 2009</stp>
        <stp>[AMZ_2009-2018.xlsx]Income - Adjusted!R38C5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38" s="2"/>
      </tp>
      <tp>
        <v>0</v>
        <stp/>
        <stp>##V3_BDHV12</stp>
        <stp>AMZN US Equity</stp>
        <stp>BS_OTHER_CUR_ASSET_LESS_PREPAY</stp>
        <stp>FQ3 2010</stp>
        <stp>FQ3 2010</stp>
        <stp>[AMZ_2009-2018.xlsx]Bal Sheet - Standardized!R21C9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1" s="3"/>
      </tp>
      <tp>
        <v>6</v>
        <stp/>
        <stp>##V3_BDHV12</stp>
        <stp>AMZN US Equity</stp>
        <stp>CF_ACT_CASH_PAID_FOR_INT_DEBT</stp>
        <stp>FQ1 2012</stp>
        <stp>FQ1 2012</stp>
        <stp>[AMZ_2009-2018.xlsx]Cash Flow - Standardized!R58C15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8" s="4"/>
      </tp>
      <tp>
        <v>0</v>
        <stp/>
        <stp>##V3_BDHV12</stp>
        <stp>AMZN US Equity</stp>
        <stp>PROC_FR_REPURCH_EQTY_DETAILED</stp>
        <stp>FQ2 2016</stp>
        <stp>FQ2 2016</stp>
        <stp>[AMZ_2009-2018.xlsx]Cash Flow - Standardized!R46C32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6" s="4"/>
      </tp>
      <tp>
        <v>121</v>
        <stp/>
        <stp>##V3_BDHV12</stp>
        <stp>AMZN US Equity</stp>
        <stp>PROC_FR_REPURCH_EQTY_DETAILED</stp>
        <stp>FQ1 2014</stp>
        <stp>FQ1 2014</stp>
        <stp>[AMZ_2009-2018.xlsx]Cash Flow - Standardized!R46C23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6" s="4"/>
      </tp>
      <tp>
        <v>0</v>
        <stp/>
        <stp>##V3_BDHV12</stp>
        <stp>AMZN US Equity</stp>
        <stp>PROC_FR_REPURCH_EQTY_DETAILED</stp>
        <stp>FQ3 2017</stp>
        <stp>FQ3 2017</stp>
        <stp>[AMZ_2009-2018.xlsx]Cash Flow - Standardized!R46C37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6" s="4"/>
      </tp>
      <tp>
        <v>231</v>
        <stp/>
        <stp>##V3_BDHV12</stp>
        <stp>AMZN US Equity</stp>
        <stp>EARN_FOR_COMMON</stp>
        <stp>FQ3 2010</stp>
        <stp>FQ3 2010</stp>
        <stp>[AMZ_2009-2018.xlsx]Income - Adjusted!R43C9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43" s="2"/>
      </tp>
      <tp>
        <v>-2</v>
        <stp/>
        <stp>##V3_BDHV12</stp>
        <stp>AMZN US Equity</stp>
        <stp>FREE_CASH_FLOW_EQUITY</stp>
        <stp>FQ2 2015</stp>
        <stp>FQ2 2015</stp>
        <stp>[AMZ_2009-2018.xlsx]Cash Flow - Standardized!R67C28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7" s="4"/>
      </tp>
      <tp>
        <v>-4368</v>
        <stp/>
        <stp>##V3_BDHV12</stp>
        <stp>AMZN US Equity</stp>
        <stp>FREE_CASH_FLOW_EQUITY</stp>
        <stp>FQ1 2017</stp>
        <stp>FQ1 2017</stp>
        <stp>[AMZ_2009-2018.xlsx]Cash Flow - Standardized!R67C35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7" s="4"/>
      </tp>
      <tp>
        <v>3095</v>
        <stp/>
        <stp>##V3_BDHV12</stp>
        <stp>AMZN US Equity</stp>
        <stp>FREE_CASH_FLOW_EQUITY</stp>
        <stp>FQ4 2010</stp>
        <stp>FQ4 2010</stp>
        <stp>[AMZ_2009-2018.xlsx]Cash Flow - Standardized!R67C10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7" s="4"/>
      </tp>
      <tp>
        <v>-24</v>
        <stp/>
        <stp>##V3_BDHV12</stp>
        <stp>AMZN US Equity</stp>
        <stp>FREE_CASH_FLOW_EQUITY</stp>
        <stp>FQ3 2014</stp>
        <stp>FQ3 2014</stp>
        <stp>[AMZ_2009-2018.xlsx]Cash Flow - Standardized!R67C25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7" s="4"/>
      </tp>
      <tp>
        <v>4677</v>
        <stp/>
        <stp>##V3_BDHV12</stp>
        <stp>AMZN US Equity</stp>
        <stp>FREE_CASH_FLOW_EQUITY</stp>
        <stp>FQ4 2013</stp>
        <stp>FQ4 2013</stp>
        <stp>[AMZ_2009-2018.xlsx]Cash Flow - Standardized!R67C22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7" s="4"/>
      </tp>
      <tp>
        <v>239</v>
        <stp/>
        <stp>##V3_BDHV12</stp>
        <stp>AMZN US Equity</stp>
        <stp>PROC_FR_REPURCH_EQTY_DETAILED</stp>
        <stp>FQ4 2012</stp>
        <stp>FQ4 2012</stp>
        <stp>[AMZ_2009-2018.xlsx]Cash Flow - Standardized!R46C18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6" s="4"/>
      </tp>
      <tp>
        <v>0</v>
        <stp/>
        <stp>##V3_BDHV12</stp>
        <stp>AMZN US Equity</stp>
        <stp>IS_ABNORMAL_ITEM</stp>
        <stp>FQ4 2017</stp>
        <stp>FQ4 2017</stp>
        <stp>[AMZ_2009-2018.xlsx]Income - Adjusted!R26C38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6" s="2"/>
      </tp>
      <tp>
        <v>5193</v>
        <stp/>
        <stp>##V3_BDHV12</stp>
        <stp>AMZN US Equity</stp>
        <stp>BS_CUR_LIAB</stp>
        <stp>FQ1 2010</stp>
        <stp>FQ1 2010</stp>
        <stp>[AMZ_2009-2018.xlsx]Bal Sheet - Standardized!R51C7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1" s="3"/>
      </tp>
      <tp>
        <v>26</v>
        <stp/>
        <stp>##V3_BDHV12</stp>
        <stp>AMZN US Equity</stp>
        <stp>IS_NONOP_INCOME_LOSS</stp>
        <stp>FQ1 2014</stp>
        <stp>FQ1 2014</stp>
        <stp>[AMZ_2009-2018.xlsx]Income - Adjusted!R19C23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9" s="2"/>
      </tp>
      <tp>
        <v>-51</v>
        <stp/>
        <stp>##V3_BDHV12</stp>
        <stp>AMZN US Equity</stp>
        <stp>IS_NONOP_INCOME_LOSS</stp>
        <stp>FQ3 2011</stp>
        <stp>FQ3 2011</stp>
        <stp>[AMZ_2009-2018.xlsx]Income - Adjusted!R19C13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9" s="2"/>
      </tp>
      <tp>
        <v>84</v>
        <stp/>
        <stp>##V3_BDHV12</stp>
        <stp>AMZN US Equity</stp>
        <stp>IS_NONOP_INCOME_LOSS</stp>
        <stp>FQ3 2016</stp>
        <stp>FQ3 2016</stp>
        <stp>[AMZ_2009-2018.xlsx]Income - Adjusted!R19C33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9" s="2"/>
      </tp>
      <tp>
        <v>0</v>
        <stp/>
        <stp>##V3_BDHV12</stp>
        <stp>AMZN US Equity</stp>
        <stp>IS_ABNORMAL_ITEM</stp>
        <stp>FQ1 2017</stp>
        <stp>FQ1 2017</stp>
        <stp>[AMZ_2009-2018.xlsx]Income - Adjusted!R26C35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6" s="2"/>
      </tp>
      <tp>
        <v>0</v>
        <stp/>
        <stp>##V3_BDHV12</stp>
        <stp>AMZN US Equity</stp>
        <stp>IS_ABNORMAL_ITEM</stp>
        <stp>FQ3 2017</stp>
        <stp>FQ3 2017</stp>
        <stp>[AMZ_2009-2018.xlsx]Income - Adjusted!R26C37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6" s="2"/>
      </tp>
      <tp>
        <v>0</v>
        <stp/>
        <stp>##V3_BDHV12</stp>
        <stp>AMZN US Equity</stp>
        <stp>IS_ABNORMAL_ITEM</stp>
        <stp>FQ2 2017</stp>
        <stp>FQ2 2017</stp>
        <stp>[AMZ_2009-2018.xlsx]Income - Adjusted!R26C36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6" s="2"/>
      </tp>
      <tp>
        <v>1005</v>
        <stp/>
        <stp>##V3_BDHV12</stp>
        <stp>AMZN US Equity</stp>
        <stp>EBIT</stp>
        <stp>FQ1 2017</stp>
        <stp>FQ1 2017</stp>
        <stp>[AMZ_2009-2018.xlsx]Income - Adjusted!R64C35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64" s="2"/>
      </tp>
      <tp>
        <v>192</v>
        <stp/>
        <stp>##V3_BDHV12</stp>
        <stp>AMZN US Equity</stp>
        <stp>EBIT</stp>
        <stp>FQ1 2012</stp>
        <stp>FQ1 2012</stp>
        <stp>[AMZ_2009-2018.xlsx]Income - Adjusted!R64C15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64" s="2"/>
      </tp>
      <tp>
        <v>-374</v>
        <stp/>
        <stp>##V3_BDHV12</stp>
        <stp>AMZN US Equity</stp>
        <stp>EBIT</stp>
        <stp>FQ3 2014</stp>
        <stp>FQ3 2014</stp>
        <stp>[AMZ_2009-2018.xlsx]Income - Adjusted!R64C25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64" s="2"/>
      </tp>
      <tp>
        <v>148</v>
        <stp/>
        <stp>##V3_BDHV12</stp>
        <stp>AMZN US Equity</stp>
        <stp>CF_NET_CASH_PAID_FOR_AQUIS</stp>
        <stp>FQ2 2013</stp>
        <stp>FQ2 2013</stp>
        <stp>[AMZ_2009-2018.xlsx]Cash Flow - Standardized!R63C20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3" s="4"/>
      </tp>
      <tp>
        <v>48</v>
        <stp/>
        <stp>##V3_BDHV12</stp>
        <stp>AMZN US Equity</stp>
        <stp>CF_NET_CASH_PAID_FOR_AQUIS</stp>
        <stp>FQ3 2011</stp>
        <stp>FQ3 2011</stp>
        <stp>[AMZ_2009-2018.xlsx]Cash Flow - Standardized!R63C13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3" s="4"/>
      </tp>
      <tp>
        <v>103</v>
        <stp/>
        <stp>##V3_BDHV12</stp>
        <stp>AMZN US Equity</stp>
        <stp>CF_NET_CASH_PAID_FOR_AQUIS</stp>
        <stp>FQ1 2013</stp>
        <stp>FQ1 2013</stp>
        <stp>[AMZ_2009-2018.xlsx]Cash Flow - Standardized!R63C19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3" s="4"/>
      </tp>
      <tp>
        <v>644</v>
        <stp/>
        <stp>##V3_BDHV12</stp>
        <stp>AMZN US Equity</stp>
        <stp>EBITDA</stp>
        <stp>FQ4 2010</stp>
        <stp>FQ4 2010</stp>
        <stp>[AMZ_2009-2018.xlsx]Income - Adjusted!R61C10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61" s="2"/>
      </tp>
      <tp>
        <v>2860</v>
        <stp/>
        <stp>##V3_BDHV12</stp>
        <stp>AMZN US Equity</stp>
        <stp>EBITDA</stp>
        <stp>FQ4 2015</stp>
        <stp>FQ4 2015</stp>
        <stp>[AMZ_2009-2018.xlsx]Income - Adjusted!R61C30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61" s="2"/>
      </tp>
      <tp>
        <v>1.9085000000000001</v>
        <stp/>
        <stp>##V3_BDHV12</stp>
        <stp>AMZN US Equity</stp>
        <stp>CASH_FLOW_PER_SH</stp>
        <stp>FQ3 2010</stp>
        <stp>FQ3 2010</stp>
        <stp>[AMZ_2009-2018.xlsx]Per Share!R22C9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22" s="5"/>
      </tp>
      <tp>
        <v>835</v>
        <stp/>
        <stp>##V3_BDHV12</stp>
        <stp>AMZN US Equity</stp>
        <stp>EBITDA</stp>
        <stp>FQ2 2013</stp>
        <stp>FQ2 2013</stp>
        <stp>[AMZ_2009-2018.xlsx]Income - Adjusted!R61C20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61" s="2"/>
      </tp>
      <tp>
        <v>6613</v>
        <stp/>
        <stp>##V3_BDHV12</stp>
        <stp>AMZN US Equity</stp>
        <stp>EBITDA</stp>
        <stp>FQ2 2018</stp>
        <stp>FQ2 2018</stp>
        <stp>[AMZ_2009-2018.xlsx]Income - Adjusted!R61C40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61" s="2"/>
      </tp>
      <tp>
        <v>40520</v>
        <stp/>
        <stp>##V3_BDHV12</stp>
        <stp>AMZN US Equity</stp>
        <stp>BS_CUR_LIAB</stp>
        <stp>FQ2 2017</stp>
        <stp>FQ2 2017</stp>
        <stp>[AMZ_2009-2018.xlsx]Bal Sheet - Standardized!R51C36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1" s="3"/>
      </tp>
      <tp>
        <v>23177</v>
        <stp/>
        <stp>##V3_BDHV12</stp>
        <stp>AMZN US Equity</stp>
        <stp>BS_CUR_LIAB</stp>
        <stp>FQ1 2015</stp>
        <stp>FQ1 2015</stp>
        <stp>[AMZ_2009-2018.xlsx]Bal Sheet - Standardized!R51C27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1" s="3"/>
      </tp>
      <tp>
        <v>33498</v>
        <stp/>
        <stp>##V3_BDHV12</stp>
        <stp>AMZN US Equity</stp>
        <stp>BS_CUR_LIAB</stp>
        <stp>FQ3 2016</stp>
        <stp>FQ3 2016</stp>
        <stp>[AMZ_2009-2018.xlsx]Bal Sheet - Standardized!R51C33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1" s="3"/>
      </tp>
      <tp>
        <v>-57</v>
        <stp/>
        <stp>##V3_BDHV12</stp>
        <stp>AMZN US Equity</stp>
        <stp>NET_INCOME</stp>
        <stp>FQ1 2015</stp>
        <stp>FQ1 2015</stp>
        <stp>[AMZ_2009-2018.xlsx]Income - Adjusted!R40C27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40" s="2"/>
      </tp>
      <tp>
        <v>256</v>
        <stp/>
        <stp>##V3_BDHV12</stp>
        <stp>AMZN US Equity</stp>
        <stp>NET_INCOME</stp>
        <stp>FQ3 2017</stp>
        <stp>FQ3 2017</stp>
        <stp>[AMZ_2009-2018.xlsx]Income - Adjusted!R40C37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40" s="2"/>
      </tp>
      <tp>
        <v>-274</v>
        <stp/>
        <stp>##V3_BDHV12</stp>
        <stp>AMZN US Equity</stp>
        <stp>NET_INCOME</stp>
        <stp>FQ3 2012</stp>
        <stp>FQ3 2012</stp>
        <stp>[AMZ_2009-2018.xlsx]Income - Adjusted!R40C17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40" s="2"/>
      </tp>
      <tp>
        <v>0</v>
        <stp/>
        <stp>##V3_BDHV12</stp>
        <stp>AMZN US Equity</stp>
        <stp>EQY_DPS</stp>
        <stp>FQ4 2014</stp>
        <stp>FQ4 2014</stp>
        <stp>[AMZ_2009-2018.xlsx]Income - Adjusted!R69C26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69" s="2"/>
      </tp>
      <tp t="s">
        <v>—</v>
        <stp/>
        <stp>##V3_BDHV12</stp>
        <stp>AMZN US Equity</stp>
        <stp>IS_LEGAL_LITIGATION_SETTLEMENT</stp>
        <stp>FQ4 2009</stp>
        <stp>FQ4 2009</stp>
        <stp>[AMZ_2009-2018.xlsx]Income - Adjusted!R28C6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8" s="2"/>
      </tp>
      <tp>
        <v>86</v>
        <stp/>
        <stp>##V3_BDHV12</stp>
        <stp>AMZN US Equity</stp>
        <stp>CF_CASH_PAID_FOR_TAX</stp>
        <stp>FQ1 2013</stp>
        <stp>FQ1 2013</stp>
        <stp>[AMZ_2009-2018.xlsx]Cash Flow - Standardized!R57C19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7" s="4"/>
      </tp>
      <tp>
        <v>330</v>
        <stp/>
        <stp>##V3_BDHV12</stp>
        <stp>AMZN US Equity</stp>
        <stp>IS_INT_EXPENSE</stp>
        <stp>FQ1 2018</stp>
        <stp>FQ1 2018</stp>
        <stp>[AMZ_2009-2018.xlsx]Income - Adjusted!R21C39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21" s="2"/>
      </tp>
      <tp>
        <v>33</v>
        <stp/>
        <stp>##V3_BDHV12</stp>
        <stp>AMZN US Equity</stp>
        <stp>IS_INT_EXPENSE</stp>
        <stp>FQ1 2013</stp>
        <stp>FQ1 2013</stp>
        <stp>[AMZ_2009-2018.xlsx]Income - Adjusted!R21C19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1" s="2"/>
      </tp>
      <tp>
        <v>116</v>
        <stp/>
        <stp>##V3_BDHV12</stp>
        <stp>AMZN US Equity</stp>
        <stp>IS_INT_EXPENSE</stp>
        <stp>FQ3 2015</stp>
        <stp>FQ3 2015</stp>
        <stp>[AMZ_2009-2018.xlsx]Income - Adjusted!R21C29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1" s="2"/>
      </tp>
      <tp>
        <v>0</v>
        <stp/>
        <stp>##V3_BDHV12</stp>
        <stp>AMZN US Equity</stp>
        <stp>EQY_DPS</stp>
        <stp>FQ2 2012</stp>
        <stp>FQ2 2012</stp>
        <stp>[AMZ_2009-2018.xlsx]Income - Adjusted!R69C16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69" s="2"/>
      </tp>
      <tp>
        <v>0</v>
        <stp/>
        <stp>##V3_BDHV12</stp>
        <stp>AMZN US Equity</stp>
        <stp>EQY_DPS</stp>
        <stp>FQ2 2017</stp>
        <stp>FQ2 2017</stp>
        <stp>[AMZ_2009-2018.xlsx]Income - Adjusted!R69C36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69" s="2"/>
      </tp>
      <tp t="s">
        <v>—</v>
        <stp/>
        <stp>##V3_BDHV12</stp>
        <stp>AMZN US Equity</stp>
        <stp>BS_ACCUM_DEPR</stp>
        <stp>FQ3 2009</stp>
        <stp>FQ3 2009</stp>
        <stp>[AMZ_2009-2018.xlsx]Bal Sheet - Standardized!R25C5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5" s="3"/>
      </tp>
      <tp>
        <v>34</v>
        <stp/>
        <stp>##V3_BDHV12</stp>
        <stp>AMZN US Equity</stp>
        <stp>CF_CASH_PAID_FOR_TAX</stp>
        <stp>FQ2 2013</stp>
        <stp>FQ2 2013</stp>
        <stp>[AMZ_2009-2018.xlsx]Cash Flow - Standardized!R57C20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7" s="4"/>
      </tp>
      <tp t="s">
        <v>—</v>
        <stp/>
        <stp>##V3_BDHV12</stp>
        <stp>AMZN US Equity</stp>
        <stp>INVTRY_FINISHED_GOODS</stp>
        <stp>FQ1 2009</stp>
        <stp>FQ1 2009</stp>
        <stp>[AMZ_2009-2018.xlsx]Bal Sheet - Standardized!R16C3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3"/>
      </tp>
      <tp>
        <v>12</v>
        <stp/>
        <stp>##V3_BDHV12</stp>
        <stp>AMZN US Equity</stp>
        <stp>CF_CASH_PAID_FOR_TAX</stp>
        <stp>FQ3 2011</stp>
        <stp>FQ3 2011</stp>
        <stp>[AMZ_2009-2018.xlsx]Cash Flow - Standardized!R57C13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7" s="4"/>
      </tp>
      <tp t="s">
        <v>—</v>
        <stp/>
        <stp>##V3_BDHV12</stp>
        <stp>AMZN US Equity</stp>
        <stp>BS_ACCUM_DEPR</stp>
        <stp>FQ2 2010</stp>
        <stp>FQ2 2010</stp>
        <stp>[AMZ_2009-2018.xlsx]Bal Sheet - Standardized!R25C8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5" s="3"/>
      </tp>
      <tp>
        <v>167</v>
        <stp/>
        <stp>##V3_BDHV12</stp>
        <stp>AMZN US Equity</stp>
        <stp>CF_ACCT_RCV_UNBILLED_REV</stp>
        <stp>FQ1 2009</stp>
        <stp>FQ1 2009</stp>
        <stp>[AMZ_2009-2018.xlsx]Cash Flow - Standardized!R14C3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4"/>
      </tp>
      <tp>
        <v>450</v>
        <stp/>
        <stp>##V3_BDHV12</stp>
        <stp>AMZN US Equity</stp>
        <stp>IS_AVG_NUM_SH_FOR_EPS</stp>
        <stp>FQ4 2010</stp>
        <stp>FQ4 2010</stp>
        <stp>[AMZ_2009-2018.xlsx]Per Share!R8C10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8" s="5"/>
      </tp>
      <tp>
        <v>461</v>
        <stp/>
        <stp>##V3_BDHV12</stp>
        <stp>AMZN US Equity</stp>
        <stp>IS_AVG_NUM_SH_FOR_EPS</stp>
        <stp>FQ2 2014</stp>
        <stp>FQ2 2014</stp>
        <stp>[AMZ_2009-2018.xlsx]Per Share!R8C24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8" s="5"/>
      </tp>
      <tp>
        <v>481</v>
        <stp/>
        <stp>##V3_BDHV12</stp>
        <stp>AMZN US Equity</stp>
        <stp>IS_AVG_NUM_SH_FOR_EPS</stp>
        <stp>FQ3 2017</stp>
        <stp>FQ3 2017</stp>
        <stp>[AMZ_2009-2018.xlsx]Per Share!R8C37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8" s="5"/>
      </tp>
      <tp>
        <v>451</v>
        <stp/>
        <stp>##V3_BDHV12</stp>
        <stp>AMZN US Equity</stp>
        <stp>IS_AVG_NUM_SH_FOR_EPS</stp>
        <stp>FQ1 2011</stp>
        <stp>FQ1 2011</stp>
        <stp>[AMZ_2009-2018.xlsx]Per Share!R8C11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8" s="5"/>
      </tp>
      <tp t="s">
        <v>—</v>
        <stp/>
        <stp>##V3_BDHV12</stp>
        <stp>AMZN US Equity</stp>
        <stp>IS_MERGER_ACQUISITION_EXPENSE</stp>
        <stp>FQ2 2018</stp>
        <stp>FQ2 2018</stp>
        <stp>[AMZ_2009-2018.xlsx]Income - Adjusted!R27C40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7" s="2"/>
      </tp>
      <tp>
        <v>187</v>
        <stp/>
        <stp>##V3_BDHV12</stp>
        <stp>AMZN US Equity</stp>
        <stp>CF_ACT_CASH_PAID_FOR_INT_DEBT</stp>
        <stp>FQ2 2015</stp>
        <stp>FQ2 2015</stp>
        <stp>[AMZ_2009-2018.xlsx]Cash Flow - Standardized!R58C28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8" s="4"/>
      </tp>
      <tp>
        <v>3</v>
        <stp/>
        <stp>##V3_BDHV12</stp>
        <stp>AMZN US Equity</stp>
        <stp>CF_ACT_CASH_PAID_FOR_INT_DEBT</stp>
        <stp>FQ4 2010</stp>
        <stp>FQ4 2010</stp>
        <stp>[AMZ_2009-2018.xlsx]Cash Flow - Standardized!R58C10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8" s="4"/>
      </tp>
      <tp>
        <v>37</v>
        <stp/>
        <stp>##V3_BDHV12</stp>
        <stp>AMZN US Equity</stp>
        <stp>CF_ACT_CASH_PAID_FOR_INT_DEBT</stp>
        <stp>FQ4 2013</stp>
        <stp>FQ4 2013</stp>
        <stp>[AMZ_2009-2018.xlsx]Cash Flow - Standardized!R58C22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8" s="4"/>
      </tp>
      <tp>
        <v>7</v>
        <stp/>
        <stp>##V3_BDHV12</stp>
        <stp>AMZN US Equity</stp>
        <stp>CF_ACT_CASH_PAID_FOR_INT_DEBT</stp>
        <stp>FQ3 2014</stp>
        <stp>FQ3 2014</stp>
        <stp>[AMZ_2009-2018.xlsx]Cash Flow - Standardized!R58C25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8" s="4"/>
      </tp>
      <tp>
        <v>65</v>
        <stp/>
        <stp>##V3_BDHV12</stp>
        <stp>AMZN US Equity</stp>
        <stp>CF_ACT_CASH_PAID_FOR_INT_DEBT</stp>
        <stp>FQ1 2017</stp>
        <stp>FQ1 2017</stp>
        <stp>[AMZ_2009-2018.xlsx]Cash Flow - Standardized!R58C35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8" s="4"/>
      </tp>
      <tp>
        <v>66</v>
        <stp/>
        <stp>##V3_BDHV12</stp>
        <stp>AMZN US Equity</stp>
        <stp>PROC_FR_REPURCH_EQTY_DETAILED</stp>
        <stp>FQ3 2012</stp>
        <stp>FQ3 2012</stp>
        <stp>[AMZ_2009-2018.xlsx]Cash Flow - Standardized!R46C17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6" s="4"/>
      </tp>
      <tp>
        <v>8.2794000000000008</v>
        <stp/>
        <stp>##V3_BDHV12</stp>
        <stp>AMZN US Equity</stp>
        <stp>BOOK_VAL_PER_SH</stp>
        <stp>FQ3 2009</stp>
        <stp>FQ3 2009</stp>
        <stp>[AMZ_2009-2018.xlsx]Per Share!R26C5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26" s="5"/>
      </tp>
      <tp>
        <v>120</v>
        <stp/>
        <stp>##V3_BDHV12</stp>
        <stp>AMZN US Equity</stp>
        <stp>FREE_CASH_FLOW_EQUITY</stp>
        <stp>FQ3 2013</stp>
        <stp>FQ3 2013</stp>
        <stp>[AMZ_2009-2018.xlsx]Cash Flow - Standardized!R67C21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7" s="4"/>
      </tp>
      <tp>
        <v>10895</v>
        <stp/>
        <stp>##V3_BDHV12</stp>
        <stp>AMZN US Equity</stp>
        <stp>FREE_CASH_FLOW_EQUITY</stp>
        <stp>FQ4 2014</stp>
        <stp>FQ4 2014</stp>
        <stp>[AMZ_2009-2018.xlsx]Cash Flow - Standardized!R67C26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7" s="4"/>
      </tp>
      <tp>
        <v>-116</v>
        <stp/>
        <stp>##V3_BDHV12</stp>
        <stp>AMZN US Equity</stp>
        <stp>FREE_CASH_FLOW_EQUITY</stp>
        <stp>FQ2 2011</stp>
        <stp>FQ2 2011</stp>
        <stp>[AMZ_2009-2018.xlsx]Cash Flow - Standardized!R67C12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7" s="4"/>
      </tp>
      <tp>
        <v>0</v>
        <stp/>
        <stp>##V3_BDHV12</stp>
        <stp>AMZN US Equity</stp>
        <stp>PROC_FR_REPURCH_EQTY_DETAILED</stp>
        <stp>FQ4 2017</stp>
        <stp>FQ4 2017</stp>
        <stp>[AMZ_2009-2018.xlsx]Cash Flow - Standardized!R46C38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6" s="4"/>
      </tp>
      <tp>
        <v>-2909</v>
        <stp/>
        <stp>##V3_BDHV12</stp>
        <stp>AMZN US Equity</stp>
        <stp>FREE_CASH_FLOW_EQUITY</stp>
        <stp>FQ1 2012</stp>
        <stp>FQ1 2012</stp>
        <stp>[AMZ_2009-2018.xlsx]Cash Flow - Standardized!R67C15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7" s="4"/>
      </tp>
      <tp>
        <v>5906</v>
        <stp/>
        <stp>##V3_BDHV12</stp>
        <stp>AMZN US Equity</stp>
        <stp>FREE_CASH_FLOW_EQUITY</stp>
        <stp>FQ4 2015</stp>
        <stp>FQ4 2015</stp>
        <stp>[AMZ_2009-2018.xlsx]Cash Flow - Standardized!R67C30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7" s="4"/>
      </tp>
      <tp>
        <v>0</v>
        <stp/>
        <stp>##V3_BDHV12</stp>
        <stp>AMZN US Equity</stp>
        <stp>IS_ABNORMAL_ITEM</stp>
        <stp>FQ1 2016</stp>
        <stp>FQ1 2016</stp>
        <stp>[AMZ_2009-2018.xlsx]Income - Adjusted!R26C31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6" s="2"/>
      </tp>
      <tp>
        <v>0</v>
        <stp/>
        <stp>##V3_BDHV12</stp>
        <stp>AMZN US Equity</stp>
        <stp>IS_ABNORMAL_ITEM</stp>
        <stp>FQ3 2016</stp>
        <stp>FQ3 2016</stp>
        <stp>[AMZ_2009-2018.xlsx]Income - Adjusted!R26C33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6" s="2"/>
      </tp>
      <tp>
        <v>-24</v>
        <stp/>
        <stp>##V3_BDHV12</stp>
        <stp>AMZN US Equity</stp>
        <stp>IS_NONOP_INCOME_LOSS</stp>
        <stp>FQ2 2011</stp>
        <stp>FQ2 2011</stp>
        <stp>[AMZ_2009-2018.xlsx]Income - Adjusted!R19C12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9" s="2"/>
      </tp>
      <tp>
        <v>106</v>
        <stp/>
        <stp>##V3_BDHV12</stp>
        <stp>AMZN US Equity</stp>
        <stp>IS_NONOP_INCOME_LOSS</stp>
        <stp>FQ2 2016</stp>
        <stp>FQ2 2016</stp>
        <stp>[AMZ_2009-2018.xlsx]Income - Adjusted!R19C32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9" s="2"/>
      </tp>
      <tp>
        <v>0</v>
        <stp/>
        <stp>##V3_BDHV12</stp>
        <stp>AMZN US Equity</stp>
        <stp>IS_ABNORMAL_ITEM</stp>
        <stp>FQ2 2016</stp>
        <stp>FQ2 2016</stp>
        <stp>[AMZ_2009-2018.xlsx]Income - Adjusted!R26C32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6" s="2"/>
      </tp>
      <tp>
        <v>59</v>
        <stp/>
        <stp>##V3_BDHV12</stp>
        <stp>AMZN US Equity</stp>
        <stp>IS_NONOP_INCOME_LOSS</stp>
        <stp>FQ4 2013</stp>
        <stp>FQ4 2013</stp>
        <stp>[AMZ_2009-2018.xlsx]Income - Adjusted!R19C22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9" s="2"/>
      </tp>
      <tp>
        <v>5</v>
        <stp/>
        <stp>##V3_BDHV12</stp>
        <stp>AMZN US Equity</stp>
        <stp>IS_ABNORMAL_ITEM</stp>
        <stp>FQ4 2016</stp>
        <stp>FQ4 2016</stp>
        <stp>[AMZ_2009-2018.xlsx]Income - Adjusted!R26C34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6" s="2"/>
      </tp>
      <tp>
        <v>3410</v>
        <stp/>
        <stp>##V3_BDHV12</stp>
        <stp>AMZN US Equity</stp>
        <stp>BS_CUR_LIAB</stp>
        <stp>FQ1 2009</stp>
        <stp>FQ1 2009</stp>
        <stp>[AMZ_2009-2018.xlsx]Bal Sheet - Standardized!R51C3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1" s="3"/>
      </tp>
      <tp>
        <v>317</v>
        <stp/>
        <stp>##V3_BDHV12</stp>
        <stp>AMZN US Equity</stp>
        <stp>CF_NET_CASH_PAID_FOR_AQUIS</stp>
        <stp>FQ4 2015</stp>
        <stp>FQ4 2015</stp>
        <stp>[AMZ_2009-2018.xlsx]Cash Flow - Standardized!R63C30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3" s="4"/>
      </tp>
      <tp>
        <v>50</v>
        <stp/>
        <stp>##V3_BDHV12</stp>
        <stp>AMZN US Equity</stp>
        <stp>CF_NET_CASH_PAID_FOR_AQUIS</stp>
        <stp>FQ1 2012</stp>
        <stp>FQ1 2012</stp>
        <stp>[AMZ_2009-2018.xlsx]Cash Flow - Standardized!R63C15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3" s="4"/>
      </tp>
      <tp>
        <v>-15</v>
        <stp/>
        <stp>##V3_BDHV12</stp>
        <stp>AMZN US Equity</stp>
        <stp>EBIT</stp>
        <stp>FQ2 2014</stp>
        <stp>FQ2 2014</stp>
        <stp>[AMZ_2009-2018.xlsx]Income - Adjusted!R64C24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64" s="2"/>
      </tp>
      <tp>
        <v>260</v>
        <stp/>
        <stp>##V3_BDHV12</stp>
        <stp>AMZN US Equity</stp>
        <stp>EBIT</stp>
        <stp>FQ4 2011</stp>
        <stp>FQ4 2011</stp>
        <stp>[AMZ_2009-2018.xlsx]Income - Adjusted!R64C14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64" s="2"/>
      </tp>
      <tp>
        <v>1255</v>
        <stp/>
        <stp>##V3_BDHV12</stp>
        <stp>AMZN US Equity</stp>
        <stp>EBIT</stp>
        <stp>FQ4 2016</stp>
        <stp>FQ4 2016</stp>
        <stp>[AMZ_2009-2018.xlsx]Income - Adjusted!R64C34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64" s="2"/>
      </tp>
      <tp>
        <v>469</v>
        <stp/>
        <stp>##V3_BDHV12</stp>
        <stp>AMZN US Equity</stp>
        <stp>CF_NET_CASH_PAID_FOR_AQUIS</stp>
        <stp>FQ2 2011</stp>
        <stp>FQ2 2011</stp>
        <stp>[AMZ_2009-2018.xlsx]Cash Flow - Standardized!R63C12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3" s="4"/>
      </tp>
      <tp>
        <v>53</v>
        <stp/>
        <stp>##V3_BDHV12</stp>
        <stp>AMZN US Equity</stp>
        <stp>CF_NET_CASH_PAID_FOR_AQUIS</stp>
        <stp>FQ4 2014</stp>
        <stp>FQ4 2014</stp>
        <stp>[AMZ_2009-2018.xlsx]Cash Flow - Standardized!R63C26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3" s="4"/>
      </tp>
      <tp>
        <v>1</v>
        <stp/>
        <stp>##V3_BDHV12</stp>
        <stp>AMZN US Equity</stp>
        <stp>CF_NET_CASH_PAID_FOR_AQUIS</stp>
        <stp>FQ3 2013</stp>
        <stp>FQ3 2013</stp>
        <stp>[AMZ_2009-2018.xlsx]Cash Flow - Standardized!R63C21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3" s="4"/>
      </tp>
      <tp>
        <v>0.21</v>
        <stp/>
        <stp>##V3_BDHV12</stp>
        <stp>AMZN US Equity</stp>
        <stp>IS_EPS</stp>
        <stp>FQ4 2012</stp>
        <stp>FQ4 2012</stp>
        <stp>[AMZ_2009-2018.xlsx]Per Share!R14C18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14" s="5"/>
      </tp>
      <tp>
        <v>0.52</v>
        <stp/>
        <stp>##V3_BDHV12</stp>
        <stp>AMZN US Equity</stp>
        <stp>IS_EPS</stp>
        <stp>FQ4 2013</stp>
        <stp>FQ4 2013</stp>
        <stp>[AMZ_2009-2018.xlsx]Per Share!R14C22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14" s="5"/>
      </tp>
      <tp>
        <v>0.93</v>
        <stp/>
        <stp>##V3_BDHV12</stp>
        <stp>AMZN US Equity</stp>
        <stp>IS_EPS</stp>
        <stp>FQ4 2010</stp>
        <stp>FQ4 2010</stp>
        <stp>[AMZ_2009-2018.xlsx]Per Share!R14C10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14" s="5"/>
      </tp>
      <tp>
        <v>0.39</v>
        <stp/>
        <stp>##V3_BDHV12</stp>
        <stp>AMZN US Equity</stp>
        <stp>IS_EPS</stp>
        <stp>FQ4 2011</stp>
        <stp>FQ4 2011</stp>
        <stp>[AMZ_2009-2018.xlsx]Per Share!R14C14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14" s="5"/>
      </tp>
      <tp>
        <v>1.5699999999999998</v>
        <stp/>
        <stp>##V3_BDHV12</stp>
        <stp>AMZN US Equity</stp>
        <stp>IS_EPS</stp>
        <stp>FQ4 2016</stp>
        <stp>FQ4 2016</stp>
        <stp>[AMZ_2009-2018.xlsx]Per Share!R14C34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14" s="5"/>
      </tp>
      <tp>
        <v>3.85</v>
        <stp/>
        <stp>##V3_BDHV12</stp>
        <stp>AMZN US Equity</stp>
        <stp>IS_EPS</stp>
        <stp>FQ4 2017</stp>
        <stp>FQ4 2017</stp>
        <stp>[AMZ_2009-2018.xlsx]Per Share!R14C38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14" s="5"/>
      </tp>
      <tp>
        <v>0.46</v>
        <stp/>
        <stp>##V3_BDHV12</stp>
        <stp>AMZN US Equity</stp>
        <stp>IS_EPS</stp>
        <stp>FQ4 2014</stp>
        <stp>FQ4 2014</stp>
        <stp>[AMZ_2009-2018.xlsx]Per Share!R14C26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14" s="5"/>
      </tp>
      <tp>
        <v>1.03</v>
        <stp/>
        <stp>##V3_BDHV12</stp>
        <stp>AMZN US Equity</stp>
        <stp>IS_EPS</stp>
        <stp>FQ4 2015</stp>
        <stp>FQ4 2015</stp>
        <stp>[AMZ_2009-2018.xlsx]Per Share!R14C30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14" s="5"/>
      </tp>
      <tp t="s">
        <v>—</v>
        <stp/>
        <stp>##V3_BDHV12</stp>
        <stp>AMZN US Equity</stp>
        <stp>PENSION_LIABILITIES</stp>
        <stp>FQ1 2018</stp>
        <stp>FQ1 2018</stp>
        <stp>[AMZ_2009-2018.xlsx]Bal Sheet - Standardized!R57C39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7" s="3"/>
      </tp>
      <tp>
        <v>19002</v>
        <stp/>
        <stp>##V3_BDHV12</stp>
        <stp>AMZN US Equity</stp>
        <stp>BS_CUR_LIAB</stp>
        <stp>FQ4 2012</stp>
        <stp>FQ4 2012</stp>
        <stp>[AMZ_2009-2018.xlsx]Bal Sheet - Standardized!R51C18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1" s="3"/>
      </tp>
      <tp>
        <v>2898</v>
        <stp/>
        <stp>##V3_BDHV12</stp>
        <stp>AMZN US Equity</stp>
        <stp>EBITDA</stp>
        <stp>FQ1 2016</stp>
        <stp>FQ1 2016</stp>
        <stp>[AMZ_2009-2018.xlsx]Income - Adjusted!R61C31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61" s="2"/>
      </tp>
      <tp>
        <v>524</v>
        <stp/>
        <stp>##V3_BDHV12</stp>
        <stp>AMZN US Equity</stp>
        <stp>EBITDA</stp>
        <stp>FQ1 2011</stp>
        <stp>FQ1 2011</stp>
        <stp>[AMZ_2009-2018.xlsx]Income - Adjusted!R61C11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61" s="2"/>
      </tp>
      <tp>
        <v>0.55930000000000002</v>
        <stp/>
        <stp>##V3_BDHV12</stp>
        <stp>AMZN US Equity</stp>
        <stp>CASH_FLOW_PER_SH</stp>
        <stp>FQ2 2010</stp>
        <stp>FQ2 2010</stp>
        <stp>[AMZ_2009-2018.xlsx]Per Share!R22C8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22" s="5"/>
      </tp>
      <tp>
        <v>809</v>
        <stp/>
        <stp>##V3_BDHV12</stp>
        <stp>AMZN US Equity</stp>
        <stp>EBITDA</stp>
        <stp>FQ3 2013</stp>
        <stp>FQ3 2013</stp>
        <stp>[AMZ_2009-2018.xlsx]Income - Adjusted!R61C21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61" s="2"/>
      </tp>
      <tp>
        <v>47072</v>
        <stp/>
        <stp>##V3_BDHV12</stp>
        <stp>AMZN US Equity</stp>
        <stp>BS_CUR_LIAB</stp>
        <stp>FQ3 2017</stp>
        <stp>FQ3 2017</stp>
        <stp>[AMZ_2009-2018.xlsx]Bal Sheet - Standardized!R51C37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1" s="3"/>
      </tp>
      <tp>
        <v>214</v>
        <stp/>
        <stp>##V3_BDHV12</stp>
        <stp>AMZN US Equity</stp>
        <stp>NET_INCOME</stp>
        <stp>FQ4 2014</stp>
        <stp>FQ4 2014</stp>
        <stp>[AMZ_2009-2018.xlsx]Income - Adjusted!R40C26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40" s="2"/>
      </tp>
      <tp>
        <v>29587</v>
        <stp/>
        <stp>##V3_BDHV12</stp>
        <stp>AMZN US Equity</stp>
        <stp>BS_CUR_LIAB</stp>
        <stp>FQ2 2016</stp>
        <stp>FQ2 2016</stp>
        <stp>[AMZ_2009-2018.xlsx]Bal Sheet - Standardized!R51C32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1" s="3"/>
      </tp>
      <tp>
        <v>197</v>
        <stp/>
        <stp>##V3_BDHV12</stp>
        <stp>AMZN US Equity</stp>
        <stp>NET_INCOME</stp>
        <stp>FQ2 2017</stp>
        <stp>FQ2 2017</stp>
        <stp>[AMZ_2009-2018.xlsx]Income - Adjusted!R40C36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40" s="2"/>
      </tp>
      <tp>
        <v>7</v>
        <stp/>
        <stp>##V3_BDHV12</stp>
        <stp>AMZN US Equity</stp>
        <stp>NET_INCOME</stp>
        <stp>FQ2 2012</stp>
        <stp>FQ2 2012</stp>
        <stp>[AMZ_2009-2018.xlsx]Income - Adjusted!R40C16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40" s="2"/>
      </tp>
      <tp>
        <v>18357</v>
        <stp/>
        <stp>##V3_BDHV12</stp>
        <stp>AMZN US Equity</stp>
        <stp>BS_CUR_LIAB</stp>
        <stp>FQ1 2014</stp>
        <stp>FQ1 2014</stp>
        <stp>[AMZ_2009-2018.xlsx]Bal Sheet - Standardized!R51C23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1" s="3"/>
      </tp>
      <tp>
        <v>339</v>
        <stp/>
        <stp>##V3_BDHV12</stp>
        <stp>AMZN US Equity</stp>
        <stp>IS_INT_EXPENSE</stp>
        <stp>FQ4 2017</stp>
        <stp>FQ4 2017</stp>
        <stp>[AMZ_2009-2018.xlsx]Income - Adjusted!R21C38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21" s="2"/>
      </tp>
      <tp>
        <v>28</v>
        <stp/>
        <stp>##V3_BDHV12</stp>
        <stp>AMZN US Equity</stp>
        <stp>IS_INT_EXPENSE</stp>
        <stp>FQ4 2012</stp>
        <stp>FQ4 2012</stp>
        <stp>[AMZ_2009-2018.xlsx]Income - Adjusted!R21C18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1" s="2"/>
      </tp>
      <tp>
        <v>0</v>
        <stp/>
        <stp>##V3_BDHV12</stp>
        <stp>AMZN US Equity</stp>
        <stp>EQY_DPS</stp>
        <stp>FQ1 2015</stp>
        <stp>FQ1 2015</stp>
        <stp>[AMZ_2009-2018.xlsx]Income - Adjusted!R69C27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69" s="2"/>
      </tp>
      <tp t="s">
        <v>—</v>
        <stp/>
        <stp>##V3_BDHV12</stp>
        <stp>AMZN US Equity</stp>
        <stp>INVTRY_FINISHED_GOODS</stp>
        <stp>FQ1 2010</stp>
        <stp>FQ1 2010</stp>
        <stp>[AMZ_2009-2018.xlsx]Bal Sheet - Standardized!R16C7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6" s="3"/>
      </tp>
      <tp>
        <v>114</v>
        <stp/>
        <stp>##V3_BDHV12</stp>
        <stp>AMZN US Equity</stp>
        <stp>IS_INT_EXPENSE</stp>
        <stp>FQ2 2015</stp>
        <stp>FQ2 2015</stp>
        <stp>[AMZ_2009-2018.xlsx]Income - Adjusted!R21C28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1" s="2"/>
      </tp>
      <tp>
        <v>0</v>
        <stp/>
        <stp>##V3_BDHV12</stp>
        <stp>AMZN US Equity</stp>
        <stp>EQY_DPS</stp>
        <stp>FQ3 2012</stp>
        <stp>FQ3 2012</stp>
        <stp>[AMZ_2009-2018.xlsx]Income - Adjusted!R69C17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69" s="2"/>
      </tp>
      <tp>
        <v>0</v>
        <stp/>
        <stp>##V3_BDHV12</stp>
        <stp>AMZN US Equity</stp>
        <stp>EQY_DPS</stp>
        <stp>FQ3 2017</stp>
        <stp>FQ3 2017</stp>
        <stp>[AMZ_2009-2018.xlsx]Income - Adjusted!R69C37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69" s="2"/>
      </tp>
      <tp t="s">
        <v>—</v>
        <stp/>
        <stp>##V3_BDHV12</stp>
        <stp>AMZN US Equity</stp>
        <stp>BS_ACCUM_DEPR</stp>
        <stp>FQ2 2009</stp>
        <stp>FQ2 2009</stp>
        <stp>[AMZ_2009-2018.xlsx]Bal Sheet - Standardized!R25C4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5" s="3"/>
      </tp>
      <tp>
        <v>-1</v>
        <stp/>
        <stp>##V3_BDHV12</stp>
        <stp>AMZN US Equity</stp>
        <stp>CF_CASH_PAID_FOR_TAX</stp>
        <stp>FQ2 2011</stp>
        <stp>FQ2 2011</stp>
        <stp>[AMZ_2009-2018.xlsx]Cash Flow - Standardized!R57C12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7" s="4"/>
      </tp>
      <tp>
        <v>30</v>
        <stp/>
        <stp>##V3_BDHV12</stp>
        <stp>AMZN US Equity</stp>
        <stp>CF_CASH_PAID_FOR_TAX</stp>
        <stp>FQ4 2014</stp>
        <stp>FQ4 2014</stp>
        <stp>[AMZ_2009-2018.xlsx]Cash Flow - Standardized!R57C26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7" s="4"/>
      </tp>
      <tp>
        <v>23</v>
        <stp/>
        <stp>##V3_BDHV12</stp>
        <stp>AMZN US Equity</stp>
        <stp>CF_CASH_PAID_FOR_TAX</stp>
        <stp>FQ3 2013</stp>
        <stp>FQ3 2013</stp>
        <stp>[AMZ_2009-2018.xlsx]Cash Flow - Standardized!R57C21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7" s="4"/>
      </tp>
      <tp>
        <v>73</v>
        <stp/>
        <stp>##V3_BDHV12</stp>
        <stp>AMZN US Equity</stp>
        <stp>CF_CASH_PAID_FOR_TAX</stp>
        <stp>FQ4 2015</stp>
        <stp>FQ4 2015</stp>
        <stp>[AMZ_2009-2018.xlsx]Cash Flow - Standardized!R57C30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7" s="4"/>
      </tp>
      <tp t="s">
        <v>—</v>
        <stp/>
        <stp>##V3_BDHV12</stp>
        <stp>AMZN US Equity</stp>
        <stp>BS_ACCUM_DEPR</stp>
        <stp>FQ3 2010</stp>
        <stp>FQ3 2010</stp>
        <stp>[AMZ_2009-2018.xlsx]Bal Sheet - Standardized!R25C9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5" s="3"/>
      </tp>
      <tp>
        <v>19</v>
        <stp/>
        <stp>##V3_BDHV12</stp>
        <stp>AMZN US Equity</stp>
        <stp>CF_CASH_PAID_FOR_TAX</stp>
        <stp>FQ1 2012</stp>
        <stp>FQ1 2012</stp>
        <stp>[AMZ_2009-2018.xlsx]Cash Flow - Standardized!R57C15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7" s="4"/>
      </tp>
      <tp>
        <v>454</v>
        <stp/>
        <stp>##V3_BDHV12</stp>
        <stp>AMZN US Equity</stp>
        <stp>CF_ACCT_RCV_UNBILLED_REV</stp>
        <stp>FQ1 2010</stp>
        <stp>FQ1 2010</stp>
        <stp>[AMZ_2009-2018.xlsx]Cash Flow - Standardized!R14C7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4" s="4"/>
      </tp>
      <tp>
        <v>458</v>
        <stp/>
        <stp>##V3_BDHV12</stp>
        <stp>AMZN US Equity</stp>
        <stp>IS_AVG_NUM_SH_FOR_EPS</stp>
        <stp>FQ4 2013</stp>
        <stp>FQ4 2013</stp>
        <stp>[AMZ_2009-2018.xlsx]Per Share!R8C22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8" s="5"/>
      </tp>
      <tp>
        <v>479</v>
        <stp/>
        <stp>##V3_BDHV12</stp>
        <stp>AMZN US Equity</stp>
        <stp>IS_AVG_NUM_SH_FOR_EPS</stp>
        <stp>FQ2 2017</stp>
        <stp>FQ2 2017</stp>
        <stp>[AMZ_2009-2018.xlsx]Per Share!R8C36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8" s="5"/>
      </tp>
      <tp>
        <v>463</v>
        <stp/>
        <stp>##V3_BDHV12</stp>
        <stp>AMZN US Equity</stp>
        <stp>IS_AVG_NUM_SH_FOR_EPS</stp>
        <stp>FQ3 2014</stp>
        <stp>FQ3 2014</stp>
        <stp>[AMZ_2009-2018.xlsx]Per Share!R8C25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8" s="5"/>
      </tp>
      <tp>
        <v>484</v>
        <stp/>
        <stp>##V3_BDHV12</stp>
        <stp>AMZN US Equity</stp>
        <stp>IS_AVG_NUM_SH_FOR_EPS</stp>
        <stp>FQ1 2018</stp>
        <stp>FQ1 2018</stp>
        <stp>[AMZ_2009-2018.xlsx]Per Share!R8C39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8" s="5"/>
      </tp>
      <tp>
        <v>0</v>
        <stp/>
        <stp>##V3_BDHV12</stp>
        <stp>AMZN US Equity</stp>
        <stp>IS_OTHER_OPER_INC</stp>
        <stp>FQ1 2010</stp>
        <stp>FQ1 2010</stp>
        <stp>[AMZ_2009-2018.xlsx]Income - Adjusted!R11C7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1" s="2"/>
      </tp>
      <tp>
        <v>48</v>
        <stp/>
        <stp>##V3_BDHV12</stp>
        <stp>AMZN US Equity</stp>
        <stp>CF_ACT_CASH_PAID_FOR_INT_DEBT</stp>
        <stp>FQ3 2015</stp>
        <stp>FQ3 2015</stp>
        <stp>[AMZ_2009-2018.xlsx]Cash Flow - Standardized!R58C29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8" s="4"/>
      </tp>
      <tp>
        <v>31</v>
        <stp/>
        <stp>##V3_BDHV12</stp>
        <stp>AMZN US Equity</stp>
        <stp>CF_ACT_CASH_PAID_FOR_INT_DEBT</stp>
        <stp>FQ2 2014</stp>
        <stp>FQ2 2014</stp>
        <stp>[AMZ_2009-2018.xlsx]Cash Flow - Standardized!R58C24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8" s="4"/>
      </tp>
      <tp>
        <v>4</v>
        <stp/>
        <stp>##V3_BDHV12</stp>
        <stp>AMZN US Equity</stp>
        <stp>CF_ACT_CASH_PAID_FOR_INT_DEBT</stp>
        <stp>FQ4 2011</stp>
        <stp>FQ4 2011</stp>
        <stp>[AMZ_2009-2018.xlsx]Cash Flow - Standardized!R58C14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8" s="4"/>
      </tp>
      <tp>
        <v>177</v>
        <stp/>
        <stp>##V3_BDHV12</stp>
        <stp>AMZN US Equity</stp>
        <stp>NI_INCLUDING_MINORITY_INT_RATIO</stp>
        <stp>FQ1 2009</stp>
        <stp>FQ1 2009</stp>
        <stp>[AMZ_2009-2018.xlsx]Income - Adjusted!R38C3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2"/>
      </tp>
      <tp>
        <v>0</v>
        <stp/>
        <stp>##V3_BDHV12</stp>
        <stp>AMZN US Equity</stp>
        <stp>BS_OTHER_CUR_ASSET_LESS_PREPAY</stp>
        <stp>FQ4 2009</stp>
        <stp>FQ4 2009</stp>
        <stp>[AMZ_2009-2018.xlsx]Bal Sheet - Standardized!R21C6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1" s="3"/>
      </tp>
      <tp>
        <v>49</v>
        <stp/>
        <stp>##V3_BDHV12</stp>
        <stp>AMZN US Equity</stp>
        <stp>CF_ACT_CASH_PAID_FOR_INT_DEBT</stp>
        <stp>FQ1 2016</stp>
        <stp>FQ1 2016</stp>
        <stp>[AMZ_2009-2018.xlsx]Cash Flow - Standardized!R58C31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8" s="4"/>
      </tp>
      <tp>
        <v>85</v>
        <stp/>
        <stp>##V3_BDHV12</stp>
        <stp>AMZN US Equity</stp>
        <stp>PROC_FR_REPURCH_EQTY_DETAILED</stp>
        <stp>FQ2 2012</stp>
        <stp>FQ2 2012</stp>
        <stp>[AMZ_2009-2018.xlsx]Cash Flow - Standardized!R46C16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6" s="4"/>
      </tp>
      <tp>
        <v>-3199</v>
        <stp/>
        <stp>##V3_BDHV12</stp>
        <stp>AMZN US Equity</stp>
        <stp>FREE_CASH_FLOW_EQUITY</stp>
        <stp>FQ1 2013</stp>
        <stp>FQ1 2013</stp>
        <stp>[AMZ_2009-2018.xlsx]Cash Flow - Standardized!R67C19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7" s="4"/>
      </tp>
      <tp>
        <v>7.5369999999999999</v>
        <stp/>
        <stp>##V3_BDHV12</stp>
        <stp>AMZN US Equity</stp>
        <stp>BOOK_VAL_PER_SH</stp>
        <stp>FQ2 2009</stp>
        <stp>FQ2 2009</stp>
        <stp>[AMZ_2009-2018.xlsx]Per Share!R26C4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26" s="5"/>
      </tp>
      <tp>
        <v>46</v>
        <stp/>
        <stp>##V3_BDHV12</stp>
        <stp>AMZN US Equity</stp>
        <stp>PROC_FR_REPURCH_EQTY_DETAILED</stp>
        <stp>FQ1 2011</stp>
        <stp>FQ1 2011</stp>
        <stp>[AMZ_2009-2018.xlsx]Cash Flow - Standardized!R46C11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6" s="4"/>
      </tp>
      <tp>
        <v>384</v>
        <stp/>
        <stp>##V3_BDHV12</stp>
        <stp>AMZN US Equity</stp>
        <stp>EARN_FOR_COMMON</stp>
        <stp>FQ4 2009</stp>
        <stp>FQ4 2009</stp>
        <stp>[AMZ_2009-2018.xlsx]Income - Adjusted!R43C6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43" s="2"/>
      </tp>
      <tp>
        <v>0</v>
        <stp/>
        <stp>##V3_BDHV12</stp>
        <stp>AMZN US Equity</stp>
        <stp>PROC_FR_REPURCH_EQTY_DETAILED</stp>
        <stp>FQ4 2016</stp>
        <stp>FQ4 2016</stp>
        <stp>[AMZ_2009-2018.xlsx]Cash Flow - Standardized!R46C34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6" s="4"/>
      </tp>
      <tp>
        <v>186</v>
        <stp/>
        <stp>##V3_BDHV12</stp>
        <stp>AMZN US Equity</stp>
        <stp>FREE_CASH_FLOW_EQUITY</stp>
        <stp>FQ3 2011</stp>
        <stp>FQ3 2011</stp>
        <stp>[AMZ_2009-2018.xlsx]Cash Flow - Standardized!R67C13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7" s="4"/>
      </tp>
      <tp>
        <v>-184</v>
        <stp/>
        <stp>##V3_BDHV12</stp>
        <stp>AMZN US Equity</stp>
        <stp>FREE_CASH_FLOW_EQUITY</stp>
        <stp>FQ2 2013</stp>
        <stp>FQ2 2013</stp>
        <stp>[AMZ_2009-2018.xlsx]Cash Flow - Standardized!R67C20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7" s="4"/>
      </tp>
      <tp>
        <v>15</v>
        <stp/>
        <stp>##V3_BDHV12</stp>
        <stp>AMZN US Equity</stp>
        <stp>IS_NONOP_INCOME_LOSS</stp>
        <stp>FQ1 2011</stp>
        <stp>FQ1 2011</stp>
        <stp>[AMZ_2009-2018.xlsx]Income - Adjusted!R19C11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9" s="2"/>
      </tp>
      <tp>
        <v>15</v>
        <stp/>
        <stp>##V3_BDHV12</stp>
        <stp>AMZN US Equity</stp>
        <stp>IS_NONOP_INCOME_LOSS</stp>
        <stp>FQ1 2016</stp>
        <stp>FQ1 2016</stp>
        <stp>[AMZ_2009-2018.xlsx]Income - Adjusted!R19C31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9" s="2"/>
      </tp>
      <tp>
        <v>3</v>
        <stp/>
        <stp>##V3_BDHV12</stp>
        <stp>AMZN US Equity</stp>
        <stp>IS_ABNORMAL_ITEM</stp>
        <stp>FQ4 2015</stp>
        <stp>FQ4 2015</stp>
        <stp>[AMZ_2009-2018.xlsx]Income - Adjusted!R26C30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6" s="2"/>
      </tp>
      <tp>
        <v>18</v>
        <stp/>
        <stp>##V3_BDHV12</stp>
        <stp>AMZN US Equity</stp>
        <stp>IS_NONOP_INCOME_LOSS</stp>
        <stp>FQ3 2013</stp>
        <stp>FQ3 2013</stp>
        <stp>[AMZ_2009-2018.xlsx]Income - Adjusted!R19C21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9" s="2"/>
      </tp>
      <tp>
        <v>0</v>
        <stp/>
        <stp>##V3_BDHV12</stp>
        <stp>AMZN US Equity</stp>
        <stp>IS_ABNORMAL_ITEM</stp>
        <stp>FQ1 2014</stp>
        <stp>FQ1 2014</stp>
        <stp>[AMZ_2009-2018.xlsx]Income - Adjusted!R26C23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6" s="2"/>
      </tp>
      <tp>
        <v>3636</v>
        <stp/>
        <stp>##V3_BDHV12</stp>
        <stp>AMZN US Equity</stp>
        <stp>BS_CUR_LIAB</stp>
        <stp>FQ2 2009</stp>
        <stp>FQ2 2009</stp>
        <stp>[AMZ_2009-2018.xlsx]Bal Sheet - Standardized!R51C4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1" s="3"/>
      </tp>
      <tp>
        <v>170</v>
        <stp/>
        <stp>##V3_BDHV12</stp>
        <stp>AMZN US Equity</stp>
        <stp>IS_ABNORMAL_ITEM</stp>
        <stp>FQ3 2014</stp>
        <stp>FQ3 2014</stp>
        <stp>[AMZ_2009-2018.xlsx]Income - Adjusted!R26C25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6" s="2"/>
      </tp>
      <tp>
        <v>0</v>
        <stp/>
        <stp>##V3_BDHV12</stp>
        <stp>AMZN US Equity</stp>
        <stp>IS_ABNORMAL_ITEM</stp>
        <stp>FQ2 2014</stp>
        <stp>FQ2 2014</stp>
        <stp>[AMZ_2009-2018.xlsx]Income - Adjusted!R26C24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6" s="2"/>
      </tp>
      <tp>
        <v>6375</v>
        <stp/>
        <stp>##V3_BDHV12</stp>
        <stp>AMZN US Equity</stp>
        <stp>BS_CUR_LIAB</stp>
        <stp>FQ3 2010</stp>
        <stp>FQ3 2010</stp>
        <stp>[AMZ_2009-2018.xlsx]Bal Sheet - Standardized!R51C9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1" s="3"/>
      </tp>
      <tp>
        <v>0</v>
        <stp/>
        <stp>##V3_BDHV12</stp>
        <stp>AMZN US Equity</stp>
        <stp>IS_ABNORMAL_ITEM</stp>
        <stp>FQ4 2014</stp>
        <stp>FQ4 2014</stp>
        <stp>[AMZ_2009-2018.xlsx]Income - Adjusted!R26C26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6" s="2"/>
      </tp>
      <tp>
        <v>255</v>
        <stp/>
        <stp>##V3_BDHV12</stp>
        <stp>AMZN US Equity</stp>
        <stp>EBIT</stp>
        <stp>FQ1 2015</stp>
        <stp>FQ1 2015</stp>
        <stp>[AMZ_2009-2018.xlsx]Income - Adjusted!R64C27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64" s="2"/>
      </tp>
      <tp>
        <v>624</v>
        <stp/>
        <stp>##V3_BDHV12</stp>
        <stp>AMZN US Equity</stp>
        <stp>CF_NET_CASH_PAID_FOR_AQUIS</stp>
        <stp>FQ2 2012</stp>
        <stp>FQ2 2012</stp>
        <stp>[AMZ_2009-2018.xlsx]Cash Flow - Standardized!R63C16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3" s="4"/>
      </tp>
      <tp>
        <v>347</v>
        <stp/>
        <stp>##V3_BDHV12</stp>
        <stp>AMZN US Equity</stp>
        <stp>EBIT</stp>
        <stp>FQ3 2017</stp>
        <stp>FQ3 2017</stp>
        <stp>[AMZ_2009-2018.xlsx]Income - Adjusted!R64C37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64" s="2"/>
      </tp>
      <tp>
        <v>-28</v>
        <stp/>
        <stp>##V3_BDHV12</stp>
        <stp>AMZN US Equity</stp>
        <stp>EBIT</stp>
        <stp>FQ3 2012</stp>
        <stp>FQ3 2012</stp>
        <stp>[AMZ_2009-2018.xlsx]Income - Adjusted!R64C17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64" s="2"/>
      </tp>
      <tp>
        <v>139</v>
        <stp/>
        <stp>##V3_BDHV12</stp>
        <stp>AMZN US Equity</stp>
        <stp>CF_NET_CASH_PAID_FOR_AQUIS</stp>
        <stp>FQ1 2011</stp>
        <stp>FQ1 2011</stp>
        <stp>[AMZ_2009-2018.xlsx]Cash Flow - Standardized!R63C11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3" s="4"/>
      </tp>
      <tp>
        <v>3</v>
        <stp/>
        <stp>##V3_BDHV12</stp>
        <stp>AMZN US Equity</stp>
        <stp>CF_NET_CASH_PAID_FOR_AQUIS</stp>
        <stp>FQ4 2016</stp>
        <stp>FQ4 2016</stp>
        <stp>[AMZ_2009-2018.xlsx]Cash Flow - Standardized!R63C34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3" s="4"/>
      </tp>
      <tp>
        <v>1473</v>
        <stp/>
        <stp>##V3_BDHV12</stp>
        <stp>AMZN US Equity</stp>
        <stp>EBITDA</stp>
        <stp>FQ4 2013</stp>
        <stp>FQ4 2013</stp>
        <stp>[AMZ_2009-2018.xlsx]Income - Adjusted!R61C22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61" s="2"/>
      </tp>
      <tp>
        <v>26657</v>
        <stp/>
        <stp>##V3_BDHV12</stp>
        <stp>AMZN US Equity</stp>
        <stp>BS_CUR_LIAB</stp>
        <stp>FQ3 2015</stp>
        <stp>FQ3 2015</stp>
        <stp>[AMZ_2009-2018.xlsx]Bal Sheet - Standardized!R51C29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1" s="3"/>
      </tp>
      <tp>
        <v>3194</v>
        <stp/>
        <stp>##V3_BDHV12</stp>
        <stp>AMZN US Equity</stp>
        <stp>EBITDA</stp>
        <stp>FQ2 2016</stp>
        <stp>FQ2 2016</stp>
        <stp>[AMZ_2009-2018.xlsx]Income - Adjusted!R61C32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61" s="2"/>
      </tp>
      <tp>
        <v>445</v>
        <stp/>
        <stp>##V3_BDHV12</stp>
        <stp>AMZN US Equity</stp>
        <stp>EBITDA</stp>
        <stp>FQ2 2011</stp>
        <stp>FQ2 2011</stp>
        <stp>[AMZ_2009-2018.xlsx]Income - Adjusted!R61C12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61" s="2"/>
      </tp>
      <tp>
        <v>18751</v>
        <stp/>
        <stp>##V3_BDHV12</stp>
        <stp>AMZN US Equity</stp>
        <stp>BS_CUR_LIAB</stp>
        <stp>FQ2 2014</stp>
        <stp>FQ2 2014</stp>
        <stp>[AMZ_2009-2018.xlsx]Bal Sheet - Standardized!R51C24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1" s="3"/>
      </tp>
      <tp>
        <v>14896</v>
        <stp/>
        <stp>##V3_BDHV12</stp>
        <stp>AMZN US Equity</stp>
        <stp>BS_CUR_LIAB</stp>
        <stp>FQ4 2011</stp>
        <stp>FQ4 2011</stp>
        <stp>[AMZ_2009-2018.xlsx]Bal Sheet - Standardized!R51C14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1" s="3"/>
      </tp>
      <tp>
        <v>724</v>
        <stp/>
        <stp>##V3_BDHV12</stp>
        <stp>AMZN US Equity</stp>
        <stp>NET_INCOME</stp>
        <stp>FQ1 2017</stp>
        <stp>FQ1 2017</stp>
        <stp>[AMZ_2009-2018.xlsx]Income - Adjusted!R40C35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40" s="2"/>
      </tp>
      <tp>
        <v>130</v>
        <stp/>
        <stp>##V3_BDHV12</stp>
        <stp>AMZN US Equity</stp>
        <stp>NET_INCOME</stp>
        <stp>FQ1 2012</stp>
        <stp>FQ1 2012</stp>
        <stp>[AMZ_2009-2018.xlsx]Income - Adjusted!R40C15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40" s="2"/>
      </tp>
      <tp>
        <v>28187</v>
        <stp/>
        <stp>##V3_BDHV12</stp>
        <stp>AMZN US Equity</stp>
        <stp>BS_CUR_LIAB</stp>
        <stp>FQ1 2016</stp>
        <stp>FQ1 2016</stp>
        <stp>[AMZ_2009-2018.xlsx]Bal Sheet - Standardized!R51C31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1" s="3"/>
      </tp>
      <tp>
        <v>-437</v>
        <stp/>
        <stp>##V3_BDHV12</stp>
        <stp>AMZN US Equity</stp>
        <stp>NET_INCOME</stp>
        <stp>FQ3 2014</stp>
        <stp>FQ3 2014</stp>
        <stp>[AMZ_2009-2018.xlsx]Income - Adjusted!R40C25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40" s="2"/>
      </tp>
      <tp>
        <v>0</v>
        <stp/>
        <stp>##V3_BDHV12</stp>
        <stp>AMZN US Equity</stp>
        <stp>EQY_DPS</stp>
        <stp>FQ4 2016</stp>
        <stp>FQ4 2016</stp>
        <stp>[AMZ_2009-2018.xlsx]Income - Adjusted!R69C34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69" s="2"/>
      </tp>
      <tp>
        <v>0</v>
        <stp/>
        <stp>##V3_BDHV12</stp>
        <stp>AMZN US Equity</stp>
        <stp>EQY_DPS</stp>
        <stp>FQ4 2011</stp>
        <stp>FQ4 2011</stp>
        <stp>[AMZ_2009-2018.xlsx]Income - Adjusted!R69C14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69" s="2"/>
      </tp>
      <tp>
        <v>0</v>
        <stp/>
        <stp>##V3_BDHV12</stp>
        <stp>AMZN US Equity</stp>
        <stp>EQY_DPS</stp>
        <stp>FQ2 2014</stp>
        <stp>FQ2 2014</stp>
        <stp>[AMZ_2009-2018.xlsx]Income - Adjusted!R69C24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69" s="2"/>
      </tp>
      <tp>
        <v>7</v>
        <stp/>
        <stp>##V3_BDHV12</stp>
        <stp>AMZN US Equity</stp>
        <stp>CF_CASH_PAID_FOR_TAX</stp>
        <stp>FQ1 2011</stp>
        <stp>FQ1 2011</stp>
        <stp>[AMZ_2009-2018.xlsx]Cash Flow - Standardized!R57C11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7" s="4"/>
      </tp>
      <tp t="s">
        <v>—</v>
        <stp/>
        <stp>##V3_BDHV12</stp>
        <stp>AMZN US Equity</stp>
        <stp>INVTRY_FINISHED_GOODS</stp>
        <stp>FQ2 2010</stp>
        <stp>FQ2 2010</stp>
        <stp>[AMZ_2009-2018.xlsx]Bal Sheet - Standardized!R16C8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6" s="3"/>
      </tp>
      <tp>
        <v>95</v>
        <stp/>
        <stp>##V3_BDHV12</stp>
        <stp>AMZN US Equity</stp>
        <stp>CF_CASH_PAID_FOR_TAX</stp>
        <stp>FQ4 2016</stp>
        <stp>FQ4 2016</stp>
        <stp>[AMZ_2009-2018.xlsx]Cash Flow - Standardized!R57C34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7" s="4"/>
      </tp>
      <tp>
        <v>20</v>
        <stp/>
        <stp>##V3_BDHV12</stp>
        <stp>AMZN US Equity</stp>
        <stp>CF_CASH_PAID_FOR_TAX</stp>
        <stp>FQ2 2012</stp>
        <stp>FQ2 2012</stp>
        <stp>[AMZ_2009-2018.xlsx]Cash Flow - Standardized!R57C16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7" s="4"/>
      </tp>
      <tp t="s">
        <v>—</v>
        <stp/>
        <stp>##V3_BDHV12</stp>
        <stp>AMZN US Equity</stp>
        <stp>BS_ACCUM_DEPR</stp>
        <stp>FQ1 2009</stp>
        <stp>FQ1 2009</stp>
        <stp>[AMZ_2009-2018.xlsx]Bal Sheet - Standardized!R25C3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3"/>
      </tp>
      <tp t="s">
        <v>—</v>
        <stp/>
        <stp>##V3_BDHV12</stp>
        <stp>AMZN US Equity</stp>
        <stp>INVTRY_FINISHED_GOODS</stp>
        <stp>FQ3 2009</stp>
        <stp>FQ3 2009</stp>
        <stp>[AMZ_2009-2018.xlsx]Bal Sheet - Standardized!R16C5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6" s="3"/>
      </tp>
      <tp>
        <v>-155</v>
        <stp/>
        <stp>##V3_BDHV12</stp>
        <stp>AMZN US Equity</stp>
        <stp>CF_ACCT_RCV_UNBILLED_REV</stp>
        <stp>FQ3 2009</stp>
        <stp>FQ3 2009</stp>
        <stp>[AMZ_2009-2018.xlsx]Cash Flow - Standardized!R14C5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4" s="4"/>
      </tp>
      <tp>
        <v>-42</v>
        <stp/>
        <stp>##V3_BDHV12</stp>
        <stp>AMZN US Equity</stp>
        <stp>CF_ACCT_RCV_UNBILLED_REV</stp>
        <stp>FQ2 2010</stp>
        <stp>FQ2 2010</stp>
        <stp>[AMZ_2009-2018.xlsx]Cash Flow - Standardized!R14C8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4" s="4"/>
      </tp>
      <tp t="s">
        <v>—</v>
        <stp/>
        <stp>##V3_BDHV12</stp>
        <stp>AMZN US Equity</stp>
        <stp>IS_OTHER_ONE_TIME_ITEMS</stp>
        <stp>FQ2 2018</stp>
        <stp>FQ2 2018</stp>
        <stp>[AMZ_2009-2018.xlsx]Income - Adjusted!R30C40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0" s="2"/>
      </tp>
      <tp>
        <v>476</v>
        <stp/>
        <stp>##V3_BDHV12</stp>
        <stp>AMZN US Equity</stp>
        <stp>IS_AVG_NUM_SH_FOR_EPS</stp>
        <stp>FQ4 2016</stp>
        <stp>FQ4 2016</stp>
        <stp>[AMZ_2009-2018.xlsx]Per Share!R8C34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8" s="5"/>
      </tp>
      <tp>
        <v>464</v>
        <stp/>
        <stp>##V3_BDHV12</stp>
        <stp>AMZN US Equity</stp>
        <stp>IS_AVG_NUM_SH_FOR_EPS</stp>
        <stp>FQ4 2014</stp>
        <stp>FQ4 2014</stp>
        <stp>[AMZ_2009-2018.xlsx]Per Share!R8C26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8" s="5"/>
      </tp>
      <tp>
        <v>457</v>
        <stp/>
        <stp>##V3_BDHV12</stp>
        <stp>AMZN US Equity</stp>
        <stp>IS_AVG_NUM_SH_FOR_EPS</stp>
        <stp>FQ3 2013</stp>
        <stp>FQ3 2013</stp>
        <stp>[AMZ_2009-2018.xlsx]Per Share!R8C21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8" s="5"/>
      </tp>
      <tp>
        <v>454</v>
        <stp/>
        <stp>##V3_BDHV12</stp>
        <stp>AMZN US Equity</stp>
        <stp>IS_AVG_NUM_SH_FOR_EPS</stp>
        <stp>FQ3 2011</stp>
        <stp>FQ3 2011</stp>
        <stp>[AMZ_2009-2018.xlsx]Per Share!R8C13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8" s="5"/>
      </tp>
      <tp>
        <v>477</v>
        <stp/>
        <stp>##V3_BDHV12</stp>
        <stp>AMZN US Equity</stp>
        <stp>IS_AVG_NUM_SH_FOR_EPS</stp>
        <stp>FQ1 2017</stp>
        <stp>FQ1 2017</stp>
        <stp>[AMZ_2009-2018.xlsx]Per Share!R8C35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8" s="5"/>
      </tp>
      <tp>
        <v>465</v>
        <stp/>
        <stp>##V3_BDHV12</stp>
        <stp>AMZN US Equity</stp>
        <stp>IS_AVG_NUM_SH_FOR_EPS</stp>
        <stp>FQ1 2015</stp>
        <stp>FQ1 2015</stp>
        <stp>[AMZ_2009-2018.xlsx]Per Share!R8C27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8" s="5"/>
      </tp>
      <tp>
        <v>10</v>
        <stp/>
        <stp>##V3_BDHV12</stp>
        <stp>AMZN US Equity</stp>
        <stp>CF_ACT_CASH_PAID_FOR_INT_DEBT</stp>
        <stp>FQ4 2012</stp>
        <stp>FQ4 2012</stp>
        <stp>[AMZ_2009-2018.xlsx]Cash Flow - Standardized!R58C18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8" s="4"/>
      </tp>
      <tp>
        <v>117</v>
        <stp/>
        <stp>##V3_BDHV12</stp>
        <stp>AMZN US Equity</stp>
        <stp>CF_ACT_CASH_PAID_FOR_INT_DEBT</stp>
        <stp>FQ3 2017</stp>
        <stp>FQ3 2017</stp>
        <stp>[AMZ_2009-2018.xlsx]Cash Flow - Standardized!R58C37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8" s="4"/>
      </tp>
      <tp>
        <v>191</v>
        <stp/>
        <stp>##V3_BDHV12</stp>
        <stp>AMZN US Equity</stp>
        <stp>CF_ACT_CASH_PAID_FOR_INT_DEBT</stp>
        <stp>FQ2 2016</stp>
        <stp>FQ2 2016</stp>
        <stp>[AMZ_2009-2018.xlsx]Cash Flow - Standardized!R58C32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8" s="4"/>
      </tp>
      <tp>
        <v>231</v>
        <stp/>
        <stp>##V3_BDHV12</stp>
        <stp>AMZN US Equity</stp>
        <stp>NI_INCLUDING_MINORITY_INT_RATIO</stp>
        <stp>FQ3 2010</stp>
        <stp>FQ3 2010</stp>
        <stp>[AMZ_2009-2018.xlsx]Income - Adjusted!R38C9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38" s="2"/>
      </tp>
      <tp>
        <v>18</v>
        <stp/>
        <stp>##V3_BDHV12</stp>
        <stp>AMZN US Equity</stp>
        <stp>CF_ACT_CASH_PAID_FOR_INT_DEBT</stp>
        <stp>FQ1 2014</stp>
        <stp>FQ1 2014</stp>
        <stp>[AMZ_2009-2018.xlsx]Cash Flow - Standardized!R58C23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8" s="4"/>
      </tp>
      <tp>
        <v>0</v>
        <stp/>
        <stp>##V3_BDHV12</stp>
        <stp>AMZN US Equity</stp>
        <stp>PROC_FR_REPURCH_EQTY_DETAILED</stp>
        <stp>FQ4 2015</stp>
        <stp>FQ4 2015</stp>
        <stp>[AMZ_2009-2018.xlsx]Cash Flow - Standardized!R46C30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6" s="4"/>
      </tp>
      <tp>
        <v>-920</v>
        <stp/>
        <stp>##V3_BDHV12</stp>
        <stp>AMZN US Equity</stp>
        <stp>PROC_FR_REPURCH_EQTY_DETAILED</stp>
        <stp>FQ1 2012</stp>
        <stp>FQ1 2012</stp>
        <stp>[AMZ_2009-2018.xlsx]Cash Flow - Standardized!R46C15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6" s="4"/>
      </tp>
      <tp>
        <v>199</v>
        <stp/>
        <stp>##V3_BDHV12</stp>
        <stp>AMZN US Equity</stp>
        <stp>EARN_FOR_COMMON</stp>
        <stp>FQ3 2009</stp>
        <stp>FQ3 2009</stp>
        <stp>[AMZ_2009-2018.xlsx]Income - Adjusted!R43C5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43" s="2"/>
      </tp>
      <tp>
        <v>6661</v>
        <stp/>
        <stp>##V3_BDHV12</stp>
        <stp>AMZN US Equity</stp>
        <stp>FREE_CASH_FLOW_EQUITY</stp>
        <stp>FQ4 2017</stp>
        <stp>FQ4 2017</stp>
        <stp>[AMZ_2009-2018.xlsx]Cash Flow - Standardized!R67C38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7" s="4"/>
      </tp>
      <tp>
        <v>-115</v>
        <stp/>
        <stp>##V3_BDHV12</stp>
        <stp>AMZN US Equity</stp>
        <stp>PROC_FR_REPURCH_EQTY_DETAILED</stp>
        <stp>FQ4 2014</stp>
        <stp>FQ4 2014</stp>
        <stp>[AMZ_2009-2018.xlsx]Cash Flow - Standardized!R46C26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6" s="4"/>
      </tp>
      <tp>
        <v>0</v>
        <stp/>
        <stp>##V3_BDHV12</stp>
        <stp>AMZN US Equity</stp>
        <stp>PROC_FR_REPURCH_EQTY_DETAILED</stp>
        <stp>FQ3 2013</stp>
        <stp>FQ3 2013</stp>
        <stp>[AMZ_2009-2018.xlsx]Cash Flow - Standardized!R46C21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6" s="4"/>
      </tp>
      <tp>
        <v>15</v>
        <stp/>
        <stp>##V3_BDHV12</stp>
        <stp>AMZN US Equity</stp>
        <stp>PROC_FR_REPURCH_EQTY_DETAILED</stp>
        <stp>FQ2 2011</stp>
        <stp>FQ2 2011</stp>
        <stp>[AMZ_2009-2018.xlsx]Cash Flow - Standardized!R46C12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6" s="4"/>
      </tp>
      <tp>
        <v>192</v>
        <stp/>
        <stp>##V3_BDHV12</stp>
        <stp>AMZN US Equity</stp>
        <stp>FREE_CASH_FLOW_EQUITY</stp>
        <stp>FQ3 2012</stp>
        <stp>FQ3 2012</stp>
        <stp>[AMZ_2009-2018.xlsx]Cash Flow - Standardized!R67C17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7" s="4"/>
      </tp>
      <tp>
        <v>0</v>
        <stp/>
        <stp>##V3_BDHV12</stp>
        <stp>AMZN US Equity</stp>
        <stp>IS_ABNORMAL_ITEM</stp>
        <stp>FQ3 2015</stp>
        <stp>FQ3 2015</stp>
        <stp>[AMZ_2009-2018.xlsx]Income - Adjusted!R26C29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6" s="2"/>
      </tp>
      <tp>
        <v>1</v>
        <stp/>
        <stp>##V3_BDHV12</stp>
        <stp>AMZN US Equity</stp>
        <stp>IS_ABNORMAL_ITEM</stp>
        <stp>FQ2 2015</stp>
        <stp>FQ2 2015</stp>
        <stp>[AMZ_2009-2018.xlsx]Income - Adjusted!R26C28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6" s="2"/>
      </tp>
      <tp>
        <v>1</v>
        <stp/>
        <stp>##V3_BDHV12</stp>
        <stp>AMZN US Equity</stp>
        <stp>IS_ABNORMAL_ITEM</stp>
        <stp>FQ4 2009</stp>
        <stp>FQ4 2009</stp>
        <stp>[AMZ_2009-2018.xlsx]Income - Adjusted!R26C6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6" s="2"/>
      </tp>
      <tp t="s">
        <v>—</v>
        <stp/>
        <stp>##V3_BDHV12</stp>
        <stp>AMZN US Equity</stp>
        <stp>ACTUAL_SALES_PER_EMPL</stp>
        <stp>FQ2 2010</stp>
        <stp>FQ2 2010</stp>
        <stp>[AMZ_2009-2018.xlsx]Income - Adjusted!R68C8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H68" s="2"/>
      </tp>
      <tp t="s">
        <v>—</v>
        <stp/>
        <stp>##V3_BDHV12</stp>
        <stp>AMZN US Equity</stp>
        <stp>ACTUAL_SALES_PER_EMPL</stp>
        <stp>FQ3 2009</stp>
        <stp>FQ3 2009</stp>
        <stp>[AMZ_2009-2018.xlsx]Income - Adjusted!R68C5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E68" s="2"/>
      </tp>
      <tp t="s">
        <v>—</v>
        <stp/>
        <stp>##V3_BDHV12</stp>
        <stp>AMZN US Equity</stp>
        <stp>ACTUAL_SALES_PER_EMPL</stp>
        <stp>FQ3 2010</stp>
        <stp>FQ3 2010</stp>
        <stp>[AMZ_2009-2018.xlsx]Income - Adjusted!R68C9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I68" s="2"/>
      </tp>
      <tp t="s">
        <v>—</v>
        <stp/>
        <stp>##V3_BDHV12</stp>
        <stp>AMZN US Equity</stp>
        <stp>ACTUAL_SALES_PER_EMPL</stp>
        <stp>FQ2 2009</stp>
        <stp>FQ2 2009</stp>
        <stp>[AMZ_2009-2018.xlsx]Income - Adjusted!R68C4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D68" s="2"/>
      </tp>
      <tp t="s">
        <v>—</v>
        <stp/>
        <stp>##V3_BDHV12</stp>
        <stp>AMZN US Equity</stp>
        <stp>ACTUAL_SALES_PER_EMPL</stp>
        <stp>FQ1 2009</stp>
        <stp>FQ1 2009</stp>
        <stp>[AMZ_2009-2018.xlsx]Income - Adjusted!R68C3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C68" s="2"/>
      </tp>
      <tp>
        <v>378</v>
        <stp/>
        <stp>##V3_BDHV12</stp>
        <stp>AMZN US Equity</stp>
        <stp>IS_NONOP_INCOME_LOSS</stp>
        <stp>FQ2 2018</stp>
        <stp>FQ2 2018</stp>
        <stp>[AMZ_2009-2018.xlsx]Income - Adjusted!R19C40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9" s="2"/>
      </tp>
      <tp t="s">
        <v>—</v>
        <stp/>
        <stp>##V3_BDHV12</stp>
        <stp>AMZN US Equity</stp>
        <stp>ACTUAL_SALES_PER_EMPL</stp>
        <stp>FQ1 2010</stp>
        <stp>FQ1 2010</stp>
        <stp>[AMZ_2009-2018.xlsx]Income - Adjusted!R68C7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G68" s="2"/>
      </tp>
      <tp>
        <v>62</v>
        <stp/>
        <stp>##V3_BDHV12</stp>
        <stp>AMZN US Equity</stp>
        <stp>IS_NONOP_INCOME_LOSS</stp>
        <stp>FQ2 2013</stp>
        <stp>FQ2 2013</stp>
        <stp>[AMZ_2009-2018.xlsx]Income - Adjusted!R19C20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9" s="2"/>
      </tp>
      <tp>
        <v>4537</v>
        <stp/>
        <stp>##V3_BDHV12</stp>
        <stp>AMZN US Equity</stp>
        <stp>BS_CUR_LIAB</stp>
        <stp>FQ3 2009</stp>
        <stp>FQ3 2009</stp>
        <stp>[AMZ_2009-2018.xlsx]Bal Sheet - Standardized!R51C5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1" s="3"/>
      </tp>
      <tp>
        <v>167</v>
        <stp/>
        <stp>##V3_BDHV12</stp>
        <stp>AMZN US Equity</stp>
        <stp>IS_NONOP_INCOME_LOSS</stp>
        <stp>FQ4 2015</stp>
        <stp>FQ4 2015</stp>
        <stp>[AMZ_2009-2018.xlsx]Income - Adjusted!R19C30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9" s="2"/>
      </tp>
      <tp>
        <v>-32</v>
        <stp/>
        <stp>##V3_BDHV12</stp>
        <stp>AMZN US Equity</stp>
        <stp>IS_NONOP_INCOME_LOSS</stp>
        <stp>FQ4 2010</stp>
        <stp>FQ4 2010</stp>
        <stp>[AMZ_2009-2018.xlsx]Income - Adjusted!R19C10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9" s="2"/>
      </tp>
      <tp>
        <v>1</v>
        <stp/>
        <stp>##V3_BDHV12</stp>
        <stp>AMZN US Equity</stp>
        <stp>IS_ABNORMAL_ITEM</stp>
        <stp>FQ1 2015</stp>
        <stp>FQ1 2015</stp>
        <stp>[AMZ_2009-2018.xlsx]Income - Adjusted!R26C27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6" s="2"/>
      </tp>
      <tp>
        <v>391728.39510000002</v>
        <stp/>
        <stp>##V3_BDHV12</stp>
        <stp>AMZN US Equity</stp>
        <stp>ACTUAL_SALES_PER_EMPL</stp>
        <stp>FQ4 2009</stp>
        <stp>FQ4 2009</stp>
        <stp>[AMZ_2009-2018.xlsx]Income - Adjusted!R68C6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F68" s="2"/>
      </tp>
      <tp>
        <v>5250</v>
        <stp/>
        <stp>##V3_BDHV12</stp>
        <stp>AMZN US Equity</stp>
        <stp>BS_CUR_LIAB</stp>
        <stp>FQ2 2010</stp>
        <stp>FQ2 2010</stp>
        <stp>[AMZ_2009-2018.xlsx]Bal Sheet - Standardized!R51C8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1" s="3"/>
      </tp>
      <tp>
        <v>37</v>
        <stp/>
        <stp>##V3_BDHV12</stp>
        <stp>AMZN US Equity</stp>
        <stp>CF_NET_CASH_PAID_FOR_AQUIS</stp>
        <stp>FQ3 2012</stp>
        <stp>FQ3 2012</stp>
        <stp>[AMZ_2009-2018.xlsx]Cash Flow - Standardized!R63C17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3" s="4"/>
      </tp>
      <tp>
        <v>628</v>
        <stp/>
        <stp>##V3_BDHV12</stp>
        <stp>AMZN US Equity</stp>
        <stp>EBIT</stp>
        <stp>FQ2 2017</stp>
        <stp>FQ2 2017</stp>
        <stp>[AMZ_2009-2018.xlsx]Income - Adjusted!R64C36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64" s="2"/>
      </tp>
      <tp>
        <v>207</v>
        <stp/>
        <stp>##V3_BDHV12</stp>
        <stp>AMZN US Equity</stp>
        <stp>EBIT</stp>
        <stp>FQ2 2012</stp>
        <stp>FQ2 2012</stp>
        <stp>[AMZ_2009-2018.xlsx]Income - Adjusted!R64C16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64" s="2"/>
      </tp>
      <tp>
        <v>591</v>
        <stp/>
        <stp>##V3_BDHV12</stp>
        <stp>AMZN US Equity</stp>
        <stp>EBIT</stp>
        <stp>FQ4 2014</stp>
        <stp>FQ4 2014</stp>
        <stp>[AMZ_2009-2018.xlsx]Income - Adjusted!R64C26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64" s="2"/>
      </tp>
      <tp>
        <v>81</v>
        <stp/>
        <stp>##V3_BDHV12</stp>
        <stp>AMZN US Equity</stp>
        <stp>CF_NET_CASH_PAID_FOR_AQUIS</stp>
        <stp>FQ4 2017</stp>
        <stp>FQ4 2017</stp>
        <stp>[AMZ_2009-2018.xlsx]Cash Flow - Standardized!R63C38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3" s="4"/>
      </tp>
      <tp>
        <v>1156</v>
        <stp/>
        <stp>##V3_BDHV12</stp>
        <stp>AMZN US Equity</stp>
        <stp>EBITDA</stp>
        <stp>FQ1 2014</stp>
        <stp>FQ1 2014</stp>
        <stp>[AMZ_2009-2018.xlsx]Income - Adjusted!R61C23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61" s="2"/>
      </tp>
      <tp>
        <v>23912</v>
        <stp/>
        <stp>##V3_BDHV12</stp>
        <stp>AMZN US Equity</stp>
        <stp>BS_CUR_LIAB</stp>
        <stp>FQ2 2015</stp>
        <stp>FQ2 2015</stp>
        <stp>[AMZ_2009-2018.xlsx]Bal Sheet - Standardized!R51C28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1" s="3"/>
      </tp>
      <tp>
        <v>2659</v>
        <stp/>
        <stp>##V3_BDHV12</stp>
        <stp>AMZN US Equity</stp>
        <stp>EBITDA</stp>
        <stp>FQ3 2016</stp>
        <stp>FQ3 2016</stp>
        <stp>[AMZ_2009-2018.xlsx]Income - Adjusted!R61C33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61" s="2"/>
      </tp>
      <tp>
        <v>-1.3635999999999999</v>
        <stp/>
        <stp>##V3_BDHV12</stp>
        <stp>AMZN US Equity</stp>
        <stp>CASH_FLOW_PER_SH</stp>
        <stp>FQ1 2009</stp>
        <stp>FQ1 2009</stp>
        <stp>[AMZ_2009-2018.xlsx]Per Share!R22C3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22" s="5"/>
      </tp>
      <tp>
        <v>357</v>
        <stp/>
        <stp>##V3_BDHV12</stp>
        <stp>AMZN US Equity</stp>
        <stp>EBITDA</stp>
        <stp>FQ3 2011</stp>
        <stp>FQ3 2011</stp>
        <stp>[AMZ_2009-2018.xlsx]Income - Adjusted!R61C13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61" s="2"/>
      </tp>
      <tp>
        <v>10372</v>
        <stp/>
        <stp>##V3_BDHV12</stp>
        <stp>AMZN US Equity</stp>
        <stp>BS_CUR_LIAB</stp>
        <stp>FQ4 2010</stp>
        <stp>FQ4 2010</stp>
        <stp>[AMZ_2009-2018.xlsx]Bal Sheet - Standardized!R51C10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1" s="3"/>
      </tp>
      <tp>
        <v>177</v>
        <stp/>
        <stp>##V3_BDHV12</stp>
        <stp>AMZN US Equity</stp>
        <stp>NET_INCOME</stp>
        <stp>FQ4 2011</stp>
        <stp>FQ4 2011</stp>
        <stp>[AMZ_2009-2018.xlsx]Income - Adjusted!R40C14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40" s="2"/>
      </tp>
      <tp>
        <v>749</v>
        <stp/>
        <stp>##V3_BDHV12</stp>
        <stp>AMZN US Equity</stp>
        <stp>NET_INCOME</stp>
        <stp>FQ4 2016</stp>
        <stp>FQ4 2016</stp>
        <stp>[AMZ_2009-2018.xlsx]Income - Adjusted!R40C34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40" s="2"/>
      </tp>
      <tp>
        <v>20842</v>
        <stp/>
        <stp>##V3_BDHV12</stp>
        <stp>AMZN US Equity</stp>
        <stp>BS_CUR_LIAB</stp>
        <stp>FQ3 2014</stp>
        <stp>FQ3 2014</stp>
        <stp>[AMZ_2009-2018.xlsx]Bal Sheet - Standardized!R51C25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1" s="3"/>
      </tp>
      <tp>
        <v>22980</v>
        <stp/>
        <stp>##V3_BDHV12</stp>
        <stp>AMZN US Equity</stp>
        <stp>BS_CUR_LIAB</stp>
        <stp>FQ4 2013</stp>
        <stp>FQ4 2013</stp>
        <stp>[AMZ_2009-2018.xlsx]Bal Sheet - Standardized!R51C22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1" s="3"/>
      </tp>
      <tp>
        <v>37399</v>
        <stp/>
        <stp>##V3_BDHV12</stp>
        <stp>AMZN US Equity</stp>
        <stp>BS_CUR_LIAB</stp>
        <stp>FQ1 2017</stp>
        <stp>FQ1 2017</stp>
        <stp>[AMZ_2009-2018.xlsx]Bal Sheet - Standardized!R51C35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1" s="3"/>
      </tp>
      <tp>
        <v>-126</v>
        <stp/>
        <stp>##V3_BDHV12</stp>
        <stp>AMZN US Equity</stp>
        <stp>NET_INCOME</stp>
        <stp>FQ2 2014</stp>
        <stp>FQ2 2014</stp>
        <stp>[AMZ_2009-2018.xlsx]Income - Adjusted!R40C24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40" s="2"/>
      </tp>
      <tp>
        <v>-11.279</v>
        <stp/>
        <stp>##V3_BDHV12</stp>
        <stp>AMZN US Equity</stp>
        <stp>CASH_CONVERSION_CYCLE</stp>
        <stp>FQ3 2012</stp>
        <stp>FQ3 2012</stp>
        <stp>[AMZ_2009-2018.xlsx]Bal Sheet - Standardized!R87C17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87" s="3"/>
      </tp>
      <tp>
        <v>-10.342600000000001</v>
        <stp/>
        <stp>##V3_BDHV12</stp>
        <stp>AMZN US Equity</stp>
        <stp>CASH_CONVERSION_CYCLE</stp>
        <stp>FQ3 2013</stp>
        <stp>FQ3 2013</stp>
        <stp>[AMZ_2009-2018.xlsx]Bal Sheet - Standardized!R87C21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87" s="3"/>
      </tp>
      <tp>
        <v>-13.934900000000001</v>
        <stp/>
        <stp>##V3_BDHV12</stp>
        <stp>AMZN US Equity</stp>
        <stp>CASH_CONVERSION_CYCLE</stp>
        <stp>FQ3 2011</stp>
        <stp>FQ3 2011</stp>
        <stp>[AMZ_2009-2018.xlsx]Bal Sheet - Standardized!R87C13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87" s="3"/>
      </tp>
      <tp>
        <v>-7.2256</v>
        <stp/>
        <stp>##V3_BDHV12</stp>
        <stp>AMZN US Equity</stp>
        <stp>CASH_CONVERSION_CYCLE</stp>
        <stp>FQ3 2015</stp>
        <stp>FQ3 2015</stp>
        <stp>[AMZ_2009-2018.xlsx]Bal Sheet - Standardized!R87C29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87" s="3"/>
      </tp>
      <tp>
        <v>-8.1478999999999999</v>
        <stp/>
        <stp>##V3_BDHV12</stp>
        <stp>AMZN US Equity</stp>
        <stp>CASH_CONVERSION_CYCLE</stp>
        <stp>FQ3 2014</stp>
        <stp>FQ3 2014</stp>
        <stp>[AMZ_2009-2018.xlsx]Bal Sheet - Standardized!R87C25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87" s="3"/>
      </tp>
      <tp>
        <v>-11.041600000000001</v>
        <stp/>
        <stp>##V3_BDHV12</stp>
        <stp>AMZN US Equity</stp>
        <stp>CASH_CONVERSION_CYCLE</stp>
        <stp>FQ3 2016</stp>
        <stp>FQ3 2016</stp>
        <stp>[AMZ_2009-2018.xlsx]Bal Sheet - Standardized!R87C33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87" s="3"/>
      </tp>
      <tp>
        <v>-14.8025</v>
        <stp/>
        <stp>##V3_BDHV12</stp>
        <stp>AMZN US Equity</stp>
        <stp>CASH_CONVERSION_CYCLE</stp>
        <stp>FQ3 2017</stp>
        <stp>FQ3 2017</stp>
        <stp>[AMZ_2009-2018.xlsx]Bal Sheet - Standardized!R87C37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87" s="3"/>
      </tp>
      <tp t="s">
        <v>—</v>
        <stp/>
        <stp>##V3_BDHV12</stp>
        <stp>AMZN US Equity</stp>
        <stp>BS_ACCUM_DEPR</stp>
        <stp>FQ1 2010</stp>
        <stp>FQ1 2010</stp>
        <stp>[AMZ_2009-2018.xlsx]Bal Sheet - Standardized!R25C7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5" s="3"/>
      </tp>
      <tp>
        <v>-12.711</v>
        <stp/>
        <stp>##V3_BDHV12</stp>
        <stp>AMZN US Equity</stp>
        <stp>CASH_CONVERSION_CYCLE</stp>
        <stp>FQ2 2018</stp>
        <stp>FQ2 2018</stp>
        <stp>[AMZ_2009-2018.xlsx]Bal Sheet - Standardized!R87C40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87" s="3"/>
      </tp>
      <tp>
        <v>-9.5571999999999999</v>
        <stp/>
        <stp>##V3_BDHV12</stp>
        <stp>AMZN US Equity</stp>
        <stp>CASH_CONVERSION_CYCLE</stp>
        <stp>FQ2 2012</stp>
        <stp>FQ2 2012</stp>
        <stp>[AMZ_2009-2018.xlsx]Bal Sheet - Standardized!R87C16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87" s="3"/>
      </tp>
      <tp>
        <v>-11.6286</v>
        <stp/>
        <stp>##V3_BDHV12</stp>
        <stp>AMZN US Equity</stp>
        <stp>CASH_CONVERSION_CYCLE</stp>
        <stp>FQ2 2011</stp>
        <stp>FQ2 2011</stp>
        <stp>[AMZ_2009-2018.xlsx]Bal Sheet - Standardized!R87C12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87" s="3"/>
      </tp>
      <tp>
        <v>-8.5167999999999999</v>
        <stp/>
        <stp>##V3_BDHV12</stp>
        <stp>AMZN US Equity</stp>
        <stp>CASH_CONVERSION_CYCLE</stp>
        <stp>FQ2 2013</stp>
        <stp>FQ2 2013</stp>
        <stp>[AMZ_2009-2018.xlsx]Bal Sheet - Standardized!R87C20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87" s="3"/>
      </tp>
      <tp>
        <v>-6.1510999999999996</v>
        <stp/>
        <stp>##V3_BDHV12</stp>
        <stp>AMZN US Equity</stp>
        <stp>CASH_CONVERSION_CYCLE</stp>
        <stp>FQ2 2014</stp>
        <stp>FQ2 2014</stp>
        <stp>[AMZ_2009-2018.xlsx]Bal Sheet - Standardized!R87C24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87" s="3"/>
      </tp>
      <tp>
        <v>-6.1912000000000003</v>
        <stp/>
        <stp>##V3_BDHV12</stp>
        <stp>AMZN US Equity</stp>
        <stp>CASH_CONVERSION_CYCLE</stp>
        <stp>FQ2 2015</stp>
        <stp>FQ2 2015</stp>
        <stp>[AMZ_2009-2018.xlsx]Bal Sheet - Standardized!R87C28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87" s="3"/>
      </tp>
      <tp>
        <v>-12.6778</v>
        <stp/>
        <stp>##V3_BDHV12</stp>
        <stp>AMZN US Equity</stp>
        <stp>CASH_CONVERSION_CYCLE</stp>
        <stp>FQ2 2017</stp>
        <stp>FQ2 2017</stp>
        <stp>[AMZ_2009-2018.xlsx]Bal Sheet - Standardized!R87C36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87" s="3"/>
      </tp>
      <tp>
        <v>-8.0665999999999993</v>
        <stp/>
        <stp>##V3_BDHV12</stp>
        <stp>AMZN US Equity</stp>
        <stp>CASH_CONVERSION_CYCLE</stp>
        <stp>FQ2 2016</stp>
        <stp>FQ2 2016</stp>
        <stp>[AMZ_2009-2018.xlsx]Bal Sheet - Standardized!R87C32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87" s="3"/>
      </tp>
      <tp>
        <v>-9.7477</v>
        <stp/>
        <stp>##V3_BDHV12</stp>
        <stp>AMZN US Equity</stp>
        <stp>CASH_CONVERSION_CYCLE</stp>
        <stp>FQ1 2018</stp>
        <stp>FQ1 2018</stp>
        <stp>[AMZ_2009-2018.xlsx]Bal Sheet - Standardized!R87C39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87" s="3"/>
      </tp>
      <tp>
        <v>-15.769500000000001</v>
        <stp/>
        <stp>##V3_BDHV12</stp>
        <stp>AMZN US Equity</stp>
        <stp>CASH_CONVERSION_CYCLE</stp>
        <stp>FQ1 2011</stp>
        <stp>FQ1 2011</stp>
        <stp>[AMZ_2009-2018.xlsx]Bal Sheet - Standardized!R87C11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87" s="3"/>
      </tp>
      <tp>
        <v>-11.345700000000001</v>
        <stp/>
        <stp>##V3_BDHV12</stp>
        <stp>AMZN US Equity</stp>
        <stp>CASH_CONVERSION_CYCLE</stp>
        <stp>FQ1 2012</stp>
        <stp>FQ1 2012</stp>
        <stp>[AMZ_2009-2018.xlsx]Bal Sheet - Standardized!R87C15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87" s="3"/>
      </tp>
      <tp>
        <v>-9.7585999999999995</v>
        <stp/>
        <stp>##V3_BDHV12</stp>
        <stp>AMZN US Equity</stp>
        <stp>CASH_CONVERSION_CYCLE</stp>
        <stp>FQ1 2013</stp>
        <stp>FQ1 2013</stp>
        <stp>[AMZ_2009-2018.xlsx]Bal Sheet - Standardized!R87C19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87" s="3"/>
      </tp>
      <tp>
        <v>-6.4942000000000002</v>
        <stp/>
        <stp>##V3_BDHV12</stp>
        <stp>AMZN US Equity</stp>
        <stp>CASH_CONVERSION_CYCLE</stp>
        <stp>FQ1 2016</stp>
        <stp>FQ1 2016</stp>
        <stp>[AMZ_2009-2018.xlsx]Bal Sheet - Standardized!R87C31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87" s="3"/>
      </tp>
      <tp>
        <v>-10.6106</v>
        <stp/>
        <stp>##V3_BDHV12</stp>
        <stp>AMZN US Equity</stp>
        <stp>CASH_CONVERSION_CYCLE</stp>
        <stp>FQ1 2017</stp>
        <stp>FQ1 2017</stp>
        <stp>[AMZ_2009-2018.xlsx]Bal Sheet - Standardized!R87C35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87" s="3"/>
      </tp>
      <tp>
        <v>-6.0364000000000004</v>
        <stp/>
        <stp>##V3_BDHV12</stp>
        <stp>AMZN US Equity</stp>
        <stp>CASH_CONVERSION_CYCLE</stp>
        <stp>FQ1 2015</stp>
        <stp>FQ1 2015</stp>
        <stp>[AMZ_2009-2018.xlsx]Bal Sheet - Standardized!R87C27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87" s="3"/>
      </tp>
      <tp>
        <v>-7.3777999999999997</v>
        <stp/>
        <stp>##V3_BDHV12</stp>
        <stp>AMZN US Equity</stp>
        <stp>CASH_CONVERSION_CYCLE</stp>
        <stp>FQ1 2014</stp>
        <stp>FQ1 2014</stp>
        <stp>[AMZ_2009-2018.xlsx]Bal Sheet - Standardized!R87C23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87" s="3"/>
      </tp>
      <tp>
        <v>0</v>
        <stp/>
        <stp>##V3_BDHV12</stp>
        <stp>AMZN US Equity</stp>
        <stp>EQY_DPS</stp>
        <stp>FQ1 2012</stp>
        <stp>FQ1 2012</stp>
        <stp>[AMZ_2009-2018.xlsx]Income - Adjusted!R69C15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69" s="2"/>
      </tp>
      <tp>
        <v>0</v>
        <stp/>
        <stp>##V3_BDHV12</stp>
        <stp>AMZN US Equity</stp>
        <stp>EQY_DPS</stp>
        <stp>FQ1 2017</stp>
        <stp>FQ1 2017</stp>
        <stp>[AMZ_2009-2018.xlsx]Income - Adjusted!R69C35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69" s="2"/>
      </tp>
      <tp>
        <v>92</v>
        <stp/>
        <stp>##V3_BDHV12</stp>
        <stp>AMZN US Equity</stp>
        <stp>CF_CASH_PAID_FOR_TAX</stp>
        <stp>FQ4 2017</stp>
        <stp>FQ4 2017</stp>
        <stp>[AMZ_2009-2018.xlsx]Cash Flow - Standardized!R57C38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7" s="4"/>
      </tp>
      <tp>
        <v>0</v>
        <stp/>
        <stp>##V3_BDHV12</stp>
        <stp>AMZN US Equity</stp>
        <stp>EQY_DPS</stp>
        <stp>FQ3 2014</stp>
        <stp>FQ3 2014</stp>
        <stp>[AMZ_2009-2018.xlsx]Income - Adjusted!R69C25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69" s="2"/>
      </tp>
      <tp>
        <v>-26.944900000000001</v>
        <stp/>
        <stp>##V3_BDHV12</stp>
        <stp>AMZN US Equity</stp>
        <stp>CASH_CONVERSION_CYCLE</stp>
        <stp>FQ4 2017</stp>
        <stp>FQ4 2017</stp>
        <stp>[AMZ_2009-2018.xlsx]Bal Sheet - Standardized!R87C38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87" s="3"/>
      </tp>
      <tp>
        <v>-29.6435</v>
        <stp/>
        <stp>##V3_BDHV12</stp>
        <stp>AMZN US Equity</stp>
        <stp>CASH_CONVERSION_CYCLE</stp>
        <stp>FQ4 2016</stp>
        <stp>FQ4 2016</stp>
        <stp>[AMZ_2009-2018.xlsx]Bal Sheet - Standardized!R87C34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87" s="3"/>
      </tp>
      <tp>
        <v>-24.953199999999999</v>
        <stp/>
        <stp>##V3_BDHV12</stp>
        <stp>AMZN US Equity</stp>
        <stp>CASH_CONVERSION_CYCLE</stp>
        <stp>FQ4 2015</stp>
        <stp>FQ4 2015</stp>
        <stp>[AMZ_2009-2018.xlsx]Bal Sheet - Standardized!R87C30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87" s="3"/>
      </tp>
      <tp>
        <v>-23.621500000000001</v>
        <stp/>
        <stp>##V3_BDHV12</stp>
        <stp>AMZN US Equity</stp>
        <stp>CASH_CONVERSION_CYCLE</stp>
        <stp>FQ4 2014</stp>
        <stp>FQ4 2014</stp>
        <stp>[AMZ_2009-2018.xlsx]Bal Sheet - Standardized!R87C26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87" s="3"/>
      </tp>
      <tp>
        <v>-33.760199999999998</v>
        <stp/>
        <stp>##V3_BDHV12</stp>
        <stp>AMZN US Equity</stp>
        <stp>CASH_CONVERSION_CYCLE</stp>
        <stp>FQ4 2011</stp>
        <stp>FQ4 2011</stp>
        <stp>[AMZ_2009-2018.xlsx]Bal Sheet - Standardized!R87C14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87" s="3"/>
      </tp>
      <tp>
        <v>-28.243500000000001</v>
        <stp/>
        <stp>##V3_BDHV12</stp>
        <stp>AMZN US Equity</stp>
        <stp>CASH_CONVERSION_CYCLE</stp>
        <stp>FQ4 2013</stp>
        <stp>FQ4 2013</stp>
        <stp>[AMZ_2009-2018.xlsx]Bal Sheet - Standardized!R87C22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87" s="3"/>
      </tp>
      <tp>
        <v>-39.667400000000001</v>
        <stp/>
        <stp>##V3_BDHV12</stp>
        <stp>AMZN US Equity</stp>
        <stp>CASH_CONVERSION_CYCLE</stp>
        <stp>FQ4 2010</stp>
        <stp>FQ4 2010</stp>
        <stp>[AMZ_2009-2018.xlsx]Bal Sheet - Standardized!R87C10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87" s="3"/>
      </tp>
      <tp>
        <v>-33.572400000000002</v>
        <stp/>
        <stp>##V3_BDHV12</stp>
        <stp>AMZN US Equity</stp>
        <stp>CASH_CONVERSION_CYCLE</stp>
        <stp>FQ4 2012</stp>
        <stp>FQ4 2012</stp>
        <stp>[AMZ_2009-2018.xlsx]Bal Sheet - Standardized!R87C18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87" s="3"/>
      </tp>
      <tp t="s">
        <v>—</v>
        <stp/>
        <stp>##V3_BDHV12</stp>
        <stp>AMZN US Equity</stp>
        <stp>INVTRY_FINISHED_GOODS</stp>
        <stp>FQ3 2010</stp>
        <stp>FQ3 2010</stp>
        <stp>[AMZ_2009-2018.xlsx]Bal Sheet - Standardized!R16C9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6" s="3"/>
      </tp>
      <tp>
        <v>21</v>
        <stp/>
        <stp>##V3_BDHV12</stp>
        <stp>AMZN US Equity</stp>
        <stp>CF_CASH_PAID_FOR_TAX</stp>
        <stp>FQ3 2012</stp>
        <stp>FQ3 2012</stp>
        <stp>[AMZ_2009-2018.xlsx]Cash Flow - Standardized!R57C17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7" s="4"/>
      </tp>
      <tp t="s">
        <v>—</v>
        <stp/>
        <stp>##V3_BDHV12</stp>
        <stp>AMZN US Equity</stp>
        <stp>INVTRY_FINISHED_GOODS</stp>
        <stp>FQ2 2009</stp>
        <stp>FQ2 2009</stp>
        <stp>[AMZ_2009-2018.xlsx]Bal Sheet - Standardized!R16C4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6" s="3"/>
      </tp>
      <tp>
        <v>16</v>
        <stp/>
        <stp>##V3_BDHV12</stp>
        <stp>AMZN US Equity</stp>
        <stp>CF_ACCT_RCV_UNBILLED_REV</stp>
        <stp>FQ2 2009</stp>
        <stp>FQ2 2009</stp>
        <stp>[AMZ_2009-2018.xlsx]Cash Flow - Standardized!R14C4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4" s="4"/>
      </tp>
      <tp>
        <v>-64</v>
        <stp/>
        <stp>##V3_BDHV12</stp>
        <stp>AMZN US Equity</stp>
        <stp>CF_ACCT_RCV_UNBILLED_REV</stp>
        <stp>FQ3 2010</stp>
        <stp>FQ3 2010</stp>
        <stp>[AMZ_2009-2018.xlsx]Cash Flow - Standardized!R14C9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4" s="4"/>
      </tp>
      <tp>
        <v>453</v>
        <stp/>
        <stp>##V3_BDHV12</stp>
        <stp>AMZN US Equity</stp>
        <stp>IS_AVG_NUM_SH_FOR_EPS</stp>
        <stp>FQ2 2011</stp>
        <stp>FQ2 2011</stp>
        <stp>[AMZ_2009-2018.xlsx]Per Share!R8C12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8" s="5"/>
      </tp>
      <tp>
        <v>456</v>
        <stp/>
        <stp>##V3_BDHV12</stp>
        <stp>AMZN US Equity</stp>
        <stp>IS_AVG_NUM_SH_FOR_EPS</stp>
        <stp>FQ2 2013</stp>
        <stp>FQ2 2013</stp>
        <stp>[AMZ_2009-2018.xlsx]Per Share!R8C20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8" s="5"/>
      </tp>
      <tp>
        <v>208</v>
        <stp/>
        <stp>##V3_BDHV12</stp>
        <stp>AMZN US Equity</stp>
        <stp>CF_ACT_CASH_PAID_FOR_INT_DEBT</stp>
        <stp>FQ2 2017</stp>
        <stp>FQ2 2017</stp>
        <stp>[AMZ_2009-2018.xlsx]Cash Flow - Standardized!R58C36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8" s="4"/>
      </tp>
      <tp>
        <v>49</v>
        <stp/>
        <stp>##V3_BDHV12</stp>
        <stp>AMZN US Equity</stp>
        <stp>CF_ACT_CASH_PAID_FOR_INT_DEBT</stp>
        <stp>FQ1 2015</stp>
        <stp>FQ1 2015</stp>
        <stp>[AMZ_2009-2018.xlsx]Cash Flow - Standardized!R58C27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8" s="4"/>
      </tp>
      <tp>
        <v>51</v>
        <stp/>
        <stp>##V3_BDHV12</stp>
        <stp>AMZN US Equity</stp>
        <stp>CF_ACT_CASH_PAID_FOR_INT_DEBT</stp>
        <stp>FQ3 2016</stp>
        <stp>FQ3 2016</stp>
        <stp>[AMZ_2009-2018.xlsx]Cash Flow - Standardized!R58C33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8" s="4"/>
      </tp>
      <tp>
        <v>207</v>
        <stp/>
        <stp>##V3_BDHV12</stp>
        <stp>AMZN US Equity</stp>
        <stp>NI_INCLUDING_MINORITY_INT_RATIO</stp>
        <stp>FQ2 2010</stp>
        <stp>FQ2 2010</stp>
        <stp>[AMZ_2009-2018.xlsx]Income - Adjusted!R38C8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38" s="2"/>
      </tp>
      <tp>
        <v>11.8401</v>
        <stp/>
        <stp>##V3_BDHV12</stp>
        <stp>AMZN US Equity</stp>
        <stp>BOOK_VAL_PER_SH</stp>
        <stp>FQ4 2009</stp>
        <stp>FQ4 2009</stp>
        <stp>[AMZ_2009-2018.xlsx]Per Share!R26C6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26" s="5"/>
      </tp>
      <tp>
        <v>142</v>
        <stp/>
        <stp>##V3_BDHV12</stp>
        <stp>AMZN US Equity</stp>
        <stp>EARN_FOR_COMMON</stp>
        <stp>FQ2 2009</stp>
        <stp>FQ2 2009</stp>
        <stp>[AMZ_2009-2018.xlsx]Income - Adjusted!R43C4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43" s="2"/>
      </tp>
      <tp>
        <v>0</v>
        <stp/>
        <stp>##V3_BDHV12</stp>
        <stp>AMZN US Equity</stp>
        <stp>PROC_FR_REPURCH_EQTY_DETAILED</stp>
        <stp>FQ3 2011</stp>
        <stp>FQ3 2011</stp>
        <stp>[AMZ_2009-2018.xlsx]Cash Flow - Standardized!R46C13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6" s="4"/>
      </tp>
      <tp>
        <v>0</v>
        <stp/>
        <stp>##V3_BDHV12</stp>
        <stp>AMZN US Equity</stp>
        <stp>PROC_FR_REPURCH_EQTY_DETAILED</stp>
        <stp>FQ2 2013</stp>
        <stp>FQ2 2013</stp>
        <stp>[AMZ_2009-2018.xlsx]Cash Flow - Standardized!R46C20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6" s="4"/>
      </tp>
      <tp>
        <v>8390</v>
        <stp/>
        <stp>##V3_BDHV12</stp>
        <stp>AMZN US Equity</stp>
        <stp>FREE_CASH_FLOW_EQUITY</stp>
        <stp>FQ4 2016</stp>
        <stp>FQ4 2016</stp>
        <stp>[AMZ_2009-2018.xlsx]Cash Flow - Standardized!R67C34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7" s="4"/>
      </tp>
      <tp>
        <v>-1906</v>
        <stp/>
        <stp>##V3_BDHV12</stp>
        <stp>AMZN US Equity</stp>
        <stp>FREE_CASH_FLOW_EQUITY</stp>
        <stp>FQ1 2011</stp>
        <stp>FQ1 2011</stp>
        <stp>[AMZ_2009-2018.xlsx]Cash Flow - Standardized!R67C11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7" s="4"/>
      </tp>
      <tp>
        <v>0</v>
        <stp/>
        <stp>##V3_BDHV12</stp>
        <stp>AMZN US Equity</stp>
        <stp>MIN_NONCONTROL_INTEREST_CREDITS</stp>
        <stp>FQ1 2010</stp>
        <stp>FQ1 2010</stp>
        <stp>[AMZ_2009-2018.xlsx]Income - Adjusted!R39C7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39" s="2"/>
      </tp>
      <tp>
        <v>0</v>
        <stp/>
        <stp>##V3_BDHV12</stp>
        <stp>AMZN US Equity</stp>
        <stp>PROC_FR_REPURCH_EQTY_DETAILED</stp>
        <stp>FQ1 2013</stp>
        <stp>FQ1 2013</stp>
        <stp>[AMZ_2009-2018.xlsx]Cash Flow - Standardized!R46C19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6" s="4"/>
      </tp>
      <tp>
        <v>-81</v>
        <stp/>
        <stp>##V3_BDHV12</stp>
        <stp>AMZN US Equity</stp>
        <stp>FREE_CASH_FLOW_EQUITY</stp>
        <stp>FQ2 2012</stp>
        <stp>FQ2 2012</stp>
        <stp>[AMZ_2009-2018.xlsx]Cash Flow - Standardized!R67C16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7" s="4"/>
      </tp>
      <tp>
        <v>0</v>
        <stp/>
        <stp>##V3_BDHV12</stp>
        <stp>AMZN US Equity</stp>
        <stp>IS_ABNORMAL_ITEM</stp>
        <stp>FQ3 2010</stp>
        <stp>FQ3 2010</stp>
        <stp>[AMZ_2009-2018.xlsx]Income - Adjusted!R26C9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6" s="2"/>
      </tp>
      <tp>
        <v>1.78</v>
        <stp/>
        <stp>##V3_BDHV12</stp>
        <stp>AMZN US Equity</stp>
        <stp>IS_DILUTED_EPS</stp>
        <stp>FQ2 2016</stp>
        <stp>FQ2 2016</stp>
        <stp>[AMZ_2009-2018.xlsx]Per Share!R17C32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17" s="5"/>
      </tp>
      <tp t="s">
        <v>—</v>
        <stp/>
        <stp>##V3_BDHV12</stp>
        <stp>AMZN US Equity</stp>
        <stp>LT_DEFERRED_REVENUE</stp>
        <stp>FQ3 2009</stp>
        <stp>FQ3 2009</stp>
        <stp>[AMZ_2009-2018.xlsx]Bal Sheet - Standardized!R58C5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8" s="3"/>
      </tp>
      <tp>
        <v>181</v>
        <stp/>
        <stp>##V3_BDHV12</stp>
        <stp>AMZN US Equity</stp>
        <stp>EBIT</stp>
        <stp>FQ1 2013</stp>
        <stp>FQ1 2013</stp>
        <stp>[AMZ_2009-2018.xlsx]Income - Adjusted!R64C19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64" s="2"/>
      </tp>
      <tp t="s">
        <v>—</v>
        <stp/>
        <stp>##V3_BDHV12</stp>
        <stp>AMZN US Equity</stp>
        <stp>ST_DEFERRED_REVENUE</stp>
        <stp>FQ3 2009</stp>
        <stp>FQ3 2009</stp>
        <stp>[AMZ_2009-2018.xlsx]Bal Sheet - Standardized!R48C5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8" s="3"/>
      </tp>
      <tp>
        <v>1927</v>
        <stp/>
        <stp>##V3_BDHV12</stp>
        <stp>AMZN US Equity</stp>
        <stp>EBIT</stp>
        <stp>FQ1 2018</stp>
        <stp>FQ1 2018</stp>
        <stp>[AMZ_2009-2018.xlsx]Income - Adjusted!R64C39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64" s="2"/>
      </tp>
      <tp>
        <v>0.4</v>
        <stp/>
        <stp>##V3_BDHV12</stp>
        <stp>AMZN US Equity</stp>
        <stp>IS_DILUTED_EPS</stp>
        <stp>FQ2 2017</stp>
        <stp>FQ2 2017</stp>
        <stp>[AMZ_2009-2018.xlsx]Per Share!R17C36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17" s="5"/>
      </tp>
      <tp>
        <v>600</v>
        <stp/>
        <stp>##V3_BDHV12</stp>
        <stp>AMZN US Equity</stp>
        <stp>BS_AMT_OF_TSY_STOCK</stp>
        <stp>FQ3 2010</stp>
        <stp>FQ3 2010</stp>
        <stp>[AMZ_2009-2018.xlsx]Bal Sheet - Standardized!R68C9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68" s="3"/>
      </tp>
      <tp>
        <v>-0.27</v>
        <stp/>
        <stp>##V3_BDHV12</stp>
        <stp>AMZN US Equity</stp>
        <stp>IS_DILUTED_EPS</stp>
        <stp>FQ2 2014</stp>
        <stp>FQ2 2014</stp>
        <stp>[AMZ_2009-2018.xlsx]Per Share!R17C24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17" s="5"/>
      </tp>
      <tp>
        <v>406</v>
        <stp/>
        <stp>##V3_BDHV12</stp>
        <stp>AMZN US Equity</stp>
        <stp>EBIT</stp>
        <stp>FQ3 2015</stp>
        <stp>FQ3 2015</stp>
        <stp>[AMZ_2009-2018.xlsx]Income - Adjusted!R64C29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64" s="2"/>
      </tp>
      <tp>
        <v>0.19</v>
        <stp/>
        <stp>##V3_BDHV12</stp>
        <stp>AMZN US Equity</stp>
        <stp>IS_DILUTED_EPS</stp>
        <stp>FQ2 2015</stp>
        <stp>FQ2 2015</stp>
        <stp>[AMZ_2009-2018.xlsx]Per Share!R17C28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17" s="5"/>
      </tp>
      <tp>
        <v>0.01</v>
        <stp/>
        <stp>##V3_BDHV12</stp>
        <stp>AMZN US Equity</stp>
        <stp>IS_DILUTED_EPS</stp>
        <stp>FQ2 2012</stp>
        <stp>FQ2 2012</stp>
        <stp>[AMZ_2009-2018.xlsx]Per Share!R17C16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17" s="5"/>
      </tp>
      <tp t="s">
        <v>—</v>
        <stp/>
        <stp>##V3_BDHV12</stp>
        <stp>AMZN US Equity</stp>
        <stp>LT_DEFERRED_REVENUE</stp>
        <stp>FQ2 2010</stp>
        <stp>FQ2 2010</stp>
        <stp>[AMZ_2009-2018.xlsx]Bal Sheet - Standardized!R58C8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8" s="3"/>
      </tp>
      <tp t="s">
        <v>—</v>
        <stp/>
        <stp>##V3_BDHV12</stp>
        <stp>AMZN US Equity</stp>
        <stp>ST_DEFERRED_REVENUE</stp>
        <stp>FQ2 2010</stp>
        <stp>FQ2 2010</stp>
        <stp>[AMZ_2009-2018.xlsx]Bal Sheet - Standardized!R48C8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8" s="3"/>
      </tp>
      <tp>
        <v>-0.02</v>
        <stp/>
        <stp>##V3_BDHV12</stp>
        <stp>AMZN US Equity</stp>
        <stp>IS_DILUTED_EPS</stp>
        <stp>FQ2 2013</stp>
        <stp>FQ2 2013</stp>
        <stp>[AMZ_2009-2018.xlsx]Per Share!R17C20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17" s="5"/>
      </tp>
      <tp>
        <v>600</v>
        <stp/>
        <stp>##V3_BDHV12</stp>
        <stp>AMZN US Equity</stp>
        <stp>BS_AMT_OF_TSY_STOCK</stp>
        <stp>FQ2 2009</stp>
        <stp>FQ2 2009</stp>
        <stp>[AMZ_2009-2018.xlsx]Bal Sheet - Standardized!R68C4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68" s="3"/>
      </tp>
      <tp>
        <v>0.41</v>
        <stp/>
        <stp>##V3_BDHV12</stp>
        <stp>AMZN US Equity</stp>
        <stp>IS_DILUTED_EPS</stp>
        <stp>FQ2 2011</stp>
        <stp>FQ2 2011</stp>
        <stp>[AMZ_2009-2018.xlsx]Per Share!R17C12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17" s="5"/>
      </tp>
      <tp>
        <v>5.07</v>
        <stp/>
        <stp>##V3_BDHV12</stp>
        <stp>AMZN US Equity</stp>
        <stp>IS_DILUTED_EPS</stp>
        <stp>FQ2 2018</stp>
        <stp>FQ2 2018</stp>
        <stp>[AMZ_2009-2018.xlsx]Per Share!R17C40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17" s="5"/>
      </tp>
      <tp t="s">
        <v>—</v>
        <stp/>
        <stp>##V3_BDHV12</stp>
        <stp>AMZN US Equity</stp>
        <stp>PENSION_LIABILITIES</stp>
        <stp>FQ3 2017</stp>
        <stp>FQ3 2017</stp>
        <stp>[AMZ_2009-2018.xlsx]Bal Sheet - Standardized!R57C37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7" s="3"/>
      </tp>
      <tp t="s">
        <v>—</v>
        <stp/>
        <stp>##V3_BDHV12</stp>
        <stp>AMZN US Equity</stp>
        <stp>PENSION_LIABILITIES</stp>
        <stp>FQ1 2014</stp>
        <stp>FQ1 2014</stp>
        <stp>[AMZ_2009-2018.xlsx]Bal Sheet - Standardized!R57C23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7" s="3"/>
      </tp>
      <tp>
        <v>-18</v>
        <stp/>
        <stp>##V3_BDHV12</stp>
        <stp>AMZN US Equity</stp>
        <stp>IS_NONOP_INCOME_LOSS</stp>
        <stp>FQ2 2009</stp>
        <stp>FQ2 2009</stp>
        <stp>[AMZ_2009-2018.xlsx]Income - Adjusted!R19C4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9" s="2"/>
      </tp>
      <tp t="s">
        <v>—</v>
        <stp/>
        <stp>##V3_BDHV12</stp>
        <stp>AMZN US Equity</stp>
        <stp>PENSION_LIABILITIES</stp>
        <stp>FQ2 2016</stp>
        <stp>FQ2 2016</stp>
        <stp>[AMZ_2009-2018.xlsx]Bal Sheet - Standardized!R57C32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7" s="3"/>
      </tp>
      <tp>
        <v>0</v>
        <stp/>
        <stp>##V3_BDHV12</stp>
        <stp>AMZN US Equity</stp>
        <stp>PENSION_LIABILITIES</stp>
        <stp>FQ4 2012</stp>
        <stp>FQ4 2012</stp>
        <stp>[AMZ_2009-2018.xlsx]Bal Sheet - Standardized!R57C18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7" s="3"/>
      </tp>
      <tp>
        <v>48045</v>
        <stp/>
        <stp>##V3_BDHV12</stp>
        <stp>AMZN US Equity</stp>
        <stp>BS_CUR_LIAB</stp>
        <stp>FQ1 2018</stp>
        <stp>FQ1 2018</stp>
        <stp>[AMZ_2009-2018.xlsx]Bal Sheet - Standardized!R51C39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1" s="3"/>
      </tp>
      <tp>
        <v>0.39240000000000003</v>
        <stp/>
        <stp>##V3_BDHV12</stp>
        <stp>AMZN US Equity</stp>
        <stp>IS_DIL_EPS_CONT_OPS</stp>
        <stp>FQ2 2009</stp>
        <stp>FQ2 2009</stp>
        <stp>[AMZ_2009-2018.xlsx]Income - Adjusted!R57C4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57" s="2"/>
      </tp>
      <tp>
        <v>21</v>
        <stp/>
        <stp>##V3_BDHV12</stp>
        <stp>AMZN US Equity</stp>
        <stp>IS_INT_EXPENSE</stp>
        <stp>FQ1 2012</stp>
        <stp>FQ1 2012</stp>
        <stp>[AMZ_2009-2018.xlsx]Income - Adjusted!R21C15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1" s="2"/>
      </tp>
      <tp>
        <v>139</v>
        <stp/>
        <stp>##V3_BDHV12</stp>
        <stp>AMZN US Equity</stp>
        <stp>IS_INT_EXPENSE</stp>
        <stp>FQ1 2017</stp>
        <stp>FQ1 2017</stp>
        <stp>[AMZ_2009-2018.xlsx]Income - Adjusted!R21C35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21" s="2"/>
      </tp>
      <tp>
        <v>49</v>
        <stp/>
        <stp>##V3_BDHV12</stp>
        <stp>AMZN US Equity</stp>
        <stp>IS_INT_EXPENSE</stp>
        <stp>FQ3 2014</stp>
        <stp>FQ3 2014</stp>
        <stp>[AMZ_2009-2018.xlsx]Income - Adjusted!R21C25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1" s="2"/>
      </tp>
      <tp>
        <v>34.890300000000003</v>
        <stp/>
        <stp>##V3_BDHV12</stp>
        <stp>AMZN US Equity</stp>
        <stp>BOOK_VAL_PER_SH</stp>
        <stp>FQ2 2016</stp>
        <stp>FQ2 2016</stp>
        <stp>[AMZ_2009-2018.xlsx]Per Share!R26C32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26" s="5"/>
      </tp>
      <tp>
        <v>17.1035</v>
        <stp/>
        <stp>##V3_BDHV12</stp>
        <stp>AMZN US Equity</stp>
        <stp>BOOK_VAL_PER_SH</stp>
        <stp>FQ2 2011</stp>
        <stp>FQ2 2011</stp>
        <stp>[AMZ_2009-2018.xlsx]Per Share!R26C12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26" s="5"/>
      </tp>
      <tp>
        <v>21.2331</v>
        <stp/>
        <stp>##V3_BDHV12</stp>
        <stp>AMZN US Equity</stp>
        <stp>BOOK_VAL_PER_SH</stp>
        <stp>FQ4 2013</stp>
        <stp>FQ4 2013</stp>
        <stp>[AMZ_2009-2018.xlsx]Per Share!R26C22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26" s="5"/>
      </tp>
      <tp>
        <v>468</v>
        <stp/>
        <stp>##V3_BDHV12</stp>
        <stp>AMZN US Equity</stp>
        <stp>IS_AVG_NUM_SH_FOR_EPS</stp>
        <stp>FQ3 2015</stp>
        <stp>FQ3 2015</stp>
        <stp>[AMZ_2009-2018.xlsx]Per Share!R8C29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8" s="5"/>
      </tp>
      <tp t="s">
        <v>—</v>
        <stp/>
        <stp>##V3_BDHV12</stp>
        <stp>AMZN US Equity</stp>
        <stp>IS_OTHER_ONE_TIME_ITEMS</stp>
        <stp>FQ1 2013</stp>
        <stp>FQ1 2013</stp>
        <stp>[AMZ_2009-2018.xlsx]Income - Adjusted!R30C19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0" s="2"/>
      </tp>
      <tp>
        <v>0</v>
        <stp/>
        <stp>##V3_BDHV12</stp>
        <stp>AMZN US Equity</stp>
        <stp>IS_OTHER_OPER_INC</stp>
        <stp>FQ1 2009</stp>
        <stp>FQ1 2009</stp>
        <stp>[AMZ_2009-2018.xlsx]Income - Adjusted!R11C3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1" s="2"/>
      </tp>
      <tp t="s">
        <v>—</v>
        <stp/>
        <stp>##V3_BDHV12</stp>
        <stp>AMZN US Equity</stp>
        <stp>IS_MERGER_ACQUISITION_EXPENSE</stp>
        <stp>FQ1 2011</stp>
        <stp>FQ1 2011</stp>
        <stp>[AMZ_2009-2018.xlsx]Income - Adjusted!R27C11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7" s="2"/>
      </tp>
      <tp>
        <v>2504</v>
        <stp/>
        <stp>##V3_BDHV12</stp>
        <stp>AMZN US Equity</stp>
        <stp>BS_OTHER_ASSETS_DEF_CHRG_OTHER</stp>
        <stp>FQ3 2010</stp>
        <stp>FQ3 2010</stp>
        <stp>[AMZ_2009-2018.xlsx]Bal Sheet - Standardized!R27C9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7" s="3"/>
      </tp>
      <tp t="s">
        <v>—</v>
        <stp/>
        <stp>##V3_BDHV12</stp>
        <stp>AMZN US Equity</stp>
        <stp>IS_MERGER_ACQUISITION_EXPENSE</stp>
        <stp>FQ3 2011</stp>
        <stp>FQ3 2011</stp>
        <stp>[AMZ_2009-2018.xlsx]Income - Adjusted!R27C13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7" s="2"/>
      </tp>
      <tp t="s">
        <v>—</v>
        <stp/>
        <stp>##V3_BDHV12</stp>
        <stp>AMZN US Equity</stp>
        <stp>IS_MERGER_ACQUISITION_EXPENSE</stp>
        <stp>FQ2 2011</stp>
        <stp>FQ2 2011</stp>
        <stp>[AMZ_2009-2018.xlsx]Income - Adjusted!R27C12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7" s="2"/>
      </tp>
      <tp>
        <v>1390</v>
        <stp/>
        <stp>##V3_BDHV12</stp>
        <stp>AMZN US Equity</stp>
        <stp>BS_OTHER_ASSETS_DEF_CHRG_OTHER</stp>
        <stp>FQ2 2009</stp>
        <stp>FQ2 2009</stp>
        <stp>[AMZ_2009-2018.xlsx]Bal Sheet - Standardized!R27C4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7" s="3"/>
      </tp>
      <tp t="s">
        <v>—</v>
        <stp/>
        <stp>##V3_BDHV12</stp>
        <stp>AMZN US Equity</stp>
        <stp>IS_MERGER_ACQUISITION_EXPENSE</stp>
        <stp>FQ4 2011</stp>
        <stp>FQ4 2011</stp>
        <stp>[AMZ_2009-2018.xlsx]Income - Adjusted!R27C14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7" s="2"/>
      </tp>
      <tp>
        <v>299</v>
        <stp/>
        <stp>##V3_BDHV12</stp>
        <stp>AMZN US Equity</stp>
        <stp>NI_INCLUDING_MINORITY_INT_RATIO</stp>
        <stp>FQ1 2010</stp>
        <stp>FQ1 2010</stp>
        <stp>[AMZ_2009-2018.xlsx]Income - Adjusted!R38C7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38" s="2"/>
      </tp>
      <tp>
        <v>1036</v>
        <stp/>
        <stp>##V3_BDHV12</stp>
        <stp>AMZN US Equity</stp>
        <stp>BS_FUTURE_MIN_OPER_LEASE_OBLIG</stp>
        <stp>FQ1 2010</stp>
        <stp>FQ1 2010</stp>
        <stp>[AMZ_2009-2018.xlsx]Bal Sheet - Standardized!R81C7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81" s="3"/>
      </tp>
      <tp>
        <v>3106</v>
        <stp/>
        <stp>##V3_BDHV12</stp>
        <stp>AMZN US Equity</stp>
        <stp>FREE_CASH_FLOW_EQUITY</stp>
        <stp>FQ2 2018</stp>
        <stp>FQ2 2018</stp>
        <stp>[AMZ_2009-2018.xlsx]Cash Flow - Standardized!R67C40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7" s="4"/>
      </tp>
      <tp>
        <v>129</v>
        <stp/>
        <stp>##V3_BDHV12</stp>
        <stp>AMZN US Equity</stp>
        <stp>IS_SELLING_EXPENSES</stp>
        <stp>FQ2 2009</stp>
        <stp>FQ2 2009</stp>
        <stp>[AMZ_2009-2018.xlsx]Income - Adjusted!R14C4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4" s="2"/>
      </tp>
      <tp>
        <v>0</v>
        <stp/>
        <stp>##V3_BDHV12</stp>
        <stp>AMZN US Equity</stp>
        <stp>MIN_NONCONTROL_INTEREST_CREDITS</stp>
        <stp>FQ2 2010</stp>
        <stp>FQ2 2010</stp>
        <stp>[AMZ_2009-2018.xlsx]Income - Adjusted!R39C8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39" s="2"/>
      </tp>
      <tp>
        <v>0</v>
        <stp/>
        <stp>##V3_BDHV12</stp>
        <stp>AMZN US Equity</stp>
        <stp>IS_ABNORMAL_ITEM</stp>
        <stp>FQ2 2010</stp>
        <stp>FQ2 2010</stp>
        <stp>[AMZ_2009-2018.xlsx]Income - Adjusted!R26C8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6" s="2"/>
      </tp>
      <tp>
        <v>0.52</v>
        <stp/>
        <stp>##V3_BDHV12</stp>
        <stp>AMZN US Equity</stp>
        <stp>IS_DILUTED_EPS</stp>
        <stp>FQ3 2017</stp>
        <stp>FQ3 2017</stp>
        <stp>[AMZ_2009-2018.xlsx]Per Share!R17C37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17" s="5"/>
      </tp>
      <tp t="s">
        <v>—</v>
        <stp/>
        <stp>##V3_BDHV12</stp>
        <stp>AMZN US Equity</stp>
        <stp>LT_DEFERRED_REVENUE</stp>
        <stp>FQ2 2009</stp>
        <stp>FQ2 2009</stp>
        <stp>[AMZ_2009-2018.xlsx]Bal Sheet - Standardized!R58C4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8" s="3"/>
      </tp>
      <tp t="s">
        <v>—</v>
        <stp/>
        <stp>##V3_BDHV12</stp>
        <stp>AMZN US Equity</stp>
        <stp>ST_DEFERRED_REVENUE</stp>
        <stp>FQ2 2009</stp>
        <stp>FQ2 2009</stp>
        <stp>[AMZ_2009-2018.xlsx]Bal Sheet - Standardized!R48C4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8" s="3"/>
      </tp>
      <tp>
        <v>0.52</v>
        <stp/>
        <stp>##V3_BDHV12</stp>
        <stp>AMZN US Equity</stp>
        <stp>IS_DILUTED_EPS</stp>
        <stp>FQ3 2016</stp>
        <stp>FQ3 2016</stp>
        <stp>[AMZ_2009-2018.xlsx]Per Share!R17C33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17" s="5"/>
      </tp>
      <tp>
        <v>600</v>
        <stp/>
        <stp>##V3_BDHV12</stp>
        <stp>AMZN US Equity</stp>
        <stp>BS_AMT_OF_TSY_STOCK</stp>
        <stp>FQ2 2010</stp>
        <stp>FQ2 2010</stp>
        <stp>[AMZ_2009-2018.xlsx]Bal Sheet - Standardized!R68C8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68" s="3"/>
      </tp>
      <tp>
        <v>0.17</v>
        <stp/>
        <stp>##V3_BDHV12</stp>
        <stp>AMZN US Equity</stp>
        <stp>IS_DILUTED_EPS</stp>
        <stp>FQ3 2015</stp>
        <stp>FQ3 2015</stp>
        <stp>[AMZ_2009-2018.xlsx]Per Share!R17C29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17" s="5"/>
      </tp>
      <tp>
        <v>-0.95</v>
        <stp/>
        <stp>##V3_BDHV12</stp>
        <stp>AMZN US Equity</stp>
        <stp>IS_DILUTED_EPS</stp>
        <stp>FQ3 2014</stp>
        <stp>FQ3 2014</stp>
        <stp>[AMZ_2009-2018.xlsx]Per Share!R17C25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17" s="5"/>
      </tp>
      <tp>
        <v>464</v>
        <stp/>
        <stp>##V3_BDHV12</stp>
        <stp>AMZN US Equity</stp>
        <stp>EBIT</stp>
        <stp>FQ2 2015</stp>
        <stp>FQ2 2015</stp>
        <stp>[AMZ_2009-2018.xlsx]Income - Adjusted!R64C28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64" s="2"/>
      </tp>
      <tp>
        <v>-0.09</v>
        <stp/>
        <stp>##V3_BDHV12</stp>
        <stp>AMZN US Equity</stp>
        <stp>IS_DILUTED_EPS</stp>
        <stp>FQ3 2013</stp>
        <stp>FQ3 2013</stp>
        <stp>[AMZ_2009-2018.xlsx]Per Share!R17C21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17" s="5"/>
      </tp>
      <tp t="s">
        <v>—</v>
        <stp/>
        <stp>##V3_BDHV12</stp>
        <stp>AMZN US Equity</stp>
        <stp>LT_DEFERRED_REVENUE</stp>
        <stp>FQ3 2010</stp>
        <stp>FQ3 2010</stp>
        <stp>[AMZ_2009-2018.xlsx]Bal Sheet - Standardized!R58C9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8" s="3"/>
      </tp>
      <tp t="s">
        <v>—</v>
        <stp/>
        <stp>##V3_BDHV12</stp>
        <stp>AMZN US Equity</stp>
        <stp>ST_DEFERRED_REVENUE</stp>
        <stp>FQ3 2010</stp>
        <stp>FQ3 2010</stp>
        <stp>[AMZ_2009-2018.xlsx]Bal Sheet - Standardized!R48C9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8" s="3"/>
      </tp>
      <tp>
        <v>-0.6</v>
        <stp/>
        <stp>##V3_BDHV12</stp>
        <stp>AMZN US Equity</stp>
        <stp>IS_DILUTED_EPS</stp>
        <stp>FQ3 2012</stp>
        <stp>FQ3 2012</stp>
        <stp>[AMZ_2009-2018.xlsx]Per Share!R17C17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17" s="5"/>
      </tp>
      <tp>
        <v>600</v>
        <stp/>
        <stp>##V3_BDHV12</stp>
        <stp>AMZN US Equity</stp>
        <stp>BS_AMT_OF_TSY_STOCK</stp>
        <stp>FQ3 2009</stp>
        <stp>FQ3 2009</stp>
        <stp>[AMZ_2009-2018.xlsx]Bal Sheet - Standardized!R68C5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68" s="3"/>
      </tp>
      <tp>
        <v>405</v>
        <stp/>
        <stp>##V3_BDHV12</stp>
        <stp>AMZN US Equity</stp>
        <stp>EBIT</stp>
        <stp>FQ4 2012</stp>
        <stp>FQ4 2012</stp>
        <stp>[AMZ_2009-2018.xlsx]Income - Adjusted!R64C18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64" s="2"/>
      </tp>
      <tp>
        <v>2127</v>
        <stp/>
        <stp>##V3_BDHV12</stp>
        <stp>AMZN US Equity</stp>
        <stp>EBIT</stp>
        <stp>FQ4 2017</stp>
        <stp>FQ4 2017</stp>
        <stp>[AMZ_2009-2018.xlsx]Income - Adjusted!R64C38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64" s="2"/>
      </tp>
      <tp>
        <v>0.14000000000000001</v>
        <stp/>
        <stp>##V3_BDHV12</stp>
        <stp>AMZN US Equity</stp>
        <stp>IS_DILUTED_EPS</stp>
        <stp>FQ3 2011</stp>
        <stp>FQ3 2011</stp>
        <stp>[AMZ_2009-2018.xlsx]Per Share!R17C13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17" s="5"/>
      </tp>
      <tp>
        <v>866</v>
        <stp/>
        <stp>##V3_BDHV12</stp>
        <stp>AMZN US Equity</stp>
        <stp>CF_NET_CASH_PAID_FOR_AQUIS</stp>
        <stp>FQ2 2018</stp>
        <stp>FQ2 2018</stp>
        <stp>[AMZ_2009-2018.xlsx]Cash Flow - Standardized!R63C40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3" s="4"/>
      </tp>
      <tp t="s">
        <v>—</v>
        <stp/>
        <stp>##V3_BDHV12</stp>
        <stp>AMZN US Equity</stp>
        <stp>PENSION_LIABILITIES</stp>
        <stp>FQ1 2015</stp>
        <stp>FQ1 2015</stp>
        <stp>[AMZ_2009-2018.xlsx]Bal Sheet - Standardized!R57C27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7" s="3"/>
      </tp>
      <tp t="s">
        <v>—</v>
        <stp/>
        <stp>##V3_BDHV12</stp>
        <stp>AMZN US Equity</stp>
        <stp>PENSION_LIABILITIES</stp>
        <stp>FQ2 2017</stp>
        <stp>FQ2 2017</stp>
        <stp>[AMZ_2009-2018.xlsx]Bal Sheet - Standardized!R57C36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7" s="3"/>
      </tp>
      <tp>
        <v>-10</v>
        <stp/>
        <stp>##V3_BDHV12</stp>
        <stp>AMZN US Equity</stp>
        <stp>IS_NONOP_INCOME_LOSS</stp>
        <stp>FQ3 2009</stp>
        <stp>FQ3 2009</stp>
        <stp>[AMZ_2009-2018.xlsx]Income - Adjusted!R19C5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9" s="2"/>
      </tp>
      <tp t="s">
        <v>—</v>
        <stp/>
        <stp>##V3_BDHV12</stp>
        <stp>AMZN US Equity</stp>
        <stp>PENSION_LIABILITIES</stp>
        <stp>FQ3 2016</stp>
        <stp>FQ3 2016</stp>
        <stp>[AMZ_2009-2018.xlsx]Bal Sheet - Standardized!R57C33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7" s="3"/>
      </tp>
      <tp>
        <v>0.44850000000000001</v>
        <stp/>
        <stp>##V3_BDHV12</stp>
        <stp>AMZN US Equity</stp>
        <stp>IS_DIL_EPS_CONT_OPS</stp>
        <stp>FQ3 2009</stp>
        <stp>FQ3 2009</stp>
        <stp>[AMZ_2009-2018.xlsx]Income - Adjusted!R57C5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57" s="2"/>
      </tp>
      <tp>
        <v>133</v>
        <stp/>
        <stp>##V3_BDHV12</stp>
        <stp>AMZN US Equity</stp>
        <stp>IS_INT_EXPENSE</stp>
        <stp>FQ4 2016</stp>
        <stp>FQ4 2016</stp>
        <stp>[AMZ_2009-2018.xlsx]Income - Adjusted!R21C34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21" s="2"/>
      </tp>
      <tp>
        <v>20</v>
        <stp/>
        <stp>##V3_BDHV12</stp>
        <stp>AMZN US Equity</stp>
        <stp>IS_INT_EXPENSE</stp>
        <stp>FQ4 2011</stp>
        <stp>FQ4 2011</stp>
        <stp>[AMZ_2009-2018.xlsx]Income - Adjusted!R21C14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1" s="2"/>
      </tp>
      <tp>
        <v>300</v>
        <stp/>
        <stp>##V3_BDHV12</stp>
        <stp>AMZN US Equity</stp>
        <stp>CF_CASH_PAID_FOR_TAX</stp>
        <stp>FQ2 2018</stp>
        <stp>FQ2 2018</stp>
        <stp>[AMZ_2009-2018.xlsx]Cash Flow - Standardized!R57C40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7" s="4"/>
      </tp>
      <tp>
        <v>45</v>
        <stp/>
        <stp>##V3_BDHV12</stp>
        <stp>AMZN US Equity</stp>
        <stp>IS_INT_EXPENSE</stp>
        <stp>FQ2 2014</stp>
        <stp>FQ2 2014</stp>
        <stp>[AMZ_2009-2018.xlsx]Income - Adjusted!R21C24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1" s="2"/>
      </tp>
      <tp t="s">
        <v>—</v>
        <stp/>
        <stp>##V3_BDHV12</stp>
        <stp>AMZN US Equity</stp>
        <stp>IS_LEGAL_LITIGATION_SETTLEMENT</stp>
        <stp>FQ1 2010</stp>
        <stp>FQ1 2010</stp>
        <stp>[AMZ_2009-2018.xlsx]Income - Adjusted!R28C7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8" s="2"/>
      </tp>
      <tp>
        <v>22.452200000000001</v>
        <stp/>
        <stp>##V3_BDHV12</stp>
        <stp>AMZN US Equity</stp>
        <stp>BOOK_VAL_PER_SH</stp>
        <stp>FQ1 2014</stp>
        <stp>FQ1 2014</stp>
        <stp>[AMZ_2009-2018.xlsx]Per Share!R26C23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26" s="5"/>
      </tp>
      <tp>
        <v>37.4358</v>
        <stp/>
        <stp>##V3_BDHV12</stp>
        <stp>AMZN US Equity</stp>
        <stp>BOOK_VAL_PER_SH</stp>
        <stp>FQ3 2016</stp>
        <stp>FQ3 2016</stp>
        <stp>[AMZ_2009-2018.xlsx]Per Share!R26C33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26" s="5"/>
      </tp>
      <tp>
        <v>17.068100000000001</v>
        <stp/>
        <stp>##V3_BDHV12</stp>
        <stp>AMZN US Equity</stp>
        <stp>BOOK_VAL_PER_SH</stp>
        <stp>FQ3 2011</stp>
        <stp>FQ3 2011</stp>
        <stp>[AMZ_2009-2018.xlsx]Per Share!R26C13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26" s="5"/>
      </tp>
      <tp>
        <v>0</v>
        <stp/>
        <stp>##V3_BDHV12</stp>
        <stp>AMZN US Equity</stp>
        <stp>OTHER_ADJUSTMENTS</stp>
        <stp>FQ1 2009</stp>
        <stp>FQ1 2009</stp>
        <stp>[AMZ_2009-2018.xlsx]Income - Adjusted!R42C3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2" s="2"/>
      </tp>
      <tp t="s">
        <v>—</v>
        <stp/>
        <stp>##V3_BDHV12</stp>
        <stp>AMZN US Equity</stp>
        <stp>IS_OTHER_ONE_TIME_ITEMS</stp>
        <stp>FQ1 2012</stp>
        <stp>FQ1 2012</stp>
        <stp>[AMZ_2009-2018.xlsx]Income - Adjusted!R30C15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0" s="2"/>
      </tp>
      <tp>
        <v>930</v>
        <stp/>
        <stp>##V3_BDHV12</stp>
        <stp>AMZN US Equity</stp>
        <stp>CF_NET_CHNG_CASH</stp>
        <stp>FQ4 2009</stp>
        <stp>FQ4 2009</stp>
        <stp>[AMZ_2009-2018.xlsx]Cash Flow - Standardized!R55C6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5" s="4"/>
      </tp>
      <tp>
        <v>467</v>
        <stp/>
        <stp>##V3_BDHV12</stp>
        <stp>AMZN US Equity</stp>
        <stp>IS_AVG_NUM_SH_FOR_EPS</stp>
        <stp>FQ2 2015</stp>
        <stp>FQ2 2015</stp>
        <stp>[AMZ_2009-2018.xlsx]Per Share!R8C28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8" s="5"/>
      </tp>
      <tp>
        <v>145</v>
        <stp/>
        <stp>##V3_BDHV12</stp>
        <stp>AMZN US Equity</stp>
        <stp>IS_OTHER_ONE_TIME_ITEMS</stp>
        <stp>FQ3 2012</stp>
        <stp>FQ3 2012</stp>
        <stp>[AMZ_2009-2018.xlsx]Income - Adjusted!R30C17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0" s="2"/>
      </tp>
      <tp t="s">
        <v>—</v>
        <stp/>
        <stp>##V3_BDHV12</stp>
        <stp>AMZN US Equity</stp>
        <stp>IS_OTHER_ONE_TIME_ITEMS</stp>
        <stp>FQ2 2012</stp>
        <stp>FQ2 2012</stp>
        <stp>[AMZ_2009-2018.xlsx]Income - Adjusted!R30C16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0" s="2"/>
      </tp>
      <tp>
        <v>25</v>
        <stp/>
        <stp>##V3_BDHV12</stp>
        <stp>AMZN US Equity</stp>
        <stp>IS_OTHER_ONE_TIME_ITEMS</stp>
        <stp>FQ4 2012</stp>
        <stp>FQ4 2012</stp>
        <stp>[AMZ_2009-2018.xlsx]Income - Adjusted!R30C18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0" s="2"/>
      </tp>
      <tp t="s">
        <v>—</v>
        <stp/>
        <stp>##V3_BDHV12</stp>
        <stp>AMZN US Equity</stp>
        <stp>IS_MERGER_ACQUISITION_EXPENSE</stp>
        <stp>FQ3 2013</stp>
        <stp>FQ3 2013</stp>
        <stp>[AMZ_2009-2018.xlsx]Income - Adjusted!R27C21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7" s="2"/>
      </tp>
      <tp>
        <v>2575</v>
        <stp/>
        <stp>##V3_BDHV12</stp>
        <stp>AMZN US Equity</stp>
        <stp>BS_OTHER_ASSETS_DEF_CHRG_OTHER</stp>
        <stp>FQ2 2010</stp>
        <stp>FQ2 2010</stp>
        <stp>[AMZ_2009-2018.xlsx]Bal Sheet - Standardized!R27C8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7" s="3"/>
      </tp>
      <tp t="s">
        <v>—</v>
        <stp/>
        <stp>##V3_BDHV12</stp>
        <stp>AMZN US Equity</stp>
        <stp>IS_MERGER_ACQUISITION_EXPENSE</stp>
        <stp>FQ2 2013</stp>
        <stp>FQ2 2013</stp>
        <stp>[AMZ_2009-2018.xlsx]Income - Adjusted!R27C20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7" s="2"/>
      </tp>
      <tp t="s">
        <v>—</v>
        <stp/>
        <stp>##V3_BDHV12</stp>
        <stp>AMZN US Equity</stp>
        <stp>IS_MERGER_ACQUISITION_EXPENSE</stp>
        <stp>FQ4 2010</stp>
        <stp>FQ4 2010</stp>
        <stp>[AMZ_2009-2018.xlsx]Income - Adjusted!R27C10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7" s="2"/>
      </tp>
      <tp t="s">
        <v>—</v>
        <stp/>
        <stp>##V3_BDHV12</stp>
        <stp>AMZN US Equity</stp>
        <stp>IS_MERGER_ACQUISITION_EXPENSE</stp>
        <stp>FQ4 2013</stp>
        <stp>FQ4 2013</stp>
        <stp>[AMZ_2009-2018.xlsx]Income - Adjusted!R27C22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7" s="2"/>
      </tp>
      <tp>
        <v>1517</v>
        <stp/>
        <stp>##V3_BDHV12</stp>
        <stp>AMZN US Equity</stp>
        <stp>BS_OTHER_ASSETS_DEF_CHRG_OTHER</stp>
        <stp>FQ3 2009</stp>
        <stp>FQ3 2009</stp>
        <stp>[AMZ_2009-2018.xlsx]Bal Sheet - Standardized!R27C5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7" s="3"/>
      </tp>
      <tp>
        <v>149</v>
        <stp/>
        <stp>##V3_BDHV12</stp>
        <stp>AMZN US Equity</stp>
        <stp>IS_SELLING_EXPENSES</stp>
        <stp>FQ3 2009</stp>
        <stp>FQ3 2009</stp>
        <stp>[AMZ_2009-2018.xlsx]Income - Adjusted!R14C5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4" s="2"/>
      </tp>
      <tp>
        <v>2171</v>
        <stp/>
        <stp>##V3_BDHV12</stp>
        <stp>AMZN US Equity</stp>
        <stp>BS_INVENTORIES</stp>
        <stp>FQ4 2009</stp>
        <stp>FQ4 2009</stp>
        <stp>[AMZ_2009-2018.xlsx]Bal Sheet - Standardized!R13C6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3" s="3"/>
      </tp>
      <tp>
        <v>846</v>
        <stp/>
        <stp>##V3_BDHV12</stp>
        <stp>AMZN US Equity</stp>
        <stp>BS_FUTURE_MIN_OPER_LEASE_OBLIG</stp>
        <stp>FQ1 2009</stp>
        <stp>FQ1 2009</stp>
        <stp>[AMZ_2009-2018.xlsx]Bal Sheet - Standardized!R81C3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1" s="3"/>
      </tp>
      <tp>
        <v>0</v>
        <stp/>
        <stp>##V3_BDHV12</stp>
        <stp>AMZN US Equity</stp>
        <stp>MIN_NONCONTROL_INTEREST_CREDITS</stp>
        <stp>FQ3 2010</stp>
        <stp>FQ3 2010</stp>
        <stp>[AMZ_2009-2018.xlsx]Income - Adjusted!R39C9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39" s="2"/>
      </tp>
      <tp>
        <v>0</v>
        <stp/>
        <stp>##V3_BDHV12</stp>
        <stp>AMZN US Equity</stp>
        <stp>IS_ABNORMAL_ITEM</stp>
        <stp>FQ1 2010</stp>
        <stp>FQ1 2010</stp>
        <stp>[AMZ_2009-2018.xlsx]Income - Adjusted!R26C7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6" s="2"/>
      </tp>
      <tp>
        <v>988</v>
        <stp/>
        <stp>##V3_BDHV12</stp>
        <stp>AMZN US Equity</stp>
        <stp>BS_ACCTS_REC_EXCL_NOTES_REC</stp>
        <stp>FQ4 2009</stp>
        <stp>FQ4 2009</stp>
        <stp>[AMZ_2009-2018.xlsx]Bal Sheet - Standardized!R11C6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1" s="3"/>
      </tp>
      <tp t="s">
        <v>—</v>
        <stp/>
        <stp>##V3_BDHV12</stp>
        <stp>AMZN US Equity</stp>
        <stp>LT_DEFERRED_REVENUE</stp>
        <stp>FQ1 2009</stp>
        <stp>FQ1 2009</stp>
        <stp>[AMZ_2009-2018.xlsx]Bal Sheet - Standardized!R58C3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8" s="3"/>
      </tp>
      <tp t="s">
        <v>—</v>
        <stp/>
        <stp>##V3_BDHV12</stp>
        <stp>AMZN US Equity</stp>
        <stp>ST_DEFERRED_REVENUE</stp>
        <stp>FQ1 2009</stp>
        <stp>FQ1 2009</stp>
        <stp>[AMZ_2009-2018.xlsx]Bal Sheet - Standardized!R48C3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8" s="3"/>
      </tp>
      <tp>
        <v>600</v>
        <stp/>
        <stp>##V3_BDHV12</stp>
        <stp>AMZN US Equity</stp>
        <stp>BS_AMT_OF_TSY_STOCK</stp>
        <stp>FQ1 2010</stp>
        <stp>FQ1 2010</stp>
        <stp>[AMZ_2009-2018.xlsx]Bal Sheet - Standardized!R68C7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68" s="3"/>
      </tp>
      <tp t="s">
        <v>—</v>
        <stp/>
        <stp>##V3_BDHV12</stp>
        <stp>AMZN US Equity</stp>
        <stp>PENSION_LIABILITIES</stp>
        <stp>FQ1 2017</stp>
        <stp>FQ1 2017</stp>
        <stp>[AMZ_2009-2018.xlsx]Bal Sheet - Standardized!R57C35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7" s="3"/>
      </tp>
      <tp t="s">
        <v>—</v>
        <stp/>
        <stp>##V3_BDHV12</stp>
        <stp>AMZN US Equity</stp>
        <stp>PENSION_LIABILITIES</stp>
        <stp>FQ3 2014</stp>
        <stp>FQ3 2014</stp>
        <stp>[AMZ_2009-2018.xlsx]Bal Sheet - Standardized!R57C25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7" s="3"/>
      </tp>
      <tp>
        <v>0</v>
        <stp/>
        <stp>##V3_BDHV12</stp>
        <stp>AMZN US Equity</stp>
        <stp>PENSION_LIABILITIES</stp>
        <stp>FQ4 2013</stp>
        <stp>FQ4 2013</stp>
        <stp>[AMZ_2009-2018.xlsx]Bal Sheet - Standardized!R57C22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7" s="3"/>
      </tp>
      <tp>
        <v>0</v>
        <stp/>
        <stp>##V3_BDHV12</stp>
        <stp>AMZN US Equity</stp>
        <stp>PENSION_LIABILITIES</stp>
        <stp>FQ4 2010</stp>
        <stp>FQ4 2010</stp>
        <stp>[AMZ_2009-2018.xlsx]Bal Sheet - Standardized!R57C10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7" s="3"/>
      </tp>
      <tp>
        <v>4</v>
        <stp/>
        <stp>##V3_BDHV12</stp>
        <stp>AMZN US Equity</stp>
        <stp>IS_NONOP_INCOME_LOSS</stp>
        <stp>FQ4 2009</stp>
        <stp>FQ4 2009</stp>
        <stp>[AMZ_2009-2018.xlsx]Income - Adjusted!R19C6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9" s="2"/>
      </tp>
      <tp>
        <v>-2.4674</v>
        <stp/>
        <stp>##V3_BDHV12</stp>
        <stp>AMZN US Equity</stp>
        <stp>CASH_FLOW_PER_SH</stp>
        <stp>FQ1 2010</stp>
        <stp>FQ1 2010</stp>
        <stp>[AMZ_2009-2018.xlsx]Per Share!R22C7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22" s="5"/>
      </tp>
      <tp>
        <v>0.85140000000000005</v>
        <stp/>
        <stp>##V3_BDHV12</stp>
        <stp>AMZN US Equity</stp>
        <stp>IS_DIL_EPS_CONT_OPS</stp>
        <stp>FQ4 2009</stp>
        <stp>FQ4 2009</stp>
        <stp>[AMZ_2009-2018.xlsx]Income - Adjusted!R57C6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57" s="2"/>
      </tp>
      <tp>
        <v>1629</v>
        <stp/>
        <stp>##V3_BDHV12</stp>
        <stp>AMZN US Equity</stp>
        <stp>NET_INCOME</stp>
        <stp>FQ1 2018</stp>
        <stp>FQ1 2018</stp>
        <stp>[AMZ_2009-2018.xlsx]Income - Adjusted!R40C39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40" s="2"/>
      </tp>
      <tp>
        <v>82</v>
        <stp/>
        <stp>##V3_BDHV12</stp>
        <stp>AMZN US Equity</stp>
        <stp>NET_INCOME</stp>
        <stp>FQ1 2013</stp>
        <stp>FQ1 2013</stp>
        <stp>[AMZ_2009-2018.xlsx]Income - Adjusted!R40C19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40" s="2"/>
      </tp>
      <tp t="s">
        <v>—</v>
        <stp/>
        <stp>##V3_BDHV12</stp>
        <stp>AMZN US Equity</stp>
        <stp>PENSION_LIABILITIES</stp>
        <stp>FQ2 2015</stp>
        <stp>FQ2 2015</stp>
        <stp>[AMZ_2009-2018.xlsx]Bal Sheet - Standardized!R57C28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7" s="3"/>
      </tp>
      <tp>
        <v>79</v>
        <stp/>
        <stp>##V3_BDHV12</stp>
        <stp>AMZN US Equity</stp>
        <stp>NET_INCOME</stp>
        <stp>FQ3 2015</stp>
        <stp>FQ3 2015</stp>
        <stp>[AMZ_2009-2018.xlsx]Income - Adjusted!R40C29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40" s="2"/>
      </tp>
      <tp>
        <v>0</v>
        <stp/>
        <stp>##V3_BDHV12</stp>
        <stp>AMZN US Equity</stp>
        <stp>EQY_DPS</stp>
        <stp>FQ4 2017</stp>
        <stp>FQ4 2017</stp>
        <stp>[AMZ_2009-2018.xlsx]Income - Adjusted!R69C38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69" s="2"/>
      </tp>
      <tp>
        <v>0</v>
        <stp/>
        <stp>##V3_BDHV12</stp>
        <stp>AMZN US Equity</stp>
        <stp>EQY_DPS</stp>
        <stp>FQ4 2012</stp>
        <stp>FQ4 2012</stp>
        <stp>[AMZ_2009-2018.xlsx]Income - Adjusted!R69C18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69" s="2"/>
      </tp>
      <tp t="s">
        <v>—</v>
        <stp/>
        <stp>##V3_BDHV12</stp>
        <stp>AMZN US Equity</stp>
        <stp>IS_LEGAL_LITIGATION_SETTLEMENT</stp>
        <stp>FQ2 2010</stp>
        <stp>FQ2 2010</stp>
        <stp>[AMZ_2009-2018.xlsx]Income - Adjusted!R28C8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8" s="2"/>
      </tp>
      <tp>
        <v>115</v>
        <stp/>
        <stp>##V3_BDHV12</stp>
        <stp>AMZN US Equity</stp>
        <stp>IS_INT_EXPENSE</stp>
        <stp>FQ1 2015</stp>
        <stp>FQ1 2015</stp>
        <stp>[AMZ_2009-2018.xlsx]Income - Adjusted!R21C27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1" s="2"/>
      </tp>
      <tp>
        <v>22</v>
        <stp/>
        <stp>##V3_BDHV12</stp>
        <stp>AMZN US Equity</stp>
        <stp>IS_INT_EXPENSE</stp>
        <stp>FQ3 2012</stp>
        <stp>FQ3 2012</stp>
        <stp>[AMZ_2009-2018.xlsx]Income - Adjusted!R21C17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1" s="2"/>
      </tp>
      <tp>
        <v>228</v>
        <stp/>
        <stp>##V3_BDHV12</stp>
        <stp>AMZN US Equity</stp>
        <stp>IS_INT_EXPENSE</stp>
        <stp>FQ3 2017</stp>
        <stp>FQ3 2017</stp>
        <stp>[AMZ_2009-2018.xlsx]Income - Adjusted!R21C37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21" s="2"/>
      </tp>
      <tp>
        <v>0</v>
        <stp/>
        <stp>##V3_BDHV12</stp>
        <stp>AMZN US Equity</stp>
        <stp>EQY_DPS</stp>
        <stp>FQ2 2015</stp>
        <stp>FQ2 2015</stp>
        <stp>[AMZ_2009-2018.xlsx]Income - Adjusted!R69C28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69" s="2"/>
      </tp>
      <tp>
        <v>19.109400000000001</v>
        <stp/>
        <stp>##V3_BDHV12</stp>
        <stp>AMZN US Equity</stp>
        <stp>BOOK_VAL_PER_SH</stp>
        <stp>FQ2 2013</stp>
        <stp>FQ2 2013</stp>
        <stp>[AMZ_2009-2018.xlsx]Per Share!R26C20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26" s="5"/>
      </tp>
      <tp>
        <v>71.8583</v>
        <stp/>
        <stp>##V3_BDHV12</stp>
        <stp>AMZN US Equity</stp>
        <stp>BOOK_VAL_PER_SH</stp>
        <stp>FQ2 2018</stp>
        <stp>FQ2 2018</stp>
        <stp>[AMZ_2009-2018.xlsx]Per Share!R26C40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26" s="5"/>
      </tp>
      <tp>
        <v>-3.6722000000000001</v>
        <stp/>
        <stp>##V3_BDHV12</stp>
        <stp>AMZN US Equity</stp>
        <stp>CASH_FLOW_TO_NET_INC</stp>
        <stp>FQ1 2010</stp>
        <stp>FQ1 2010</stp>
        <stp>[AMZ_2009-2018.xlsx]Cash Flow - Standardized!R70C7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G70" s="4"/>
      </tp>
      <tp>
        <v>1.2077</v>
        <stp/>
        <stp>##V3_BDHV12</stp>
        <stp>AMZN US Equity</stp>
        <stp>CASH_FLOW_TO_NET_INC</stp>
        <stp>FQ2 2010</stp>
        <stp>FQ2 2010</stp>
        <stp>[AMZ_2009-2018.xlsx]Cash Flow - Standardized!R70C8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H70" s="4"/>
      </tp>
      <tp>
        <v>3.7012999999999998</v>
        <stp/>
        <stp>##V3_BDHV12</stp>
        <stp>AMZN US Equity</stp>
        <stp>CASH_FLOW_TO_NET_INC</stp>
        <stp>FQ3 2010</stp>
        <stp>FQ3 2010</stp>
        <stp>[AMZ_2009-2018.xlsx]Cash Flow - Standardized!R70C9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I70" s="4"/>
      </tp>
      <tp>
        <v>15.2195</v>
        <stp/>
        <stp>##V3_BDHV12</stp>
        <stp>AMZN US Equity</stp>
        <stp>BOOK_VAL_PER_SH</stp>
        <stp>FQ4 2010</stp>
        <stp>FQ4 2010</stp>
        <stp>[AMZ_2009-2018.xlsx]Per Share!R26C10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26" s="5"/>
      </tp>
      <tp>
        <v>28.4161</v>
        <stp/>
        <stp>##V3_BDHV12</stp>
        <stp>AMZN US Equity</stp>
        <stp>BOOK_VAL_PER_SH</stp>
        <stp>FQ4 2015</stp>
        <stp>FQ4 2015</stp>
        <stp>[AMZ_2009-2018.xlsx]Per Share!R26C30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26" s="5"/>
      </tp>
      <tp>
        <v>0</v>
        <stp/>
        <stp>##V3_BDHV12</stp>
        <stp>AMZN US Equity</stp>
        <stp>OTHER_ADJUSTMENTS</stp>
        <stp>FQ2 2009</stp>
        <stp>FQ2 2009</stp>
        <stp>[AMZ_2009-2018.xlsx]Income - Adjusted!R42C4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2" s="2"/>
      </tp>
      <tp t="s">
        <v>—</v>
        <stp/>
        <stp>##V3_BDHV12</stp>
        <stp>AMZN US Equity</stp>
        <stp>IS_OTHER_ONE_TIME_ITEMS</stp>
        <stp>FQ1 2011</stp>
        <stp>FQ1 2011</stp>
        <stp>[AMZ_2009-2018.xlsx]Income - Adjusted!R30C11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0" s="2"/>
      </tp>
      <tp t="s">
        <v>—</v>
        <stp/>
        <stp>##V3_BDHV12</stp>
        <stp>AMZN US Equity</stp>
        <stp>IS_OTHER_ONE_TIME_ITEMS</stp>
        <stp>FQ3 2011</stp>
        <stp>FQ3 2011</stp>
        <stp>[AMZ_2009-2018.xlsx]Income - Adjusted!R30C13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0" s="2"/>
      </tp>
      <tp t="s">
        <v>—</v>
        <stp/>
        <stp>##V3_BDHV12</stp>
        <stp>AMZN US Equity</stp>
        <stp>IS_OTHER_ONE_TIME_ITEMS</stp>
        <stp>FQ2 2011</stp>
        <stp>FQ2 2011</stp>
        <stp>[AMZ_2009-2018.xlsx]Income - Adjusted!R30C12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0" s="2"/>
      </tp>
      <tp t="s">
        <v>—</v>
        <stp/>
        <stp>##V3_BDHV12</stp>
        <stp>AMZN US Equity</stp>
        <stp>IS_OTHER_ONE_TIME_ITEMS</stp>
        <stp>FQ4 2011</stp>
        <stp>FQ4 2011</stp>
        <stp>[AMZ_2009-2018.xlsx]Income - Adjusted!R30C14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0" s="2"/>
      </tp>
      <tp>
        <v>0</v>
        <stp/>
        <stp>##V3_BDHV12</stp>
        <stp>AMZN US Equity</stp>
        <stp>IS_OTHER_OPER_INC</stp>
        <stp>FQ2 2010</stp>
        <stp>FQ2 2010</stp>
        <stp>[AMZ_2009-2018.xlsx]Income - Adjusted!R11C8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1" s="2"/>
      </tp>
      <tp t="s">
        <v>—</v>
        <stp/>
        <stp>##V3_BDHV12</stp>
        <stp>AMZN US Equity</stp>
        <stp>IS_MERGER_ACQUISITION_EXPENSE</stp>
        <stp>FQ1 2013</stp>
        <stp>FQ1 2013</stp>
        <stp>[AMZ_2009-2018.xlsx]Income - Adjusted!R27C19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7" s="2"/>
      </tp>
      <tp>
        <v>2642</v>
        <stp/>
        <stp>##V3_BDHV12</stp>
        <stp>AMZN US Equity</stp>
        <stp>BS_OTHER_ASSETS_DEF_CHRG_OTHER</stp>
        <stp>FQ1 2010</stp>
        <stp>FQ1 2010</stp>
        <stp>[AMZ_2009-2018.xlsx]Bal Sheet - Standardized!R27C7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7" s="3"/>
      </tp>
      <tp>
        <v>274</v>
        <stp/>
        <stp>##V3_BDHV12</stp>
        <stp>AMZN US Equity</stp>
        <stp>IS_SELLING_EXPENSES</stp>
        <stp>FQ4 2009</stp>
        <stp>FQ4 2009</stp>
        <stp>[AMZ_2009-2018.xlsx]Income - Adjusted!R14C6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4" s="2"/>
      </tp>
      <tp>
        <v>798</v>
        <stp/>
        <stp>##V3_BDHV12</stp>
        <stp>AMZN US Equity</stp>
        <stp>BS_FUTURE_MIN_OPER_LEASE_OBLIG</stp>
        <stp>FQ2 2009</stp>
        <stp>FQ2 2009</stp>
        <stp>[AMZ_2009-2018.xlsx]Bal Sheet - Standardized!R81C4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81" s="3"/>
      </tp>
      <tp>
        <v>0</v>
        <stp/>
        <stp>##V3_BDHV12</stp>
        <stp>AMZN US Equity</stp>
        <stp>PROC_FR_REPURCH_EQTY_DETAILED</stp>
        <stp>FQ2 2018</stp>
        <stp>FQ2 2018</stp>
        <stp>[AMZ_2009-2018.xlsx]Cash Flow - Standardized!R46C40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6" s="4"/>
      </tp>
      <tp>
        <v>1260</v>
        <stp/>
        <stp>##V3_BDHV12</stp>
        <stp>AMZN US Equity</stp>
        <stp>BS_FUTURE_MIN_OPER_LEASE_OBLIG</stp>
        <stp>FQ3 2010</stp>
        <stp>FQ3 2010</stp>
        <stp>[AMZ_2009-2018.xlsx]Bal Sheet - Standardized!R81C9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81" s="3"/>
      </tp>
      <tp>
        <v>0</v>
        <stp/>
        <stp>##V3_BDHV12</stp>
        <stp>AMZN US Equity</stp>
        <stp>MIN_NONCONTROL_INTEREST_CREDITS</stp>
        <stp>FQ1 2009</stp>
        <stp>FQ1 2009</stp>
        <stp>[AMZ_2009-2018.xlsx]Income - Adjusted!R39C3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2"/>
      </tp>
      <tp>
        <v>0</v>
        <stp/>
        <stp>##V3_BDHV12</stp>
        <stp>AMZN US Equity</stp>
        <stp>IS_ABNORMAL_ITEM</stp>
        <stp>FQ1 2018</stp>
        <stp>FQ1 2018</stp>
        <stp>[AMZ_2009-2018.xlsx]Income - Adjusted!R26C39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6" s="2"/>
      </tp>
      <tp>
        <v>-0.12</v>
        <stp/>
        <stp>##V3_BDHV12</stp>
        <stp>AMZN US Equity</stp>
        <stp>IS_DILUTED_EPS</stp>
        <stp>FQ1 2015</stp>
        <stp>FQ1 2015</stp>
        <stp>[AMZ_2009-2018.xlsx]Per Share!R17C27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17" s="5"/>
      </tp>
      <tp>
        <v>0.23</v>
        <stp/>
        <stp>##V3_BDHV12</stp>
        <stp>AMZN US Equity</stp>
        <stp>IS_DILUTED_EPS</stp>
        <stp>FQ1 2014</stp>
        <stp>FQ1 2014</stp>
        <stp>[AMZ_2009-2018.xlsx]Per Share!R17C23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17" s="5"/>
      </tp>
      <tp>
        <v>600</v>
        <stp/>
        <stp>##V3_BDHV12</stp>
        <stp>AMZN US Equity</stp>
        <stp>BS_AMT_OF_TSY_STOCK</stp>
        <stp>FQ1 2009</stp>
        <stp>FQ1 2009</stp>
        <stp>[AMZ_2009-2018.xlsx]Bal Sheet - Standardized!R68C3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8" s="3"/>
      </tp>
      <tp>
        <v>1.48</v>
        <stp/>
        <stp>##V3_BDHV12</stp>
        <stp>AMZN US Equity</stp>
        <stp>IS_DILUTED_EPS</stp>
        <stp>FQ1 2017</stp>
        <stp>FQ1 2017</stp>
        <stp>[AMZ_2009-2018.xlsx]Per Share!R17C35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17" s="5"/>
      </tp>
      <tp>
        <v>1.07</v>
        <stp/>
        <stp>##V3_BDHV12</stp>
        <stp>AMZN US Equity</stp>
        <stp>IS_DILUTED_EPS</stp>
        <stp>FQ1 2016</stp>
        <stp>FQ1 2016</stp>
        <stp>[AMZ_2009-2018.xlsx]Per Share!R17C31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17" s="5"/>
      </tp>
      <tp>
        <v>0.44</v>
        <stp/>
        <stp>##V3_BDHV12</stp>
        <stp>AMZN US Equity</stp>
        <stp>IS_DILUTED_EPS</stp>
        <stp>FQ1 2011</stp>
        <stp>FQ1 2011</stp>
        <stp>[AMZ_2009-2018.xlsx]Per Share!R17C11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17" s="5"/>
      </tp>
      <tp>
        <v>0.18</v>
        <stp/>
        <stp>##V3_BDHV12</stp>
        <stp>AMZN US Equity</stp>
        <stp>IS_DILUTED_EPS</stp>
        <stp>FQ1 2013</stp>
        <stp>FQ1 2013</stp>
        <stp>[AMZ_2009-2018.xlsx]Per Share!R17C19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17" s="5"/>
      </tp>
      <tp>
        <v>0.28000000000000003</v>
        <stp/>
        <stp>##V3_BDHV12</stp>
        <stp>AMZN US Equity</stp>
        <stp>IS_DILUTED_EPS</stp>
        <stp>FQ1 2012</stp>
        <stp>FQ1 2012</stp>
        <stp>[AMZ_2009-2018.xlsx]Per Share!R17C15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17" s="5"/>
      </tp>
      <tp t="s">
        <v>—</v>
        <stp/>
        <stp>##V3_BDHV12</stp>
        <stp>AMZN US Equity</stp>
        <stp>LT_DEFERRED_REVENUE</stp>
        <stp>FQ1 2010</stp>
        <stp>FQ1 2010</stp>
        <stp>[AMZ_2009-2018.xlsx]Bal Sheet - Standardized!R58C7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8" s="3"/>
      </tp>
      <tp t="s">
        <v>—</v>
        <stp/>
        <stp>##V3_BDHV12</stp>
        <stp>AMZN US Equity</stp>
        <stp>ST_DEFERRED_REVENUE</stp>
        <stp>FQ1 2010</stp>
        <stp>FQ1 2010</stp>
        <stp>[AMZ_2009-2018.xlsx]Bal Sheet - Standardized!R48C7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8" s="3"/>
      </tp>
      <tp>
        <v>3.27</v>
        <stp/>
        <stp>##V3_BDHV12</stp>
        <stp>AMZN US Equity</stp>
        <stp>IS_DILUTED_EPS</stp>
        <stp>FQ1 2018</stp>
        <stp>FQ1 2018</stp>
        <stp>[AMZ_2009-2018.xlsx]Per Share!R17C39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17" s="5"/>
      </tp>
      <tp t="s">
        <v>—</v>
        <stp/>
        <stp>##V3_BDHV12</stp>
        <stp>AMZN US Equity</stp>
        <stp>PENSION_LIABILITIES</stp>
        <stp>FQ2 2014</stp>
        <stp>FQ2 2014</stp>
        <stp>[AMZ_2009-2018.xlsx]Bal Sheet - Standardized!R57C24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7" s="3"/>
      </tp>
      <tp t="s">
        <v>—</v>
        <stp/>
        <stp>##V3_BDHV12</stp>
        <stp>AMZN US Equity</stp>
        <stp>PENSION_LIABILITIES</stp>
        <stp>FQ1 2016</stp>
        <stp>FQ1 2016</stp>
        <stp>[AMZ_2009-2018.xlsx]Bal Sheet - Standardized!R57C31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7" s="3"/>
      </tp>
      <tp>
        <v>0</v>
        <stp/>
        <stp>##V3_BDHV12</stp>
        <stp>AMZN US Equity</stp>
        <stp>PENSION_LIABILITIES</stp>
        <stp>FQ4 2011</stp>
        <stp>FQ4 2011</stp>
        <stp>[AMZ_2009-2018.xlsx]Bal Sheet - Standardized!R57C14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7" s="3"/>
      </tp>
      <tp>
        <v>97</v>
        <stp/>
        <stp>##V3_BDHV12</stp>
        <stp>AMZN US Equity</stp>
        <stp>NET_INCOME</stp>
        <stp>FQ4 2012</stp>
        <stp>FQ4 2012</stp>
        <stp>[AMZ_2009-2018.xlsx]Income - Adjusted!R40C18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40" s="2"/>
      </tp>
      <tp>
        <v>1856</v>
        <stp/>
        <stp>##V3_BDHV12</stp>
        <stp>AMZN US Equity</stp>
        <stp>NET_INCOME</stp>
        <stp>FQ4 2017</stp>
        <stp>FQ4 2017</stp>
        <stp>[AMZ_2009-2018.xlsx]Income - Adjusted!R40C38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40" s="2"/>
      </tp>
      <tp>
        <v>92</v>
        <stp/>
        <stp>##V3_BDHV12</stp>
        <stp>AMZN US Equity</stp>
        <stp>NET_INCOME</stp>
        <stp>FQ2 2015</stp>
        <stp>FQ2 2015</stp>
        <stp>[AMZ_2009-2018.xlsx]Income - Adjusted!R40C28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40" s="2"/>
      </tp>
      <tp t="s">
        <v>—</v>
        <stp/>
        <stp>##V3_BDHV12</stp>
        <stp>AMZN US Equity</stp>
        <stp>PENSION_LIABILITIES</stp>
        <stp>FQ3 2015</stp>
        <stp>FQ3 2015</stp>
        <stp>[AMZ_2009-2018.xlsx]Bal Sheet - Standardized!R57C29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7" s="3"/>
      </tp>
      <tp>
        <v>74</v>
        <stp/>
        <stp>##V3_BDHV12</stp>
        <stp>AMZN US Equity</stp>
        <stp>IS_INT_EXPENSE</stp>
        <stp>FQ4 2014</stp>
        <stp>FQ4 2014</stp>
        <stp>[AMZ_2009-2018.xlsx]Income - Adjusted!R21C26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1" s="2"/>
      </tp>
      <tp t="s">
        <v>—</v>
        <stp/>
        <stp>##V3_BDHV12</stp>
        <stp>AMZN US Equity</stp>
        <stp>IS_LEGAL_LITIGATION_SETTLEMENT</stp>
        <stp>FQ3 2010</stp>
        <stp>FQ3 2010</stp>
        <stp>[AMZ_2009-2018.xlsx]Income - Adjusted!R28C9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8" s="2"/>
      </tp>
      <tp>
        <v>0</v>
        <stp/>
        <stp>##V3_BDHV12</stp>
        <stp>AMZN US Equity</stp>
        <stp>EQY_DPS</stp>
        <stp>FQ1 2013</stp>
        <stp>FQ1 2013</stp>
        <stp>[AMZ_2009-2018.xlsx]Income - Adjusted!R69C19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69" s="2"/>
      </tp>
      <tp>
        <v>0</v>
        <stp/>
        <stp>##V3_BDHV12</stp>
        <stp>AMZN US Equity</stp>
        <stp>EQY_DPS</stp>
        <stp>FQ1 2018</stp>
        <stp>FQ1 2018</stp>
        <stp>[AMZ_2009-2018.xlsx]Income - Adjusted!R69C39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69" s="2"/>
      </tp>
      <tp>
        <v>21</v>
        <stp/>
        <stp>##V3_BDHV12</stp>
        <stp>AMZN US Equity</stp>
        <stp>IS_INT_EXPENSE</stp>
        <stp>FQ2 2012</stp>
        <stp>FQ2 2012</stp>
        <stp>[AMZ_2009-2018.xlsx]Income - Adjusted!R21C16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1" s="2"/>
      </tp>
      <tp>
        <v>143</v>
        <stp/>
        <stp>##V3_BDHV12</stp>
        <stp>AMZN US Equity</stp>
        <stp>IS_INT_EXPENSE</stp>
        <stp>FQ2 2017</stp>
        <stp>FQ2 2017</stp>
        <stp>[AMZ_2009-2018.xlsx]Income - Adjusted!R21C36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21" s="2"/>
      </tp>
      <tp>
        <v>0</v>
        <stp/>
        <stp>##V3_BDHV12</stp>
        <stp>AMZN US Equity</stp>
        <stp>EQY_DPS</stp>
        <stp>FQ3 2015</stp>
        <stp>FQ3 2015</stp>
        <stp>[AMZ_2009-2018.xlsx]Income - Adjusted!R69C29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69" s="2"/>
      </tp>
      <tp>
        <v>36.324100000000001</v>
        <stp/>
        <stp>##V3_BDHV12</stp>
        <stp>AMZN US Equity</stp>
        <stp>GROSS_MARGIN</stp>
        <stp>FQ4 2017</stp>
        <stp>FQ4 2017</stp>
        <stp>[AMZ_2009-2018.xlsx]Income - Adjusted!R65C38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L65" s="2"/>
      </tp>
      <tp>
        <v>33.796700000000001</v>
        <stp/>
        <stp>##V3_BDHV12</stp>
        <stp>AMZN US Equity</stp>
        <stp>GROSS_MARGIN</stp>
        <stp>FQ4 2016</stp>
        <stp>FQ4 2016</stp>
        <stp>[AMZ_2009-2018.xlsx]Income - Adjusted!R65C34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H65" s="2"/>
      </tp>
      <tp>
        <v>31.907599999999999</v>
        <stp/>
        <stp>##V3_BDHV12</stp>
        <stp>AMZN US Equity</stp>
        <stp>GROSS_MARGIN</stp>
        <stp>FQ4 2015</stp>
        <stp>FQ4 2015</stp>
        <stp>[AMZ_2009-2018.xlsx]Income - Adjusted!R65C30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D65" s="2"/>
      </tp>
      <tp>
        <v>29.517900000000001</v>
        <stp/>
        <stp>##V3_BDHV12</stp>
        <stp>AMZN US Equity</stp>
        <stp>GROSS_MARGIN</stp>
        <stp>FQ4 2014</stp>
        <stp>FQ4 2014</stp>
        <stp>[AMZ_2009-2018.xlsx]Income - Adjusted!R65C26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Z65" s="2"/>
      </tp>
      <tp>
        <v>26.5017</v>
        <stp/>
        <stp>##V3_BDHV12</stp>
        <stp>AMZN US Equity</stp>
        <stp>GROSS_MARGIN</stp>
        <stp>FQ4 2013</stp>
        <stp>FQ4 2013</stp>
        <stp>[AMZ_2009-2018.xlsx]Income - Adjusted!R65C22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V65" s="2"/>
      </tp>
      <tp>
        <v>24.130099999999999</v>
        <stp/>
        <stp>##V3_BDHV12</stp>
        <stp>AMZN US Equity</stp>
        <stp>GROSS_MARGIN</stp>
        <stp>FQ4 2012</stp>
        <stp>FQ4 2012</stp>
        <stp>[AMZ_2009-2018.xlsx]Income - Adjusted!R65C18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R65" s="2"/>
      </tp>
      <tp>
        <v>20.6586</v>
        <stp/>
        <stp>##V3_BDHV12</stp>
        <stp>AMZN US Equity</stp>
        <stp>GROSS_MARGIN</stp>
        <stp>FQ4 2011</stp>
        <stp>FQ4 2011</stp>
        <stp>[AMZ_2009-2018.xlsx]Income - Adjusted!R65C14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N65" s="2"/>
      </tp>
      <tp>
        <v>20.319700000000001</v>
        <stp/>
        <stp>##V3_BDHV12</stp>
        <stp>AMZN US Equity</stp>
        <stp>GROSS_MARGIN</stp>
        <stp>FQ4 2010</stp>
        <stp>FQ4 2010</stp>
        <stp>[AMZ_2009-2018.xlsx]Income - Adjusted!R65C10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J65" s="2"/>
      </tp>
      <tp>
        <v>31.262699999999999</v>
        <stp/>
        <stp>##V3_BDHV12</stp>
        <stp>AMZN US Equity</stp>
        <stp>BOOK_VAL_PER_SH</stp>
        <stp>FQ1 2016</stp>
        <stp>FQ1 2016</stp>
        <stp>[AMZ_2009-2018.xlsx]Per Share!R26C31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26" s="5"/>
      </tp>
      <tp>
        <v>16.2544</v>
        <stp/>
        <stp>##V3_BDHV12</stp>
        <stp>AMZN US Equity</stp>
        <stp>BOOK_VAL_PER_SH</stp>
        <stp>FQ1 2011</stp>
        <stp>FQ1 2011</stp>
        <stp>[AMZ_2009-2018.xlsx]Per Share!R26C11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26" s="5"/>
      </tp>
      <tp>
        <v>19.840599999999998</v>
        <stp/>
        <stp>##V3_BDHV12</stp>
        <stp>AMZN US Equity</stp>
        <stp>BOOK_VAL_PER_SH</stp>
        <stp>FQ3 2013</stp>
        <stp>FQ3 2013</stp>
        <stp>[AMZ_2009-2018.xlsx]Per Share!R26C21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26" s="5"/>
      </tp>
      <tp>
        <v>0</v>
        <stp/>
        <stp>##V3_BDHV12</stp>
        <stp>AMZN US Equity</stp>
        <stp>OTHER_ADJUSTMENTS</stp>
        <stp>FQ3 2009</stp>
        <stp>FQ3 2009</stp>
        <stp>[AMZ_2009-2018.xlsx]Income - Adjusted!R42C5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2" s="2"/>
      </tp>
      <tp t="s">
        <v>—</v>
        <stp/>
        <stp>##V3_BDHV12</stp>
        <stp>AMZN US Equity</stp>
        <stp>IS_OTHER_ONE_TIME_ITEMS</stp>
        <stp>FQ3 2013</stp>
        <stp>FQ3 2013</stp>
        <stp>[AMZ_2009-2018.xlsx]Income - Adjusted!R30C21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0" s="2"/>
      </tp>
      <tp t="s">
        <v>—</v>
        <stp/>
        <stp>##V3_BDHV12</stp>
        <stp>AMZN US Equity</stp>
        <stp>IS_OTHER_ONE_TIME_ITEMS</stp>
        <stp>FQ2 2013</stp>
        <stp>FQ2 2013</stp>
        <stp>[AMZ_2009-2018.xlsx]Income - Adjusted!R30C20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0" s="2"/>
      </tp>
      <tp t="s">
        <v>—</v>
        <stp/>
        <stp>##V3_BDHV12</stp>
        <stp>AMZN US Equity</stp>
        <stp>IS_OTHER_ONE_TIME_ITEMS</stp>
        <stp>FQ4 2010</stp>
        <stp>FQ4 2010</stp>
        <stp>[AMZ_2009-2018.xlsx]Income - Adjusted!R30C10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0" s="2"/>
      </tp>
      <tp t="s">
        <v>—</v>
        <stp/>
        <stp>##V3_BDHV12</stp>
        <stp>AMZN US Equity</stp>
        <stp>IS_OTHER_ONE_TIME_ITEMS</stp>
        <stp>FQ4 2013</stp>
        <stp>FQ4 2013</stp>
        <stp>[AMZ_2009-2018.xlsx]Income - Adjusted!R30C22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0" s="2"/>
      </tp>
      <tp>
        <v>483</v>
        <stp/>
        <stp>##V3_BDHV12</stp>
        <stp>AMZN US Equity</stp>
        <stp>IS_AVG_NUM_SH_FOR_EPS</stp>
        <stp>FQ4 2017</stp>
        <stp>FQ4 2017</stp>
        <stp>[AMZ_2009-2018.xlsx]Per Share!R8C38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8" s="5"/>
      </tp>
      <tp>
        <v>0</v>
        <stp/>
        <stp>##V3_BDHV12</stp>
        <stp>AMZN US Equity</stp>
        <stp>IS_OTHER_OPER_INC</stp>
        <stp>FQ3 2010</stp>
        <stp>FQ3 2010</stp>
        <stp>[AMZ_2009-2018.xlsx]Income - Adjusted!R11C9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1" s="2"/>
      </tp>
      <tp>
        <v>1316</v>
        <stp/>
        <stp>##V3_BDHV12</stp>
        <stp>AMZN US Equity</stp>
        <stp>BS_OTHER_ASSETS_DEF_CHRG_OTHER</stp>
        <stp>FQ1 2009</stp>
        <stp>FQ1 2009</stp>
        <stp>[AMZ_2009-2018.xlsx]Bal Sheet - Standardized!R27C3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3"/>
      </tp>
      <tp t="s">
        <v>—</v>
        <stp/>
        <stp>##V3_BDHV12</stp>
        <stp>AMZN US Equity</stp>
        <stp>IS_MERGER_ACQUISITION_EXPENSE</stp>
        <stp>FQ1 2012</stp>
        <stp>FQ1 2012</stp>
        <stp>[AMZ_2009-2018.xlsx]Income - Adjusted!R27C15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7" s="2"/>
      </tp>
      <tp t="s">
        <v>—</v>
        <stp/>
        <stp>##V3_BDHV12</stp>
        <stp>AMZN US Equity</stp>
        <stp>IS_MERGER_ACQUISITION_EXPENSE</stp>
        <stp>FQ3 2012</stp>
        <stp>FQ3 2012</stp>
        <stp>[AMZ_2009-2018.xlsx]Income - Adjusted!R27C17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7" s="2"/>
      </tp>
      <tp>
        <v>100</v>
        <stp/>
        <stp>##V3_BDHV12</stp>
        <stp>AMZN US Equity</stp>
        <stp>IS_MERGER_ACQUISITION_EXPENSE</stp>
        <stp>FQ2 2012</stp>
        <stp>FQ2 2012</stp>
        <stp>[AMZ_2009-2018.xlsx]Income - Adjusted!R27C16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7" s="2"/>
      </tp>
      <tp t="s">
        <v>—</v>
        <stp/>
        <stp>##V3_BDHV12</stp>
        <stp>AMZN US Equity</stp>
        <stp>IS_MERGER_ACQUISITION_EXPENSE</stp>
        <stp>FQ4 2012</stp>
        <stp>FQ4 2012</stp>
        <stp>[AMZ_2009-2018.xlsx]Income - Adjusted!R27C18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7" s="2"/>
      </tp>
      <tp>
        <v>411</v>
        <stp/>
        <stp>##V3_BDHV12</stp>
        <stp>AMZN US Equity</stp>
        <stp>CF_ACT_CASH_PAID_FOR_INT_DEBT</stp>
        <stp>FQ1 2018</stp>
        <stp>FQ1 2018</stp>
        <stp>[AMZ_2009-2018.xlsx]Cash Flow - Standardized!R58C39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8" s="4"/>
      </tp>
      <tp>
        <v>922</v>
        <stp/>
        <stp>##V3_BDHV12</stp>
        <stp>AMZN US Equity</stp>
        <stp>BS_FUTURE_MIN_OPER_LEASE_OBLIG</stp>
        <stp>FQ3 2009</stp>
        <stp>FQ3 2009</stp>
        <stp>[AMZ_2009-2018.xlsx]Bal Sheet - Standardized!R81C5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81" s="3"/>
      </tp>
      <tp>
        <v>1098</v>
        <stp/>
        <stp>##V3_BDHV12</stp>
        <stp>AMZN US Equity</stp>
        <stp>BS_FUTURE_MIN_OPER_LEASE_OBLIG</stp>
        <stp>FQ2 2010</stp>
        <stp>FQ2 2010</stp>
        <stp>[AMZ_2009-2018.xlsx]Bal Sheet - Standardized!R81C8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81" s="3"/>
      </tp>
      <tp>
        <v>0</v>
        <stp/>
        <stp>##V3_BDHV12</stp>
        <stp>AMZN US Equity</stp>
        <stp>IS_ABNORMAL_ITEM</stp>
        <stp>FQ2 2018</stp>
        <stp>FQ2 2018</stp>
        <stp>[AMZ_2009-2018.xlsx]Income - Adjusted!R26C40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6" s="2"/>
      </tp>
      <tp>
        <v>959</v>
        <stp/>
        <stp>##V3_BDHV12</stp>
        <stp>AMZN US Equity</stp>
        <stp>BS_ACCTS_REC_EXCL_NOTES_REC</stp>
        <stp>FQ3 2010</stp>
        <stp>FQ3 2010</stp>
        <stp>[AMZ_2009-2018.xlsx]Bal Sheet - Standardized!R11C9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1" s="3"/>
      </tp>
      <tp>
        <v>584</v>
        <stp/>
        <stp>##V3_BDHV12</stp>
        <stp>AMZN US Equity</stp>
        <stp>BS_ACCTS_REC_EXCL_NOTES_REC</stp>
        <stp>FQ2 2009</stp>
        <stp>FQ2 2009</stp>
        <stp>[AMZ_2009-2018.xlsx]Bal Sheet - Standardized!R11C4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1" s="3"/>
      </tp>
      <tp t="s">
        <v>—</v>
        <stp/>
        <stp>##V3_BDHV12</stp>
        <stp>AMZN US Equity</stp>
        <stp>PENSION_LIABILITIES</stp>
        <stp>FQ2 2013</stp>
        <stp>FQ2 2013</stp>
        <stp>[AMZ_2009-2018.xlsx]Bal Sheet - Standardized!R57C20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7" s="3"/>
      </tp>
      <tp>
        <v>50801</v>
        <stp/>
        <stp>##V3_BDHV12</stp>
        <stp>AMZN US Equity</stp>
        <stp>BS_CUR_LIAB</stp>
        <stp>FQ2 2018</stp>
        <stp>FQ2 2018</stp>
        <stp>[AMZ_2009-2018.xlsx]Bal Sheet - Standardized!R51C40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1" s="3"/>
      </tp>
      <tp t="s">
        <v>—</v>
        <stp/>
        <stp>##V3_BDHV12</stp>
        <stp>AMZN US Equity</stp>
        <stp>PENSION_LIABILITIES</stp>
        <stp>FQ3 2011</stp>
        <stp>FQ3 2011</stp>
        <stp>[AMZ_2009-2018.xlsx]Bal Sheet - Standardized!R57C13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7" s="3"/>
      </tp>
      <tp>
        <v>1067</v>
        <stp/>
        <stp>##V3_BDHV12</stp>
        <stp>AMZN US Equity</stp>
        <stp>EBITDA</stp>
        <stp>FQ4 2012</stp>
        <stp>FQ4 2012</stp>
        <stp>[AMZ_2009-2018.xlsx]Income - Adjusted!R61C18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61" s="2"/>
      </tp>
      <tp>
        <v>5625</v>
        <stp/>
        <stp>##V3_BDHV12</stp>
        <stp>AMZN US Equity</stp>
        <stp>EBITDA</stp>
        <stp>FQ4 2017</stp>
        <stp>FQ4 2017</stp>
        <stp>[AMZ_2009-2018.xlsx]Income - Adjusted!R61C38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61" s="2"/>
      </tp>
      <tp>
        <v>-24</v>
        <stp/>
        <stp>##V3_BDHV12</stp>
        <stp>AMZN US Equity</stp>
        <stp>IS_NONOP_INCOME_LOSS</stp>
        <stp>FQ3 2010</stp>
        <stp>FQ3 2010</stp>
        <stp>[AMZ_2009-2018.xlsx]Income - Adjusted!R19C9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9" s="2"/>
      </tp>
      <tp>
        <v>1968</v>
        <stp/>
        <stp>##V3_BDHV12</stp>
        <stp>AMZN US Equity</stp>
        <stp>EBITDA</stp>
        <stp>FQ2 2015</stp>
        <stp>FQ2 2015</stp>
        <stp>[AMZ_2009-2018.xlsx]Income - Adjusted!R61C28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61" s="2"/>
      </tp>
      <tp t="s">
        <v>—</v>
        <stp/>
        <stp>##V3_BDHV12</stp>
        <stp>AMZN US Equity</stp>
        <stp>PENSION_LIABILITIES</stp>
        <stp>FQ1 2013</stp>
        <stp>FQ1 2013</stp>
        <stp>[AMZ_2009-2018.xlsx]Bal Sheet - Standardized!R57C19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7" s="3"/>
      </tp>
      <tp>
        <v>0.51</v>
        <stp/>
        <stp>##V3_BDHV12</stp>
        <stp>AMZN US Equity</stp>
        <stp>IS_DIL_EPS_CONT_OPS</stp>
        <stp>FQ3 2010</stp>
        <stp>FQ3 2010</stp>
        <stp>[AMZ_2009-2018.xlsx]Income - Adjusted!R57C9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57" s="2"/>
      </tp>
      <tp>
        <v>12</v>
        <stp/>
        <stp>##V3_BDHV12</stp>
        <stp>AMZN US Equity</stp>
        <stp>IS_INT_EXPENSE</stp>
        <stp>FQ1 2011</stp>
        <stp>FQ1 2011</stp>
        <stp>[AMZ_2009-2018.xlsx]Income - Adjusted!R21C11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1" s="2"/>
      </tp>
      <tp>
        <v>117</v>
        <stp/>
        <stp>##V3_BDHV12</stp>
        <stp>AMZN US Equity</stp>
        <stp>IS_INT_EXPENSE</stp>
        <stp>FQ1 2016</stp>
        <stp>FQ1 2016</stp>
        <stp>[AMZ_2009-2018.xlsx]Income - Adjusted!R21C31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21" s="2"/>
      </tp>
      <tp>
        <v>36</v>
        <stp/>
        <stp>##V3_BDHV12</stp>
        <stp>AMZN US Equity</stp>
        <stp>IS_INT_EXPENSE</stp>
        <stp>FQ3 2013</stp>
        <stp>FQ3 2013</stp>
        <stp>[AMZ_2009-2018.xlsx]Income - Adjusted!R21C21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1" s="2"/>
      </tp>
      <tp>
        <v>23.455300000000001</v>
        <stp/>
        <stp>##V3_BDHV12</stp>
        <stp>AMZN US Equity</stp>
        <stp>GROSS_MARGIN</stp>
        <stp>FQ3 2011</stp>
        <stp>FQ3 2011</stp>
        <stp>[AMZ_2009-2018.xlsx]Income - Adjusted!R65C13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M65" s="2"/>
      </tp>
      <tp>
        <v>25.257100000000001</v>
        <stp/>
        <stp>##V3_BDHV12</stp>
        <stp>AMZN US Equity</stp>
        <stp>GROSS_MARGIN</stp>
        <stp>FQ3 2012</stp>
        <stp>FQ3 2012</stp>
        <stp>[AMZ_2009-2018.xlsx]Income - Adjusted!R65C17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Q65" s="2"/>
      </tp>
      <tp>
        <v>27.650400000000001</v>
        <stp/>
        <stp>##V3_BDHV12</stp>
        <stp>AMZN US Equity</stp>
        <stp>GROSS_MARGIN</stp>
        <stp>FQ3 2013</stp>
        <stp>FQ3 2013</stp>
        <stp>[AMZ_2009-2018.xlsx]Income - Adjusted!R65C21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U65" s="2"/>
      </tp>
      <tp>
        <v>29.748799999999999</v>
        <stp/>
        <stp>##V3_BDHV12</stp>
        <stp>AMZN US Equity</stp>
        <stp>GROSS_MARGIN</stp>
        <stp>FQ3 2014</stp>
        <stp>FQ3 2014</stp>
        <stp>[AMZ_2009-2018.xlsx]Income - Adjusted!R65C25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Y65" s="2"/>
      </tp>
      <tp>
        <v>33.926200000000001</v>
        <stp/>
        <stp>##V3_BDHV12</stp>
        <stp>AMZN US Equity</stp>
        <stp>GROSS_MARGIN</stp>
        <stp>FQ3 2015</stp>
        <stp>FQ3 2015</stp>
        <stp>[AMZ_2009-2018.xlsx]Income - Adjusted!R65C29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C65" s="2"/>
      </tp>
      <tp>
        <v>35.012500000000003</v>
        <stp/>
        <stp>##V3_BDHV12</stp>
        <stp>AMZN US Equity</stp>
        <stp>GROSS_MARGIN</stp>
        <stp>FQ3 2016</stp>
        <stp>FQ3 2016</stp>
        <stp>[AMZ_2009-2018.xlsx]Income - Adjusted!R65C33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G65" s="2"/>
      </tp>
      <tp>
        <v>37.022199999999998</v>
        <stp/>
        <stp>##V3_BDHV12</stp>
        <stp>AMZN US Equity</stp>
        <stp>GROSS_MARGIN</stp>
        <stp>FQ3 2017</stp>
        <stp>FQ3 2017</stp>
        <stp>[AMZ_2009-2018.xlsx]Income - Adjusted!R65C37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K65" s="2"/>
      </tp>
      <tp>
        <v>48.362499999999997</v>
        <stp/>
        <stp>##V3_BDHV12</stp>
        <stp>AMZN US Equity</stp>
        <stp>BOOK_VAL_PER_SH</stp>
        <stp>FQ2 2017</stp>
        <stp>FQ2 2017</stp>
        <stp>[AMZ_2009-2018.xlsx]Per Share!R26C36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26" s="5"/>
      </tp>
      <tp>
        <v>16.603999999999999</v>
        <stp/>
        <stp>##V3_BDHV12</stp>
        <stp>AMZN US Equity</stp>
        <stp>BOOK_VAL_PER_SH</stp>
        <stp>FQ2 2012</stp>
        <stp>FQ2 2012</stp>
        <stp>[AMZ_2009-2018.xlsx]Per Share!R26C16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26" s="5"/>
      </tp>
      <tp>
        <v>23.0989</v>
        <stp/>
        <stp>##V3_BDHV12</stp>
        <stp>AMZN US Equity</stp>
        <stp>BOOK_VAL_PER_SH</stp>
        <stp>FQ4 2014</stp>
        <stp>FQ4 2014</stp>
        <stp>[AMZ_2009-2018.xlsx]Per Share!R26C26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26" s="5"/>
      </tp>
      <tp>
        <v>0</v>
        <stp/>
        <stp>##V3_BDHV12</stp>
        <stp>AMZN US Equity</stp>
        <stp>OTHER_ADJUSTMENTS</stp>
        <stp>FQ4 2009</stp>
        <stp>FQ4 2009</stp>
        <stp>[AMZ_2009-2018.xlsx]Income - Adjusted!R42C6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2" s="2"/>
      </tp>
      <tp t="s">
        <v>—</v>
        <stp/>
        <stp>##V3_BDHV12</stp>
        <stp>AMZN US Equity</stp>
        <stp>IS_OTHER_ONE_TIME_ITEMS</stp>
        <stp>FQ4 2015</stp>
        <stp>FQ4 2015</stp>
        <stp>[AMZ_2009-2018.xlsx]Income - Adjusted!R30C30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0" s="2"/>
      </tp>
      <tp t="s">
        <v>—</v>
        <stp/>
        <stp>##V3_BDHV12</stp>
        <stp>AMZN US Equity</stp>
        <stp>IS_OTHER_ONE_TIME_ITEMS</stp>
        <stp>FQ1 2014</stp>
        <stp>FQ1 2014</stp>
        <stp>[AMZ_2009-2018.xlsx]Income - Adjusted!R30C23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0" s="2"/>
      </tp>
      <tp>
        <v>170</v>
        <stp/>
        <stp>##V3_BDHV12</stp>
        <stp>AMZN US Equity</stp>
        <stp>IS_OTHER_ONE_TIME_ITEMS</stp>
        <stp>FQ3 2014</stp>
        <stp>FQ3 2014</stp>
        <stp>[AMZ_2009-2018.xlsx]Income - Adjusted!R30C25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0" s="2"/>
      </tp>
      <tp>
        <v>-1068</v>
        <stp/>
        <stp>##V3_BDHV12</stp>
        <stp>AMZN US Equity</stp>
        <stp>CF_NET_CHNG_CASH</stp>
        <stp>FQ1 2009</stp>
        <stp>FQ1 2009</stp>
        <stp>[AMZ_2009-2018.xlsx]Cash Flow - Standardized!R55C3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5" s="4"/>
      </tp>
      <tp t="s">
        <v>—</v>
        <stp/>
        <stp>##V3_BDHV12</stp>
        <stp>AMZN US Equity</stp>
        <stp>IS_OTHER_ONE_TIME_ITEMS</stp>
        <stp>FQ2 2014</stp>
        <stp>FQ2 2014</stp>
        <stp>[AMZ_2009-2018.xlsx]Income - Adjusted!R30C24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0" s="2"/>
      </tp>
      <tp>
        <v>486</v>
        <stp/>
        <stp>##V3_BDHV12</stp>
        <stp>AMZN US Equity</stp>
        <stp>IS_AVG_NUM_SH_FOR_EPS</stp>
        <stp>FQ2 2018</stp>
        <stp>FQ2 2018</stp>
        <stp>[AMZ_2009-2018.xlsx]Per Share!R8C40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8" s="5"/>
      </tp>
      <tp t="s">
        <v>—</v>
        <stp/>
        <stp>##V3_BDHV12</stp>
        <stp>AMZN US Equity</stp>
        <stp>IS_OTHER_ONE_TIME_ITEMS</stp>
        <stp>FQ4 2014</stp>
        <stp>FQ4 2014</stp>
        <stp>[AMZ_2009-2018.xlsx]Income - Adjusted!R30C26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0" s="2"/>
      </tp>
      <tp t="s">
        <v>—</v>
        <stp/>
        <stp>##V3_BDHV12</stp>
        <stp>AMZN US Equity</stp>
        <stp>IS_MERGER_ACQUISITION_EXPENSE</stp>
        <stp>FQ1 2017</stp>
        <stp>FQ1 2017</stp>
        <stp>[AMZ_2009-2018.xlsx]Income - Adjusted!R27C35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7" s="2"/>
      </tp>
      <tp t="s">
        <v>—</v>
        <stp/>
        <stp>##V3_BDHV12</stp>
        <stp>AMZN US Equity</stp>
        <stp>IS_MERGER_ACQUISITION_EXPENSE</stp>
        <stp>FQ3 2017</stp>
        <stp>FQ3 2017</stp>
        <stp>[AMZ_2009-2018.xlsx]Income - Adjusted!R27C37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7" s="2"/>
      </tp>
      <tp t="s">
        <v>—</v>
        <stp/>
        <stp>##V3_BDHV12</stp>
        <stp>AMZN US Equity</stp>
        <stp>IS_MERGER_ACQUISITION_EXPENSE</stp>
        <stp>FQ2 2017</stp>
        <stp>FQ2 2017</stp>
        <stp>[AMZ_2009-2018.xlsx]Income - Adjusted!R27C36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7" s="2"/>
      </tp>
      <tp t="s">
        <v>—</v>
        <stp/>
        <stp>##V3_BDHV12</stp>
        <stp>AMZN US Equity</stp>
        <stp>IS_MERGER_ACQUISITION_EXPENSE</stp>
        <stp>FQ4 2017</stp>
        <stp>FQ4 2017</stp>
        <stp>[AMZ_2009-2018.xlsx]Income - Adjusted!R27C38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7" s="2"/>
      </tp>
      <tp>
        <v>241</v>
        <stp/>
        <stp>##V3_BDHV12</stp>
        <stp>AMZN US Equity</stp>
        <stp>IS_SELLING_EXPENSES</stp>
        <stp>FQ3 2010</stp>
        <stp>FQ3 2010</stp>
        <stp>[AMZ_2009-2018.xlsx]Income - Adjusted!R14C9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4" s="2"/>
      </tp>
      <tp>
        <v>1266</v>
        <stp/>
        <stp>##V3_BDHV12</stp>
        <stp>AMZN US Equity</stp>
        <stp>BS_INVENTORIES</stp>
        <stp>FQ1 2009</stp>
        <stp>FQ1 2009</stp>
        <stp>[AMZ_2009-2018.xlsx]Bal Sheet - Standardized!R13C3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3"/>
      </tp>
      <tp>
        <v>-6682</v>
        <stp/>
        <stp>##V3_BDHV12</stp>
        <stp>AMZN US Equity</stp>
        <stp>FREE_CASH_FLOW_EQUITY</stp>
        <stp>FQ1 2018</stp>
        <stp>FQ1 2018</stp>
        <stp>[AMZ_2009-2018.xlsx]Cash Flow - Standardized!R67C39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7" s="4"/>
      </tp>
      <tp>
        <v>992</v>
        <stp/>
        <stp>##V3_BDHV12</stp>
        <stp>AMZN US Equity</stp>
        <stp>BS_FUTURE_MIN_OPER_LEASE_OBLIG</stp>
        <stp>FQ4 2009</stp>
        <stp>FQ4 2009</stp>
        <stp>[AMZ_2009-2018.xlsx]Bal Sheet - Standardized!R81C6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81" s="3"/>
      </tp>
      <tp>
        <v>0</v>
        <stp/>
        <stp>##V3_BDHV12</stp>
        <stp>AMZN US Equity</stp>
        <stp>MIN_NONCONTROL_INTEREST_CREDITS</stp>
        <stp>FQ3 2009</stp>
        <stp>FQ3 2009</stp>
        <stp>[AMZ_2009-2018.xlsx]Income - Adjusted!R39C5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39" s="2"/>
      </tp>
      <tp>
        <v>805</v>
        <stp/>
        <stp>##V3_BDHV12</stp>
        <stp>AMZN US Equity</stp>
        <stp>BS_ACCTS_REC_EXCL_NOTES_REC</stp>
        <stp>FQ2 2010</stp>
        <stp>FQ2 2010</stp>
        <stp>[AMZ_2009-2018.xlsx]Bal Sheet - Standardized!R11C8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1" s="3"/>
      </tp>
      <tp>
        <v>13</v>
        <stp/>
        <stp>##V3_BDHV12</stp>
        <stp>AMZN US Equity</stp>
        <stp>CF_NET_CASH_PAID_FOR_AQUIS</stp>
        <stp>FQ1 2018</stp>
        <stp>FQ1 2018</stp>
        <stp>[AMZ_2009-2018.xlsx]Cash Flow - Standardized!R63C39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3" s="4"/>
      </tp>
      <tp>
        <v>671</v>
        <stp/>
        <stp>##V3_BDHV12</stp>
        <stp>AMZN US Equity</stp>
        <stp>BS_ACCTS_REC_EXCL_NOTES_REC</stp>
        <stp>FQ3 2009</stp>
        <stp>FQ3 2009</stp>
        <stp>[AMZ_2009-2018.xlsx]Bal Sheet - Standardized!R11C5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1" s="3"/>
      </tp>
      <tp t="s">
        <v>—</v>
        <stp/>
        <stp>##V3_BDHV12</stp>
        <stp>AMZN US Equity</stp>
        <stp>PENSION_LIABILITIES</stp>
        <stp>FQ2 2011</stp>
        <stp>FQ2 2011</stp>
        <stp>[AMZ_2009-2018.xlsx]Bal Sheet - Standardized!R57C12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7" s="3"/>
      </tp>
      <tp t="s">
        <v>—</v>
        <stp/>
        <stp>##V3_BDHV12</stp>
        <stp>AMZN US Equity</stp>
        <stp>PENSION_LIABILITIES</stp>
        <stp>FQ3 2013</stp>
        <stp>FQ3 2013</stp>
        <stp>[AMZ_2009-2018.xlsx]Bal Sheet - Standardized!R57C21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7" s="3"/>
      </tp>
      <tp>
        <v>0</v>
        <stp/>
        <stp>##V3_BDHV12</stp>
        <stp>AMZN US Equity</stp>
        <stp>PENSION_LIABILITIES</stp>
        <stp>FQ4 2014</stp>
        <stp>FQ4 2014</stp>
        <stp>[AMZ_2009-2018.xlsx]Bal Sheet - Standardized!R57C26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7" s="3"/>
      </tp>
      <tp t="s">
        <v>—</v>
        <stp/>
        <stp>##V3_BDHV12</stp>
        <stp>AMZN US Equity</stp>
        <stp>PENSION_LIABILITIES</stp>
        <stp>FQ1 2012</stp>
        <stp>FQ1 2012</stp>
        <stp>[AMZ_2009-2018.xlsx]Bal Sheet - Standardized!R57C15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7" s="3"/>
      </tp>
      <tp>
        <v>881</v>
        <stp/>
        <stp>##V3_BDHV12</stp>
        <stp>AMZN US Equity</stp>
        <stp>EBITDA</stp>
        <stp>FQ1 2013</stp>
        <stp>FQ1 2013</stp>
        <stp>[AMZ_2009-2018.xlsx]Income - Adjusted!R61C19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61" s="2"/>
      </tp>
      <tp>
        <v>5598</v>
        <stp/>
        <stp>##V3_BDHV12</stp>
        <stp>AMZN US Equity</stp>
        <stp>EBITDA</stp>
        <stp>FQ1 2018</stp>
        <stp>FQ1 2018</stp>
        <stp>[AMZ_2009-2018.xlsx]Income - Adjusted!R61C39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61" s="2"/>
      </tp>
      <tp>
        <v>-27</v>
        <stp/>
        <stp>##V3_BDHV12</stp>
        <stp>AMZN US Equity</stp>
        <stp>IS_NONOP_INCOME_LOSS</stp>
        <stp>FQ2 2010</stp>
        <stp>FQ2 2010</stp>
        <stp>[AMZ_2009-2018.xlsx]Income - Adjusted!R19C8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9" s="2"/>
      </tp>
      <tp>
        <v>0</v>
        <stp/>
        <stp>##V3_BDHV12</stp>
        <stp>AMZN US Equity</stp>
        <stp>PENSION_LIABILITIES</stp>
        <stp>FQ4 2015</stp>
        <stp>FQ4 2015</stp>
        <stp>[AMZ_2009-2018.xlsx]Bal Sheet - Standardized!R57C30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7" s="3"/>
      </tp>
      <tp>
        <v>2005</v>
        <stp/>
        <stp>##V3_BDHV12</stp>
        <stp>AMZN US Equity</stp>
        <stp>EBITDA</stp>
        <stp>FQ3 2015</stp>
        <stp>FQ3 2015</stp>
        <stp>[AMZ_2009-2018.xlsx]Income - Adjusted!R61C29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61" s="2"/>
      </tp>
      <tp>
        <v>0.45</v>
        <stp/>
        <stp>##V3_BDHV12</stp>
        <stp>AMZN US Equity</stp>
        <stp>IS_DIL_EPS_CONT_OPS</stp>
        <stp>FQ2 2010</stp>
        <stp>FQ2 2010</stp>
        <stp>[AMZ_2009-2018.xlsx]Income - Adjusted!R57C8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57" s="2"/>
      </tp>
      <tp>
        <v>115</v>
        <stp/>
        <stp>##V3_BDHV12</stp>
        <stp>AMZN US Equity</stp>
        <stp>IS_INT_EXPENSE</stp>
        <stp>FQ4 2015</stp>
        <stp>FQ4 2015</stp>
        <stp>[AMZ_2009-2018.xlsx]Income - Adjusted!R21C30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21" s="2"/>
      </tp>
      <tp>
        <v>11</v>
        <stp/>
        <stp>##V3_BDHV12</stp>
        <stp>AMZN US Equity</stp>
        <stp>IS_INT_EXPENSE</stp>
        <stp>FQ4 2010</stp>
        <stp>FQ4 2010</stp>
        <stp>[AMZ_2009-2018.xlsx]Income - Adjusted!R21C10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1" s="2"/>
      </tp>
      <tp>
        <v>42.0792</v>
        <stp/>
        <stp>##V3_BDHV12</stp>
        <stp>AMZN US Equity</stp>
        <stp>GROSS_MARGIN</stp>
        <stp>FQ2 2018</stp>
        <stp>FQ2 2018</stp>
        <stp>[AMZ_2009-2018.xlsx]Income - Adjusted!R65C40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N65" s="2"/>
      </tp>
      <tp>
        <v>343</v>
        <stp/>
        <stp>##V3_BDHV12</stp>
        <stp>AMZN US Equity</stp>
        <stp>IS_INT_EXPENSE</stp>
        <stp>FQ2 2018</stp>
        <stp>FQ2 2018</stp>
        <stp>[AMZ_2009-2018.xlsx]Income - Adjusted!R21C40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21" s="2"/>
      </tp>
      <tp>
        <v>33</v>
        <stp/>
        <stp>##V3_BDHV12</stp>
        <stp>AMZN US Equity</stp>
        <stp>IS_INT_EXPENSE</stp>
        <stp>FQ2 2013</stp>
        <stp>FQ2 2013</stp>
        <stp>[AMZ_2009-2018.xlsx]Income - Adjusted!R21C20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1" s="2"/>
      </tp>
      <tp>
        <v>513</v>
        <stp/>
        <stp>##V3_BDHV12</stp>
        <stp>AMZN US Equity</stp>
        <stp>CF_CASH_PAID_FOR_TAX</stp>
        <stp>FQ1 2018</stp>
        <stp>FQ1 2018</stp>
        <stp>[AMZ_2009-2018.xlsx]Cash Flow - Standardized!R57C39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7" s="4"/>
      </tp>
      <tp>
        <v>24.089600000000001</v>
        <stp/>
        <stp>##V3_BDHV12</stp>
        <stp>AMZN US Equity</stp>
        <stp>GROSS_MARGIN</stp>
        <stp>FQ2 2011</stp>
        <stp>FQ2 2011</stp>
        <stp>[AMZ_2009-2018.xlsx]Income - Adjusted!R65C12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L65" s="2"/>
      </tp>
      <tp>
        <v>28.6233</v>
        <stp/>
        <stp>##V3_BDHV12</stp>
        <stp>AMZN US Equity</stp>
        <stp>GROSS_MARGIN</stp>
        <stp>FQ2 2013</stp>
        <stp>FQ2 2013</stp>
        <stp>[AMZ_2009-2018.xlsx]Income - Adjusted!R65C20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T65" s="2"/>
      </tp>
      <tp>
        <v>26.071400000000001</v>
        <stp/>
        <stp>##V3_BDHV12</stp>
        <stp>AMZN US Equity</stp>
        <stp>GROSS_MARGIN</stp>
        <stp>FQ2 2012</stp>
        <stp>FQ2 2012</stp>
        <stp>[AMZ_2009-2018.xlsx]Income - Adjusted!R65C16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P65" s="2"/>
      </tp>
      <tp>
        <v>34.612900000000003</v>
        <stp/>
        <stp>##V3_BDHV12</stp>
        <stp>AMZN US Equity</stp>
        <stp>GROSS_MARGIN</stp>
        <stp>FQ2 2015</stp>
        <stp>FQ2 2015</stp>
        <stp>[AMZ_2009-2018.xlsx]Income - Adjusted!R65C28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B65" s="2"/>
      </tp>
      <tp>
        <v>30.718699999999998</v>
        <stp/>
        <stp>##V3_BDHV12</stp>
        <stp>AMZN US Equity</stp>
        <stp>GROSS_MARGIN</stp>
        <stp>FQ2 2014</stp>
        <stp>FQ2 2014</stp>
        <stp>[AMZ_2009-2018.xlsx]Income - Adjusted!R65C24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X65" s="2"/>
      </tp>
      <tp>
        <v>38.213700000000003</v>
        <stp/>
        <stp>##V3_BDHV12</stp>
        <stp>AMZN US Equity</stp>
        <stp>GROSS_MARGIN</stp>
        <stp>FQ2 2017</stp>
        <stp>FQ2 2017</stp>
        <stp>[AMZ_2009-2018.xlsx]Income - Adjusted!R65C36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J65" s="2"/>
      </tp>
      <tp>
        <v>36.916200000000003</v>
        <stp/>
        <stp>##V3_BDHV12</stp>
        <stp>AMZN US Equity</stp>
        <stp>GROSS_MARGIN</stp>
        <stp>FQ2 2016</stp>
        <stp>FQ2 2016</stp>
        <stp>[AMZ_2009-2018.xlsx]Income - Adjusted!R65C32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F65" s="2"/>
      </tp>
      <tp>
        <v>23.332599999999999</v>
        <stp/>
        <stp>##V3_BDHV12</stp>
        <stp>AMZN US Equity</stp>
        <stp>BOOK_VAL_PER_SH</stp>
        <stp>FQ1 2015</stp>
        <stp>FQ1 2015</stp>
        <stp>[AMZ_2009-2018.xlsx]Per Share!R26C27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26" s="5"/>
      </tp>
      <tp>
        <v>51.157699999999998</v>
        <stp/>
        <stp>##V3_BDHV12</stp>
        <stp>AMZN US Equity</stp>
        <stp>BOOK_VAL_PER_SH</stp>
        <stp>FQ3 2017</stp>
        <stp>FQ3 2017</stp>
        <stp>[AMZ_2009-2018.xlsx]Per Share!R26C37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26" s="5"/>
      </tp>
      <tp>
        <v>16.673300000000001</v>
        <stp/>
        <stp>##V3_BDHV12</stp>
        <stp>AMZN US Equity</stp>
        <stp>BOOK_VAL_PER_SH</stp>
        <stp>FQ3 2012</stp>
        <stp>FQ3 2012</stp>
        <stp>[AMZ_2009-2018.xlsx]Per Share!R26C17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26" s="5"/>
      </tp>
      <tp t="s">
        <v>—</v>
        <stp/>
        <stp>##V3_BDHV12</stp>
        <stp>AMZN US Equity</stp>
        <stp>IS_OTHER_ONE_TIME_ITEMS</stp>
        <stp>FQ1 2015</stp>
        <stp>FQ1 2015</stp>
        <stp>[AMZ_2009-2018.xlsx]Income - Adjusted!R30C27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0" s="2"/>
      </tp>
      <tp t="s">
        <v>—</v>
        <stp/>
        <stp>##V3_BDHV12</stp>
        <stp>AMZN US Equity</stp>
        <stp>IS_OTHER_ONE_TIME_ITEMS</stp>
        <stp>FQ3 2015</stp>
        <stp>FQ3 2015</stp>
        <stp>[AMZ_2009-2018.xlsx]Income - Adjusted!R30C29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0" s="2"/>
      </tp>
      <tp>
        <v>-1600</v>
        <stp/>
        <stp>##V3_BDHV12</stp>
        <stp>AMZN US Equity</stp>
        <stp>CF_NET_CHNG_CASH</stp>
        <stp>FQ1 2010</stp>
        <stp>FQ1 2010</stp>
        <stp>[AMZ_2009-2018.xlsx]Cash Flow - Standardized!R55C7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5" s="4"/>
      </tp>
      <tp t="s">
        <v>—</v>
        <stp/>
        <stp>##V3_BDHV12</stp>
        <stp>AMZN US Equity</stp>
        <stp>IS_OTHER_ONE_TIME_ITEMS</stp>
        <stp>FQ2 2015</stp>
        <stp>FQ2 2015</stp>
        <stp>[AMZ_2009-2018.xlsx]Income - Adjusted!R30C28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0" s="2"/>
      </tp>
      <tp>
        <v>0</v>
        <stp/>
        <stp>##V3_BDHV12</stp>
        <stp>AMZN US Equity</stp>
        <stp>IS_OTHER_OPER_INC</stp>
        <stp>FQ4 2009</stp>
        <stp>FQ4 2009</stp>
        <stp>[AMZ_2009-2018.xlsx]Income - Adjusted!R11C6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1" s="2"/>
      </tp>
      <tp t="s">
        <v>—</v>
        <stp/>
        <stp>##V3_BDHV12</stp>
        <stp>AMZN US Equity</stp>
        <stp>IS_MERGER_ACQUISITION_EXPENSE</stp>
        <stp>FQ1 2016</stp>
        <stp>FQ1 2016</stp>
        <stp>[AMZ_2009-2018.xlsx]Income - Adjusted!R27C31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7" s="2"/>
      </tp>
      <tp t="s">
        <v>—</v>
        <stp/>
        <stp>##V3_BDHV12</stp>
        <stp>AMZN US Equity</stp>
        <stp>IS_MERGER_ACQUISITION_EXPENSE</stp>
        <stp>FQ3 2016</stp>
        <stp>FQ3 2016</stp>
        <stp>[AMZ_2009-2018.xlsx]Income - Adjusted!R27C33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7" s="2"/>
      </tp>
      <tp t="s">
        <v>—</v>
        <stp/>
        <stp>##V3_BDHV12</stp>
        <stp>AMZN US Equity</stp>
        <stp>IS_MERGER_ACQUISITION_EXPENSE</stp>
        <stp>FQ2 2016</stp>
        <stp>FQ2 2016</stp>
        <stp>[AMZ_2009-2018.xlsx]Income - Adjusted!R27C32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7" s="2"/>
      </tp>
      <tp t="s">
        <v>—</v>
        <stp/>
        <stp>##V3_BDHV12</stp>
        <stp>AMZN US Equity</stp>
        <stp>IS_MERGER_ACQUISITION_EXPENSE</stp>
        <stp>FQ4 2016</stp>
        <stp>FQ4 2016</stp>
        <stp>[AMZ_2009-2018.xlsx]Income - Adjusted!R27C34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7" s="2"/>
      </tp>
      <tp>
        <v>211</v>
        <stp/>
        <stp>##V3_BDHV12</stp>
        <stp>AMZN US Equity</stp>
        <stp>IS_SELLING_EXPENSES</stp>
        <stp>FQ2 2010</stp>
        <stp>FQ2 2010</stp>
        <stp>[AMZ_2009-2018.xlsx]Income - Adjusted!R14C8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4" s="2"/>
      </tp>
      <tp>
        <v>299</v>
        <stp/>
        <stp>##V3_BDHV12</stp>
        <stp>AMZN US Equity</stp>
        <stp>EARN_FOR_COMMON</stp>
        <stp>FQ1 2010</stp>
        <stp>FQ1 2010</stp>
        <stp>[AMZ_2009-2018.xlsx]Income - Adjusted!R43C7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43" s="2"/>
      </tp>
      <tp>
        <v>0</v>
        <stp/>
        <stp>##V3_BDHV12</stp>
        <stp>AMZN US Equity</stp>
        <stp>MIN_NONCONTROL_INTEREST_CREDITS</stp>
        <stp>FQ2 2009</stp>
        <stp>FQ2 2009</stp>
        <stp>[AMZ_2009-2018.xlsx]Income - Adjusted!R39C4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39" s="2"/>
      </tp>
      <tp>
        <v>1820</v>
        <stp/>
        <stp>##V3_BDHV12</stp>
        <stp>AMZN US Equity</stp>
        <stp>BS_INVENTORIES</stp>
        <stp>FQ1 2010</stp>
        <stp>FQ1 2010</stp>
        <stp>[AMZ_2009-2018.xlsx]Bal Sheet - Standardized!R13C7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3" s="3"/>
      </tp>
      <tp>
        <v>11</v>
        <stp/>
        <stp>##V3_BDHV12</stp>
        <stp>AMZN US Equity</stp>
        <stp>IS_NONOP_INCOME_LOSS</stp>
        <stp>FQ1 2018</stp>
        <stp>FQ1 2018</stp>
        <stp>[AMZ_2009-2018.xlsx]Income - Adjusted!R19C39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9" s="2"/>
      </tp>
      <tp>
        <v>100</v>
        <stp/>
        <stp>##V3_BDHV12</stp>
        <stp>AMZN US Equity</stp>
        <stp>IS_NONOP_INCOME_LOSS</stp>
        <stp>FQ1 2013</stp>
        <stp>FQ1 2013</stp>
        <stp>[AMZ_2009-2018.xlsx]Income - Adjusted!R19C19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9" s="2"/>
      </tp>
      <tp>
        <v>159</v>
        <stp/>
        <stp>##V3_BDHV12</stp>
        <stp>AMZN US Equity</stp>
        <stp>IS_NONOP_INCOME_LOSS</stp>
        <stp>FQ3 2015</stp>
        <stp>FQ3 2015</stp>
        <stp>[AMZ_2009-2018.xlsx]Income - Adjusted!R19C29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9" s="2"/>
      </tp>
      <tp>
        <v>0.91</v>
        <stp/>
        <stp>##V3_BDHV12</stp>
        <stp>AMZN US Equity</stp>
        <stp>IS_DILUTED_EPS</stp>
        <stp>FQ4 2010</stp>
        <stp>FQ4 2010</stp>
        <stp>[AMZ_2009-2018.xlsx]Per Share!R17C10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17" s="5"/>
      </tp>
      <tp>
        <v>0.38</v>
        <stp/>
        <stp>##V3_BDHV12</stp>
        <stp>AMZN US Equity</stp>
        <stp>IS_DILUTED_EPS</stp>
        <stp>FQ4 2011</stp>
        <stp>FQ4 2011</stp>
        <stp>[AMZ_2009-2018.xlsx]Per Share!R17C14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17" s="5"/>
      </tp>
      <tp>
        <v>600</v>
        <stp/>
        <stp>##V3_BDHV12</stp>
        <stp>AMZN US Equity</stp>
        <stp>BS_AMT_OF_TSY_STOCK</stp>
        <stp>FQ4 2009</stp>
        <stp>FQ4 2009</stp>
        <stp>[AMZ_2009-2018.xlsx]Bal Sheet - Standardized!R68C6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68" s="3"/>
      </tp>
      <tp>
        <v>0.21</v>
        <stp/>
        <stp>##V3_BDHV12</stp>
        <stp>AMZN US Equity</stp>
        <stp>IS_DILUTED_EPS</stp>
        <stp>FQ4 2012</stp>
        <stp>FQ4 2012</stp>
        <stp>[AMZ_2009-2018.xlsx]Per Share!R17C18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17" s="5"/>
      </tp>
      <tp>
        <v>0.51</v>
        <stp/>
        <stp>##V3_BDHV12</stp>
        <stp>AMZN US Equity</stp>
        <stp>IS_DILUTED_EPS</stp>
        <stp>FQ4 2013</stp>
        <stp>FQ4 2013</stp>
        <stp>[AMZ_2009-2018.xlsx]Per Share!R17C22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17" s="5"/>
      </tp>
      <tp>
        <v>0.45</v>
        <stp/>
        <stp>##V3_BDHV12</stp>
        <stp>AMZN US Equity</stp>
        <stp>IS_DILUTED_EPS</stp>
        <stp>FQ4 2014</stp>
        <stp>FQ4 2014</stp>
        <stp>[AMZ_2009-2018.xlsx]Per Share!R17C26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17" s="5"/>
      </tp>
      <tp>
        <v>1</v>
        <stp/>
        <stp>##V3_BDHV12</stp>
        <stp>AMZN US Equity</stp>
        <stp>IS_DILUTED_EPS</stp>
        <stp>FQ4 2015</stp>
        <stp>FQ4 2015</stp>
        <stp>[AMZ_2009-2018.xlsx]Per Share!R17C30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17" s="5"/>
      </tp>
      <tp>
        <v>1.54</v>
        <stp/>
        <stp>##V3_BDHV12</stp>
        <stp>AMZN US Equity</stp>
        <stp>IS_DILUTED_EPS</stp>
        <stp>FQ4 2016</stp>
        <stp>FQ4 2016</stp>
        <stp>[AMZ_2009-2018.xlsx]Per Share!R17C34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17" s="5"/>
      </tp>
      <tp>
        <v>3.75</v>
        <stp/>
        <stp>##V3_BDHV12</stp>
        <stp>AMZN US Equity</stp>
        <stp>IS_DILUTED_EPS</stp>
        <stp>FQ4 2017</stp>
        <stp>FQ4 2017</stp>
        <stp>[AMZ_2009-2018.xlsx]Per Share!R17C38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17" s="5"/>
      </tp>
      <tp>
        <v>815</v>
        <stp/>
        <stp>##V3_BDHV12</stp>
        <stp>AMZN US Equity</stp>
        <stp>BS_ACCTS_REC_EXCL_NOTES_REC</stp>
        <stp>FQ1 2010</stp>
        <stp>FQ1 2010</stp>
        <stp>[AMZ_2009-2018.xlsx]Bal Sheet - Standardized!R11C7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1" s="3"/>
      </tp>
      <tp>
        <v>0</v>
        <stp/>
        <stp>##V3_BDHV12</stp>
        <stp>AMZN US Equity</stp>
        <stp>PENSION_LIABILITIES</stp>
        <stp>FQ4 2016</stp>
        <stp>FQ4 2016</stp>
        <stp>[AMZ_2009-2018.xlsx]Bal Sheet - Standardized!R57C34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7" s="3"/>
      </tp>
      <tp t="s">
        <v>—</v>
        <stp/>
        <stp>##V3_BDHV12</stp>
        <stp>AMZN US Equity</stp>
        <stp>PENSION_LIABILITIES</stp>
        <stp>FQ1 2011</stp>
        <stp>FQ1 2011</stp>
        <stp>[AMZ_2009-2018.xlsx]Bal Sheet - Standardized!R57C11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7" s="3"/>
      </tp>
      <tp t="s">
        <v>—</v>
        <stp/>
        <stp>##V3_BDHV12</stp>
        <stp>AMZN US Equity</stp>
        <stp>PENSION_LIABILITIES</stp>
        <stp>FQ2 2012</stp>
        <stp>FQ2 2012</stp>
        <stp>[AMZ_2009-2018.xlsx]Bal Sheet - Standardized!R57C16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7" s="3"/>
      </tp>
      <tp>
        <v>39.7849</v>
        <stp/>
        <stp>##V3_BDHV12</stp>
        <stp>AMZN US Equity</stp>
        <stp>GROSS_MARGIN</stp>
        <stp>FQ1 2018</stp>
        <stp>FQ1 2018</stp>
        <stp>[AMZ_2009-2018.xlsx]Income - Adjusted!R65C39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M65" s="2"/>
      </tp>
      <tp>
        <v>42</v>
        <stp/>
        <stp>##V3_BDHV12</stp>
        <stp>AMZN US Equity</stp>
        <stp>IS_INT_EXPENSE</stp>
        <stp>FQ1 2014</stp>
        <stp>FQ1 2014</stp>
        <stp>[AMZ_2009-2018.xlsx]Income - Adjusted!R21C23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1" s="2"/>
      </tp>
      <tp>
        <v>17</v>
        <stp/>
        <stp>##V3_BDHV12</stp>
        <stp>AMZN US Equity</stp>
        <stp>IS_INT_EXPENSE</stp>
        <stp>FQ3 2011</stp>
        <stp>FQ3 2011</stp>
        <stp>[AMZ_2009-2018.xlsx]Income - Adjusted!R21C13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1" s="2"/>
      </tp>
      <tp>
        <v>118</v>
        <stp/>
        <stp>##V3_BDHV12</stp>
        <stp>AMZN US Equity</stp>
        <stp>IS_INT_EXPENSE</stp>
        <stp>FQ3 2016</stp>
        <stp>FQ3 2016</stp>
        <stp>[AMZ_2009-2018.xlsx]Income - Adjusted!R21C33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21" s="2"/>
      </tp>
      <tp>
        <v>23.951499999999999</v>
        <stp/>
        <stp>##V3_BDHV12</stp>
        <stp>AMZN US Equity</stp>
        <stp>GROSS_MARGIN</stp>
        <stp>FQ1 2012</stp>
        <stp>FQ1 2012</stp>
        <stp>[AMZ_2009-2018.xlsx]Income - Adjusted!R65C15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O65" s="2"/>
      </tp>
      <tp>
        <v>26.565000000000001</v>
        <stp/>
        <stp>##V3_BDHV12</stp>
        <stp>AMZN US Equity</stp>
        <stp>GROSS_MARGIN</stp>
        <stp>FQ1 2013</stp>
        <stp>FQ1 2013</stp>
        <stp>[AMZ_2009-2018.xlsx]Income - Adjusted!R65C19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S65" s="2"/>
      </tp>
      <tp>
        <v>22.816299999999998</v>
        <stp/>
        <stp>##V3_BDHV12</stp>
        <stp>AMZN US Equity</stp>
        <stp>GROSS_MARGIN</stp>
        <stp>FQ1 2011</stp>
        <stp>FQ1 2011</stp>
        <stp>[AMZ_2009-2018.xlsx]Income - Adjusted!R65C11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K65" s="2"/>
      </tp>
      <tp>
        <v>35.230699999999999</v>
        <stp/>
        <stp>##V3_BDHV12</stp>
        <stp>AMZN US Equity</stp>
        <stp>GROSS_MARGIN</stp>
        <stp>FQ1 2016</stp>
        <stp>FQ1 2016</stp>
        <stp>[AMZ_2009-2018.xlsx]Income - Adjusted!R65C31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E65" s="2"/>
      </tp>
      <tp>
        <v>37.167499999999997</v>
        <stp/>
        <stp>##V3_BDHV12</stp>
        <stp>AMZN US Equity</stp>
        <stp>GROSS_MARGIN</stp>
        <stp>FQ1 2017</stp>
        <stp>FQ1 2017</stp>
        <stp>[AMZ_2009-2018.xlsx]Income - Adjusted!R65C35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I65" s="2"/>
      </tp>
      <tp>
        <v>28.803000000000001</v>
        <stp/>
        <stp>##V3_BDHV12</stp>
        <stp>AMZN US Equity</stp>
        <stp>GROSS_MARGIN</stp>
        <stp>FQ1 2014</stp>
        <stp>FQ1 2014</stp>
        <stp>[AMZ_2009-2018.xlsx]Income - Adjusted!R65C23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W65" s="2"/>
      </tp>
      <tp>
        <v>32.231400000000001</v>
        <stp/>
        <stp>##V3_BDHV12</stp>
        <stp>AMZN US Equity</stp>
        <stp>GROSS_MARGIN</stp>
        <stp>FQ1 2015</stp>
        <stp>FQ1 2015</stp>
        <stp>[AMZ_2009-2018.xlsx]Income - Adjusted!R65C27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AA65" s="2"/>
      </tp>
      <tp>
        <v>22.9481</v>
        <stp/>
        <stp>##V3_BDHV12</stp>
        <stp>AMZN US Equity</stp>
        <stp>BOOK_VAL_PER_SH</stp>
        <stp>FQ2 2014</stp>
        <stp>FQ2 2014</stp>
        <stp>[AMZ_2009-2018.xlsx]Per Share!R26C24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26" s="5"/>
      </tp>
      <tp>
        <v>17.048400000000001</v>
        <stp/>
        <stp>##V3_BDHV12</stp>
        <stp>AMZN US Equity</stp>
        <stp>BOOK_VAL_PER_SH</stp>
        <stp>FQ4 2011</stp>
        <stp>FQ4 2011</stp>
        <stp>[AMZ_2009-2018.xlsx]Per Share!R26C14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26" s="5"/>
      </tp>
      <tp>
        <v>40.4298</v>
        <stp/>
        <stp>##V3_BDHV12</stp>
        <stp>AMZN US Equity</stp>
        <stp>BOOK_VAL_PER_SH</stp>
        <stp>FQ4 2016</stp>
        <stp>FQ4 2016</stp>
        <stp>[AMZ_2009-2018.xlsx]Per Share!R26C34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26" s="5"/>
      </tp>
      <tp>
        <v>578</v>
        <stp/>
        <stp>##V3_BDHV12</stp>
        <stp>AMZN US Equity</stp>
        <stp>CF_NET_CHNG_CASH</stp>
        <stp>FQ3 2009</stp>
        <stp>FQ3 2009</stp>
        <stp>[AMZ_2009-2018.xlsx]Cash Flow - Standardized!R55C5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5" s="4"/>
      </tp>
      <tp t="s">
        <v>—</v>
        <stp/>
        <stp>##V3_BDHV12</stp>
        <stp>AMZN US Equity</stp>
        <stp>IS_OTHER_ONE_TIME_ITEMS</stp>
        <stp>FQ1 2017</stp>
        <stp>FQ1 2017</stp>
        <stp>[AMZ_2009-2018.xlsx]Income - Adjusted!R30C35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0" s="2"/>
      </tp>
      <tp>
        <v>-215</v>
        <stp/>
        <stp>##V3_BDHV12</stp>
        <stp>AMZN US Equity</stp>
        <stp>CF_NET_CHNG_CASH</stp>
        <stp>FQ2 2010</stp>
        <stp>FQ2 2010</stp>
        <stp>[AMZ_2009-2018.xlsx]Cash Flow - Standardized!R55C8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5" s="4"/>
      </tp>
      <tp>
        <v>454</v>
        <stp/>
        <stp>##V3_BDHV12</stp>
        <stp>AMZN US Equity</stp>
        <stp>IS_AVG_NUM_SH_FOR_EPS</stp>
        <stp>FQ4 2012</stp>
        <stp>FQ4 2012</stp>
        <stp>[AMZ_2009-2018.xlsx]Per Share!R8C18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8" s="5"/>
      </tp>
      <tp>
        <v>455</v>
        <stp/>
        <stp>##V3_BDHV12</stp>
        <stp>AMZN US Equity</stp>
        <stp>IS_AVG_NUM_SH_FOR_EPS</stp>
        <stp>FQ1 2013</stp>
        <stp>FQ1 2013</stp>
        <stp>[AMZ_2009-2018.xlsx]Per Share!R8C19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8" s="5"/>
      </tp>
      <tp t="s">
        <v>—</v>
        <stp/>
        <stp>##V3_BDHV12</stp>
        <stp>AMZN US Equity</stp>
        <stp>IS_OTHER_ONE_TIME_ITEMS</stp>
        <stp>FQ3 2017</stp>
        <stp>FQ3 2017</stp>
        <stp>[AMZ_2009-2018.xlsx]Income - Adjusted!R30C37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0" s="2"/>
      </tp>
      <tp t="s">
        <v>—</v>
        <stp/>
        <stp>##V3_BDHV12</stp>
        <stp>AMZN US Equity</stp>
        <stp>IS_OTHER_ONE_TIME_ITEMS</stp>
        <stp>FQ2 2017</stp>
        <stp>FQ2 2017</stp>
        <stp>[AMZ_2009-2018.xlsx]Income - Adjusted!R30C36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0" s="2"/>
      </tp>
      <tp t="s">
        <v>—</v>
        <stp/>
        <stp>##V3_BDHV12</stp>
        <stp>AMZN US Equity</stp>
        <stp>IS_OTHER_ONE_TIME_ITEMS</stp>
        <stp>FQ4 2017</stp>
        <stp>FQ4 2017</stp>
        <stp>[AMZ_2009-2018.xlsx]Income - Adjusted!R30C38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0" s="2"/>
      </tp>
      <tp>
        <v>0</v>
        <stp/>
        <stp>##V3_BDHV12</stp>
        <stp>AMZN US Equity</stp>
        <stp>IS_OTHER_OPER_INC</stp>
        <stp>FQ3 2009</stp>
        <stp>FQ3 2009</stp>
        <stp>[AMZ_2009-2018.xlsx]Income - Adjusted!R11C5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1" s="2"/>
      </tp>
      <tp>
        <v>2726</v>
        <stp/>
        <stp>##V3_BDHV12</stp>
        <stp>AMZN US Equity</stp>
        <stp>BS_OTHER_ASSETS_DEF_CHRG_OTHER</stp>
        <stp>FQ4 2009</stp>
        <stp>FQ4 2009</stp>
        <stp>[AMZ_2009-2018.xlsx]Bal Sheet - Standardized!R27C6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7" s="3"/>
      </tp>
      <tp t="s">
        <v>—</v>
        <stp/>
        <stp>##V3_BDHV12</stp>
        <stp>AMZN US Equity</stp>
        <stp>IS_MERGER_ACQUISITION_EXPENSE</stp>
        <stp>FQ4 2015</stp>
        <stp>FQ4 2015</stp>
        <stp>[AMZ_2009-2018.xlsx]Income - Adjusted!R27C30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7" s="2"/>
      </tp>
      <tp t="s">
        <v>—</v>
        <stp/>
        <stp>##V3_BDHV12</stp>
        <stp>AMZN US Equity</stp>
        <stp>IS_MERGER_ACQUISITION_EXPENSE</stp>
        <stp>FQ1 2014</stp>
        <stp>FQ1 2014</stp>
        <stp>[AMZ_2009-2018.xlsx]Income - Adjusted!R27C23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7" s="2"/>
      </tp>
      <tp t="s">
        <v>—</v>
        <stp/>
        <stp>##V3_BDHV12</stp>
        <stp>AMZN US Equity</stp>
        <stp>IS_MERGER_ACQUISITION_EXPENSE</stp>
        <stp>FQ3 2014</stp>
        <stp>FQ3 2014</stp>
        <stp>[AMZ_2009-2018.xlsx]Income - Adjusted!R27C25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7" s="2"/>
      </tp>
      <tp t="s">
        <v>—</v>
        <stp/>
        <stp>##V3_BDHV12</stp>
        <stp>AMZN US Equity</stp>
        <stp>IS_MERGER_ACQUISITION_EXPENSE</stp>
        <stp>FQ2 2014</stp>
        <stp>FQ2 2014</stp>
        <stp>[AMZ_2009-2018.xlsx]Income - Adjusted!R27C24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7" s="2"/>
      </tp>
      <tp t="s">
        <v>—</v>
        <stp/>
        <stp>##V3_BDHV12</stp>
        <stp>AMZN US Equity</stp>
        <stp>IS_MERGER_ACQUISITION_EXPENSE</stp>
        <stp>FQ4 2014</stp>
        <stp>FQ4 2014</stp>
        <stp>[AMZ_2009-2018.xlsx]Income - Adjusted!R27C26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7" s="2"/>
      </tp>
      <tp>
        <v>1940</v>
        <stp/>
        <stp>##V3_BDHV12</stp>
        <stp>AMZN US Equity</stp>
        <stp>BS_INVENTORIES</stp>
        <stp>FQ2 2010</stp>
        <stp>FQ2 2010</stp>
        <stp>[AMZ_2009-2018.xlsx]Bal Sheet - Standardized!R13C8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3" s="3"/>
      </tp>
      <tp>
        <v>0</v>
        <stp/>
        <stp>##V3_BDHV12</stp>
        <stp>AMZN US Equity</stp>
        <stp>PROC_FR_REPURCH_EQTY_DETAILED</stp>
        <stp>FQ1 2018</stp>
        <stp>FQ1 2018</stp>
        <stp>[AMZ_2009-2018.xlsx]Cash Flow - Standardized!R46C39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6" s="4"/>
      </tp>
      <tp>
        <v>1617</v>
        <stp/>
        <stp>##V3_BDHV12</stp>
        <stp>AMZN US Equity</stp>
        <stp>BS_INVENTORIES</stp>
        <stp>FQ3 2009</stp>
        <stp>FQ3 2009</stp>
        <stp>[AMZ_2009-2018.xlsx]Bal Sheet - Standardized!R13C5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3" s="3"/>
      </tp>
      <tp>
        <v>101</v>
        <stp/>
        <stp>##V3_BDHV12</stp>
        <stp>AMZN US Equity</stp>
        <stp>IS_NONOP_INCOME_LOSS</stp>
        <stp>FQ2 2015</stp>
        <stp>FQ2 2015</stp>
        <stp>[AMZ_2009-2018.xlsx]Income - Adjusted!R19C28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9" s="2"/>
      </tp>
      <tp>
        <v>255</v>
        <stp/>
        <stp>##V3_BDHV12</stp>
        <stp>AMZN US Equity</stp>
        <stp>IS_NONOP_INCOME_LOSS</stp>
        <stp>FQ4 2017</stp>
        <stp>FQ4 2017</stp>
        <stp>[AMZ_2009-2018.xlsx]Income - Adjusted!R19C38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9" s="2"/>
      </tp>
      <tp>
        <v>43</v>
        <stp/>
        <stp>##V3_BDHV12</stp>
        <stp>AMZN US Equity</stp>
        <stp>IS_NONOP_INCOME_LOSS</stp>
        <stp>FQ4 2012</stp>
        <stp>FQ4 2012</stp>
        <stp>[AMZ_2009-2018.xlsx]Income - Adjusted!R19C18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9" s="2"/>
      </tp>
      <tp>
        <v>587</v>
        <stp/>
        <stp>##V3_BDHV12</stp>
        <stp>AMZN US Equity</stp>
        <stp>BS_ACCTS_REC_EXCL_NOTES_REC</stp>
        <stp>FQ1 2009</stp>
        <stp>FQ1 2009</stp>
        <stp>[AMZ_2009-2018.xlsx]Bal Sheet - Standardized!R11C3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3"/>
      </tp>
      <tp>
        <v>0</v>
        <stp/>
        <stp>##V3_BDHV12</stp>
        <stp>AMZN US Equity</stp>
        <stp>LT_DEFERRED_REVENUE</stp>
        <stp>FQ4 2009</stp>
        <stp>FQ4 2009</stp>
        <stp>[AMZ_2009-2018.xlsx]Bal Sheet - Standardized!R58C6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8" s="3"/>
      </tp>
      <tp>
        <v>0</v>
        <stp/>
        <stp>##V3_BDHV12</stp>
        <stp>AMZN US Equity</stp>
        <stp>ST_DEFERRED_REVENUE</stp>
        <stp>FQ4 2009</stp>
        <stp>FQ4 2009</stp>
        <stp>[AMZ_2009-2018.xlsx]Bal Sheet - Standardized!R48C6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8" s="3"/>
      </tp>
      <tp>
        <v>-2</v>
        <stp/>
        <stp>##V3_BDHV12</stp>
        <stp>AMZN US Equity</stp>
        <stp>IS_NONOP_INCOME_LOSS</stp>
        <stp>FQ1 2009</stp>
        <stp>FQ1 2009</stp>
        <stp>[AMZ_2009-2018.xlsx]Income - Adjusted!R19C3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9" s="2"/>
      </tp>
      <tp t="s">
        <v>—</v>
        <stp/>
        <stp>##V3_BDHV12</stp>
        <stp>AMZN US Equity</stp>
        <stp>PENSION_LIABILITIES</stp>
        <stp>FQ3 2012</stp>
        <stp>FQ3 2012</stp>
        <stp>[AMZ_2009-2018.xlsx]Bal Sheet - Standardized!R57C17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7" s="3"/>
      </tp>
      <tp>
        <v>0.40699999999999997</v>
        <stp/>
        <stp>##V3_BDHV12</stp>
        <stp>AMZN US Equity</stp>
        <stp>IS_DIL_EPS_CONT_OPS</stp>
        <stp>FQ1 2009</stp>
        <stp>FQ1 2009</stp>
        <stp>[AMZ_2009-2018.xlsx]Income - Adjusted!R57C3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57" s="2"/>
      </tp>
      <tp>
        <v>0</v>
        <stp/>
        <stp>##V3_BDHV12</stp>
        <stp>AMZN US Equity</stp>
        <stp>PENSION_LIABILITIES</stp>
        <stp>FQ4 2017</stp>
        <stp>FQ4 2017</stp>
        <stp>[AMZ_2009-2018.xlsx]Bal Sheet - Standardized!R57C38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7" s="3"/>
      </tp>
      <tp>
        <v>39</v>
        <stp/>
        <stp>##V3_BDHV12</stp>
        <stp>AMZN US Equity</stp>
        <stp>IS_INT_EXPENSE</stp>
        <stp>FQ4 2013</stp>
        <stp>FQ4 2013</stp>
        <stp>[AMZ_2009-2018.xlsx]Income - Adjusted!R21C22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1" s="2"/>
      </tp>
      <tp>
        <v>15</v>
        <stp/>
        <stp>##V3_BDHV12</stp>
        <stp>AMZN US Equity</stp>
        <stp>IS_INT_EXPENSE</stp>
        <stp>FQ2 2011</stp>
        <stp>FQ2 2011</stp>
        <stp>[AMZ_2009-2018.xlsx]Income - Adjusted!R21C12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1" s="2"/>
      </tp>
      <tp>
        <v>116</v>
        <stp/>
        <stp>##V3_BDHV12</stp>
        <stp>AMZN US Equity</stp>
        <stp>IS_INT_EXPENSE</stp>
        <stp>FQ2 2016</stp>
        <stp>FQ2 2016</stp>
        <stp>[AMZ_2009-2018.xlsx]Income - Adjusted!R21C32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21" s="2"/>
      </tp>
      <tp>
        <v>45.3431</v>
        <stp/>
        <stp>##V3_BDHV12</stp>
        <stp>AMZN US Equity</stp>
        <stp>BOOK_VAL_PER_SH</stp>
        <stp>FQ1 2017</stp>
        <stp>FQ1 2017</stp>
        <stp>[AMZ_2009-2018.xlsx]Per Share!R26C35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26" s="5"/>
      </tp>
      <tp>
        <v>16.157800000000002</v>
        <stp/>
        <stp>##V3_BDHV12</stp>
        <stp>AMZN US Equity</stp>
        <stp>BOOK_VAL_PER_SH</stp>
        <stp>FQ1 2012</stp>
        <stp>FQ1 2012</stp>
        <stp>[AMZ_2009-2018.xlsx]Per Share!R26C15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26" s="5"/>
      </tp>
      <tp>
        <v>22.324000000000002</v>
        <stp/>
        <stp>##V3_BDHV12</stp>
        <stp>AMZN US Equity</stp>
        <stp>BOOK_VAL_PER_SH</stp>
        <stp>FQ3 2014</stp>
        <stp>FQ3 2014</stp>
        <stp>[AMZ_2009-2018.xlsx]Per Share!R26C25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26" s="5"/>
      </tp>
      <tp t="s">
        <v>—</v>
        <stp/>
        <stp>##V3_BDHV12</stp>
        <stp>AMZN US Equity</stp>
        <stp>IS_OTHER_ONE_TIME_ITEMS</stp>
        <stp>FQ1 2016</stp>
        <stp>FQ1 2016</stp>
        <stp>[AMZ_2009-2018.xlsx]Income - Adjusted!R30C31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0" s="2"/>
      </tp>
      <tp>
        <v>235</v>
        <stp/>
        <stp>##V3_BDHV12</stp>
        <stp>AMZN US Equity</stp>
        <stp>CF_NET_CHNG_CASH</stp>
        <stp>FQ2 2009</stp>
        <stp>FQ2 2009</stp>
        <stp>[AMZ_2009-2018.xlsx]Cash Flow - Standardized!R55C4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5" s="4"/>
      </tp>
      <tp t="s">
        <v>—</v>
        <stp/>
        <stp>##V3_BDHV12</stp>
        <stp>AMZN US Equity</stp>
        <stp>IS_OTHER_ONE_TIME_ITEMS</stp>
        <stp>FQ3 2016</stp>
        <stp>FQ3 2016</stp>
        <stp>[AMZ_2009-2018.xlsx]Income - Adjusted!R30C33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0" s="2"/>
      </tp>
      <tp t="s">
        <v>—</v>
        <stp/>
        <stp>##V3_BDHV12</stp>
        <stp>AMZN US Equity</stp>
        <stp>IS_OTHER_ONE_TIME_ITEMS</stp>
        <stp>FQ2 2016</stp>
        <stp>FQ2 2016</stp>
        <stp>[AMZ_2009-2018.xlsx]Income - Adjusted!R30C32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0" s="2"/>
      </tp>
      <tp>
        <v>-90</v>
        <stp/>
        <stp>##V3_BDHV12</stp>
        <stp>AMZN US Equity</stp>
        <stp>CF_NET_CHNG_CASH</stp>
        <stp>FQ3 2010</stp>
        <stp>FQ3 2010</stp>
        <stp>[AMZ_2009-2018.xlsx]Cash Flow - Standardized!R55C9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5" s="4"/>
      </tp>
      <tp t="s">
        <v>—</v>
        <stp/>
        <stp>##V3_BDHV12</stp>
        <stp>AMZN US Equity</stp>
        <stp>IS_OTHER_ONE_TIME_ITEMS</stp>
        <stp>FQ4 2016</stp>
        <stp>FQ4 2016</stp>
        <stp>[AMZ_2009-2018.xlsx]Income - Adjusted!R30C34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0" s="2"/>
      </tp>
      <tp>
        <v>0</v>
        <stp/>
        <stp>##V3_BDHV12</stp>
        <stp>AMZN US Equity</stp>
        <stp>IS_OTHER_OPER_INC</stp>
        <stp>FQ2 2009</stp>
        <stp>FQ2 2009</stp>
        <stp>[AMZ_2009-2018.xlsx]Income - Adjusted!R11C4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1" s="2"/>
      </tp>
      <tp>
        <v>293</v>
        <stp/>
        <stp>##V3_BDHV12</stp>
        <stp>AMZN US Equity</stp>
        <stp>CF_ACT_CASH_PAID_FOR_INT_DEBT</stp>
        <stp>FQ2 2018</stp>
        <stp>FQ2 2018</stp>
        <stp>[AMZ_2009-2018.xlsx]Cash Flow - Standardized!R58C40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8" s="4"/>
      </tp>
      <tp t="s">
        <v>—</v>
        <stp/>
        <stp>##V3_BDHV12</stp>
        <stp>AMZN US Equity</stp>
        <stp>IS_MERGER_ACQUISITION_EXPENSE</stp>
        <stp>FQ1 2015</stp>
        <stp>FQ1 2015</stp>
        <stp>[AMZ_2009-2018.xlsx]Income - Adjusted!R27C27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7" s="2"/>
      </tp>
      <tp t="s">
        <v>—</v>
        <stp/>
        <stp>##V3_BDHV12</stp>
        <stp>AMZN US Equity</stp>
        <stp>IS_MERGER_ACQUISITION_EXPENSE</stp>
        <stp>FQ3 2015</stp>
        <stp>FQ3 2015</stp>
        <stp>[AMZ_2009-2018.xlsx]Income - Adjusted!R27C29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7" s="2"/>
      </tp>
      <tp t="s">
        <v>—</v>
        <stp/>
        <stp>##V3_BDHV12</stp>
        <stp>AMZN US Equity</stp>
        <stp>IS_MERGER_ACQUISITION_EXPENSE</stp>
        <stp>FQ2 2015</stp>
        <stp>FQ2 2015</stp>
        <stp>[AMZ_2009-2018.xlsx]Income - Adjusted!R27C28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7" s="2"/>
      </tp>
      <tp>
        <v>12.596399999999999</v>
        <stp/>
        <stp>##V3_BDHV12</stp>
        <stp>AMZN US Equity</stp>
        <stp>BOOK_VAL_PER_SH</stp>
        <stp>FQ1 2010</stp>
        <stp>FQ1 2010</stp>
        <stp>[AMZ_2009-2018.xlsx]Per Share!R26C7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26" s="5"/>
      </tp>
      <tp>
        <v>128</v>
        <stp/>
        <stp>##V3_BDHV12</stp>
        <stp>AMZN US Equity</stp>
        <stp>IS_SELLING_EXPENSES</stp>
        <stp>FQ1 2009</stp>
        <stp>FQ1 2009</stp>
        <stp>[AMZ_2009-2018.xlsx]Income - Adjusted!R14C3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4" s="2"/>
      </tp>
      <tp>
        <v>2515</v>
        <stp/>
        <stp>##V3_BDHV12</stp>
        <stp>AMZN US Equity</stp>
        <stp>BS_INVENTORIES</stp>
        <stp>FQ3 2010</stp>
        <stp>FQ3 2010</stp>
        <stp>[AMZ_2009-2018.xlsx]Bal Sheet - Standardized!R13C9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3" s="3"/>
      </tp>
      <tp>
        <v>1325</v>
        <stp/>
        <stp>##V3_BDHV12</stp>
        <stp>AMZN US Equity</stp>
        <stp>BS_INVENTORIES</stp>
        <stp>FQ2 2009</stp>
        <stp>FQ2 2009</stp>
        <stp>[AMZ_2009-2018.xlsx]Bal Sheet - Standardized!R13C4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3" s="3"/>
      </tp>
      <tp>
        <v>0</v>
        <stp/>
        <stp>##V3_BDHV12</stp>
        <stp>AMZN US Equity</stp>
        <stp>MIN_NONCONTROL_INTEREST_CREDITS</stp>
        <stp>FQ4 2009</stp>
        <stp>FQ4 2009</stp>
        <stp>[AMZ_2009-2018.xlsx]Income - Adjusted!R39C6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39" s="2"/>
      </tp>
      <tp>
        <v>0</v>
        <stp/>
        <stp>##V3_BDHV12</stp>
        <stp>AMZN US Equity</stp>
        <stp>XO_GL_NET_OF_TAX</stp>
        <stp>FQ4 2012</stp>
        <stp>FQ4 2012</stp>
        <stp>[AMZ_2009-2018.xlsx]Income - Adjusted!R47C18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7" s="2"/>
      </tp>
      <tp>
        <v>0</v>
        <stp/>
        <stp>##V3_BDHV12</stp>
        <stp>AMZN US Equity</stp>
        <stp>XO_GL_NET_OF_TAX</stp>
        <stp>FQ4 2012</stp>
        <stp>FQ4 2012</stp>
        <stp>[AMZ_2009-2018.xlsx]Income - Adjusted!R35C18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5" s="2"/>
      </tp>
      <tp>
        <v>0</v>
        <stp/>
        <stp>##V3_BDHV12</stp>
        <stp>AMZN US Equity</stp>
        <stp>XO_GL_NET_OF_TAX</stp>
        <stp>FQ2 2012</stp>
        <stp>FQ2 2012</stp>
        <stp>[AMZ_2009-2018.xlsx]Income - Adjusted!R35C16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5" s="2"/>
      </tp>
      <tp>
        <v>0</v>
        <stp/>
        <stp>##V3_BDHV12</stp>
        <stp>AMZN US Equity</stp>
        <stp>XO_GL_NET_OF_TAX</stp>
        <stp>FQ3 2012</stp>
        <stp>FQ3 2012</stp>
        <stp>[AMZ_2009-2018.xlsx]Income - Adjusted!R35C17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5" s="2"/>
      </tp>
      <tp>
        <v>0</v>
        <stp/>
        <stp>##V3_BDHV12</stp>
        <stp>AMZN US Equity</stp>
        <stp>XO_GL_NET_OF_TAX</stp>
        <stp>FQ1 2012</stp>
        <stp>FQ1 2012</stp>
        <stp>[AMZ_2009-2018.xlsx]Income - Adjusted!R35C15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5" s="2"/>
      </tp>
      <tp>
        <v>0</v>
        <stp/>
        <stp>##V3_BDHV12</stp>
        <stp>AMZN US Equity</stp>
        <stp>XO_GL_NET_OF_TAX</stp>
        <stp>FQ1 2012</stp>
        <stp>FQ1 2012</stp>
        <stp>[AMZ_2009-2018.xlsx]Income - Adjusted!R47C15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7" s="2"/>
      </tp>
      <tp>
        <v>0</v>
        <stp/>
        <stp>##V3_BDHV12</stp>
        <stp>AMZN US Equity</stp>
        <stp>XO_GL_NET_OF_TAX</stp>
        <stp>FQ3 2012</stp>
        <stp>FQ3 2012</stp>
        <stp>[AMZ_2009-2018.xlsx]Income - Adjusted!R47C17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7" s="2"/>
      </tp>
      <tp>
        <v>0</v>
        <stp/>
        <stp>##V3_BDHV12</stp>
        <stp>AMZN US Equity</stp>
        <stp>XO_GL_NET_OF_TAX</stp>
        <stp>FQ2 2012</stp>
        <stp>FQ2 2012</stp>
        <stp>[AMZ_2009-2018.xlsx]Income - Adjusted!R47C16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7" s="2"/>
      </tp>
      <tp t="s">
        <v>—</v>
        <stp/>
        <stp>##V3_BDHV12</stp>
        <stp>AMZN US Equity</stp>
        <stp>IS_FOREIGN_EXCH_LOSS</stp>
        <stp>FQ4 2013</stp>
        <stp>FQ4 2013</stp>
        <stp>[AMZ_2009-2018.xlsx]Income - Adjusted!R23C22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3" s="2"/>
      </tp>
      <tp>
        <v>433</v>
        <stp/>
        <stp>##V3_BDHV12</stp>
        <stp>AMZN US Equity</stp>
        <stp>BS_GOODWILL</stp>
        <stp>FQ1 2009</stp>
        <stp>FQ1 2009</stp>
        <stp>[AMZ_2009-2018.xlsx]Bal Sheet - Standardized!R29C3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3"/>
      </tp>
      <tp>
        <v>0.45</v>
        <stp/>
        <stp>##V3_BDHV12</stp>
        <stp>AMZN US Equity</stp>
        <stp>IS_DIL_EPS_BEF_XO</stp>
        <stp>FQ2 2010</stp>
        <stp>FQ2 2010</stp>
        <stp>[AMZ_2009-2018.xlsx]Income - Adjusted!R56C8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56" s="2"/>
      </tp>
      <tp t="s">
        <v>—</v>
        <stp/>
        <stp>##V3_BDHV12</stp>
        <stp>AMZN US Equity</stp>
        <stp>IS_FOREIGN_EXCH_LOSS</stp>
        <stp>FQ2 2016</stp>
        <stp>FQ2 2016</stp>
        <stp>[AMZ_2009-2018.xlsx]Income - Adjusted!R23C32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23" s="2"/>
      </tp>
      <tp t="s">
        <v>—</v>
        <stp/>
        <stp>##V3_BDHV12</stp>
        <stp>AMZN US Equity</stp>
        <stp>IS_FOREIGN_EXCH_LOSS</stp>
        <stp>FQ2 2011</stp>
        <stp>FQ2 2011</stp>
        <stp>[AMZ_2009-2018.xlsx]Income - Adjusted!R23C12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3" s="2"/>
      </tp>
      <tp>
        <v>0</v>
        <stp/>
        <stp>##V3_BDHV12</stp>
        <stp>AMZN US Equity</stp>
        <stp>XO_GL_NET_OF_TAX</stp>
        <stp>FQ3 2009</stp>
        <stp>FQ3 2009</stp>
        <stp>[AMZ_2009-2018.xlsx]Income - Adjusted!R35C5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5" s="2"/>
      </tp>
      <tp>
        <v>0</v>
        <stp/>
        <stp>##V3_BDHV12</stp>
        <stp>AMZN US Equity</stp>
        <stp>XO_GL_NET_OF_TAX</stp>
        <stp>FQ3 2009</stp>
        <stp>FQ3 2009</stp>
        <stp>[AMZ_2009-2018.xlsx]Income - Adjusted!R47C5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47" s="2"/>
      </tp>
      <tp>
        <v>5304</v>
        <stp/>
        <stp>##V3_BDHV12</stp>
        <stp>AMZN US Equity</stp>
        <stp>BS_CUR_ASSET_REPORT</stp>
        <stp>FQ2 2009</stp>
        <stp>FQ2 2009</stp>
        <stp>[AMZ_2009-2018.xlsx]Bal Sheet - Standardized!R22C4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2" s="3"/>
      </tp>
      <tp>
        <v>20307</v>
        <stp/>
        <stp>##V3_BDHV12</stp>
        <stp>AMZN US Equity</stp>
        <stp>GROSS_PROFIT</stp>
        <stp>FQ1 2018</stp>
        <stp>FQ1 2018</stp>
        <stp>[AMZ_2009-2018.xlsx]Income - Adjusted!R10C39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0" s="2"/>
      </tp>
      <tp>
        <v>4269</v>
        <stp/>
        <stp>##V3_BDHV12</stp>
        <stp>AMZN US Equity</stp>
        <stp>GROSS_PROFIT</stp>
        <stp>FQ1 2013</stp>
        <stp>FQ1 2013</stp>
        <stp>[AMZ_2009-2018.xlsx]Income - Adjusted!R10C19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0" s="2"/>
      </tp>
      <tp>
        <v>9559</v>
        <stp/>
        <stp>##V3_BDHV12</stp>
        <stp>AMZN US Equity</stp>
        <stp>BS_CUR_ASSET_REPORT</stp>
        <stp>FQ3 2010</stp>
        <stp>FQ3 2010</stp>
        <stp>[AMZ_2009-2018.xlsx]Bal Sheet - Standardized!R22C9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2" s="3"/>
      </tp>
      <tp>
        <v>8603</v>
        <stp/>
        <stp>##V3_BDHV12</stp>
        <stp>AMZN US Equity</stp>
        <stp>GROSS_PROFIT</stp>
        <stp>FQ3 2015</stp>
        <stp>FQ3 2015</stp>
        <stp>[AMZ_2009-2018.xlsx]Income - Adjusted!R10C29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0" s="2"/>
      </tp>
      <tp>
        <v>-871</v>
        <stp/>
        <stp>##V3_BDHV12</stp>
        <stp>AMZN US Equity</stp>
        <stp>ACQUIS_FXD_&amp;_INTANG_DETAILED</stp>
        <stp>FQ1 2015</stp>
        <stp>FQ1 2015</stp>
        <stp>[AMZ_2009-2018.xlsx]Cash Flow - Standardized!R26C27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6" s="4"/>
      </tp>
      <tp>
        <v>39.5</v>
        <stp/>
        <stp>##V3_BDHV12</stp>
        <stp>AMZN US Equity</stp>
        <stp>TANG_BOOK_VAL_PER_SH</stp>
        <stp>FQ2 2017</stp>
        <stp>FQ2 2017</stp>
        <stp>[AMZ_2009-2018.xlsx]Per Share!R27C36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27" s="5"/>
      </tp>
      <tp>
        <v>11.0265</v>
        <stp/>
        <stp>##V3_BDHV12</stp>
        <stp>AMZN US Equity</stp>
        <stp>TANG_BOOK_VAL_PER_SH</stp>
        <stp>FQ2 2012</stp>
        <stp>FQ2 2012</stp>
        <stp>[AMZ_2009-2018.xlsx]Per Share!R27C16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27" s="5"/>
      </tp>
      <tp>
        <v>-3113</v>
        <stp/>
        <stp>##V3_BDHV12</stp>
        <stp>AMZN US Equity</stp>
        <stp>ACQUIS_FXD_&amp;_INTANG_DETAILED</stp>
        <stp>FQ2 2017</stp>
        <stp>FQ2 2017</stp>
        <stp>[AMZ_2009-2018.xlsx]Cash Flow - Standardized!R26C36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6" s="4"/>
      </tp>
      <tp>
        <v>16285</v>
        <stp/>
        <stp>##V3_BDHV12</stp>
        <stp>AMZN US Equity</stp>
        <stp>BS_CUR_ASSET_REPORT</stp>
        <stp>FQ2 2013</stp>
        <stp>FQ2 2013</stp>
        <stp>[AMZ_2009-2018.xlsx]Bal Sheet - Standardized!R22C20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2" s="3"/>
      </tp>
      <tp>
        <v>14.318300000000001</v>
        <stp/>
        <stp>##V3_BDHV12</stp>
        <stp>AMZN US Equity</stp>
        <stp>TANG_BOOK_VAL_PER_SH</stp>
        <stp>FQ4 2014</stp>
        <stp>FQ4 2014</stp>
        <stp>[AMZ_2009-2018.xlsx]Per Share!R27C26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27" s="5"/>
      </tp>
      <tp>
        <v>-1841</v>
        <stp/>
        <stp>##V3_BDHV12</stp>
        <stp>AMZN US Equity</stp>
        <stp>ACQUIS_FXD_&amp;_INTANG_DETAILED</stp>
        <stp>FQ3 2016</stp>
        <stp>FQ3 2016</stp>
        <stp>[AMZ_2009-2018.xlsx]Cash Flow - Standardized!R26C33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6" s="4"/>
      </tp>
      <tp>
        <v>11904</v>
        <stp/>
        <stp>##V3_BDHV12</stp>
        <stp>AMZN US Equity</stp>
        <stp>BS_CUR_ASSET_REPORT</stp>
        <stp>FQ3 2011</stp>
        <stp>FQ3 2011</stp>
        <stp>[AMZ_2009-2018.xlsx]Bal Sheet - Standardized!R22C13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2" s="3"/>
      </tp>
      <tp>
        <v>-43</v>
        <stp/>
        <stp>##V3_BDHV12</stp>
        <stp>AMZN US Equity</stp>
        <stp>PRETAX_INC</stp>
        <stp>FQ3 2013</stp>
        <stp>FQ3 2013</stp>
        <stp>[AMZ_2009-2018.xlsx]Income - Adjusted!R31C21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31" s="2"/>
      </tp>
      <tp>
        <v>307</v>
        <stp/>
        <stp>##V3_BDHV12</stp>
        <stp>AMZN US Equity</stp>
        <stp>PRETAX_INC</stp>
        <stp>FQ1 2011</stp>
        <stp>FQ1 2011</stp>
        <stp>[AMZ_2009-2018.xlsx]Income - Adjusted!R31C11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31" s="2"/>
      </tp>
      <tp>
        <v>1056</v>
        <stp/>
        <stp>##V3_BDHV12</stp>
        <stp>AMZN US Equity</stp>
        <stp>PRETAX_INC</stp>
        <stp>FQ1 2016</stp>
        <stp>FQ1 2016</stp>
        <stp>[AMZ_2009-2018.xlsx]Income - Adjusted!R31C31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31" s="2"/>
      </tp>
      <tp>
        <v>16313</v>
        <stp/>
        <stp>##V3_BDHV12</stp>
        <stp>AMZN US Equity</stp>
        <stp>BS_CUR_ASSET_REPORT</stp>
        <stp>FQ1 2013</stp>
        <stp>FQ1 2013</stp>
        <stp>[AMZ_2009-2018.xlsx]Bal Sheet - Standardized!R22C19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2" s="3"/>
      </tp>
      <tp>
        <v>-595</v>
        <stp/>
        <stp>##V3_BDHV12</stp>
        <stp>AMZN US Equity</stp>
        <stp>CF_CASH_FROM_INV_ACT</stp>
        <stp>FQ2 2012</stp>
        <stp>FQ2 2012</stp>
        <stp>[AMZ_2009-2018.xlsx]Cash Flow - Standardized!R38C16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8" s="4"/>
      </tp>
      <tp>
        <v>-4174</v>
        <stp/>
        <stp>##V3_BDHV12</stp>
        <stp>AMZN US Equity</stp>
        <stp>CF_CASH_FROM_INV_ACT</stp>
        <stp>FQ4 2016</stp>
        <stp>FQ4 2016</stp>
        <stp>[AMZ_2009-2018.xlsx]Cash Flow - Standardized!R38C34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8" s="4"/>
      </tp>
      <tp>
        <v>390</v>
        <stp/>
        <stp>##V3_BDHV12</stp>
        <stp>AMZN US Equity</stp>
        <stp>CF_CASH_FROM_INV_ACT</stp>
        <stp>FQ1 2011</stp>
        <stp>FQ1 2011</stp>
        <stp>[AMZ_2009-2018.xlsx]Cash Flow - Standardized!R38C11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8" s="4"/>
      </tp>
      <tp>
        <v>1609</v>
        <stp/>
        <stp>##V3_BDHV12</stp>
        <stp>AMZN US Equity</stp>
        <stp>GROSS_PROFIT</stp>
        <stp>FQ2 2010</stp>
        <stp>FQ2 2010</stp>
        <stp>[AMZ_2009-2018.xlsx]Income - Adjusted!R10C8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0" s="2"/>
      </tp>
      <tp>
        <v>97</v>
        <stp/>
        <stp>##V3_BDHV12</stp>
        <stp>AMZN US Equity</stp>
        <stp>LONG_TERM_BORROWINGS_DETAILED</stp>
        <stp>FQ4 2009</stp>
        <stp>FQ4 2009</stp>
        <stp>[AMZ_2009-2018.xlsx]Bal Sheet - Standardized!R53C6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3" s="3"/>
      </tp>
      <tp>
        <v>7.4622000000000002</v>
        <stp/>
        <stp>##V3_BDHV12</stp>
        <stp>AMZN US Equity</stp>
        <stp>EBITDA_PER_SH</stp>
        <stp>FQ4 2016</stp>
        <stp>FQ4 2016</stp>
        <stp>[AMZ_2009-2018.xlsx]Per Share!R12C34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12" s="5"/>
      </tp>
      <tp>
        <v>11.646000000000001</v>
        <stp/>
        <stp>##V3_BDHV12</stp>
        <stp>AMZN US Equity</stp>
        <stp>EBITDA_PER_SH</stp>
        <stp>FQ4 2017</stp>
        <stp>FQ4 2017</stp>
        <stp>[AMZ_2009-2018.xlsx]Per Share!R12C38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12" s="5"/>
      </tp>
      <tp>
        <v>4.2457000000000003</v>
        <stp/>
        <stp>##V3_BDHV12</stp>
        <stp>AMZN US Equity</stp>
        <stp>EBITDA_PER_SH</stp>
        <stp>FQ4 2014</stp>
        <stp>FQ4 2014</stp>
        <stp>[AMZ_2009-2018.xlsx]Per Share!R12C26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12" s="5"/>
      </tp>
      <tp>
        <v>6.0850999999999997</v>
        <stp/>
        <stp>##V3_BDHV12</stp>
        <stp>AMZN US Equity</stp>
        <stp>EBITDA_PER_SH</stp>
        <stp>FQ4 2015</stp>
        <stp>FQ4 2015</stp>
        <stp>[AMZ_2009-2018.xlsx]Per Share!R12C30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12" s="5"/>
      </tp>
      <tp>
        <v>2.3502000000000001</v>
        <stp/>
        <stp>##V3_BDHV12</stp>
        <stp>AMZN US Equity</stp>
        <stp>EBITDA_PER_SH</stp>
        <stp>FQ4 2012</stp>
        <stp>FQ4 2012</stp>
        <stp>[AMZ_2009-2018.xlsx]Per Share!R12C18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12" s="5"/>
      </tp>
      <tp>
        <v>3.2162000000000002</v>
        <stp/>
        <stp>##V3_BDHV12</stp>
        <stp>AMZN US Equity</stp>
        <stp>EBITDA_PER_SH</stp>
        <stp>FQ4 2013</stp>
        <stp>FQ4 2013</stp>
        <stp>[AMZ_2009-2018.xlsx]Per Share!R12C22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12" s="5"/>
      </tp>
      <tp>
        <v>1.4311</v>
        <stp/>
        <stp>##V3_BDHV12</stp>
        <stp>AMZN US Equity</stp>
        <stp>EBITDA_PER_SH</stp>
        <stp>FQ4 2010</stp>
        <stp>FQ4 2010</stp>
        <stp>[AMZ_2009-2018.xlsx]Per Share!R12C10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12" s="5"/>
      </tp>
      <tp>
        <v>-1.4918</v>
        <stp/>
        <stp>##V3_BDHV12</stp>
        <stp>AMZN US Equity</stp>
        <stp>FREE_CASH_FLOW_PER_SH</stp>
        <stp>FQ1 2009</stp>
        <stp>FQ1 2009</stp>
        <stp>[AMZ_2009-2018.xlsx]Per Share!R23C3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23" s="5"/>
      </tp>
      <tp>
        <v>1.3604000000000001</v>
        <stp/>
        <stp>##V3_BDHV12</stp>
        <stp>AMZN US Equity</stp>
        <stp>EBITDA_PER_SH</stp>
        <stp>FQ4 2011</stp>
        <stp>FQ4 2011</stp>
        <stp>[AMZ_2009-2018.xlsx]Per Share!R12C14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12" s="5"/>
      </tp>
      <tp>
        <v>0</v>
        <stp/>
        <stp>##V3_BDHV12</stp>
        <stp>AMZN US Equity</stp>
        <stp>EQY_DPS</stp>
        <stp>FQ3 2013</stp>
        <stp>FQ3 2013</stp>
        <stp>[AMZ_2009-2018.xlsx]Per Share!R20C21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20" s="5"/>
      </tp>
      <tp>
        <v>0</v>
        <stp/>
        <stp>##V3_BDHV12</stp>
        <stp>AMZN US Equity</stp>
        <stp>EQY_DPS</stp>
        <stp>FQ1 2016</stp>
        <stp>FQ1 2016</stp>
        <stp>[AMZ_2009-2018.xlsx]Per Share!R20C31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20" s="5"/>
      </tp>
      <tp>
        <v>0</v>
        <stp/>
        <stp>##V3_BDHV12</stp>
        <stp>AMZN US Equity</stp>
        <stp>EQY_DPS</stp>
        <stp>FQ1 2011</stp>
        <stp>FQ1 2011</stp>
        <stp>[AMZ_2009-2018.xlsx]Per Share!R20C11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20" s="5"/>
      </tp>
      <tp>
        <v>904</v>
        <stp/>
        <stp>##V3_BDHV12</stp>
        <stp>AMZN US Equity</stp>
        <stp>IS_OPERATING_EXPN</stp>
        <stp>FQ1 2009</stp>
        <stp>FQ1 2009</stp>
        <stp>[AMZ_2009-2018.xlsx]Income - Adjusted!R12C3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2" s="2"/>
      </tp>
      <tp>
        <v>483</v>
        <stp/>
        <stp>##V3_BDHV12</stp>
        <stp>AMZN US Equity</stp>
        <stp>IS_SH_FOR_DILUTED_EPS</stp>
        <stp>FQ2 2016</stp>
        <stp>FQ2 2016</stp>
        <stp>[AMZ_2009-2018.xlsx]Per Share!R7C32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7" s="5"/>
      </tp>
      <tp>
        <v>458</v>
        <stp/>
        <stp>##V3_BDHV12</stp>
        <stp>AMZN US Equity</stp>
        <stp>IS_SH_FOR_DILUTED_EPS</stp>
        <stp>FQ2 2012</stp>
        <stp>FQ2 2012</stp>
        <stp>[AMZ_2009-2018.xlsx]Per Share!R7C16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7" s="5"/>
      </tp>
      <tp t="s">
        <v>—</v>
        <stp/>
        <stp>##V3_BDHV12</stp>
        <stp>AMZN US Equity</stp>
        <stp>BS_DEFERRED_TAX_LIABILITIES_LT</stp>
        <stp>FQ1 2009</stp>
        <stp>FQ1 2009</stp>
        <stp>[AMZ_2009-2018.xlsx]Bal Sheet - Standardized!R59C3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9" s="3"/>
      </tp>
      <tp>
        <v>251</v>
        <stp/>
        <stp>##V3_BDHV12</stp>
        <stp>AMZN US Equity</stp>
        <stp>IS_OPER_INC</stp>
        <stp>FQ3 2009</stp>
        <stp>FQ3 2009</stp>
        <stp>[AMZ_2009-2018.xlsx]Income - Adjusted!R18C5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8" s="2"/>
      </tp>
      <tp>
        <v>108</v>
        <stp/>
        <stp>##V3_BDHV12</stp>
        <stp>AMZN US Equity</stp>
        <stp>EARN_FOR_COMMON</stp>
        <stp>FQ1 2014</stp>
        <stp>FQ1 2014</stp>
        <stp>[AMZ_2009-2018.xlsx]Income - Adjusted!R45C23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45" s="2"/>
      </tp>
      <tp>
        <v>63</v>
        <stp/>
        <stp>##V3_BDHV12</stp>
        <stp>AMZN US Equity</stp>
        <stp>EARN_FOR_COMMON</stp>
        <stp>FQ3 2011</stp>
        <stp>FQ3 2011</stp>
        <stp>[AMZ_2009-2018.xlsx]Income - Adjusted!R45C13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45" s="2"/>
      </tp>
      <tp>
        <v>252</v>
        <stp/>
        <stp>##V3_BDHV12</stp>
        <stp>AMZN US Equity</stp>
        <stp>EARN_FOR_COMMON</stp>
        <stp>FQ3 2016</stp>
        <stp>FQ3 2016</stp>
        <stp>[AMZ_2009-2018.xlsx]Income - Adjusted!R45C33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45" s="2"/>
      </tp>
      <tp>
        <v>100</v>
        <stp/>
        <stp>##V3_BDHV12</stp>
        <stp>AMZN US Equity</stp>
        <stp>IS_NET_INTEREST_EXPENSE</stp>
        <stp>FQ1 2017</stp>
        <stp>FQ1 2017</stp>
        <stp>[AMZ_2009-2018.xlsx]Income - Adjusted!R20C35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20" s="2"/>
      </tp>
      <tp>
        <v>9</v>
        <stp/>
        <stp>##V3_BDHV12</stp>
        <stp>AMZN US Equity</stp>
        <stp>IS_NET_INTEREST_EXPENSE</stp>
        <stp>FQ1 2012</stp>
        <stp>FQ1 2012</stp>
        <stp>[AMZ_2009-2018.xlsx]Income - Adjusted!R20C15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0" s="2"/>
      </tp>
      <tp>
        <v>-23</v>
        <stp/>
        <stp>##V3_BDHV12</stp>
        <stp>AMZN US Equity</stp>
        <stp>IS_OTHER_NON_OPERATING_INC_LOSS</stp>
        <stp>FQ2 2011</stp>
        <stp>FQ2 2011</stp>
        <stp>[AMZ_2009-2018.xlsx]Income - Adjusted!R24C12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4" s="2"/>
      </tp>
      <tp>
        <v>14</v>
        <stp/>
        <stp>##V3_BDHV12</stp>
        <stp>AMZN US Equity</stp>
        <stp>IS_OTHER_NON_OPERATING_INC_LOSS</stp>
        <stp>FQ2 2016</stp>
        <stp>FQ2 2016</stp>
        <stp>[AMZ_2009-2018.xlsx]Income - Adjusted!R24C32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24" s="2"/>
      </tp>
      <tp>
        <v>40</v>
        <stp/>
        <stp>##V3_BDHV12</stp>
        <stp>AMZN US Equity</stp>
        <stp>IS_NET_INTEREST_EXPENSE</stp>
        <stp>FQ3 2014</stp>
        <stp>FQ3 2014</stp>
        <stp>[AMZ_2009-2018.xlsx]Income - Adjusted!R20C25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0" s="2"/>
      </tp>
      <tp>
        <v>30</v>
        <stp/>
        <stp>##V3_BDHV12</stp>
        <stp>AMZN US Equity</stp>
        <stp>IS_OTHER_NON_OPERATING_INC_LOSS</stp>
        <stp>FQ4 2013</stp>
        <stp>FQ4 2013</stp>
        <stp>[AMZ_2009-2018.xlsx]Income - Adjusted!R24C22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4" s="2"/>
      </tp>
      <tp>
        <v>706</v>
        <stp/>
        <stp>##V3_BDHV12</stp>
        <stp>AMZN US Equity</stp>
        <stp>IS_OTHER_OPERATING_EXPENSES</stp>
        <stp>FQ3 2010</stp>
        <stp>FQ3 2010</stp>
        <stp>[AMZ_2009-2018.xlsx]Income - Adjusted!R17C9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7" s="2"/>
      </tp>
      <tp>
        <v>-596</v>
        <stp/>
        <stp>##V3_BDHV12</stp>
        <stp>AMZN US Equity</stp>
        <stp>IS_NET_ABNORMAL_ITEMS</stp>
        <stp>FQ2 2018</stp>
        <stp>FQ2 2018</stp>
        <stp>[AMZ_2009-2018.xlsx]Income - Adjusted!R46C40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6" s="2"/>
      </tp>
      <tp>
        <v>0</v>
        <stp/>
        <stp>##V3_BDHV12</stp>
        <stp>AMZN US Equity</stp>
        <stp>NET_CHG_IN_LT_INVEST_DETAILED</stp>
        <stp>FQ2 2018</stp>
        <stp>FQ2 2018</stp>
        <stp>[AMZ_2009-2018.xlsx]Cash Flow - Standardized!R29C40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9" s="4"/>
      </tp>
      <tp>
        <v>0</v>
        <stp/>
        <stp>##V3_BDHV12</stp>
        <stp>AMZN US Equity</stp>
        <stp>XO_GL_NET_OF_TAX</stp>
        <stp>FQ1 2013</stp>
        <stp>FQ1 2013</stp>
        <stp>[AMZ_2009-2018.xlsx]Income - Adjusted!R47C19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7" s="2"/>
      </tp>
      <tp>
        <v>0</v>
        <stp/>
        <stp>##V3_BDHV12</stp>
        <stp>AMZN US Equity</stp>
        <stp>XO_GL_NET_OF_TAX</stp>
        <stp>FQ1 2013</stp>
        <stp>FQ1 2013</stp>
        <stp>[AMZ_2009-2018.xlsx]Income - Adjusted!R35C19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5" s="2"/>
      </tp>
      <tp>
        <v>0.51</v>
        <stp/>
        <stp>##V3_BDHV12</stp>
        <stp>AMZN US Equity</stp>
        <stp>IS_DIL_EPS_BEF_XO</stp>
        <stp>FQ3 2010</stp>
        <stp>FQ3 2010</stp>
        <stp>[AMZ_2009-2018.xlsx]Income - Adjusted!R56C9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56" s="2"/>
      </tp>
      <tp t="s">
        <v>—</v>
        <stp/>
        <stp>##V3_BDHV12</stp>
        <stp>AMZN US Equity</stp>
        <stp>IS_FOREIGN_EXCH_LOSS</stp>
        <stp>FQ1 2014</stp>
        <stp>FQ1 2014</stp>
        <stp>[AMZ_2009-2018.xlsx]Income - Adjusted!R23C23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3" s="2"/>
      </tp>
      <tp t="s">
        <v>—</v>
        <stp/>
        <stp>##V3_BDHV12</stp>
        <stp>AMZN US Equity</stp>
        <stp>IS_FOREIGN_EXCH_LOSS</stp>
        <stp>FQ3 2016</stp>
        <stp>FQ3 2016</stp>
        <stp>[AMZ_2009-2018.xlsx]Income - Adjusted!R23C33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23" s="2"/>
      </tp>
      <tp t="s">
        <v>—</v>
        <stp/>
        <stp>##V3_BDHV12</stp>
        <stp>AMZN US Equity</stp>
        <stp>IS_FOREIGN_EXCH_LOSS</stp>
        <stp>FQ3 2011</stp>
        <stp>FQ3 2011</stp>
        <stp>[AMZ_2009-2018.xlsx]Income - Adjusted!R23C13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3" s="2"/>
      </tp>
      <tp>
        <v>21959</v>
        <stp/>
        <stp>##V3_BDHV12</stp>
        <stp>AMZN US Equity</stp>
        <stp>GROSS_PROFIT</stp>
        <stp>FQ4 2017</stp>
        <stp>FQ4 2017</stp>
        <stp>[AMZ_2009-2018.xlsx]Income - Adjusted!R10C38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0" s="2"/>
      </tp>
      <tp>
        <v>5132</v>
        <stp/>
        <stp>##V3_BDHV12</stp>
        <stp>AMZN US Equity</stp>
        <stp>GROSS_PROFIT</stp>
        <stp>FQ4 2012</stp>
        <stp>FQ4 2012</stp>
        <stp>[AMZ_2009-2018.xlsx]Income - Adjusted!R10C18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0" s="2"/>
      </tp>
      <tp>
        <v>0</v>
        <stp/>
        <stp>##V3_BDHV12</stp>
        <stp>AMZN US Equity</stp>
        <stp>XO_GL_NET_OF_TAX</stp>
        <stp>FQ2 2009</stp>
        <stp>FQ2 2009</stp>
        <stp>[AMZ_2009-2018.xlsx]Income - Adjusted!R35C4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5" s="2"/>
      </tp>
      <tp>
        <v>0</v>
        <stp/>
        <stp>##V3_BDHV12</stp>
        <stp>AMZN US Equity</stp>
        <stp>XO_GL_NET_OF_TAX</stp>
        <stp>FQ2 2009</stp>
        <stp>FQ2 2009</stp>
        <stp>[AMZ_2009-2018.xlsx]Income - Adjusted!R47C4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47" s="2"/>
      </tp>
      <tp>
        <v>6369</v>
        <stp/>
        <stp>##V3_BDHV12</stp>
        <stp>AMZN US Equity</stp>
        <stp>BS_CUR_ASSET_REPORT</stp>
        <stp>FQ3 2009</stp>
        <stp>FQ3 2009</stp>
        <stp>[AMZ_2009-2018.xlsx]Bal Sheet - Standardized!R22C5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2" s="3"/>
      </tp>
      <tp>
        <v>1234</v>
        <stp/>
        <stp>##V3_BDHV12</stp>
        <stp>AMZN US Equity</stp>
        <stp>BS_GOODWILL</stp>
        <stp>FQ1 2010</stp>
        <stp>FQ1 2010</stp>
        <stp>[AMZ_2009-2018.xlsx]Bal Sheet - Standardized!R29C7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9" s="3"/>
      </tp>
      <tp>
        <v>8025</v>
        <stp/>
        <stp>##V3_BDHV12</stp>
        <stp>AMZN US Equity</stp>
        <stp>GROSS_PROFIT</stp>
        <stp>FQ2 2015</stp>
        <stp>FQ2 2015</stp>
        <stp>[AMZ_2009-2018.xlsx]Income - Adjusted!R10C28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0" s="2"/>
      </tp>
      <tp>
        <v>8118</v>
        <stp/>
        <stp>##V3_BDHV12</stp>
        <stp>AMZN US Equity</stp>
        <stp>BS_CUR_ASSET_REPORT</stp>
        <stp>FQ2 2010</stp>
        <stp>FQ2 2010</stp>
        <stp>[AMZ_2009-2018.xlsx]Bal Sheet - Standardized!R22C8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2" s="3"/>
      </tp>
      <tp>
        <v>35705</v>
        <stp/>
        <stp>##V3_BDHV12</stp>
        <stp>AMZN US Equity</stp>
        <stp>BS_CUR_ASSET_REPORT</stp>
        <stp>FQ4 2015</stp>
        <stp>FQ4 2015</stp>
        <stp>[AMZ_2009-2018.xlsx]Bal Sheet - Standardized!R22C30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2" s="3"/>
      </tp>
      <tp>
        <v>23.624500000000001</v>
        <stp/>
        <stp>##V3_BDHV12</stp>
        <stp>AMZN US Equity</stp>
        <stp>TANG_BOOK_VAL_PER_SH</stp>
        <stp>FQ3 2017</stp>
        <stp>FQ3 2017</stp>
        <stp>[AMZ_2009-2018.xlsx]Per Share!R27C37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27" s="5"/>
      </tp>
      <tp>
        <v>11.0662</v>
        <stp/>
        <stp>##V3_BDHV12</stp>
        <stp>AMZN US Equity</stp>
        <stp>TANG_BOOK_VAL_PER_SH</stp>
        <stp>FQ3 2012</stp>
        <stp>FQ3 2012</stp>
        <stp>[AMZ_2009-2018.xlsx]Per Share!R27C17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27" s="5"/>
      </tp>
      <tp>
        <v>-2659</v>
        <stp/>
        <stp>##V3_BDHV12</stp>
        <stp>AMZN US Equity</stp>
        <stp>ACQUIS_FXD_&amp;_INTANG_DETAILED</stp>
        <stp>FQ3 2017</stp>
        <stp>FQ3 2017</stp>
        <stp>[AMZ_2009-2018.xlsx]Cash Flow - Standardized!R26C37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6" s="4"/>
      </tp>
      <tp>
        <v>12154</v>
        <stp/>
        <stp>##V3_BDHV12</stp>
        <stp>AMZN US Equity</stp>
        <stp>BS_CUR_ASSET_REPORT</stp>
        <stp>FQ1 2012</stp>
        <stp>FQ1 2012</stp>
        <stp>[AMZ_2009-2018.xlsx]Bal Sheet - Standardized!R22C15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2" s="3"/>
      </tp>
      <tp>
        <v>15.841200000000001</v>
        <stp/>
        <stp>##V3_BDHV12</stp>
        <stp>AMZN US Equity</stp>
        <stp>TANG_BOOK_VAL_PER_SH</stp>
        <stp>FQ1 2015</stp>
        <stp>FQ1 2015</stp>
        <stp>[AMZ_2009-2018.xlsx]Per Share!R27C27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27" s="5"/>
      </tp>
      <tp>
        <v>-1080</v>
        <stp/>
        <stp>##V3_BDHV12</stp>
        <stp>AMZN US Equity</stp>
        <stp>ACQUIS_FXD_&amp;_INTANG_DETAILED</stp>
        <stp>FQ1 2014</stp>
        <stp>FQ1 2014</stp>
        <stp>[AMZ_2009-2018.xlsx]Cash Flow - Standardized!R26C23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6" s="4"/>
      </tp>
      <tp>
        <v>-1711</v>
        <stp/>
        <stp>##V3_BDHV12</stp>
        <stp>AMZN US Equity</stp>
        <stp>ACQUIS_FXD_&amp;_INTANG_DETAILED</stp>
        <stp>FQ2 2016</stp>
        <stp>FQ2 2016</stp>
        <stp>[AMZ_2009-2018.xlsx]Cash Flow - Standardized!R26C32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6" s="4"/>
      </tp>
      <tp>
        <v>11279</v>
        <stp/>
        <stp>##V3_BDHV12</stp>
        <stp>AMZN US Equity</stp>
        <stp>BS_CUR_ASSET_REPORT</stp>
        <stp>FQ2 2011</stp>
        <stp>FQ2 2011</stp>
        <stp>[AMZ_2009-2018.xlsx]Bal Sheet - Standardized!R22C12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2" s="3"/>
      </tp>
      <tp>
        <v>31327</v>
        <stp/>
        <stp>##V3_BDHV12</stp>
        <stp>AMZN US Equity</stp>
        <stp>BS_CUR_ASSET_REPORT</stp>
        <stp>FQ4 2014</stp>
        <stp>FQ4 2014</stp>
        <stp>[AMZ_2009-2018.xlsx]Bal Sheet - Standardized!R22C26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2" s="3"/>
      </tp>
      <tp>
        <v>17334</v>
        <stp/>
        <stp>##V3_BDHV12</stp>
        <stp>AMZN US Equity</stp>
        <stp>BS_CUR_ASSET_REPORT</stp>
        <stp>FQ3 2013</stp>
        <stp>FQ3 2013</stp>
        <stp>[AMZ_2009-2018.xlsx]Bal Sheet - Standardized!R22C21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2" s="3"/>
      </tp>
      <tp>
        <v>17</v>
        <stp/>
        <stp>##V3_BDHV12</stp>
        <stp>AMZN US Equity</stp>
        <stp>PRETAX_INC</stp>
        <stp>FQ2 2013</stp>
        <stp>FQ2 2013</stp>
        <stp>[AMZ_2009-2018.xlsx]Income - Adjusted!R31C20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31" s="2"/>
      </tp>
      <tp>
        <v>-2025</v>
        <stp/>
        <stp>##V3_BDHV12</stp>
        <stp>AMZN US Equity</stp>
        <stp>ACQUIS_FXD_&amp;_INTANG_DETAILED</stp>
        <stp>FQ4 2012</stp>
        <stp>FQ4 2012</stp>
        <stp>[AMZ_2009-2018.xlsx]Cash Flow - Standardized!R26C18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6" s="4"/>
      </tp>
      <tp>
        <v>2605</v>
        <stp/>
        <stp>##V3_BDHV12</stp>
        <stp>AMZN US Equity</stp>
        <stp>PRETAX_INC</stp>
        <stp>FQ2 2018</stp>
        <stp>FQ2 2018</stp>
        <stp>[AMZ_2009-2018.xlsx]Income - Adjusted!R31C40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31" s="2"/>
      </tp>
      <tp>
        <v>938</v>
        <stp/>
        <stp>##V3_BDHV12</stp>
        <stp>AMZN US Equity</stp>
        <stp>PRETAX_INC</stp>
        <stp>FQ4 2015</stp>
        <stp>FQ4 2015</stp>
        <stp>[AMZ_2009-2018.xlsx]Income - Adjusted!R31C30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31" s="2"/>
      </tp>
      <tp>
        <v>506</v>
        <stp/>
        <stp>##V3_BDHV12</stp>
        <stp>AMZN US Equity</stp>
        <stp>PRETAX_INC</stp>
        <stp>FQ4 2010</stp>
        <stp>FQ4 2010</stp>
        <stp>[AMZ_2009-2018.xlsx]Income - Adjusted!R31C10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31" s="2"/>
      </tp>
      <tp>
        <v>12607</v>
        <stp/>
        <stp>##V3_BDHV12</stp>
        <stp>AMZN US Equity</stp>
        <stp>BS_ACCTS_REC_EXCL_NOTES_REC</stp>
        <stp>FQ2 2018</stp>
        <stp>FQ2 2018</stp>
        <stp>[AMZ_2009-2018.xlsx]Bal Sheet - Standardized!R11C40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1" s="3"/>
      </tp>
      <tp>
        <v>2207</v>
        <stp/>
        <stp>##V3_BDHV12</stp>
        <stp>AMZN US Equity</stp>
        <stp>OTHER_INVESTING_ACT_DETAILED</stp>
        <stp>FQ1 2018</stp>
        <stp>FQ1 2018</stp>
        <stp>[AMZ_2009-2018.xlsx]Cash Flow - Standardized!R36C39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6" s="4"/>
      </tp>
      <tp>
        <v>-369</v>
        <stp/>
        <stp>##V3_BDHV12</stp>
        <stp>AMZN US Equity</stp>
        <stp>CF_CASH_FROM_INV_ACT</stp>
        <stp>FQ3 2012</stp>
        <stp>FQ3 2012</stp>
        <stp>[AMZ_2009-2018.xlsx]Cash Flow - Standardized!R38C17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8" s="4"/>
      </tp>
      <tp>
        <v>-2032</v>
        <stp/>
        <stp>##V3_BDHV12</stp>
        <stp>AMZN US Equity</stp>
        <stp>CF_CASH_FROM_INV_ACT</stp>
        <stp>FQ4 2017</stp>
        <stp>FQ4 2017</stp>
        <stp>[AMZ_2009-2018.xlsx]Cash Flow - Standardized!R38C38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8" s="4"/>
      </tp>
      <tp>
        <v>1774</v>
        <stp/>
        <stp>##V3_BDHV12</stp>
        <stp>AMZN US Equity</stp>
        <stp>GROSS_PROFIT</stp>
        <stp>FQ3 2010</stp>
        <stp>FQ3 2010</stp>
        <stp>[AMZ_2009-2018.xlsx]Income - Adjusted!R10C9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0" s="2"/>
      </tp>
      <tp>
        <v>48</v>
        <stp/>
        <stp>##V3_BDHV12</stp>
        <stp>AMZN US Equity</stp>
        <stp>BS_CURR_RENTAL_EXPENSE</stp>
        <stp>FQ1 2010</stp>
        <stp>FQ1 2010</stp>
        <stp>[AMZ_2009-2018.xlsx]Income - Adjusted!R73C7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3" s="2"/>
      </tp>
      <tp>
        <v>0</v>
        <stp/>
        <stp>##V3_BDHV12</stp>
        <stp>AMZN US Equity</stp>
        <stp>EQY_DPS</stp>
        <stp>FQ4 2010</stp>
        <stp>FQ4 2010</stp>
        <stp>[AMZ_2009-2018.xlsx]Per Share!R20C10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20" s="5"/>
      </tp>
      <tp>
        <v>0</v>
        <stp/>
        <stp>##V3_BDHV12</stp>
        <stp>AMZN US Equity</stp>
        <stp>EQY_DPS</stp>
        <stp>FQ4 2015</stp>
        <stp>FQ4 2015</stp>
        <stp>[AMZ_2009-2018.xlsx]Per Share!R20C30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20" s="5"/>
      </tp>
      <tp>
        <v>0</v>
        <stp/>
        <stp>##V3_BDHV12</stp>
        <stp>AMZN US Equity</stp>
        <stp>EQY_DPS</stp>
        <stp>FQ2 2013</stp>
        <stp>FQ2 2013</stp>
        <stp>[AMZ_2009-2018.xlsx]Per Share!R20C20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20" s="5"/>
      </tp>
      <tp>
        <v>0</v>
        <stp/>
        <stp>##V3_BDHV12</stp>
        <stp>AMZN US Equity</stp>
        <stp>EQY_DPS</stp>
        <stp>FQ2 2018</stp>
        <stp>FQ2 2018</stp>
        <stp>[AMZ_2009-2018.xlsx]Per Share!R20C40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20" s="5"/>
      </tp>
      <tp>
        <v>0.87419999999999998</v>
        <stp/>
        <stp>##V3_BDHV12</stp>
        <stp>AMZN US Equity</stp>
        <stp>IS_BASIC_EPS_CONT_OPS</stp>
        <stp>FQ4 2009</stp>
        <stp>FQ4 2009</stp>
        <stp>[AMZ_2009-2018.xlsx]Per Share!R16C6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16" s="5"/>
      </tp>
      <tp>
        <v>462</v>
        <stp/>
        <stp>##V3_BDHV12</stp>
        <stp>AMZN US Equity</stp>
        <stp>IS_SH_FOR_DILUTED_EPS</stp>
        <stp>FQ4 2011</stp>
        <stp>FQ4 2011</stp>
        <stp>[AMZ_2009-2018.xlsx]Per Share!R7C14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7" s="5"/>
      </tp>
      <tp>
        <v>481</v>
        <stp/>
        <stp>##V3_BDHV12</stp>
        <stp>AMZN US Equity</stp>
        <stp>IS_SH_FOR_DILUTED_EPS</stp>
        <stp>FQ4 2015</stp>
        <stp>FQ4 2015</stp>
        <stp>[AMZ_2009-2018.xlsx]Per Share!R7C30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7" s="5"/>
      </tp>
      <tp>
        <v>485</v>
        <stp/>
        <stp>##V3_BDHV12</stp>
        <stp>AMZN US Equity</stp>
        <stp>IS_SH_FOR_DILUTED_EPS</stp>
        <stp>FQ3 2016</stp>
        <stp>FQ3 2016</stp>
        <stp>[AMZ_2009-2018.xlsx]Per Share!R7C33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7" s="5"/>
      </tp>
      <tp>
        <v>460</v>
        <stp/>
        <stp>##V3_BDHV12</stp>
        <stp>AMZN US Equity</stp>
        <stp>IS_SH_FOR_DILUTED_EPS</stp>
        <stp>FQ3 2012</stp>
        <stp>FQ3 2012</stp>
        <stp>[AMZ_2009-2018.xlsx]Per Share!R7C17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7" s="5"/>
      </tp>
      <tp>
        <v>210</v>
        <stp/>
        <stp>##V3_BDHV12</stp>
        <stp>AMZN US Equity</stp>
        <stp>IS_OPER_INC</stp>
        <stp>FQ2 2009</stp>
        <stp>FQ2 2009</stp>
        <stp>[AMZ_2009-2018.xlsx]Income - Adjusted!R18C4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8" s="2"/>
      </tp>
      <tp>
        <v>239</v>
        <stp/>
        <stp>##V3_BDHV12</stp>
        <stp>AMZN US Equity</stp>
        <stp>EARN_FOR_COMMON</stp>
        <stp>FQ4 2013</stp>
        <stp>FQ4 2013</stp>
        <stp>[AMZ_2009-2018.xlsx]Income - Adjusted!R45C22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45" s="2"/>
      </tp>
      <tp t="s">
        <v>—</v>
        <stp/>
        <stp>##V3_BDHV12</stp>
        <stp>AMZN US Equity</stp>
        <stp>BS_DEFERRED_TAX_LIABILITIES_LT</stp>
        <stp>FQ1 2010</stp>
        <stp>FQ1 2010</stp>
        <stp>[AMZ_2009-2018.xlsx]Bal Sheet - Standardized!R59C7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9" s="3"/>
      </tp>
      <tp>
        <v>191</v>
        <stp/>
        <stp>##V3_BDHV12</stp>
        <stp>AMZN US Equity</stp>
        <stp>EARN_FOR_COMMON</stp>
        <stp>FQ2 2011</stp>
        <stp>FQ2 2011</stp>
        <stp>[AMZ_2009-2018.xlsx]Income - Adjusted!R45C12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45" s="2"/>
      </tp>
      <tp>
        <v>857</v>
        <stp/>
        <stp>##V3_BDHV12</stp>
        <stp>AMZN US Equity</stp>
        <stp>EARN_FOR_COMMON</stp>
        <stp>FQ2 2016</stp>
        <stp>FQ2 2016</stp>
        <stp>[AMZ_2009-2018.xlsx]Income - Adjusted!R45C32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45" s="2"/>
      </tp>
      <tp>
        <v>-52</v>
        <stp/>
        <stp>##V3_BDHV12</stp>
        <stp>AMZN US Equity</stp>
        <stp>IS_OTHER_NON_OPERATING_INC_LOSS</stp>
        <stp>FQ3 2011</stp>
        <stp>FQ3 2011</stp>
        <stp>[AMZ_2009-2018.xlsx]Income - Adjusted!R24C13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4" s="2"/>
      </tp>
      <tp>
        <v>-8</v>
        <stp/>
        <stp>##V3_BDHV12</stp>
        <stp>AMZN US Equity</stp>
        <stp>IS_OTHER_NON_OPERATING_INC_LOSS</stp>
        <stp>FQ3 2016</stp>
        <stp>FQ3 2016</stp>
        <stp>[AMZ_2009-2018.xlsx]Income - Adjusted!R24C33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24" s="2"/>
      </tp>
      <tp>
        <v>-5</v>
        <stp/>
        <stp>##V3_BDHV12</stp>
        <stp>AMZN US Equity</stp>
        <stp>IS_OTHER_NON_OPERATING_INC_LOSS</stp>
        <stp>FQ1 2014</stp>
        <stp>FQ1 2014</stp>
        <stp>[AMZ_2009-2018.xlsx]Income - Adjusted!R24C23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4" s="2"/>
      </tp>
      <tp>
        <v>34</v>
        <stp/>
        <stp>##V3_BDHV12</stp>
        <stp>AMZN US Equity</stp>
        <stp>IS_NET_INTEREST_EXPENSE</stp>
        <stp>FQ2 2014</stp>
        <stp>FQ2 2014</stp>
        <stp>[AMZ_2009-2018.xlsx]Income - Adjusted!R20C24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0" s="2"/>
      </tp>
      <tp>
        <v>6</v>
        <stp/>
        <stp>##V3_BDHV12</stp>
        <stp>AMZN US Equity</stp>
        <stp>IS_NET_INTEREST_EXPENSE</stp>
        <stp>FQ4 2011</stp>
        <stp>FQ4 2011</stp>
        <stp>[AMZ_2009-2018.xlsx]Income - Adjusted!R20C14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0" s="2"/>
      </tp>
      <tp>
        <v>103</v>
        <stp/>
        <stp>##V3_BDHV12</stp>
        <stp>AMZN US Equity</stp>
        <stp>IS_NET_INTEREST_EXPENSE</stp>
        <stp>FQ4 2016</stp>
        <stp>FQ4 2016</stp>
        <stp>[AMZ_2009-2018.xlsx]Income - Adjusted!R20C34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20" s="2"/>
      </tp>
      <tp>
        <v>607</v>
        <stp/>
        <stp>##V3_BDHV12</stp>
        <stp>AMZN US Equity</stp>
        <stp>IS_OTHER_OPERATING_EXPENSES</stp>
        <stp>FQ2 2010</stp>
        <stp>FQ2 2010</stp>
        <stp>[AMZ_2009-2018.xlsx]Income - Adjusted!R17C8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7" s="2"/>
      </tp>
      <tp>
        <v>2</v>
        <stp/>
        <stp>##V3_BDHV12</stp>
        <stp>AMZN US Equity</stp>
        <stp>IS_SH_PRO_EQY_MT_INV_NET_OF_TAX</stp>
        <stp>FQ4 2009</stp>
        <stp>FQ4 2009</stp>
        <stp>[AMZ_2009-2018.xlsx]Income - Adjusted!R33C6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33" s="2"/>
      </tp>
      <tp>
        <v>0</v>
        <stp/>
        <stp>##V3_BDHV12</stp>
        <stp>AMZN US Equity</stp>
        <stp>XO_GL_NET_OF_TAX</stp>
        <stp>FQ3 2013</stp>
        <stp>FQ3 2013</stp>
        <stp>[AMZ_2009-2018.xlsx]Income - Adjusted!R47C21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7" s="2"/>
      </tp>
      <tp>
        <v>0</v>
        <stp/>
        <stp>##V3_BDHV12</stp>
        <stp>AMZN US Equity</stp>
        <stp>XO_GL_NET_OF_TAX</stp>
        <stp>FQ4 2010</stp>
        <stp>FQ4 2010</stp>
        <stp>[AMZ_2009-2018.xlsx]Income - Adjusted!R47C10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7" s="2"/>
      </tp>
      <tp>
        <v>0</v>
        <stp/>
        <stp>##V3_BDHV12</stp>
        <stp>AMZN US Equity</stp>
        <stp>XO_GL_NET_OF_TAX</stp>
        <stp>FQ2 2013</stp>
        <stp>FQ2 2013</stp>
        <stp>[AMZ_2009-2018.xlsx]Income - Adjusted!R47C20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7" s="2"/>
      </tp>
      <tp>
        <v>0</v>
        <stp/>
        <stp>##V3_BDHV12</stp>
        <stp>AMZN US Equity</stp>
        <stp>XO_GL_NET_OF_TAX</stp>
        <stp>FQ4 2013</stp>
        <stp>FQ4 2013</stp>
        <stp>[AMZ_2009-2018.xlsx]Income - Adjusted!R47C22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7" s="2"/>
      </tp>
      <tp>
        <v>0</v>
        <stp/>
        <stp>##V3_BDHV12</stp>
        <stp>AMZN US Equity</stp>
        <stp>XO_GL_NET_OF_TAX</stp>
        <stp>FQ4 2013</stp>
        <stp>FQ4 2013</stp>
        <stp>[AMZ_2009-2018.xlsx]Income - Adjusted!R35C22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5" s="2"/>
      </tp>
      <tp>
        <v>0</v>
        <stp/>
        <stp>##V3_BDHV12</stp>
        <stp>AMZN US Equity</stp>
        <stp>XO_GL_NET_OF_TAX</stp>
        <stp>FQ4 2010</stp>
        <stp>FQ4 2010</stp>
        <stp>[AMZ_2009-2018.xlsx]Income - Adjusted!R35C10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5" s="2"/>
      </tp>
      <tp>
        <v>0</v>
        <stp/>
        <stp>##V3_BDHV12</stp>
        <stp>AMZN US Equity</stp>
        <stp>XO_GL_NET_OF_TAX</stp>
        <stp>FQ2 2013</stp>
        <stp>FQ2 2013</stp>
        <stp>[AMZ_2009-2018.xlsx]Income - Adjusted!R35C20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5" s="2"/>
      </tp>
      <tp>
        <v>0</v>
        <stp/>
        <stp>##V3_BDHV12</stp>
        <stp>AMZN US Equity</stp>
        <stp>XO_GL_NET_OF_TAX</stp>
        <stp>FQ3 2013</stp>
        <stp>FQ3 2013</stp>
        <stp>[AMZ_2009-2018.xlsx]Income - Adjusted!R35C21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5" s="2"/>
      </tp>
      <tp t="s">
        <v>—</v>
        <stp/>
        <stp>##V3_BDHV12</stp>
        <stp>AMZN US Equity</stp>
        <stp>IS_FOREIGN_EXCH_LOSS</stp>
        <stp>FQ4 2010</stp>
        <stp>FQ4 2010</stp>
        <stp>[AMZ_2009-2018.xlsx]Income - Adjusted!R23C10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3" s="2"/>
      </tp>
      <tp t="s">
        <v>—</v>
        <stp/>
        <stp>##V3_BDHV12</stp>
        <stp>AMZN US Equity</stp>
        <stp>IS_FOREIGN_EXCH_LOSS</stp>
        <stp>FQ4 2015</stp>
        <stp>FQ4 2015</stp>
        <stp>[AMZ_2009-2018.xlsx]Income - Adjusted!R23C30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23" s="2"/>
      </tp>
      <tp>
        <v>1229</v>
        <stp/>
        <stp>##V3_BDHV12</stp>
        <stp>AMZN US Equity</stp>
        <stp>BS_GOODWILL</stp>
        <stp>FQ2 2010</stp>
        <stp>FQ2 2010</stp>
        <stp>[AMZ_2009-2018.xlsx]Bal Sheet - Standardized!R29C8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29" s="3"/>
      </tp>
      <tp>
        <v>0.41</v>
        <stp/>
        <stp>##V3_BDHV12</stp>
        <stp>AMZN US Equity</stp>
        <stp>IS_DIL_EPS_BEF_XO</stp>
        <stp>FQ1 2009</stp>
        <stp>FQ1 2009</stp>
        <stp>[AMZ_2009-2018.xlsx]Income - Adjusted!R56C3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56" s="2"/>
      </tp>
      <tp>
        <v>7964</v>
        <stp/>
        <stp>##V3_BDHV12</stp>
        <stp>AMZN US Equity</stp>
        <stp>BS_CUR_ASSET_REPORT</stp>
        <stp>FQ1 2010</stp>
        <stp>FQ1 2010</stp>
        <stp>[AMZ_2009-2018.xlsx]Bal Sheet - Standardized!R22C7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22" s="3"/>
      </tp>
      <tp>
        <v>457</v>
        <stp/>
        <stp>##V3_BDHV12</stp>
        <stp>AMZN US Equity</stp>
        <stp>BS_GOODWILL</stp>
        <stp>FQ3 2009</stp>
        <stp>FQ3 2009</stp>
        <stp>[AMZ_2009-2018.xlsx]Bal Sheet - Standardized!R29C5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29" s="3"/>
      </tp>
      <tp t="s">
        <v>—</v>
        <stp/>
        <stp>##V3_BDHV12</stp>
        <stp>AMZN US Equity</stp>
        <stp>IS_FOREIGN_EXCH_LOSS</stp>
        <stp>FQ2 2013</stp>
        <stp>FQ2 2013</stp>
        <stp>[AMZ_2009-2018.xlsx]Income - Adjusted!R23C20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3" s="2"/>
      </tp>
      <tp t="s">
        <v>—</v>
        <stp/>
        <stp>##V3_BDHV12</stp>
        <stp>AMZN US Equity</stp>
        <stp>IS_FOREIGN_EXCH_LOSS</stp>
        <stp>FQ2 2018</stp>
        <stp>FQ2 2018</stp>
        <stp>[AMZ_2009-2018.xlsx]Income - Adjusted!R23C40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23" s="2"/>
      </tp>
      <tp>
        <v>0</v>
        <stp/>
        <stp>##V3_BDHV12</stp>
        <stp>AMZN US Equity</stp>
        <stp>XO_GL_NET_OF_TAX</stp>
        <stp>FQ1 2009</stp>
        <stp>FQ1 2009</stp>
        <stp>[AMZ_2009-2018.xlsx]Income - Adjusted!R35C3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2"/>
      </tp>
      <tp>
        <v>0</v>
        <stp/>
        <stp>##V3_BDHV12</stp>
        <stp>AMZN US Equity</stp>
        <stp>XO_GL_NET_OF_TAX</stp>
        <stp>FQ1 2009</stp>
        <stp>FQ1 2009</stp>
        <stp>[AMZ_2009-2018.xlsx]Income - Adjusted!R47C3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7" s="2"/>
      </tp>
      <tp>
        <v>17.153700000000001</v>
        <stp/>
        <stp>##V3_BDHV12</stp>
        <stp>AMZN US Equity</stp>
        <stp>TANG_BOOK_VAL_PER_SH</stp>
        <stp>FQ2 2014</stp>
        <stp>FQ2 2014</stp>
        <stp>[AMZ_2009-2018.xlsx]Per Share!R27C24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27" s="5"/>
      </tp>
      <tp>
        <v>11793</v>
        <stp/>
        <stp>##V3_BDHV12</stp>
        <stp>AMZN US Equity</stp>
        <stp>BS_CUR_ASSET_REPORT</stp>
        <stp>FQ2 2012</stp>
        <stp>FQ2 2012</stp>
        <stp>[AMZ_2009-2018.xlsx]Bal Sheet - Standardized!R22C16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2" s="3"/>
      </tp>
      <tp>
        <v>1837</v>
        <stp/>
        <stp>##V3_BDHV12</stp>
        <stp>AMZN US Equity</stp>
        <stp>BS_AMT_OF_TSY_STOCK</stp>
        <stp>FQ2 2018</stp>
        <stp>FQ2 2018</stp>
        <stp>[AMZ_2009-2018.xlsx]Bal Sheet - Standardized!R68C40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68" s="3"/>
      </tp>
      <tp>
        <v>-1290</v>
        <stp/>
        <stp>##V3_BDHV12</stp>
        <stp>AMZN US Equity</stp>
        <stp>ACQUIS_FXD_&amp;_INTANG_DETAILED</stp>
        <stp>FQ2 2014</stp>
        <stp>FQ2 2014</stp>
        <stp>[AMZ_2009-2018.xlsx]Cash Flow - Standardized!R26C24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6" s="4"/>
      </tp>
      <tp>
        <v>-1179</v>
        <stp/>
        <stp>##V3_BDHV12</stp>
        <stp>AMZN US Equity</stp>
        <stp>ACQUIS_FXD_&amp;_INTANG_DETAILED</stp>
        <stp>FQ1 2016</stp>
        <stp>FQ1 2016</stp>
        <stp>[AMZ_2009-2018.xlsx]Cash Flow - Standardized!R26C31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6" s="4"/>
      </tp>
      <tp>
        <v>11288</v>
        <stp/>
        <stp>##V3_BDHV12</stp>
        <stp>AMZN US Equity</stp>
        <stp>BS_CUR_ASSET_REPORT</stp>
        <stp>FQ1 2011</stp>
        <stp>FQ1 2011</stp>
        <stp>[AMZ_2009-2018.xlsx]Bal Sheet - Standardized!R22C11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2" s="3"/>
      </tp>
      <tp>
        <v>11.329700000000001</v>
        <stp/>
        <stp>##V3_BDHV12</stp>
        <stp>AMZN US Equity</stp>
        <stp>TANG_BOOK_VAL_PER_SH</stp>
        <stp>FQ4 2011</stp>
        <stp>FQ4 2011</stp>
        <stp>[AMZ_2009-2018.xlsx]Per Share!R27C14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27" s="5"/>
      </tp>
      <tp>
        <v>30.706499999999998</v>
        <stp/>
        <stp>##V3_BDHV12</stp>
        <stp>AMZN US Equity</stp>
        <stp>TANG_BOOK_VAL_PER_SH</stp>
        <stp>FQ4 2016</stp>
        <stp>FQ4 2016</stp>
        <stp>[AMZ_2009-2018.xlsx]Per Share!R27C34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27" s="5"/>
      </tp>
      <tp>
        <v>-550</v>
        <stp/>
        <stp>##V3_BDHV12</stp>
        <stp>AMZN US Equity</stp>
        <stp>ACQUIS_FXD_&amp;_INTANG_DETAILED</stp>
        <stp>FQ4 2011</stp>
        <stp>FQ4 2011</stp>
        <stp>[AMZ_2009-2018.xlsx]Cash Flow - Standardized!R26C14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6" s="4"/>
      </tp>
      <tp>
        <v>45781</v>
        <stp/>
        <stp>##V3_BDHV12</stp>
        <stp>AMZN US Equity</stp>
        <stp>BS_CUR_ASSET_REPORT</stp>
        <stp>FQ4 2016</stp>
        <stp>FQ4 2016</stp>
        <stp>[AMZ_2009-2018.xlsx]Bal Sheet - Standardized!R22C34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2" s="3"/>
      </tp>
      <tp>
        <v>130</v>
        <stp/>
        <stp>##V3_BDHV12</stp>
        <stp>AMZN US Equity</stp>
        <stp>PRETAX_INC</stp>
        <stp>FQ3 2011</stp>
        <stp>FQ3 2011</stp>
        <stp>[AMZ_2009-2018.xlsx]Income - Adjusted!R31C13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31" s="2"/>
      </tp>
      <tp>
        <v>491</v>
        <stp/>
        <stp>##V3_BDHV12</stp>
        <stp>AMZN US Equity</stp>
        <stp>PRETAX_INC</stp>
        <stp>FQ3 2016</stp>
        <stp>FQ3 2016</stp>
        <stp>[AMZ_2009-2018.xlsx]Income - Adjusted!R31C33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31" s="2"/>
      </tp>
      <tp>
        <v>120</v>
        <stp/>
        <stp>##V3_BDHV12</stp>
        <stp>AMZN US Equity</stp>
        <stp>PRETAX_INC</stp>
        <stp>FQ1 2014</stp>
        <stp>FQ1 2014</stp>
        <stp>[AMZ_2009-2018.xlsx]Income - Adjusted!R31C23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31" s="2"/>
      </tp>
      <tp>
        <v>-1195</v>
        <stp/>
        <stp>##V3_BDHV12</stp>
        <stp>AMZN US Equity</stp>
        <stp>ACQUIS_FXD_&amp;_INTANG_DETAILED</stp>
        <stp>FQ3 2015</stp>
        <stp>FQ3 2015</stp>
        <stp>[AMZ_2009-2018.xlsx]Cash Flow - Standardized!R26C29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6" s="4"/>
      </tp>
      <tp>
        <v>53</v>
        <stp/>
        <stp>##V3_BDHV12</stp>
        <stp>AMZN US Equity</stp>
        <stp>BS_CURR_RENTAL_EXPENSE</stp>
        <stp>FQ2 2010</stp>
        <stp>FQ2 2010</stp>
        <stp>[AMZ_2009-2018.xlsx]Income - Adjusted!R73C8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3" s="2"/>
      </tp>
      <tp>
        <v>100</v>
        <stp/>
        <stp>##V3_BDHV12</stp>
        <stp>AMZN US Equity</stp>
        <stp>CF_CASH_FROM_INV_ACT</stp>
        <stp>FQ3 2011</stp>
        <stp>FQ3 2011</stp>
        <stp>[AMZ_2009-2018.xlsx]Cash Flow - Standardized!R38C13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8" s="4"/>
      </tp>
      <tp>
        <v>-1420</v>
        <stp/>
        <stp>##V3_BDHV12</stp>
        <stp>AMZN US Equity</stp>
        <stp>CF_CASH_FROM_INV_ACT</stp>
        <stp>FQ2 2013</stp>
        <stp>FQ2 2013</stp>
        <stp>[AMZ_2009-2018.xlsx]Cash Flow - Standardized!R38C20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8" s="4"/>
      </tp>
      <tp>
        <v>1148</v>
        <stp/>
        <stp>##V3_BDHV12</stp>
        <stp>AMZN US Equity</stp>
        <stp>GROSS_PROFIT</stp>
        <stp>FQ1 2009</stp>
        <stp>FQ1 2009</stp>
        <stp>[AMZ_2009-2018.xlsx]Income - Adjusted!R10C3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0" s="2"/>
      </tp>
      <tp>
        <v>-950</v>
        <stp/>
        <stp>##V3_BDHV12</stp>
        <stp>AMZN US Equity</stp>
        <stp>CF_CASH_FROM_INV_ACT</stp>
        <stp>FQ1 2013</stp>
        <stp>FQ1 2013</stp>
        <stp>[AMZ_2009-2018.xlsx]Cash Flow - Standardized!R38C19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8" s="4"/>
      </tp>
      <tp>
        <v>0.1208</v>
        <stp/>
        <stp>##V3_BDHV12</stp>
        <stp>AMZN US Equity</stp>
        <stp>FREE_CASH_FLOW_PER_SH</stp>
        <stp>FQ2 2010</stp>
        <stp>FQ2 2010</stp>
        <stp>[AMZ_2009-2018.xlsx]Per Share!R23C8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23" s="5"/>
      </tp>
      <tp>
        <v>0</v>
        <stp/>
        <stp>##V3_BDHV12</stp>
        <stp>AMZN US Equity</stp>
        <stp>EQY_DPS</stp>
        <stp>FQ3 2016</stp>
        <stp>FQ3 2016</stp>
        <stp>[AMZ_2009-2018.xlsx]Per Share!R20C33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20" s="5"/>
      </tp>
      <tp>
        <v>0</v>
        <stp/>
        <stp>##V3_BDHV12</stp>
        <stp>AMZN US Equity</stp>
        <stp>EQY_DPS</stp>
        <stp>FQ3 2011</stp>
        <stp>FQ3 2011</stp>
        <stp>[AMZ_2009-2018.xlsx]Per Share!R20C13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20" s="5"/>
      </tp>
      <tp>
        <v>0</v>
        <stp/>
        <stp>##V3_BDHV12</stp>
        <stp>AMZN US Equity</stp>
        <stp>EQY_DPS</stp>
        <stp>FQ1 2014</stp>
        <stp>FQ1 2014</stp>
        <stp>[AMZ_2009-2018.xlsx]Per Share!R20C23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20" s="5"/>
      </tp>
      <tp>
        <v>0.45910000000000001</v>
        <stp/>
        <stp>##V3_BDHV12</stp>
        <stp>AMZN US Equity</stp>
        <stp>IS_BASIC_EPS_CONT_OPS</stp>
        <stp>FQ3 2009</stp>
        <stp>FQ3 2009</stp>
        <stp>[AMZ_2009-2018.xlsx]Per Share!R16C5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16" s="5"/>
      </tp>
      <tp>
        <v>1339</v>
        <stp/>
        <stp>##V3_BDHV12</stp>
        <stp>AMZN US Equity</stp>
        <stp>IS_OPERATING_EXPN</stp>
        <stp>FQ2 2010</stp>
        <stp>FQ2 2010</stp>
        <stp>[AMZ_2009-2018.xlsx]Income - Adjusted!R12C8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2" s="2"/>
      </tp>
      <tp t="s">
        <v>—</v>
        <stp/>
        <stp>##V3_BDHV12</stp>
        <stp>AMZN US Equity</stp>
        <stp>BS_DEFERRED_TAX_LIABILITIES_LT</stp>
        <stp>FQ3 2009</stp>
        <stp>FQ3 2009</stp>
        <stp>[AMZ_2009-2018.xlsx]Bal Sheet - Standardized!R59C5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9" s="3"/>
      </tp>
      <tp t="s">
        <v>—</v>
        <stp/>
        <stp>##V3_BDHV12</stp>
        <stp>AMZN US Equity</stp>
        <stp>BS_DEFERRED_TAX_LIABILITIES_LT</stp>
        <stp>FQ2 2010</stp>
        <stp>FQ2 2010</stp>
        <stp>[AMZ_2009-2018.xlsx]Bal Sheet - Standardized!R59C8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9" s="3"/>
      </tp>
      <tp>
        <v>201</v>
        <stp/>
        <stp>##V3_BDHV12</stp>
        <stp>AMZN US Equity</stp>
        <stp>EARN_FOR_COMMON</stp>
        <stp>FQ1 2011</stp>
        <stp>FQ1 2011</stp>
        <stp>[AMZ_2009-2018.xlsx]Income - Adjusted!R45C11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45" s="2"/>
      </tp>
      <tp>
        <v>513</v>
        <stp/>
        <stp>##V3_BDHV12</stp>
        <stp>AMZN US Equity</stp>
        <stp>EARN_FOR_COMMON</stp>
        <stp>FQ1 2016</stp>
        <stp>FQ1 2016</stp>
        <stp>[AMZ_2009-2018.xlsx]Income - Adjusted!R45C31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45" s="2"/>
      </tp>
      <tp>
        <v>-41</v>
        <stp/>
        <stp>##V3_BDHV12</stp>
        <stp>AMZN US Equity</stp>
        <stp>EARN_FOR_COMMON</stp>
        <stp>FQ3 2013</stp>
        <stp>FQ3 2013</stp>
        <stp>[AMZ_2009-2018.xlsx]Income - Adjusted!R45C21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45" s="2"/>
      </tp>
      <tp>
        <v>-10216</v>
        <stp/>
        <stp>##V3_BDHV12</stp>
        <stp>AMZN US Equity</stp>
        <stp>CF_CHANGE_IN_ACCOUNTS_PAYABLE</stp>
        <stp>FQ1 2018</stp>
        <stp>FQ1 2018</stp>
        <stp>[AMZ_2009-2018.xlsx]Cash Flow - Standardized!R16C39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6" s="4"/>
      </tp>
      <tp>
        <v>104</v>
        <stp/>
        <stp>##V3_BDHV12</stp>
        <stp>AMZN US Equity</stp>
        <stp>IS_NET_INTEREST_EXPENSE</stp>
        <stp>FQ1 2015</stp>
        <stp>FQ1 2015</stp>
        <stp>[AMZ_2009-2018.xlsx]Income - Adjusted!R20C27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0" s="2"/>
      </tp>
      <tp>
        <v>129</v>
        <stp/>
        <stp>##V3_BDHV12</stp>
        <stp>AMZN US Equity</stp>
        <stp>IS_OTHER_NON_OPERATING_INC_LOSS</stp>
        <stp>FQ2 2018</stp>
        <stp>FQ2 2018</stp>
        <stp>[AMZ_2009-2018.xlsx]Income - Adjusted!R24C40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24" s="2"/>
      </tp>
      <tp>
        <v>38</v>
        <stp/>
        <stp>##V3_BDHV12</stp>
        <stp>AMZN US Equity</stp>
        <stp>IS_OTHER_NON_OPERATING_INC_LOSS</stp>
        <stp>FQ2 2013</stp>
        <stp>FQ2 2013</stp>
        <stp>[AMZ_2009-2018.xlsx]Income - Adjusted!R24C20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4" s="2"/>
      </tp>
      <tp>
        <v>174</v>
        <stp/>
        <stp>##V3_BDHV12</stp>
        <stp>AMZN US Equity</stp>
        <stp>IS_NET_INTEREST_EXPENSE</stp>
        <stp>FQ3 2017</stp>
        <stp>FQ3 2017</stp>
        <stp>[AMZ_2009-2018.xlsx]Income - Adjusted!R20C37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20" s="2"/>
      </tp>
      <tp>
        <v>12</v>
        <stp/>
        <stp>##V3_BDHV12</stp>
        <stp>AMZN US Equity</stp>
        <stp>IS_NET_INTEREST_EXPENSE</stp>
        <stp>FQ3 2012</stp>
        <stp>FQ3 2012</stp>
        <stp>[AMZ_2009-2018.xlsx]Income - Adjusted!R20C17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0" s="2"/>
      </tp>
      <tp>
        <v>65</v>
        <stp/>
        <stp>##V3_BDHV12</stp>
        <stp>AMZN US Equity</stp>
        <stp>IS_OTHER_NON_OPERATING_INC_LOSS</stp>
        <stp>FQ4 2015</stp>
        <stp>FQ4 2015</stp>
        <stp>[AMZ_2009-2018.xlsx]Income - Adjusted!R24C30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24" s="2"/>
      </tp>
      <tp>
        <v>-29</v>
        <stp/>
        <stp>##V3_BDHV12</stp>
        <stp>AMZN US Equity</stp>
        <stp>IS_OTHER_NON_OPERATING_INC_LOSS</stp>
        <stp>FQ4 2010</stp>
        <stp>FQ4 2010</stp>
        <stp>[AMZ_2009-2018.xlsx]Income - Adjusted!R24C10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4" s="2"/>
      </tp>
      <tp>
        <v>3</v>
        <stp/>
        <stp>##V3_BDHV12</stp>
        <stp>AMZN US Equity</stp>
        <stp>IS_SH_PRO_EQY_MT_INV_NET_OF_TAX</stp>
        <stp>FQ3 2009</stp>
        <stp>FQ3 2009</stp>
        <stp>[AMZ_2009-2018.xlsx]Income - Adjusted!R33C5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33" s="2"/>
      </tp>
      <tp>
        <v>0</v>
        <stp/>
        <stp>##V3_BDHV12</stp>
        <stp>AMZN US Equity</stp>
        <stp>XO_GL_NET_OF_TAX</stp>
        <stp>FQ1 2011</stp>
        <stp>FQ1 2011</stp>
        <stp>[AMZ_2009-2018.xlsx]Income - Adjusted!R47C11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7" s="2"/>
      </tp>
      <tp>
        <v>0</v>
        <stp/>
        <stp>##V3_BDHV12</stp>
        <stp>AMZN US Equity</stp>
        <stp>XO_GL_NET_OF_TAX</stp>
        <stp>FQ4 2011</stp>
        <stp>FQ4 2011</stp>
        <stp>[AMZ_2009-2018.xlsx]Income - Adjusted!R35C14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5" s="2"/>
      </tp>
      <tp>
        <v>0</v>
        <stp/>
        <stp>##V3_BDHV12</stp>
        <stp>AMZN US Equity</stp>
        <stp>XO_GL_NET_OF_TAX</stp>
        <stp>FQ3 2011</stp>
        <stp>FQ3 2011</stp>
        <stp>[AMZ_2009-2018.xlsx]Income - Adjusted!R47C13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7" s="2"/>
      </tp>
      <tp>
        <v>0</v>
        <stp/>
        <stp>##V3_BDHV12</stp>
        <stp>AMZN US Equity</stp>
        <stp>XO_GL_NET_OF_TAX</stp>
        <stp>FQ2 2011</stp>
        <stp>FQ2 2011</stp>
        <stp>[AMZ_2009-2018.xlsx]Income - Adjusted!R47C12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7" s="2"/>
      </tp>
      <tp>
        <v>0</v>
        <stp/>
        <stp>##V3_BDHV12</stp>
        <stp>AMZN US Equity</stp>
        <stp>XO_GL_NET_OF_TAX</stp>
        <stp>FQ2 2011</stp>
        <stp>FQ2 2011</stp>
        <stp>[AMZ_2009-2018.xlsx]Income - Adjusted!R35C12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5" s="2"/>
      </tp>
      <tp>
        <v>0</v>
        <stp/>
        <stp>##V3_BDHV12</stp>
        <stp>AMZN US Equity</stp>
        <stp>XO_GL_NET_OF_TAX</stp>
        <stp>FQ4 2011</stp>
        <stp>FQ4 2011</stp>
        <stp>[AMZ_2009-2018.xlsx]Income - Adjusted!R47C14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7" s="2"/>
      </tp>
      <tp>
        <v>0</v>
        <stp/>
        <stp>##V3_BDHV12</stp>
        <stp>AMZN US Equity</stp>
        <stp>XO_GL_NET_OF_TAX</stp>
        <stp>FQ3 2011</stp>
        <stp>FQ3 2011</stp>
        <stp>[AMZ_2009-2018.xlsx]Income - Adjusted!R35C13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5" s="2"/>
      </tp>
      <tp>
        <v>0</v>
        <stp/>
        <stp>##V3_BDHV12</stp>
        <stp>AMZN US Equity</stp>
        <stp>XO_GL_NET_OF_TAX</stp>
        <stp>FQ1 2011</stp>
        <stp>FQ1 2011</stp>
        <stp>[AMZ_2009-2018.xlsx]Income - Adjusted!R35C11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5" s="2"/>
      </tp>
      <tp>
        <v>1277</v>
        <stp/>
        <stp>##V3_BDHV12</stp>
        <stp>AMZN US Equity</stp>
        <stp>BS_GOODWILL</stp>
        <stp>FQ3 2010</stp>
        <stp>FQ3 2010</stp>
        <stp>[AMZ_2009-2018.xlsx]Bal Sheet - Standardized!R29C9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29" s="3"/>
      </tp>
      <tp>
        <v>451</v>
        <stp/>
        <stp>##V3_BDHV12</stp>
        <stp>AMZN US Equity</stp>
        <stp>BS_GOODWILL</stp>
        <stp>FQ2 2009</stp>
        <stp>FQ2 2009</stp>
        <stp>[AMZ_2009-2018.xlsx]Bal Sheet - Standardized!R29C4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29" s="3"/>
      </tp>
      <tp t="s">
        <v>—</v>
        <stp/>
        <stp>##V3_BDHV12</stp>
        <stp>AMZN US Equity</stp>
        <stp>IS_FOREIGN_EXCH_LOSS</stp>
        <stp>FQ1 2016</stp>
        <stp>FQ1 2016</stp>
        <stp>[AMZ_2009-2018.xlsx]Income - Adjusted!R23C31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23" s="2"/>
      </tp>
      <tp t="s">
        <v>—</v>
        <stp/>
        <stp>##V3_BDHV12</stp>
        <stp>AMZN US Equity</stp>
        <stp>IS_FOREIGN_EXCH_LOSS</stp>
        <stp>FQ1 2011</stp>
        <stp>FQ1 2011</stp>
        <stp>[AMZ_2009-2018.xlsx]Income - Adjusted!R23C11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3" s="2"/>
      </tp>
      <tp t="s">
        <v>—</v>
        <stp/>
        <stp>##V3_BDHV12</stp>
        <stp>AMZN US Equity</stp>
        <stp>IS_FOREIGN_EXCH_LOSS</stp>
        <stp>FQ3 2013</stp>
        <stp>FQ3 2013</stp>
        <stp>[AMZ_2009-2018.xlsx]Income - Adjusted!R23C21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3" s="2"/>
      </tp>
      <tp>
        <v>4775</v>
        <stp/>
        <stp>##V3_BDHV12</stp>
        <stp>AMZN US Equity</stp>
        <stp>BS_CUR_ASSET_REPORT</stp>
        <stp>FQ1 2009</stp>
        <stp>FQ1 2009</stp>
        <stp>[AMZ_2009-2018.xlsx]Bal Sheet - Standardized!R22C3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3"/>
      </tp>
      <tp>
        <v>-2148</v>
        <stp/>
        <stp>##V3_BDHV12</stp>
        <stp>AMZN US Equity</stp>
        <stp>ACQUIS_FXD_&amp;_INTANG_DETAILED</stp>
        <stp>FQ1 2017</stp>
        <stp>FQ1 2017</stp>
        <stp>[AMZ_2009-2018.xlsx]Cash Flow - Standardized!R26C35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6" s="4"/>
      </tp>
      <tp>
        <v>13118</v>
        <stp/>
        <stp>##V3_BDHV12</stp>
        <stp>AMZN US Equity</stp>
        <stp>BS_CUR_ASSET_REPORT</stp>
        <stp>FQ3 2012</stp>
        <stp>FQ3 2012</stp>
        <stp>[AMZ_2009-2018.xlsx]Bal Sheet - Standardized!R22C17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2" s="3"/>
      </tp>
      <tp>
        <v>15.1274</v>
        <stp/>
        <stp>##V3_BDHV12</stp>
        <stp>AMZN US Equity</stp>
        <stp>TANG_BOOK_VAL_PER_SH</stp>
        <stp>FQ3 2014</stp>
        <stp>FQ3 2014</stp>
        <stp>[AMZ_2009-2018.xlsx]Per Share!R27C25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27" s="5"/>
      </tp>
      <tp>
        <v>-328</v>
        <stp/>
        <stp>##V3_BDHV12</stp>
        <stp>AMZN US Equity</stp>
        <stp>ACQUIS_FXD_&amp;_INTANG_DETAILED</stp>
        <stp>FQ4 2010</stp>
        <stp>FQ4 2010</stp>
        <stp>[AMZ_2009-2018.xlsx]Cash Flow - Standardized!R26C10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6" s="4"/>
      </tp>
      <tp>
        <v>-880</v>
        <stp/>
        <stp>##V3_BDHV12</stp>
        <stp>AMZN US Equity</stp>
        <stp>ACQUIS_FXD_&amp;_INTANG_DETAILED</stp>
        <stp>FQ4 2013</stp>
        <stp>FQ4 2013</stp>
        <stp>[AMZ_2009-2018.xlsx]Cash Flow - Standardized!R26C22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6" s="4"/>
      </tp>
      <tp>
        <v>-1378</v>
        <stp/>
        <stp>##V3_BDHV12</stp>
        <stp>AMZN US Equity</stp>
        <stp>ACQUIS_FXD_&amp;_INTANG_DETAILED</stp>
        <stp>FQ3 2014</stp>
        <stp>FQ3 2014</stp>
        <stp>[AMZ_2009-2018.xlsx]Cash Flow - Standardized!R26C25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6" s="4"/>
      </tp>
      <tp>
        <v>37.345199999999998</v>
        <stp/>
        <stp>##V3_BDHV12</stp>
        <stp>AMZN US Equity</stp>
        <stp>TANG_BOOK_VAL_PER_SH</stp>
        <stp>FQ1 2017</stp>
        <stp>FQ1 2017</stp>
        <stp>[AMZ_2009-2018.xlsx]Per Share!R27C35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27" s="5"/>
      </tp>
      <tp>
        <v>11.78</v>
        <stp/>
        <stp>##V3_BDHV12</stp>
        <stp>AMZN US Equity</stp>
        <stp>TANG_BOOK_VAL_PER_SH</stp>
        <stp>FQ1 2012</stp>
        <stp>FQ1 2012</stp>
        <stp>[AMZ_2009-2018.xlsx]Per Share!R27C15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27" s="5"/>
      </tp>
      <tp>
        <v>225</v>
        <stp/>
        <stp>##V3_BDHV12</stp>
        <stp>AMZN US Equity</stp>
        <stp>PRETAX_INC</stp>
        <stp>FQ2 2011</stp>
        <stp>FQ2 2011</stp>
        <stp>[AMZ_2009-2018.xlsx]Income - Adjusted!R31C12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31" s="2"/>
      </tp>
      <tp>
        <v>1179</v>
        <stp/>
        <stp>##V3_BDHV12</stp>
        <stp>AMZN US Equity</stp>
        <stp>PRETAX_INC</stp>
        <stp>FQ2 2016</stp>
        <stp>FQ2 2016</stp>
        <stp>[AMZ_2009-2018.xlsx]Income - Adjusted!R31C32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31" s="2"/>
      </tp>
      <tp>
        <v>60197</v>
        <stp/>
        <stp>##V3_BDHV12</stp>
        <stp>AMZN US Equity</stp>
        <stp>BS_CUR_ASSET_REPORT</stp>
        <stp>FQ4 2017</stp>
        <stp>FQ4 2017</stp>
        <stp>[AMZ_2009-2018.xlsx]Bal Sheet - Standardized!R22C38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2" s="3"/>
      </tp>
      <tp>
        <v>6182</v>
        <stp/>
        <stp>##V3_BDHV12</stp>
        <stp>AMZN US Equity</stp>
        <stp>ST_DEFERRED_REVENUE</stp>
        <stp>FQ1 2018</stp>
        <stp>FQ1 2018</stp>
        <stp>[AMZ_2009-2018.xlsx]Bal Sheet - Standardized!R48C39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8" s="3"/>
      </tp>
      <tp>
        <v>451</v>
        <stp/>
        <stp>##V3_BDHV12</stp>
        <stp>AMZN US Equity</stp>
        <stp>PRETAX_INC</stp>
        <stp>FQ4 2013</stp>
        <stp>FQ4 2013</stp>
        <stp>[AMZ_2009-2018.xlsx]Income - Adjusted!R31C22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31" s="2"/>
      </tp>
      <tp>
        <v>-1213</v>
        <stp/>
        <stp>##V3_BDHV12</stp>
        <stp>AMZN US Equity</stp>
        <stp>ACQUIS_FXD_&amp;_INTANG_DETAILED</stp>
        <stp>FQ2 2015</stp>
        <stp>FQ2 2015</stp>
        <stp>[AMZ_2009-2018.xlsx]Cash Flow - Standardized!R26C28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6" s="4"/>
      </tp>
      <tp t="s">
        <v>—</v>
        <stp/>
        <stp>##V3_BDHV12</stp>
        <stp>AMZN US Equity</stp>
        <stp>LT_DEFERRED_REVENUE</stp>
        <stp>FQ1 2018</stp>
        <stp>FQ1 2018</stp>
        <stp>[AMZ_2009-2018.xlsx]Bal Sheet - Standardized!R58C39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58" s="3"/>
      </tp>
      <tp>
        <v>55</v>
        <stp/>
        <stp>##V3_BDHV12</stp>
        <stp>AMZN US Equity</stp>
        <stp>BS_CURR_RENTAL_EXPENSE</stp>
        <stp>FQ3 2010</stp>
        <stp>FQ3 2010</stp>
        <stp>[AMZ_2009-2018.xlsx]Income - Adjusted!R73C9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3" s="2"/>
      </tp>
      <tp>
        <v>450</v>
        <stp/>
        <stp>##V3_BDHV12</stp>
        <stp>AMZN US Equity</stp>
        <stp>CF_CASH_FROM_INV_ACT</stp>
        <stp>FQ1 2012</stp>
        <stp>FQ1 2012</stp>
        <stp>[AMZ_2009-2018.xlsx]Cash Flow - Standardized!R38C15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8" s="4"/>
      </tp>
      <tp>
        <v>-1850</v>
        <stp/>
        <stp>##V3_BDHV12</stp>
        <stp>AMZN US Equity</stp>
        <stp>CF_CASH_FROM_INV_ACT</stp>
        <stp>FQ4 2015</stp>
        <stp>FQ4 2015</stp>
        <stp>[AMZ_2009-2018.xlsx]Cash Flow - Standardized!R38C30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8" s="4"/>
      </tp>
      <tp>
        <v>-2465</v>
        <stp/>
        <stp>##V3_BDHV12</stp>
        <stp>AMZN US Equity</stp>
        <stp>CF_CASH_FROM_INV_ACT</stp>
        <stp>FQ4 2014</stp>
        <stp>FQ4 2014</stp>
        <stp>[AMZ_2009-2018.xlsx]Cash Flow - Standardized!R38C26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8" s="4"/>
      </tp>
      <tp>
        <v>-1063</v>
        <stp/>
        <stp>##V3_BDHV12</stp>
        <stp>AMZN US Equity</stp>
        <stp>CF_CASH_FROM_INV_ACT</stp>
        <stp>FQ3 2013</stp>
        <stp>FQ3 2013</stp>
        <stp>[AMZ_2009-2018.xlsx]Cash Flow - Standardized!R38C21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8" s="4"/>
      </tp>
      <tp>
        <v>-951</v>
        <stp/>
        <stp>##V3_BDHV12</stp>
        <stp>AMZN US Equity</stp>
        <stp>CF_CASH_FROM_INV_ACT</stp>
        <stp>FQ2 2011</stp>
        <stp>FQ2 2011</stp>
        <stp>[AMZ_2009-2018.xlsx]Cash Flow - Standardized!R38C12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8" s="4"/>
      </tp>
      <tp>
        <v>0</v>
        <stp/>
        <stp>##V3_BDHV12</stp>
        <stp>AMZN US Equity</stp>
        <stp>CF_NET_CASH_DISCONT_OPS_OPER</stp>
        <stp>FQ1 2018</stp>
        <stp>FQ1 2018</stp>
        <stp>[AMZ_2009-2018.xlsx]Cash Flow - Standardized!R18C39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8" s="4"/>
      </tp>
      <tp>
        <v>13944</v>
        <stp/>
        <stp>##V3_BDHV12</stp>
        <stp>AMZN US Equity</stp>
        <stp>BS_GOODWILL</stp>
        <stp>FQ2 2018</stp>
        <stp>FQ2 2018</stp>
        <stp>[AMZ_2009-2018.xlsx]Bal Sheet - Standardized!R29C40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9" s="3"/>
      </tp>
      <tp>
        <v>1.2054</v>
        <stp/>
        <stp>##V3_BDHV12</stp>
        <stp>AMZN US Equity</stp>
        <stp>FREE_CASH_FLOW_PER_SH</stp>
        <stp>FQ3 2010</stp>
        <stp>FQ3 2010</stp>
        <stp>[AMZ_2009-2018.xlsx]Per Share!R23C9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23" s="5"/>
      </tp>
      <tp>
        <v>0</v>
        <stp/>
        <stp>##V3_BDHV12</stp>
        <stp>AMZN US Equity</stp>
        <stp>EQY_DPS</stp>
        <stp>FQ4 2013</stp>
        <stp>FQ4 2013</stp>
        <stp>[AMZ_2009-2018.xlsx]Per Share!R20C22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20" s="5"/>
      </tp>
      <tp>
        <v>0</v>
        <stp/>
        <stp>##V3_BDHV12</stp>
        <stp>AMZN US Equity</stp>
        <stp>EQY_DPS</stp>
        <stp>FQ2 2016</stp>
        <stp>FQ2 2016</stp>
        <stp>[AMZ_2009-2018.xlsx]Per Share!R20C32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20" s="5"/>
      </tp>
      <tp>
        <v>0</v>
        <stp/>
        <stp>##V3_BDHV12</stp>
        <stp>AMZN US Equity</stp>
        <stp>EQY_DPS</stp>
        <stp>FQ2 2011</stp>
        <stp>FQ2 2011</stp>
        <stp>[AMZ_2009-2018.xlsx]Per Share!R20C12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20" s="5"/>
      </tp>
      <tp>
        <v>0.40339999999999998</v>
        <stp/>
        <stp>##V3_BDHV12</stp>
        <stp>AMZN US Equity</stp>
        <stp>IS_BASIC_EPS_CONT_OPS</stp>
        <stp>FQ2 2009</stp>
        <stp>FQ2 2009</stp>
        <stp>[AMZ_2009-2018.xlsx]Per Share!R16C4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16" s="5"/>
      </tp>
      <tp>
        <v>1506</v>
        <stp/>
        <stp>##V3_BDHV12</stp>
        <stp>AMZN US Equity</stp>
        <stp>IS_OPERATING_EXPN</stp>
        <stp>FQ3 2010</stp>
        <stp>FQ3 2010</stp>
        <stp>[AMZ_2009-2018.xlsx]Income - Adjusted!R12C9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2" s="2"/>
      </tp>
      <tp>
        <v>481</v>
        <stp/>
        <stp>##V3_BDHV12</stp>
        <stp>AMZN US Equity</stp>
        <stp>IS_SH_FOR_DILUTED_EPS</stp>
        <stp>FQ1 2016</stp>
        <stp>FQ1 2016</stp>
        <stp>[AMZ_2009-2018.xlsx]Per Share!R7C31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7" s="5"/>
      </tp>
      <tp>
        <v>468</v>
        <stp/>
        <stp>##V3_BDHV12</stp>
        <stp>AMZN US Equity</stp>
        <stp>IS_SH_FOR_DILUTED_EPS</stp>
        <stp>FQ1 2014</stp>
        <stp>FQ1 2014</stp>
        <stp>[AMZ_2009-2018.xlsx]Per Share!R7C23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7" s="5"/>
      </tp>
      <tp>
        <v>460</v>
        <stp/>
        <stp>##V3_BDHV12</stp>
        <stp>AMZN US Equity</stp>
        <stp>IS_SH_FOR_DILUTED_EPS</stp>
        <stp>FQ1 2012</stp>
        <stp>FQ1 2012</stp>
        <stp>[AMZ_2009-2018.xlsx]Per Share!R7C15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7" s="5"/>
      </tp>
      <tp t="s">
        <v>—</v>
        <stp/>
        <stp>##V3_BDHV12</stp>
        <stp>AMZN US Equity</stp>
        <stp>BS_DEFERRED_TAX_LIABILITIES_LT</stp>
        <stp>FQ2 2009</stp>
        <stp>FQ2 2009</stp>
        <stp>[AMZ_2009-2018.xlsx]Bal Sheet - Standardized!R59C4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9" s="3"/>
      </tp>
      <tp t="s">
        <v>—</v>
        <stp/>
        <stp>##V3_BDHV12</stp>
        <stp>AMZN US Equity</stp>
        <stp>BS_DEFERRED_TAX_LIABILITIES_LT</stp>
        <stp>FQ3 2010</stp>
        <stp>FQ3 2010</stp>
        <stp>[AMZ_2009-2018.xlsx]Bal Sheet - Standardized!R59C9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9" s="3"/>
      </tp>
      <tp>
        <v>476</v>
        <stp/>
        <stp>##V3_BDHV12</stp>
        <stp>AMZN US Equity</stp>
        <stp>IS_OPER_INC</stp>
        <stp>FQ4 2009</stp>
        <stp>FQ4 2009</stp>
        <stp>[AMZ_2009-2018.xlsx]Income - Adjusted!R18C6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8" s="2"/>
      </tp>
      <tp>
        <v>483.95</v>
        <stp/>
        <stp>##V3_BDHV12</stp>
        <stp>AMZN US Equity</stp>
        <stp>EARN_FOR_COMMON</stp>
        <stp>FQ4 2015</stp>
        <stp>FQ4 2015</stp>
        <stp>[AMZ_2009-2018.xlsx]Income - Adjusted!R45C30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45" s="2"/>
      </tp>
      <tp>
        <v>416</v>
        <stp/>
        <stp>##V3_BDHV12</stp>
        <stp>AMZN US Equity</stp>
        <stp>EARN_FOR_COMMON</stp>
        <stp>FQ4 2010</stp>
        <stp>FQ4 2010</stp>
        <stp>[AMZ_2009-2018.xlsx]Income - Adjusted!R45C10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45" s="2"/>
      </tp>
      <tp>
        <v>0</v>
        <stp/>
        <stp>##V3_BDHV12</stp>
        <stp>AMZN US Equity</stp>
        <stp>EQY_DPS</stp>
        <stp>FQ1 2010</stp>
        <stp>FQ1 2010</stp>
        <stp>[AMZ_2009-2018.xlsx]Per Share!R20C7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20" s="5"/>
      </tp>
      <tp>
        <v>-7</v>
        <stp/>
        <stp>##V3_BDHV12</stp>
        <stp>AMZN US Equity</stp>
        <stp>EARN_FOR_COMMON</stp>
        <stp>FQ2 2013</stp>
        <stp>FQ2 2013</stp>
        <stp>[AMZ_2009-2018.xlsx]Income - Adjusted!R45C20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45" s="2"/>
      </tp>
      <tp>
        <v>1938</v>
        <stp/>
        <stp>##V3_BDHV12</stp>
        <stp>AMZN US Equity</stp>
        <stp>EARN_FOR_COMMON</stp>
        <stp>FQ2 2018</stp>
        <stp>FQ2 2018</stp>
        <stp>[AMZ_2009-2018.xlsx]Income - Adjusted!R45C40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45" s="2"/>
      </tp>
      <tp>
        <v>-9</v>
        <stp/>
        <stp>##V3_BDHV12</stp>
        <stp>AMZN US Equity</stp>
        <stp>IS_OTHER_NON_OPERATING_INC_LOSS</stp>
        <stp>FQ3 2013</stp>
        <stp>FQ3 2013</stp>
        <stp>[AMZ_2009-2018.xlsx]Income - Adjusted!R24C21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4" s="2"/>
      </tp>
      <tp>
        <v>18</v>
        <stp/>
        <stp>##V3_BDHV12</stp>
        <stp>AMZN US Equity</stp>
        <stp>IS_OTHER_NON_OPERATING_INC_LOSS</stp>
        <stp>FQ1 2011</stp>
        <stp>FQ1 2011</stp>
        <stp>[AMZ_2009-2018.xlsx]Income - Adjusted!R24C11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4" s="2"/>
      </tp>
      <tp>
        <v>-81</v>
        <stp/>
        <stp>##V3_BDHV12</stp>
        <stp>AMZN US Equity</stp>
        <stp>IS_OTHER_NON_OPERATING_INC_LOSS</stp>
        <stp>FQ1 2016</stp>
        <stp>FQ1 2016</stp>
        <stp>[AMZ_2009-2018.xlsx]Income - Adjusted!R24C31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24" s="2"/>
      </tp>
      <tp>
        <v>99</v>
        <stp/>
        <stp>##V3_BDHV12</stp>
        <stp>AMZN US Equity</stp>
        <stp>IS_NET_INTEREST_EXPENSE</stp>
        <stp>FQ2 2017</stp>
        <stp>FQ2 2017</stp>
        <stp>[AMZ_2009-2018.xlsx]Income - Adjusted!R20C36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20" s="2"/>
      </tp>
      <tp>
        <v>11</v>
        <stp/>
        <stp>##V3_BDHV12</stp>
        <stp>AMZN US Equity</stp>
        <stp>IS_NET_INTEREST_EXPENSE</stp>
        <stp>FQ2 2012</stp>
        <stp>FQ2 2012</stp>
        <stp>[AMZ_2009-2018.xlsx]Income - Adjusted!R20C16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0" s="2"/>
      </tp>
      <tp>
        <v>66</v>
        <stp/>
        <stp>##V3_BDHV12</stp>
        <stp>AMZN US Equity</stp>
        <stp>IS_NET_INTEREST_EXPENSE</stp>
        <stp>FQ4 2014</stp>
        <stp>FQ4 2014</stp>
        <stp>[AMZ_2009-2018.xlsx]Income - Adjusted!R20C26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0" s="2"/>
      </tp>
      <tp>
        <v>433</v>
        <stp/>
        <stp>##V3_BDHV12</stp>
        <stp>AMZN US Equity</stp>
        <stp>IS_OTHER_OPERATING_EXPENSES</stp>
        <stp>FQ1 2009</stp>
        <stp>FQ1 2009</stp>
        <stp>[AMZ_2009-2018.xlsx]Income - Adjusted!R17C3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7" s="2"/>
      </tp>
      <tp>
        <v>-2</v>
        <stp/>
        <stp>##V3_BDHV12</stp>
        <stp>AMZN US Equity</stp>
        <stp>IS_SH_PRO_EQY_MT_INV_NET_OF_TAX</stp>
        <stp>FQ2 2009</stp>
        <stp>FQ2 2009</stp>
        <stp>[AMZ_2009-2018.xlsx]Income - Adjusted!R33C4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33" s="2"/>
      </tp>
      <tp>
        <v>0</v>
        <stp/>
        <stp>##V3_BDHV12</stp>
        <stp>AMZN US Equity</stp>
        <stp>XO_GL_NET_OF_TAX</stp>
        <stp>FQ3 2015</stp>
        <stp>FQ3 2015</stp>
        <stp>[AMZ_2009-2018.xlsx]Income - Adjusted!R47C29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7" s="2"/>
      </tp>
      <tp>
        <v>0</v>
        <stp/>
        <stp>##V3_BDHV12</stp>
        <stp>AMZN US Equity</stp>
        <stp>XO_GL_NET_OF_TAX</stp>
        <stp>FQ2 2015</stp>
        <stp>FQ2 2015</stp>
        <stp>[AMZ_2009-2018.xlsx]Income - Adjusted!R47C28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7" s="2"/>
      </tp>
      <tp>
        <v>0</v>
        <stp/>
        <stp>##V3_BDHV12</stp>
        <stp>AMZN US Equity</stp>
        <stp>XO_GL_NET_OF_TAX</stp>
        <stp>FQ2 2015</stp>
        <stp>FQ2 2015</stp>
        <stp>[AMZ_2009-2018.xlsx]Income - Adjusted!R35C28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5" s="2"/>
      </tp>
      <tp>
        <v>0</v>
        <stp/>
        <stp>##V3_BDHV12</stp>
        <stp>AMZN US Equity</stp>
        <stp>XO_GL_NET_OF_TAX</stp>
        <stp>FQ3 2015</stp>
        <stp>FQ3 2015</stp>
        <stp>[AMZ_2009-2018.xlsx]Income - Adjusted!R35C29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5" s="2"/>
      </tp>
      <tp>
        <v>0</v>
        <stp/>
        <stp>##V3_BDHV12</stp>
        <stp>AMZN US Equity</stp>
        <stp>XO_GL_NET_OF_TAX</stp>
        <stp>FQ1 2015</stp>
        <stp>FQ1 2015</stp>
        <stp>[AMZ_2009-2018.xlsx]Income - Adjusted!R35C27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5" s="2"/>
      </tp>
      <tp>
        <v>0</v>
        <stp/>
        <stp>##V3_BDHV12</stp>
        <stp>AMZN US Equity</stp>
        <stp>XO_GL_NET_OF_TAX</stp>
        <stp>FQ1 2015</stp>
        <stp>FQ1 2015</stp>
        <stp>[AMZ_2009-2018.xlsx]Income - Adjusted!R47C27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7" s="2"/>
      </tp>
      <tp t="s">
        <v>—</v>
        <stp/>
        <stp>##V3_BDHV12</stp>
        <stp>AMZN US Equity</stp>
        <stp>IS_FOREIGN_EXCH_LOSS</stp>
        <stp>FQ4 2014</stp>
        <stp>FQ4 2014</stp>
        <stp>[AMZ_2009-2018.xlsx]Income - Adjusted!R23C26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3" s="2"/>
      </tp>
      <tp>
        <v>0.45</v>
        <stp/>
        <stp>##V3_BDHV12</stp>
        <stp>AMZN US Equity</stp>
        <stp>IS_DIL_EPS_BEF_XO</stp>
        <stp>FQ3 2009</stp>
        <stp>FQ3 2009</stp>
        <stp>[AMZ_2009-2018.xlsx]Income - Adjusted!R56C5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56" s="2"/>
      </tp>
      <tp t="s">
        <v>—</v>
        <stp/>
        <stp>##V3_BDHV12</stp>
        <stp>AMZN US Equity</stp>
        <stp>IS_FOREIGN_EXCH_LOSS</stp>
        <stp>FQ2 2017</stp>
        <stp>FQ2 2017</stp>
        <stp>[AMZ_2009-2018.xlsx]Income - Adjusted!R23C36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23" s="2"/>
      </tp>
      <tp t="s">
        <v>—</v>
        <stp/>
        <stp>##V3_BDHV12</stp>
        <stp>AMZN US Equity</stp>
        <stp>IS_FOREIGN_EXCH_LOSS</stp>
        <stp>FQ2 2012</stp>
        <stp>FQ2 2012</stp>
        <stp>[AMZ_2009-2018.xlsx]Income - Adjusted!R23C16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3" s="2"/>
      </tp>
      <tp>
        <v>-1144</v>
        <stp/>
        <stp>##V3_BDHV12</stp>
        <stp>AMZN US Equity</stp>
        <stp>ACQUIS_FXD_&amp;_INTANG_DETAILED</stp>
        <stp>FQ4 2014</stp>
        <stp>FQ4 2014</stp>
        <stp>[AMZ_2009-2018.xlsx]Cash Flow - Standardized!R26C26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6" s="4"/>
      </tp>
      <tp>
        <v>-1038</v>
        <stp/>
        <stp>##V3_BDHV12</stp>
        <stp>AMZN US Equity</stp>
        <stp>ACQUIS_FXD_&amp;_INTANG_DETAILED</stp>
        <stp>FQ3 2013</stp>
        <stp>FQ3 2013</stp>
        <stp>[AMZ_2009-2018.xlsx]Cash Flow - Standardized!R26C21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6" s="4"/>
      </tp>
      <tp>
        <v>26.9283</v>
        <stp/>
        <stp>##V3_BDHV12</stp>
        <stp>AMZN US Equity</stp>
        <stp>TANG_BOOK_VAL_PER_SH</stp>
        <stp>FQ2 2016</stp>
        <stp>FQ2 2016</stp>
        <stp>[AMZ_2009-2018.xlsx]Per Share!R27C32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27" s="5"/>
      </tp>
      <tp>
        <v>12.8987</v>
        <stp/>
        <stp>##V3_BDHV12</stp>
        <stp>AMZN US Equity</stp>
        <stp>TANG_BOOK_VAL_PER_SH</stp>
        <stp>FQ2 2011</stp>
        <stp>FQ2 2011</stp>
        <stp>[AMZ_2009-2018.xlsx]Per Share!R27C12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27" s="5"/>
      </tp>
      <tp>
        <v>-433</v>
        <stp/>
        <stp>##V3_BDHV12</stp>
        <stp>AMZN US Equity</stp>
        <stp>ACQUIS_FXD_&amp;_INTANG_DETAILED</stp>
        <stp>FQ2 2011</stp>
        <stp>FQ2 2011</stp>
        <stp>[AMZ_2009-2018.xlsx]Cash Flow - Standardized!R26C12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6" s="4"/>
      </tp>
      <tp>
        <v>32220</v>
        <stp/>
        <stp>##V3_BDHV12</stp>
        <stp>AMZN US Equity</stp>
        <stp>BS_CUR_ASSET_REPORT</stp>
        <stp>FQ2 2016</stp>
        <stp>FQ2 2016</stp>
        <stp>[AMZ_2009-2018.xlsx]Bal Sheet - Standardized!R22C32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2" s="3"/>
      </tp>
      <tp>
        <v>19327</v>
        <stp/>
        <stp>##V3_BDHV12</stp>
        <stp>AMZN US Equity</stp>
        <stp>BS_CUR_ASSET_REPORT</stp>
        <stp>FQ1 2014</stp>
        <stp>FQ1 2014</stp>
        <stp>[AMZ_2009-2018.xlsx]Bal Sheet - Standardized!R22C23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2" s="3"/>
      </tp>
      <tp t="s">
        <v>—</v>
        <stp/>
        <stp>##V3_BDHV12</stp>
        <stp>AMZN US Equity</stp>
        <stp>IS_CAP_INT_EXP</stp>
        <stp>FQ2 2010</stp>
        <stp>FQ2 2010</stp>
        <stp>[AMZ_2009-2018.xlsx]Income - Adjusted!R71C8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1" s="2"/>
      </tp>
      <tp>
        <v>-386</v>
        <stp/>
        <stp>##V3_BDHV12</stp>
        <stp>AMZN US Equity</stp>
        <stp>ACQUIS_FXD_&amp;_INTANG_DETAILED</stp>
        <stp>FQ1 2012</stp>
        <stp>FQ1 2012</stp>
        <stp>[AMZ_2009-2018.xlsx]Cash Flow - Standardized!R26C15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6" s="4"/>
      </tp>
      <tp>
        <v>48578</v>
        <stp/>
        <stp>##V3_BDHV12</stp>
        <stp>AMZN US Equity</stp>
        <stp>BS_CUR_ASSET_REPORT</stp>
        <stp>FQ3 2017</stp>
        <stp>FQ3 2017</stp>
        <stp>[AMZ_2009-2018.xlsx]Bal Sheet - Standardized!R22C37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2" s="3"/>
      </tp>
      <tp>
        <v>14.0436</v>
        <stp/>
        <stp>##V3_BDHV12</stp>
        <stp>AMZN US Equity</stp>
        <stp>TANG_BOOK_VAL_PER_SH</stp>
        <stp>FQ4 2013</stp>
        <stp>FQ4 2013</stp>
        <stp>[AMZ_2009-2018.xlsx]Per Share!R27C22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27" s="5"/>
      </tp>
      <tp>
        <v>-1309</v>
        <stp/>
        <stp>##V3_BDHV12</stp>
        <stp>AMZN US Equity</stp>
        <stp>ACQUIS_FXD_&amp;_INTANG_DETAILED</stp>
        <stp>FQ4 2015</stp>
        <stp>FQ4 2015</stp>
        <stp>[AMZ_2009-2018.xlsx]Cash Flow - Standardized!R26C30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6" s="4"/>
      </tp>
      <tp>
        <v>-634</v>
        <stp/>
        <stp>##V3_BDHV12</stp>
        <stp>AMZN US Equity</stp>
        <stp>PRETAX_INC</stp>
        <stp>FQ3 2014</stp>
        <stp>FQ3 2014</stp>
        <stp>[AMZ_2009-2018.xlsx]Income - Adjusted!R31C25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31" s="2"/>
      </tp>
      <tp>
        <v>84</v>
        <stp/>
        <stp>##V3_BDHV12</stp>
        <stp>AMZN US Equity</stp>
        <stp>PRETAX_INC</stp>
        <stp>FQ1 2012</stp>
        <stp>FQ1 2012</stp>
        <stp>[AMZ_2009-2018.xlsx]Income - Adjusted!R31C15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31" s="2"/>
      </tp>
      <tp>
        <v>953</v>
        <stp/>
        <stp>##V3_BDHV12</stp>
        <stp>AMZN US Equity</stp>
        <stp>PRETAX_INC</stp>
        <stp>FQ1 2017</stp>
        <stp>FQ1 2017</stp>
        <stp>[AMZ_2009-2018.xlsx]Income - Adjusted!R31C35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31" s="2"/>
      </tp>
      <tp>
        <v>21296</v>
        <stp/>
        <stp>##V3_BDHV12</stp>
        <stp>AMZN US Equity</stp>
        <stp>BS_CUR_ASSET_REPORT</stp>
        <stp>FQ4 2012</stp>
        <stp>FQ4 2012</stp>
        <stp>[AMZ_2009-2018.xlsx]Bal Sheet - Standardized!R22C18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2" s="3"/>
      </tp>
      <tp>
        <v>131</v>
        <stp/>
        <stp>##V3_BDHV12</stp>
        <stp>AMZN US Equity</stp>
        <stp>LONG_TERM_BORROWINGS_DETAILED</stp>
        <stp>FQ1 2010</stp>
        <stp>FQ1 2010</stp>
        <stp>[AMZ_2009-2018.xlsx]Bal Sheet - Standardized!R53C7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3" s="3"/>
      </tp>
      <tp>
        <v>-1350</v>
        <stp/>
        <stp>##V3_BDHV12</stp>
        <stp>AMZN US Equity</stp>
        <stp>CF_CASH_FROM_INV_ACT</stp>
        <stp>FQ1 2017</stp>
        <stp>FQ1 2017</stp>
        <stp>[AMZ_2009-2018.xlsx]Cash Flow - Standardized!R38C35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8" s="4"/>
      </tp>
      <tp>
        <v>0.67</v>
        <stp/>
        <stp>##V3_BDHV12</stp>
        <stp>AMZN US Equity</stp>
        <stp>IS_EARN_BEF_XO_ITEMS_PER_SH</stp>
        <stp>FQ1 2010</stp>
        <stp>FQ1 2010</stp>
        <stp>[AMZ_2009-2018.xlsx]Income - Adjusted!R51C7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51" s="2"/>
      </tp>
      <tp>
        <v>-1215</v>
        <stp/>
        <stp>##V3_BDHV12</stp>
        <stp>AMZN US Equity</stp>
        <stp>CF_CASH_FROM_INV_ACT</stp>
        <stp>FQ4 2010</stp>
        <stp>FQ4 2010</stp>
        <stp>[AMZ_2009-2018.xlsx]Cash Flow - Standardized!R38C10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8" s="4"/>
      </tp>
      <tp>
        <v>-843</v>
        <stp/>
        <stp>##V3_BDHV12</stp>
        <stp>AMZN US Equity</stp>
        <stp>CF_CASH_FROM_INV_ACT</stp>
        <stp>FQ4 2013</stp>
        <stp>FQ4 2013</stp>
        <stp>[AMZ_2009-2018.xlsx]Cash Flow - Standardized!R38C22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8" s="4"/>
      </tp>
      <tp>
        <v>-946</v>
        <stp/>
        <stp>##V3_BDHV12</stp>
        <stp>AMZN US Equity</stp>
        <stp>CF_CASH_FROM_INV_ACT</stp>
        <stp>FQ3 2014</stp>
        <stp>FQ3 2014</stp>
        <stp>[AMZ_2009-2018.xlsx]Cash Flow - Standardized!R38C25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8" s="4"/>
      </tp>
      <tp>
        <v>446</v>
        <stp/>
        <stp>##V3_BDHV12</stp>
        <stp>AMZN US Equity</stp>
        <stp>BS_SH_OUT</stp>
        <stp>FQ1 2010</stp>
        <stp>FQ1 2010</stp>
        <stp>[AMZ_2009-2018.xlsx]Per Share!R6C7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6" s="5"/>
      </tp>
      <tp>
        <v>-1376</v>
        <stp/>
        <stp>##V3_BDHV12</stp>
        <stp>AMZN US Equity</stp>
        <stp>CF_CASH_FROM_INV_ACT</stp>
        <stp>FQ2 2015</stp>
        <stp>FQ2 2015</stp>
        <stp>[AMZ_2009-2018.xlsx]Cash Flow - Standardized!R38C28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8" s="4"/>
      </tp>
      <tp>
        <v>1273</v>
        <stp/>
        <stp>##V3_BDHV12</stp>
        <stp>AMZN US Equity</stp>
        <stp>GROSS_PROFIT</stp>
        <stp>FQ3 2009</stp>
        <stp>FQ3 2009</stp>
        <stp>[AMZ_2009-2018.xlsx]Income - Adjusted!R10C5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0" s="2"/>
      </tp>
      <tp>
        <v>0</v>
        <stp/>
        <stp>##V3_BDHV12</stp>
        <stp>AMZN US Equity</stp>
        <stp>EQY_DPS</stp>
        <stp>FQ3 2014</stp>
        <stp>FQ3 2014</stp>
        <stp>[AMZ_2009-2018.xlsx]Per Share!R20C25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20" s="5"/>
      </tp>
      <tp>
        <v>0</v>
        <stp/>
        <stp>##V3_BDHV12</stp>
        <stp>AMZN US Equity</stp>
        <stp>EQY_DPS</stp>
        <stp>FQ1 2017</stp>
        <stp>FQ1 2017</stp>
        <stp>[AMZ_2009-2018.xlsx]Per Share!R20C35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20" s="5"/>
      </tp>
      <tp>
        <v>0</v>
        <stp/>
        <stp>##V3_BDHV12</stp>
        <stp>AMZN US Equity</stp>
        <stp>EQY_DPS</stp>
        <stp>FQ1 2012</stp>
        <stp>FQ1 2012</stp>
        <stp>[AMZ_2009-2018.xlsx]Per Share!R20C15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20" s="5"/>
      </tp>
      <tp>
        <v>0.40960000000000002</v>
        <stp/>
        <stp>##V3_BDHV12</stp>
        <stp>AMZN US Equity</stp>
        <stp>IS_BASIC_EPS_CONT_OPS</stp>
        <stp>FQ1 2009</stp>
        <stp>FQ1 2009</stp>
        <stp>[AMZ_2009-2018.xlsx]Per Share!R16C3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16" s="5"/>
      </tp>
      <tp>
        <v>458</v>
        <stp/>
        <stp>##V3_BDHV12</stp>
        <stp>AMZN US Equity</stp>
        <stp>IS_SH_FOR_DILUTED_EPS</stp>
        <stp>FQ4 2010</stp>
        <stp>FQ4 2010</stp>
        <stp>[AMZ_2009-2018.xlsx]Per Share!R7C10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7" s="5"/>
      </tp>
      <tp>
        <v>459</v>
        <stp/>
        <stp>##V3_BDHV12</stp>
        <stp>AMZN US Equity</stp>
        <stp>IS_SH_FOR_DILUTED_EPS</stp>
        <stp>FQ1 2011</stp>
        <stp>FQ1 2011</stp>
        <stp>[AMZ_2009-2018.xlsx]Per Share!R7C11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7" s="5"/>
      </tp>
      <tp>
        <v>494</v>
        <stp/>
        <stp>##V3_BDHV12</stp>
        <stp>AMZN US Equity</stp>
        <stp>IS_SH_FOR_DILUTED_EPS</stp>
        <stp>FQ3 2017</stp>
        <stp>FQ3 2017</stp>
        <stp>[AMZ_2009-2018.xlsx]Per Share!R7C37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7" s="5"/>
      </tp>
      <tp>
        <v>461</v>
        <stp/>
        <stp>##V3_BDHV12</stp>
        <stp>AMZN US Equity</stp>
        <stp>IS_SH_FOR_DILUTED_EPS</stp>
        <stp>FQ2 2014</stp>
        <stp>FQ2 2014</stp>
        <stp>[AMZ_2009-2018.xlsx]Per Share!R7C24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7" s="5"/>
      </tp>
      <tp>
        <v>270</v>
        <stp/>
        <stp>##V3_BDHV12</stp>
        <stp>AMZN US Equity</stp>
        <stp>IS_OPER_INC</stp>
        <stp>FQ2 2010</stp>
        <stp>FQ2 2010</stp>
        <stp>[AMZ_2009-2018.xlsx]Income - Adjusted!R18C8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8" s="2"/>
      </tp>
      <tp>
        <v>-56.35</v>
        <stp/>
        <stp>##V3_BDHV12</stp>
        <stp>AMZN US Equity</stp>
        <stp>EARN_FOR_COMMON</stp>
        <stp>FQ1 2015</stp>
        <stp>FQ1 2015</stp>
        <stp>[AMZ_2009-2018.xlsx]Income - Adjusted!R45C27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45" s="2"/>
      </tp>
      <tp>
        <v>-129</v>
        <stp/>
        <stp>##V3_BDHV12</stp>
        <stp>AMZN US Equity</stp>
        <stp>EARN_FOR_COMMON</stp>
        <stp>FQ3 2012</stp>
        <stp>FQ3 2012</stp>
        <stp>[AMZ_2009-2018.xlsx]Income - Adjusted!R45C17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45" s="2"/>
      </tp>
      <tp>
        <v>256</v>
        <stp/>
        <stp>##V3_BDHV12</stp>
        <stp>AMZN US Equity</stp>
        <stp>EARN_FOR_COMMON</stp>
        <stp>FQ3 2017</stp>
        <stp>FQ3 2017</stp>
        <stp>[AMZ_2009-2018.xlsx]Income - Adjusted!R45C37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45" s="2"/>
      </tp>
      <tp>
        <v>96</v>
        <stp/>
        <stp>##V3_BDHV12</stp>
        <stp>AMZN US Equity</stp>
        <stp>IS_NET_INTEREST_EXPENSE</stp>
        <stp>FQ1 2016</stp>
        <stp>FQ1 2016</stp>
        <stp>[AMZ_2009-2018.xlsx]Income - Adjusted!R20C31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20" s="2"/>
      </tp>
      <tp>
        <v>-3</v>
        <stp/>
        <stp>##V3_BDHV12</stp>
        <stp>AMZN US Equity</stp>
        <stp>IS_NET_INTEREST_EXPENSE</stp>
        <stp>FQ1 2011</stp>
        <stp>FQ1 2011</stp>
        <stp>[AMZ_2009-2018.xlsx]Income - Adjusted!R20C11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0" s="2"/>
      </tp>
      <tp>
        <v>-50</v>
        <stp/>
        <stp>##V3_BDHV12</stp>
        <stp>AMZN US Equity</stp>
        <stp>IS_OTHER_NON_OPERATING_INC_LOSS</stp>
        <stp>FQ2 2012</stp>
        <stp>FQ2 2012</stp>
        <stp>[AMZ_2009-2018.xlsx]Income - Adjusted!R24C16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4" s="2"/>
      </tp>
      <tp>
        <v>-137</v>
        <stp/>
        <stp>##V3_BDHV12</stp>
        <stp>AMZN US Equity</stp>
        <stp>IS_OTHER_NON_OPERATING_INC_LOSS</stp>
        <stp>FQ2 2017</stp>
        <stp>FQ2 2017</stp>
        <stp>[AMZ_2009-2018.xlsx]Income - Adjusted!R24C36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24" s="2"/>
      </tp>
      <tp>
        <v>27</v>
        <stp/>
        <stp>##V3_BDHV12</stp>
        <stp>AMZN US Equity</stp>
        <stp>IS_NET_INTEREST_EXPENSE</stp>
        <stp>FQ3 2013</stp>
        <stp>FQ3 2013</stp>
        <stp>[AMZ_2009-2018.xlsx]Income - Adjusted!R20C21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0" s="2"/>
      </tp>
      <tp>
        <v>0</v>
        <stp/>
        <stp>##V3_BDHV12</stp>
        <stp>AMZN US Equity</stp>
        <stp>NET_CHG_IN_LT_INVEST_DETAILED</stp>
        <stp>FQ1 2018</stp>
        <stp>FQ1 2018</stp>
        <stp>[AMZ_2009-2018.xlsx]Cash Flow - Standardized!R29C39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9" s="4"/>
      </tp>
      <tp>
        <v>96</v>
        <stp/>
        <stp>##V3_BDHV12</stp>
        <stp>AMZN US Equity</stp>
        <stp>IS_OTHER_NON_OPERATING_INC_LOSS</stp>
        <stp>FQ4 2014</stp>
        <stp>FQ4 2014</stp>
        <stp>[AMZ_2009-2018.xlsx]Income - Adjusted!R24C26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4" s="2"/>
      </tp>
      <tp>
        <v>418</v>
        <stp/>
        <stp>##V3_BDHV12</stp>
        <stp>AMZN US Equity</stp>
        <stp>IS_OTHER_OPERATING_EXPENSES</stp>
        <stp>FQ2 2009</stp>
        <stp>FQ2 2009</stp>
        <stp>[AMZ_2009-2018.xlsx]Income - Adjusted!R17C4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7" s="2"/>
      </tp>
      <tp>
        <v>2</v>
        <stp/>
        <stp>##V3_BDHV12</stp>
        <stp>AMZN US Equity</stp>
        <stp>IS_SH_PRO_EQY_MT_INV_NET_OF_TAX</stp>
        <stp>FQ1 2009</stp>
        <stp>FQ1 2009</stp>
        <stp>[AMZ_2009-2018.xlsx]Income - Adjusted!R33C3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2"/>
      </tp>
      <tp>
        <v>0</v>
        <stp/>
        <stp>##V3_BDHV12</stp>
        <stp>AMZN US Equity</stp>
        <stp>XO_GL_NET_OF_TAX</stp>
        <stp>FQ4 2014</stp>
        <stp>FQ4 2014</stp>
        <stp>[AMZ_2009-2018.xlsx]Income - Adjusted!R35C26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5" s="2"/>
      </tp>
      <tp>
        <v>0</v>
        <stp/>
        <stp>##V3_BDHV12</stp>
        <stp>AMZN US Equity</stp>
        <stp>XO_GL_NET_OF_TAX</stp>
        <stp>FQ4 2015</stp>
        <stp>FQ4 2015</stp>
        <stp>[AMZ_2009-2018.xlsx]Income - Adjusted!R47C30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7" s="2"/>
      </tp>
      <tp>
        <v>0</v>
        <stp/>
        <stp>##V3_BDHV12</stp>
        <stp>AMZN US Equity</stp>
        <stp>XO_GL_NET_OF_TAX</stp>
        <stp>FQ2 2014</stp>
        <stp>FQ2 2014</stp>
        <stp>[AMZ_2009-2018.xlsx]Income - Adjusted!R35C24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5" s="2"/>
      </tp>
      <tp>
        <v>0</v>
        <stp/>
        <stp>##V3_BDHV12</stp>
        <stp>AMZN US Equity</stp>
        <stp>XO_GL_NET_OF_TAX</stp>
        <stp>FQ1 2014</stp>
        <stp>FQ1 2014</stp>
        <stp>[AMZ_2009-2018.xlsx]Income - Adjusted!R47C23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7" s="2"/>
      </tp>
      <tp>
        <v>0</v>
        <stp/>
        <stp>##V3_BDHV12</stp>
        <stp>AMZN US Equity</stp>
        <stp>XO_GL_NET_OF_TAX</stp>
        <stp>FQ3 2014</stp>
        <stp>FQ3 2014</stp>
        <stp>[AMZ_2009-2018.xlsx]Income - Adjusted!R35C25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5" s="2"/>
      </tp>
      <tp>
        <v>0</v>
        <stp/>
        <stp>##V3_BDHV12</stp>
        <stp>AMZN US Equity</stp>
        <stp>XO_GL_NET_OF_TAX</stp>
        <stp>FQ3 2014</stp>
        <stp>FQ3 2014</stp>
        <stp>[AMZ_2009-2018.xlsx]Income - Adjusted!R47C25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7" s="2"/>
      </tp>
      <tp>
        <v>0</v>
        <stp/>
        <stp>##V3_BDHV12</stp>
        <stp>AMZN US Equity</stp>
        <stp>XO_GL_NET_OF_TAX</stp>
        <stp>FQ2 2014</stp>
        <stp>FQ2 2014</stp>
        <stp>[AMZ_2009-2018.xlsx]Income - Adjusted!R47C24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7" s="2"/>
      </tp>
      <tp>
        <v>0</v>
        <stp/>
        <stp>##V3_BDHV12</stp>
        <stp>AMZN US Equity</stp>
        <stp>XO_GL_NET_OF_TAX</stp>
        <stp>FQ1 2014</stp>
        <stp>FQ1 2014</stp>
        <stp>[AMZ_2009-2018.xlsx]Income - Adjusted!R35C23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5" s="2"/>
      </tp>
      <tp>
        <v>0</v>
        <stp/>
        <stp>##V3_BDHV12</stp>
        <stp>AMZN US Equity</stp>
        <stp>XO_GL_NET_OF_TAX</stp>
        <stp>FQ4 2015</stp>
        <stp>FQ4 2015</stp>
        <stp>[AMZ_2009-2018.xlsx]Income - Adjusted!R35C30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5" s="2"/>
      </tp>
      <tp>
        <v>0</v>
        <stp/>
        <stp>##V3_BDHV12</stp>
        <stp>AMZN US Equity</stp>
        <stp>XO_GL_NET_OF_TAX</stp>
        <stp>FQ4 2014</stp>
        <stp>FQ4 2014</stp>
        <stp>[AMZ_2009-2018.xlsx]Income - Adjusted!R47C26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7" s="2"/>
      </tp>
      <tp>
        <v>1234</v>
        <stp/>
        <stp>##V3_BDHV12</stp>
        <stp>AMZN US Equity</stp>
        <stp>BS_GOODWILL</stp>
        <stp>FQ4 2009</stp>
        <stp>FQ4 2009</stp>
        <stp>[AMZ_2009-2018.xlsx]Bal Sheet - Standardized!R29C6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9" s="3"/>
      </tp>
      <tp>
        <v>0.32</v>
        <stp/>
        <stp>##V3_BDHV12</stp>
        <stp>AMZN US Equity</stp>
        <stp>IS_DIL_EPS_BEF_XO</stp>
        <stp>FQ2 2009</stp>
        <stp>FQ2 2009</stp>
        <stp>[AMZ_2009-2018.xlsx]Income - Adjusted!R56C4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56" s="2"/>
      </tp>
      <tp t="s">
        <v>—</v>
        <stp/>
        <stp>##V3_BDHV12</stp>
        <stp>AMZN US Equity</stp>
        <stp>IS_FOREIGN_EXCH_LOSS</stp>
        <stp>FQ1 2015</stp>
        <stp>FQ1 2015</stp>
        <stp>[AMZ_2009-2018.xlsx]Income - Adjusted!R23C27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3" s="2"/>
      </tp>
      <tp t="s">
        <v>—</v>
        <stp/>
        <stp>##V3_BDHV12</stp>
        <stp>AMZN US Equity</stp>
        <stp>IS_FOREIGN_EXCH_LOSS</stp>
        <stp>FQ3 2017</stp>
        <stp>FQ3 2017</stp>
        <stp>[AMZ_2009-2018.xlsx]Income - Adjusted!R23C37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23" s="2"/>
      </tp>
      <tp t="s">
        <v>—</v>
        <stp/>
        <stp>##V3_BDHV12</stp>
        <stp>AMZN US Equity</stp>
        <stp>IS_FOREIGN_EXCH_LOSS</stp>
        <stp>FQ3 2012</stp>
        <stp>FQ3 2012</stp>
        <stp>[AMZ_2009-2018.xlsx]Income - Adjusted!R23C17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3" s="2"/>
      </tp>
      <tp>
        <v>-529</v>
        <stp/>
        <stp>##V3_BDHV12</stp>
        <stp>AMZN US Equity</stp>
        <stp>ACQUIS_FXD_&amp;_INTANG_DETAILED</stp>
        <stp>FQ3 2011</stp>
        <stp>FQ3 2011</stp>
        <stp>[AMZ_2009-2018.xlsx]Cash Flow - Standardized!R26C13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6" s="4"/>
      </tp>
      <tp>
        <v>35609</v>
        <stp/>
        <stp>##V3_BDHV12</stp>
        <stp>AMZN US Equity</stp>
        <stp>BS_CUR_ASSET_REPORT</stp>
        <stp>FQ3 2016</stp>
        <stp>FQ3 2016</stp>
        <stp>[AMZ_2009-2018.xlsx]Bal Sheet - Standardized!R22C33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2" s="3"/>
      </tp>
      <tp>
        <v>-855</v>
        <stp/>
        <stp>##V3_BDHV12</stp>
        <stp>AMZN US Equity</stp>
        <stp>ACQUIS_FXD_&amp;_INTANG_DETAILED</stp>
        <stp>FQ2 2013</stp>
        <stp>FQ2 2013</stp>
        <stp>[AMZ_2009-2018.xlsx]Cash Flow - Standardized!R26C20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6" s="4"/>
      </tp>
      <tp>
        <v>29.404199999999999</v>
        <stp/>
        <stp>##V3_BDHV12</stp>
        <stp>AMZN US Equity</stp>
        <stp>TANG_BOOK_VAL_PER_SH</stp>
        <stp>FQ3 2016</stp>
        <stp>FQ3 2016</stp>
        <stp>[AMZ_2009-2018.xlsx]Per Share!R27C33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27" s="5"/>
      </tp>
      <tp>
        <v>12.817600000000001</v>
        <stp/>
        <stp>##V3_BDHV12</stp>
        <stp>AMZN US Equity</stp>
        <stp>TANG_BOOK_VAL_PER_SH</stp>
        <stp>FQ3 2011</stp>
        <stp>FQ3 2011</stp>
        <stp>[AMZ_2009-2018.xlsx]Per Share!R27C13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27" s="5"/>
      </tp>
      <tp>
        <v>16.684799999999999</v>
        <stp/>
        <stp>##V3_BDHV12</stp>
        <stp>AMZN US Equity</stp>
        <stp>TANG_BOOK_VAL_PER_SH</stp>
        <stp>FQ1 2014</stp>
        <stp>FQ1 2014</stp>
        <stp>[AMZ_2009-2018.xlsx]Per Share!R27C23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27" s="5"/>
      </tp>
      <tp>
        <v>41007</v>
        <stp/>
        <stp>##V3_BDHV12</stp>
        <stp>AMZN US Equity</stp>
        <stp>BS_CUR_ASSET_REPORT</stp>
        <stp>FQ2 2017</stp>
        <stp>FQ2 2017</stp>
        <stp>[AMZ_2009-2018.xlsx]Bal Sheet - Standardized!R22C36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2" s="3"/>
      </tp>
      <tp t="s">
        <v>—</v>
        <stp/>
        <stp>##V3_BDHV12</stp>
        <stp>AMZN US Equity</stp>
        <stp>IS_CAP_INT_EXP</stp>
        <stp>FQ3 2010</stp>
        <stp>FQ3 2010</stp>
        <stp>[AMZ_2009-2018.xlsx]Income - Adjusted!R71C9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1" s="2"/>
      </tp>
      <tp>
        <v>25922</v>
        <stp/>
        <stp>##V3_BDHV12</stp>
        <stp>AMZN US Equity</stp>
        <stp>BS_CUR_ASSET_REPORT</stp>
        <stp>FQ1 2015</stp>
        <stp>FQ1 2015</stp>
        <stp>[AMZ_2009-2018.xlsx]Bal Sheet - Standardized!R22C27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2" s="3"/>
      </tp>
      <tp>
        <v>-670</v>
        <stp/>
        <stp>##V3_BDHV12</stp>
        <stp>AMZN US Equity</stp>
        <stp>ACQUIS_FXD_&amp;_INTANG_DETAILED</stp>
        <stp>FQ1 2013</stp>
        <stp>FQ1 2013</stp>
        <stp>[AMZ_2009-2018.xlsx]Cash Flow - Standardized!R26C19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6" s="4"/>
      </tp>
      <tp>
        <v>-27</v>
        <stp/>
        <stp>##V3_BDHV12</stp>
        <stp>AMZN US Equity</stp>
        <stp>PRETAX_INC</stp>
        <stp>FQ2 2014</stp>
        <stp>FQ2 2014</stp>
        <stp>[AMZ_2009-2018.xlsx]Income - Adjusted!R31C24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31" s="2"/>
      </tp>
      <tp>
        <v>1166</v>
        <stp/>
        <stp>##V3_BDHV12</stp>
        <stp>AMZN US Equity</stp>
        <stp>PRETAX_INC</stp>
        <stp>FQ4 2016</stp>
        <stp>FQ4 2016</stp>
        <stp>[AMZ_2009-2018.xlsx]Income - Adjusted!R31C34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31" s="2"/>
      </tp>
      <tp>
        <v>273</v>
        <stp/>
        <stp>##V3_BDHV12</stp>
        <stp>AMZN US Equity</stp>
        <stp>PRETAX_INC</stp>
        <stp>FQ4 2011</stp>
        <stp>FQ4 2011</stp>
        <stp>[AMZ_2009-2018.xlsx]Income - Adjusted!R31C14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31" s="2"/>
      </tp>
      <tp>
        <v>-693</v>
        <stp/>
        <stp>##V3_BDHV12</stp>
        <stp>AMZN US Equity</stp>
        <stp>CF_CASH_FROM_INV_ACT</stp>
        <stp>FQ1 2016</stp>
        <stp>FQ1 2016</stp>
        <stp>[AMZ_2009-2018.xlsx]Cash Flow - Standardized!R38C31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8" s="4"/>
      </tp>
      <tp>
        <v>-1469</v>
        <stp/>
        <stp>##V3_BDHV12</stp>
        <stp>AMZN US Equity</stp>
        <stp>CF_CASH_FROM_INV_ACT</stp>
        <stp>FQ4 2011</stp>
        <stp>FQ4 2011</stp>
        <stp>[AMZ_2009-2018.xlsx]Cash Flow - Standardized!R38C14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8" s="4"/>
      </tp>
      <tp>
        <v>-731</v>
        <stp/>
        <stp>##V3_BDHV12</stp>
        <stp>AMZN US Equity</stp>
        <stp>CF_CASH_FROM_INV_ACT</stp>
        <stp>FQ2 2014</stp>
        <stp>FQ2 2014</stp>
        <stp>[AMZ_2009-2018.xlsx]Cash Flow - Standardized!R38C24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8" s="4"/>
      </tp>
      <tp>
        <v>12026</v>
        <stp/>
        <stp>##V3_BDHV12</stp>
        <stp>AMZN US Equity</stp>
        <stp>BS_ACCTS_REC_EXCL_NOTES_REC</stp>
        <stp>FQ1 2018</stp>
        <stp>FQ1 2018</stp>
        <stp>[AMZ_2009-2018.xlsx]Bal Sheet - Standardized!R11C39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11" s="3"/>
      </tp>
      <tp>
        <v>-1377</v>
        <stp/>
        <stp>##V3_BDHV12</stp>
        <stp>AMZN US Equity</stp>
        <stp>CF_CASH_FROM_INV_ACT</stp>
        <stp>FQ3 2015</stp>
        <stp>FQ3 2015</stp>
        <stp>[AMZ_2009-2018.xlsx]Cash Flow - Standardized!R38C29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8" s="4"/>
      </tp>
      <tp>
        <v>1123</v>
        <stp/>
        <stp>##V3_BDHV12</stp>
        <stp>AMZN US Equity</stp>
        <stp>OTHER_INVESTING_ACT_DETAILED</stp>
        <stp>FQ2 2018</stp>
        <stp>FQ2 2018</stp>
        <stp>[AMZ_2009-2018.xlsx]Cash Flow - Standardized!R36C40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6" s="4"/>
      </tp>
      <tp>
        <v>1133</v>
        <stp/>
        <stp>##V3_BDHV12</stp>
        <stp>AMZN US Equity</stp>
        <stp>GROSS_PROFIT</stp>
        <stp>FQ2 2009</stp>
        <stp>FQ2 2009</stp>
        <stp>[AMZ_2009-2018.xlsx]Income - Adjusted!R10C4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0" s="2"/>
      </tp>
      <tp>
        <v>74</v>
        <stp/>
        <stp>##V3_BDHV12</stp>
        <stp>AMZN US Equity</stp>
        <stp>LONG_TERM_BORROWINGS_DETAILED</stp>
        <stp>FQ1 2009</stp>
        <stp>FQ1 2009</stp>
        <stp>[AMZ_2009-2018.xlsx]Bal Sheet - Standardized!R53C3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3" s="3"/>
      </tp>
      <tp>
        <v>1.9363000000000001</v>
        <stp/>
        <stp>##V3_BDHV12</stp>
        <stp>AMZN US Equity</stp>
        <stp>EBITDA_PER_SH</stp>
        <stp>FQ1 2013</stp>
        <stp>FQ1 2013</stp>
        <stp>[AMZ_2009-2018.xlsx]Per Share!R12C19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12" s="5"/>
      </tp>
      <tp>
        <v>1.4327000000000001</v>
        <stp/>
        <stp>##V3_BDHV12</stp>
        <stp>AMZN US Equity</stp>
        <stp>EBITDA_PER_SH</stp>
        <stp>FQ1 2012</stp>
        <stp>FQ1 2012</stp>
        <stp>[AMZ_2009-2018.xlsx]Per Share!R12C15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12" s="5"/>
      </tp>
      <tp>
        <v>1.1618999999999999</v>
        <stp/>
        <stp>##V3_BDHV12</stp>
        <stp>AMZN US Equity</stp>
        <stp>EBITDA_PER_SH</stp>
        <stp>FQ1 2011</stp>
        <stp>FQ1 2011</stp>
        <stp>[AMZ_2009-2018.xlsx]Per Share!R12C11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12" s="5"/>
      </tp>
      <tp>
        <v>7.2117000000000004</v>
        <stp/>
        <stp>##V3_BDHV12</stp>
        <stp>AMZN US Equity</stp>
        <stp>EBITDA_PER_SH</stp>
        <stp>FQ1 2017</stp>
        <stp>FQ1 2017</stp>
        <stp>[AMZ_2009-2018.xlsx]Per Share!R12C35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12" s="5"/>
      </tp>
      <tp>
        <v>6.1528999999999998</v>
        <stp/>
        <stp>##V3_BDHV12</stp>
        <stp>AMZN US Equity</stp>
        <stp>EBITDA_PER_SH</stp>
        <stp>FQ1 2016</stp>
        <stp>FQ1 2016</stp>
        <stp>[AMZ_2009-2018.xlsx]Per Share!R12C31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12" s="5"/>
      </tp>
      <tp>
        <v>3.6151</v>
        <stp/>
        <stp>##V3_BDHV12</stp>
        <stp>AMZN US Equity</stp>
        <stp>EBITDA_PER_SH</stp>
        <stp>FQ1 2015</stp>
        <stp>FQ1 2015</stp>
        <stp>[AMZ_2009-2018.xlsx]Per Share!R12C27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12" s="5"/>
      </tp>
      <tp>
        <v>5.6204999999999998</v>
        <stp/>
        <stp>##V3_BDHV12</stp>
        <stp>AMZN US Equity</stp>
        <stp>FREE_CASH_FLOW_PER_SH</stp>
        <stp>FQ4 2009</stp>
        <stp>FQ4 2009</stp>
        <stp>[AMZ_2009-2018.xlsx]Per Share!R23C6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23" s="5"/>
      </tp>
      <tp>
        <v>2.5129999999999999</v>
        <stp/>
        <stp>##V3_BDHV12</stp>
        <stp>AMZN US Equity</stp>
        <stp>EBITDA_PER_SH</stp>
        <stp>FQ1 2014</stp>
        <stp>FQ1 2014</stp>
        <stp>[AMZ_2009-2018.xlsx]Per Share!R12C23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12" s="5"/>
      </tp>
      <tp>
        <v>11.5661</v>
        <stp/>
        <stp>##V3_BDHV12</stp>
        <stp>AMZN US Equity</stp>
        <stp>EBITDA_PER_SH</stp>
        <stp>FQ1 2018</stp>
        <stp>FQ1 2018</stp>
        <stp>[AMZ_2009-2018.xlsx]Per Share!R12C39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12" s="5"/>
      </tp>
      <tp>
        <v>0</v>
        <stp/>
        <stp>##V3_BDHV12</stp>
        <stp>AMZN US Equity</stp>
        <stp>EQY_DPS</stp>
        <stp>FQ4 2011</stp>
        <stp>FQ4 2011</stp>
        <stp>[AMZ_2009-2018.xlsx]Per Share!R20C14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20" s="5"/>
      </tp>
      <tp>
        <v>0</v>
        <stp/>
        <stp>##V3_BDHV12</stp>
        <stp>AMZN US Equity</stp>
        <stp>EQY_DPS</stp>
        <stp>FQ4 2016</stp>
        <stp>FQ4 2016</stp>
        <stp>[AMZ_2009-2018.xlsx]Per Share!R20C34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20" s="5"/>
      </tp>
      <tp>
        <v>0</v>
        <stp/>
        <stp>##V3_BDHV12</stp>
        <stp>AMZN US Equity</stp>
        <stp>EQY_DPS</stp>
        <stp>FQ2 2014</stp>
        <stp>FQ2 2014</stp>
        <stp>[AMZ_2009-2018.xlsx]Per Share!R20C24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20" s="5"/>
      </tp>
      <tp>
        <v>1500</v>
        <stp/>
        <stp>##V3_BDHV12</stp>
        <stp>AMZN US Equity</stp>
        <stp>IS_OPERATING_EXPN</stp>
        <stp>FQ4 2009</stp>
        <stp>FQ4 2009</stp>
        <stp>[AMZ_2009-2018.xlsx]Income - Adjusted!R12C6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2" s="2"/>
      </tp>
      <tp>
        <v>467</v>
        <stp/>
        <stp>##V3_BDHV12</stp>
        <stp>AMZN US Equity</stp>
        <stp>IS_SH_FOR_DILUTED_EPS</stp>
        <stp>FQ4 2013</stp>
        <stp>FQ4 2013</stp>
        <stp>[AMZ_2009-2018.xlsx]Per Share!R7C22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7" s="5"/>
      </tp>
      <tp>
        <v>498</v>
        <stp/>
        <stp>##V3_BDHV12</stp>
        <stp>AMZN US Equity</stp>
        <stp>IS_SH_FOR_DILUTED_EPS</stp>
        <stp>FQ1 2018</stp>
        <stp>FQ1 2018</stp>
        <stp>[AMZ_2009-2018.xlsx]Per Share!R7C39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7" s="5"/>
      </tp>
      <tp>
        <v>463</v>
        <stp/>
        <stp>##V3_BDHV12</stp>
        <stp>AMZN US Equity</stp>
        <stp>IS_SH_FOR_DILUTED_EPS</stp>
        <stp>FQ3 2014</stp>
        <stp>FQ3 2014</stp>
        <stp>[AMZ_2009-2018.xlsx]Per Share!R7C25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7" s="5"/>
      </tp>
      <tp>
        <v>492</v>
        <stp/>
        <stp>##V3_BDHV12</stp>
        <stp>AMZN US Equity</stp>
        <stp>IS_SH_FOR_DILUTED_EPS</stp>
        <stp>FQ2 2017</stp>
        <stp>FQ2 2017</stp>
        <stp>[AMZ_2009-2018.xlsx]Per Share!R7C36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7" s="5"/>
      </tp>
      <tp t="s">
        <v>—</v>
        <stp/>
        <stp>##V3_BDHV12</stp>
        <stp>AMZN US Equity</stp>
        <stp>BS_DEFERRED_TAX_LIABILITIES_LT</stp>
        <stp>FQ4 2009</stp>
        <stp>FQ4 2009</stp>
        <stp>[AMZ_2009-2018.xlsx]Bal Sheet - Standardized!R59C6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9" s="3"/>
      </tp>
      <tp>
        <v>268</v>
        <stp/>
        <stp>##V3_BDHV12</stp>
        <stp>AMZN US Equity</stp>
        <stp>IS_OPER_INC</stp>
        <stp>FQ3 2010</stp>
        <stp>FQ3 2010</stp>
        <stp>[AMZ_2009-2018.xlsx]Income - Adjusted!R18C9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8" s="2"/>
      </tp>
      <tp>
        <v>214</v>
        <stp/>
        <stp>##V3_BDHV12</stp>
        <stp>AMZN US Equity</stp>
        <stp>EARN_FOR_COMMON</stp>
        <stp>FQ4 2014</stp>
        <stp>FQ4 2014</stp>
        <stp>[AMZ_2009-2018.xlsx]Income - Adjusted!R45C26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45" s="2"/>
      </tp>
      <tp>
        <v>72</v>
        <stp/>
        <stp>##V3_BDHV12</stp>
        <stp>AMZN US Equity</stp>
        <stp>EARN_FOR_COMMON</stp>
        <stp>FQ2 2012</stp>
        <stp>FQ2 2012</stp>
        <stp>[AMZ_2009-2018.xlsx]Income - Adjusted!R45C16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45" s="2"/>
      </tp>
      <tp>
        <v>197</v>
        <stp/>
        <stp>##V3_BDHV12</stp>
        <stp>AMZN US Equity</stp>
        <stp>EARN_FOR_COMMON</stp>
        <stp>FQ2 2017</stp>
        <stp>FQ2 2017</stp>
        <stp>[AMZ_2009-2018.xlsx]Income - Adjusted!R45C36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45" s="2"/>
      </tp>
      <tp>
        <v>-163</v>
        <stp/>
        <stp>##V3_BDHV12</stp>
        <stp>AMZN US Equity</stp>
        <stp>IS_OTHER_NON_OPERATING_INC_LOSS</stp>
        <stp>FQ3 2012</stp>
        <stp>FQ3 2012</stp>
        <stp>[AMZ_2009-2018.xlsx]Income - Adjusted!R24C17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4" s="2"/>
      </tp>
      <tp>
        <v>-143</v>
        <stp/>
        <stp>##V3_BDHV12</stp>
        <stp>AMZN US Equity</stp>
        <stp>IS_OTHER_NON_OPERATING_INC_LOSS</stp>
        <stp>FQ3 2017</stp>
        <stp>FQ3 2017</stp>
        <stp>[AMZ_2009-2018.xlsx]Income - Adjusted!R24C37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24" s="2"/>
      </tp>
      <tp>
        <v>129</v>
        <stp/>
        <stp>##V3_BDHV12</stp>
        <stp>AMZN US Equity</stp>
        <stp>IS_OTHER_NON_OPERATING_INC_LOSS</stp>
        <stp>FQ1 2015</stp>
        <stp>FQ1 2015</stp>
        <stp>[AMZ_2009-2018.xlsx]Income - Adjusted!R24C27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4" s="2"/>
      </tp>
      <tp>
        <v>24</v>
        <stp/>
        <stp>##V3_BDHV12</stp>
        <stp>AMZN US Equity</stp>
        <stp>IS_NET_INTEREST_EXPENSE</stp>
        <stp>FQ2 2013</stp>
        <stp>FQ2 2013</stp>
        <stp>[AMZ_2009-2018.xlsx]Income - Adjusted!R20C20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0" s="2"/>
      </tp>
      <tp>
        <v>249</v>
        <stp/>
        <stp>##V3_BDHV12</stp>
        <stp>AMZN US Equity</stp>
        <stp>IS_NET_INTEREST_EXPENSE</stp>
        <stp>FQ2 2018</stp>
        <stp>FQ2 2018</stp>
        <stp>[AMZ_2009-2018.xlsx]Income - Adjusted!R20C40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20" s="2"/>
      </tp>
      <tp>
        <v>-3</v>
        <stp/>
        <stp>##V3_BDHV12</stp>
        <stp>AMZN US Equity</stp>
        <stp>IS_NET_INTEREST_EXPENSE</stp>
        <stp>FQ4 2010</stp>
        <stp>FQ4 2010</stp>
        <stp>[AMZ_2009-2018.xlsx]Income - Adjusted!R20C10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0" s="2"/>
      </tp>
      <tp>
        <v>102</v>
        <stp/>
        <stp>##V3_BDHV12</stp>
        <stp>AMZN US Equity</stp>
        <stp>IS_NET_INTEREST_EXPENSE</stp>
        <stp>FQ4 2015</stp>
        <stp>FQ4 2015</stp>
        <stp>[AMZ_2009-2018.xlsx]Income - Adjusted!R20C30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20" s="2"/>
      </tp>
      <tp>
        <v>475</v>
        <stp/>
        <stp>##V3_BDHV12</stp>
        <stp>AMZN US Equity</stp>
        <stp>IS_OTHER_OPERATING_EXPENSES</stp>
        <stp>FQ3 2009</stp>
        <stp>FQ3 2009</stp>
        <stp>[AMZ_2009-2018.xlsx]Income - Adjusted!R17C5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7" s="2"/>
      </tp>
      <tp>
        <v>0</v>
        <stp/>
        <stp>##V3_BDHV12</stp>
        <stp>AMZN US Equity</stp>
        <stp>XO_GL_NET_OF_TAX</stp>
        <stp>FQ1 2016</stp>
        <stp>FQ1 2016</stp>
        <stp>[AMZ_2009-2018.xlsx]Income - Adjusted!R47C31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7" s="2"/>
      </tp>
      <tp>
        <v>0</v>
        <stp/>
        <stp>##V3_BDHV12</stp>
        <stp>AMZN US Equity</stp>
        <stp>XO_GL_NET_OF_TAX</stp>
        <stp>FQ4 2016</stp>
        <stp>FQ4 2016</stp>
        <stp>[AMZ_2009-2018.xlsx]Income - Adjusted!R35C34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5" s="2"/>
      </tp>
      <tp>
        <v>0</v>
        <stp/>
        <stp>##V3_BDHV12</stp>
        <stp>AMZN US Equity</stp>
        <stp>XO_GL_NET_OF_TAX</stp>
        <stp>FQ3 2016</stp>
        <stp>FQ3 2016</stp>
        <stp>[AMZ_2009-2018.xlsx]Income - Adjusted!R47C33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7" s="2"/>
      </tp>
      <tp>
        <v>0</v>
        <stp/>
        <stp>##V3_BDHV12</stp>
        <stp>AMZN US Equity</stp>
        <stp>XO_GL_NET_OF_TAX</stp>
        <stp>FQ2 2016</stp>
        <stp>FQ2 2016</stp>
        <stp>[AMZ_2009-2018.xlsx]Income - Adjusted!R47C32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7" s="2"/>
      </tp>
      <tp>
        <v>0</v>
        <stp/>
        <stp>##V3_BDHV12</stp>
        <stp>AMZN US Equity</stp>
        <stp>XO_GL_NET_OF_TAX</stp>
        <stp>FQ2 2016</stp>
        <stp>FQ2 2016</stp>
        <stp>[AMZ_2009-2018.xlsx]Income - Adjusted!R35C32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5" s="2"/>
      </tp>
      <tp>
        <v>0</v>
        <stp/>
        <stp>##V3_BDHV12</stp>
        <stp>AMZN US Equity</stp>
        <stp>XO_GL_NET_OF_TAX</stp>
        <stp>FQ4 2016</stp>
        <stp>FQ4 2016</stp>
        <stp>[AMZ_2009-2018.xlsx]Income - Adjusted!R47C34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7" s="2"/>
      </tp>
      <tp>
        <v>0</v>
        <stp/>
        <stp>##V3_BDHV12</stp>
        <stp>AMZN US Equity</stp>
        <stp>XO_GL_NET_OF_TAX</stp>
        <stp>FQ3 2016</stp>
        <stp>FQ3 2016</stp>
        <stp>[AMZ_2009-2018.xlsx]Income - Adjusted!R35C33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5" s="2"/>
      </tp>
      <tp>
        <v>0</v>
        <stp/>
        <stp>##V3_BDHV12</stp>
        <stp>AMZN US Equity</stp>
        <stp>XO_GL_NET_OF_TAX</stp>
        <stp>FQ1 2016</stp>
        <stp>FQ1 2016</stp>
        <stp>[AMZ_2009-2018.xlsx]Income - Adjusted!R35C31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5" s="2"/>
      </tp>
      <tp t="s">
        <v>—</v>
        <stp/>
        <stp>##V3_BDHV12</stp>
        <stp>AMZN US Equity</stp>
        <stp>IS_FOREIGN_EXCH_LOSS</stp>
        <stp>FQ4 2011</stp>
        <stp>FQ4 2011</stp>
        <stp>[AMZ_2009-2018.xlsx]Income - Adjusted!R23C14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3" s="2"/>
      </tp>
      <tp t="s">
        <v>—</v>
        <stp/>
        <stp>##V3_BDHV12</stp>
        <stp>AMZN US Equity</stp>
        <stp>IS_FOREIGN_EXCH_LOSS</stp>
        <stp>FQ4 2016</stp>
        <stp>FQ4 2016</stp>
        <stp>[AMZ_2009-2018.xlsx]Income - Adjusted!R23C34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23" s="2"/>
      </tp>
      <tp t="s">
        <v>—</v>
        <stp/>
        <stp>##V3_BDHV12</stp>
        <stp>AMZN US Equity</stp>
        <stp>IS_FOREIGN_EXCH_LOSS</stp>
        <stp>FQ2 2014</stp>
        <stp>FQ2 2014</stp>
        <stp>[AMZ_2009-2018.xlsx]Income - Adjusted!R23C24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3" s="2"/>
      </tp>
      <tp>
        <v>9797</v>
        <stp/>
        <stp>##V3_BDHV12</stp>
        <stp>AMZN US Equity</stp>
        <stp>BS_CUR_ASSET_REPORT</stp>
        <stp>FQ4 2009</stp>
        <stp>FQ4 2009</stp>
        <stp>[AMZ_2009-2018.xlsx]Bal Sheet - Standardized!R22C6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22" s="3"/>
      </tp>
      <tp>
        <v>43.225900000000003</v>
        <stp/>
        <stp>##V3_BDHV12</stp>
        <stp>AMZN US Equity</stp>
        <stp>TANG_BOOK_VAL_PER_SH</stp>
        <stp>FQ2 2018</stp>
        <stp>FQ2 2018</stp>
        <stp>[AMZ_2009-2018.xlsx]Per Share!R27C40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27" s="5"/>
      </tp>
      <tp>
        <v>13.3895</v>
        <stp/>
        <stp>##V3_BDHV12</stp>
        <stp>AMZN US Equity</stp>
        <stp>TANG_BOOK_VAL_PER_SH</stp>
        <stp>FQ2 2013</stp>
        <stp>FQ2 2013</stp>
        <stp>[AMZ_2009-2018.xlsx]Per Share!R27C20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27" s="5"/>
      </tp>
      <tp>
        <v>394</v>
        <stp/>
        <stp>##V3_BDHV12</stp>
        <stp>AMZN US Equity</stp>
        <stp>EBIT</stp>
        <stp>FQ1 2010</stp>
        <stp>FQ1 2010</stp>
        <stp>[AMZ_2009-2018.xlsx]Income - Adjusted!R64C7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64" s="2"/>
      </tp>
      <tp>
        <v>24625</v>
        <stp/>
        <stp>##V3_BDHV12</stp>
        <stp>AMZN US Equity</stp>
        <stp>BS_CUR_ASSET_REPORT</stp>
        <stp>FQ4 2013</stp>
        <stp>FQ4 2013</stp>
        <stp>[AMZ_2009-2018.xlsx]Bal Sheet - Standardized!R22C22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2" s="3"/>
      </tp>
      <tp>
        <v>18572</v>
        <stp/>
        <stp>##V3_BDHV12</stp>
        <stp>AMZN US Equity</stp>
        <stp>BS_CUR_ASSET_REPORT</stp>
        <stp>FQ3 2014</stp>
        <stp>FQ3 2014</stp>
        <stp>[AMZ_2009-2018.xlsx]Bal Sheet - Standardized!R22C25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2" s="3"/>
      </tp>
      <tp>
        <v>13747</v>
        <stp/>
        <stp>##V3_BDHV12</stp>
        <stp>AMZN US Equity</stp>
        <stp>BS_CUR_ASSET_REPORT</stp>
        <stp>FQ4 2010</stp>
        <stp>FQ4 2010</stp>
        <stp>[AMZ_2009-2018.xlsx]Bal Sheet - Standardized!R22C10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2" s="3"/>
      </tp>
      <tp>
        <v>12.228400000000001</v>
        <stp/>
        <stp>##V3_BDHV12</stp>
        <stp>AMZN US Equity</stp>
        <stp>TANG_BOOK_VAL_PER_SH</stp>
        <stp>FQ4 2010</stp>
        <stp>FQ4 2010</stp>
        <stp>[AMZ_2009-2018.xlsx]Per Share!R27C10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27" s="5"/>
      </tp>
      <tp>
        <v>18.3291</v>
        <stp/>
        <stp>##V3_BDHV12</stp>
        <stp>AMZN US Equity</stp>
        <stp>TANG_BOOK_VAL_PER_SH</stp>
        <stp>FQ4 2015</stp>
        <stp>FQ4 2015</stp>
        <stp>[AMZ_2009-2018.xlsx]Per Share!R27C30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27" s="5"/>
      </tp>
      <tp>
        <v>-716</v>
        <stp/>
        <stp>##V3_BDHV12</stp>
        <stp>AMZN US Equity</stp>
        <stp>ACQUIS_FXD_&amp;_INTANG_DETAILED</stp>
        <stp>FQ3 2012</stp>
        <stp>FQ3 2012</stp>
        <stp>[AMZ_2009-2018.xlsx]Cash Flow - Standardized!R26C17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6" s="4"/>
      </tp>
      <tp>
        <v>39460</v>
        <stp/>
        <stp>##V3_BDHV12</stp>
        <stp>AMZN US Equity</stp>
        <stp>BS_CUR_ASSET_REPORT</stp>
        <stp>FQ1 2017</stp>
        <stp>FQ1 2017</stp>
        <stp>[AMZ_2009-2018.xlsx]Bal Sheet - Standardized!R22C35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2" s="3"/>
      </tp>
      <tp>
        <v>26391</v>
        <stp/>
        <stp>##V3_BDHV12</stp>
        <stp>AMZN US Equity</stp>
        <stp>BS_CUR_ASSET_REPORT</stp>
        <stp>FQ2 2015</stp>
        <stp>FQ2 2015</stp>
        <stp>[AMZ_2009-2018.xlsx]Bal Sheet - Standardized!R22C28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2" s="3"/>
      </tp>
      <tp>
        <v>-22</v>
        <stp/>
        <stp>##V3_BDHV12</stp>
        <stp>AMZN US Equity</stp>
        <stp>PRETAX_INC</stp>
        <stp>FQ3 2012</stp>
        <stp>FQ3 2012</stp>
        <stp>[AMZ_2009-2018.xlsx]Income - Adjusted!R31C17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31" s="2"/>
      </tp>
      <tp>
        <v>316</v>
        <stp/>
        <stp>##V3_BDHV12</stp>
        <stp>AMZN US Equity</stp>
        <stp>PRETAX_INC</stp>
        <stp>FQ3 2017</stp>
        <stp>FQ3 2017</stp>
        <stp>[AMZ_2009-2018.xlsx]Income - Adjusted!R31C37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31" s="2"/>
      </tp>
      <tp>
        <v>1837</v>
        <stp/>
        <stp>##V3_BDHV12</stp>
        <stp>AMZN US Equity</stp>
        <stp>BS_AMT_OF_TSY_STOCK</stp>
        <stp>FQ1 2018</stp>
        <stp>FQ1 2018</stp>
        <stp>[AMZ_2009-2018.xlsx]Bal Sheet - Standardized!R68C39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68" s="3"/>
      </tp>
      <tp>
        <v>21</v>
        <stp/>
        <stp>##V3_BDHV12</stp>
        <stp>AMZN US Equity</stp>
        <stp>PRETAX_INC</stp>
        <stp>FQ1 2015</stp>
        <stp>FQ1 2015</stp>
        <stp>[AMZ_2009-2018.xlsx]Income - Adjusted!R31C27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31" s="2"/>
      </tp>
      <tp>
        <v>-3619</v>
        <stp/>
        <stp>##V3_BDHV12</stp>
        <stp>AMZN US Equity</stp>
        <stp>ACQUIS_FXD_&amp;_INTANG_DETAILED</stp>
        <stp>FQ4 2017</stp>
        <stp>FQ4 2017</stp>
        <stp>[AMZ_2009-2018.xlsx]Cash Flow - Standardized!R26C38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6" s="4"/>
      </tp>
      <tp>
        <v>-924</v>
        <stp/>
        <stp>##V3_BDHV12</stp>
        <stp>AMZN US Equity</stp>
        <stp>CF_CASH_FROM_INV_ACT</stp>
        <stp>FQ1 2014</stp>
        <stp>FQ1 2014</stp>
        <stp>[AMZ_2009-2018.xlsx]Cash Flow - Standardized!R38C23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8" s="4"/>
      </tp>
      <tp>
        <v>-2439</v>
        <stp/>
        <stp>##V3_BDHV12</stp>
        <stp>AMZN US Equity</stp>
        <stp>CF_CASH_FROM_INV_ACT</stp>
        <stp>FQ2 2016</stp>
        <stp>FQ2 2016</stp>
        <stp>[AMZ_2009-2018.xlsx]Cash Flow - Standardized!R38C32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8" s="4"/>
      </tp>
      <tp>
        <v>-19120</v>
        <stp/>
        <stp>##V3_BDHV12</stp>
        <stp>AMZN US Equity</stp>
        <stp>CF_CASH_FROM_INV_ACT</stp>
        <stp>FQ3 2017</stp>
        <stp>FQ3 2017</stp>
        <stp>[AMZ_2009-2018.xlsx]Cash Flow - Standardized!R38C37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8" s="4"/>
      </tp>
      <tp>
        <v>109</v>
        <stp/>
        <stp>##V3_BDHV12</stp>
        <stp>AMZN US Equity</stp>
        <stp>LONG_TERM_BORROWINGS_DETAILED</stp>
        <stp>FQ2 2009</stp>
        <stp>FQ2 2009</stp>
        <stp>[AMZ_2009-2018.xlsx]Bal Sheet - Standardized!R53C4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3" s="3"/>
      </tp>
      <tp>
        <v>-3082</v>
        <stp/>
        <stp>##V3_BDHV12</stp>
        <stp>AMZN US Equity</stp>
        <stp>CF_CASH_FROM_INV_ACT</stp>
        <stp>FQ4 2012</stp>
        <stp>FQ4 2012</stp>
        <stp>[AMZ_2009-2018.xlsx]Cash Flow - Standardized!R38C18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8" s="4"/>
      </tp>
      <tp>
        <v>164</v>
        <stp/>
        <stp>##V3_BDHV12</stp>
        <stp>AMZN US Equity</stp>
        <stp>LONG_TERM_BORROWINGS_DETAILED</stp>
        <stp>FQ3 2010</stp>
        <stp>FQ3 2010</stp>
        <stp>[AMZ_2009-2018.xlsx]Bal Sheet - Standardized!R53C9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3" s="3"/>
      </tp>
      <tp>
        <v>0.98229999999999995</v>
        <stp/>
        <stp>##V3_BDHV12</stp>
        <stp>AMZN US Equity</stp>
        <stp>EBITDA_PER_SH</stp>
        <stp>FQ2 2011</stp>
        <stp>FQ2 2011</stp>
        <stp>[AMZ_2009-2018.xlsx]Per Share!R12C12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12" s="5"/>
      </tp>
      <tp>
        <v>1.3126</v>
        <stp/>
        <stp>##V3_BDHV12</stp>
        <stp>AMZN US Equity</stp>
        <stp>EBITDA_PER_SH</stp>
        <stp>FQ2 2012</stp>
        <stp>FQ2 2012</stp>
        <stp>[AMZ_2009-2018.xlsx]Per Share!R12C16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12" s="5"/>
      </tp>
      <tp>
        <v>1.8310999999999999</v>
        <stp/>
        <stp>##V3_BDHV12</stp>
        <stp>AMZN US Equity</stp>
        <stp>EBITDA_PER_SH</stp>
        <stp>FQ2 2013</stp>
        <stp>FQ2 2013</stp>
        <stp>[AMZ_2009-2018.xlsx]Per Share!R12C20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12" s="5"/>
      </tp>
      <tp>
        <v>2.3731</v>
        <stp/>
        <stp>##V3_BDHV12</stp>
        <stp>AMZN US Equity</stp>
        <stp>EBITDA_PER_SH</stp>
        <stp>FQ2 2014</stp>
        <stp>FQ2 2014</stp>
        <stp>[AMZ_2009-2018.xlsx]Per Share!R12C24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12" s="5"/>
      </tp>
      <tp>
        <v>4.2141000000000002</v>
        <stp/>
        <stp>##V3_BDHV12</stp>
        <stp>AMZN US Equity</stp>
        <stp>EBITDA_PER_SH</stp>
        <stp>FQ2 2015</stp>
        <stp>FQ2 2015</stp>
        <stp>[AMZ_2009-2018.xlsx]Per Share!R12C28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12" s="5"/>
      </tp>
      <tp>
        <v>6.7526000000000002</v>
        <stp/>
        <stp>##V3_BDHV12</stp>
        <stp>AMZN US Equity</stp>
        <stp>EBITDA_PER_SH</stp>
        <stp>FQ2 2016</stp>
        <stp>FQ2 2016</stp>
        <stp>[AMZ_2009-2018.xlsx]Per Share!R12C32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12" s="5"/>
      </tp>
      <tp>
        <v>1.6111</v>
        <stp/>
        <stp>##V3_BDHV12</stp>
        <stp>AMZN US Equity</stp>
        <stp>FREE_CASH_FLOW_PER_SH</stp>
        <stp>FQ3 2009</stp>
        <stp>FQ3 2009</stp>
        <stp>[AMZ_2009-2018.xlsx]Per Share!R23C5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23" s="5"/>
      </tp>
      <tp>
        <v>6.8079000000000001</v>
        <stp/>
        <stp>##V3_BDHV12</stp>
        <stp>AMZN US Equity</stp>
        <stp>EBITDA_PER_SH</stp>
        <stp>FQ2 2017</stp>
        <stp>FQ2 2017</stp>
        <stp>[AMZ_2009-2018.xlsx]Per Share!R12C36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12" s="5"/>
      </tp>
      <tp>
        <v>13.606999999999999</v>
        <stp/>
        <stp>##V3_BDHV12</stp>
        <stp>AMZN US Equity</stp>
        <stp>EBITDA_PER_SH</stp>
        <stp>FQ2 2018</stp>
        <stp>FQ2 2018</stp>
        <stp>[AMZ_2009-2018.xlsx]Per Share!R12C40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12" s="5"/>
      </tp>
      <tp>
        <v>0</v>
        <stp/>
        <stp>##V3_BDHV12</stp>
        <stp>AMZN US Equity</stp>
        <stp>EQY_DPS</stp>
        <stp>FQ3 2017</stp>
        <stp>FQ3 2017</stp>
        <stp>[AMZ_2009-2018.xlsx]Per Share!R20C37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20" s="5"/>
      </tp>
      <tp>
        <v>0</v>
        <stp/>
        <stp>##V3_BDHV12</stp>
        <stp>AMZN US Equity</stp>
        <stp>EQY_DPS</stp>
        <stp>FQ3 2012</stp>
        <stp>FQ3 2012</stp>
        <stp>[AMZ_2009-2018.xlsx]Per Share!R20C17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20" s="5"/>
      </tp>
      <tp>
        <v>0</v>
        <stp/>
        <stp>##V3_BDHV12</stp>
        <stp>AMZN US Equity</stp>
        <stp>EQY_DPS</stp>
        <stp>FQ1 2015</stp>
        <stp>FQ1 2015</stp>
        <stp>[AMZ_2009-2018.xlsx]Per Share!R20C27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20" s="5"/>
      </tp>
      <tp>
        <v>0.46</v>
        <stp/>
        <stp>##V3_BDHV12</stp>
        <stp>AMZN US Equity</stp>
        <stp>IS_BASIC_EPS_CONT_OPS</stp>
        <stp>FQ2 2010</stp>
        <stp>FQ2 2010</stp>
        <stp>[AMZ_2009-2018.xlsx]Per Share!R16C8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16" s="5"/>
      </tp>
      <tp>
        <v>1022</v>
        <stp/>
        <stp>##V3_BDHV12</stp>
        <stp>AMZN US Equity</stp>
        <stp>IS_OPERATING_EXPN</stp>
        <stp>FQ3 2009</stp>
        <stp>FQ3 2009</stp>
        <stp>[AMZ_2009-2018.xlsx]Income - Adjusted!R12C5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2" s="2"/>
      </tp>
      <tp>
        <v>486</v>
        <stp/>
        <stp>##V3_BDHV12</stp>
        <stp>AMZN US Equity</stp>
        <stp>IS_SH_FOR_DILUTED_EPS</stp>
        <stp>FQ4 2016</stp>
        <stp>FQ4 2016</stp>
        <stp>[AMZ_2009-2018.xlsx]Per Share!R7C34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7" s="5"/>
      </tp>
      <tp>
        <v>472</v>
        <stp/>
        <stp>##V3_BDHV12</stp>
        <stp>AMZN US Equity</stp>
        <stp>IS_SH_FOR_DILUTED_EPS</stp>
        <stp>FQ4 2014</stp>
        <stp>FQ4 2014</stp>
        <stp>[AMZ_2009-2018.xlsx]Per Share!R7C26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7" s="5"/>
      </tp>
      <tp>
        <v>490</v>
        <stp/>
        <stp>##V3_BDHV12</stp>
        <stp>AMZN US Equity</stp>
        <stp>IS_SH_FOR_DILUTED_EPS</stp>
        <stp>FQ1 2017</stp>
        <stp>FQ1 2017</stp>
        <stp>[AMZ_2009-2018.xlsx]Per Share!R7C35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7" s="5"/>
      </tp>
      <tp>
        <v>465</v>
        <stp/>
        <stp>##V3_BDHV12</stp>
        <stp>AMZN US Equity</stp>
        <stp>IS_SH_FOR_DILUTED_EPS</stp>
        <stp>FQ1 2015</stp>
        <stp>FQ1 2015</stp>
        <stp>[AMZ_2009-2018.xlsx]Per Share!R7C27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7" s="5"/>
      </tp>
      <tp>
        <v>457</v>
        <stp/>
        <stp>##V3_BDHV12</stp>
        <stp>AMZN US Equity</stp>
        <stp>IS_SH_FOR_DILUTED_EPS</stp>
        <stp>FQ3 2013</stp>
        <stp>FQ3 2013</stp>
        <stp>[AMZ_2009-2018.xlsx]Per Share!R7C21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7" s="5"/>
      </tp>
      <tp>
        <v>461</v>
        <stp/>
        <stp>##V3_BDHV12</stp>
        <stp>AMZN US Equity</stp>
        <stp>IS_SH_FOR_DILUTED_EPS</stp>
        <stp>FQ3 2011</stp>
        <stp>FQ3 2011</stp>
        <stp>[AMZ_2009-2018.xlsx]Per Share!R7C13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7" s="5"/>
      </tp>
      <tp>
        <v>2703</v>
        <stp/>
        <stp>##V3_BDHV12</stp>
        <stp>AMZN US Equity</stp>
        <stp>CF_CHANGE_IN_ACCOUNTS_PAYABLE</stp>
        <stp>FQ2 2018</stp>
        <stp>FQ2 2018</stp>
        <stp>[AMZ_2009-2018.xlsx]Cash Flow - Standardized!R16C40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6" s="4"/>
      </tp>
      <tp>
        <v>244</v>
        <stp/>
        <stp>##V3_BDHV12</stp>
        <stp>AMZN US Equity</stp>
        <stp>IS_OPER_INC</stp>
        <stp>FQ1 2009</stp>
        <stp>FQ1 2009</stp>
        <stp>[AMZ_2009-2018.xlsx]Income - Adjusted!R18C3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8" s="2"/>
      </tp>
      <tp>
        <v>130</v>
        <stp/>
        <stp>##V3_BDHV12</stp>
        <stp>AMZN US Equity</stp>
        <stp>EARN_FOR_COMMON</stp>
        <stp>FQ1 2012</stp>
        <stp>FQ1 2012</stp>
        <stp>[AMZ_2009-2018.xlsx]Income - Adjusted!R45C15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45" s="2"/>
      </tp>
      <tp>
        <v>724</v>
        <stp/>
        <stp>##V3_BDHV12</stp>
        <stp>AMZN US Equity</stp>
        <stp>EARN_FOR_COMMON</stp>
        <stp>FQ1 2017</stp>
        <stp>FQ1 2017</stp>
        <stp>[AMZ_2009-2018.xlsx]Income - Adjusted!R45C35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45" s="2"/>
      </tp>
      <tp>
        <v>-326.5</v>
        <stp/>
        <stp>##V3_BDHV12</stp>
        <stp>AMZN US Equity</stp>
        <stp>EARN_FOR_COMMON</stp>
        <stp>FQ3 2014</stp>
        <stp>FQ3 2014</stp>
        <stp>[AMZ_2009-2018.xlsx]Income - Adjusted!R45C25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45" s="2"/>
      </tp>
      <tp>
        <v>31</v>
        <stp/>
        <stp>##V3_BDHV12</stp>
        <stp>AMZN US Equity</stp>
        <stp>IS_NET_INTEREST_EXPENSE</stp>
        <stp>FQ1 2014</stp>
        <stp>FQ1 2014</stp>
        <stp>[AMZ_2009-2018.xlsx]Income - Adjusted!R20C23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0" s="2"/>
      </tp>
      <tp>
        <v>-22</v>
        <stp/>
        <stp>##V3_BDHV12</stp>
        <stp>AMZN US Equity</stp>
        <stp>IS_OTHER_NON_OPERATING_INC_LOSS</stp>
        <stp>FQ2 2014</stp>
        <stp>FQ2 2014</stp>
        <stp>[AMZ_2009-2018.xlsx]Income - Adjusted!R24C24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4" s="2"/>
      </tp>
      <tp>
        <v>92</v>
        <stp/>
        <stp>##V3_BDHV12</stp>
        <stp>AMZN US Equity</stp>
        <stp>IS_NET_INTEREST_EXPENSE</stp>
        <stp>FQ3 2016</stp>
        <stp>FQ3 2016</stp>
        <stp>[AMZ_2009-2018.xlsx]Income - Adjusted!R20C33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20" s="2"/>
      </tp>
      <tp>
        <v>1</v>
        <stp/>
        <stp>##V3_BDHV12</stp>
        <stp>AMZN US Equity</stp>
        <stp>IS_NET_INTEREST_EXPENSE</stp>
        <stp>FQ3 2011</stp>
        <stp>FQ3 2011</stp>
        <stp>[AMZ_2009-2018.xlsx]Income - Adjusted!R20C13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0" s="2"/>
      </tp>
      <tp>
        <v>-19</v>
        <stp/>
        <stp>##V3_BDHV12</stp>
        <stp>AMZN US Equity</stp>
        <stp>IS_OTHER_NON_OPERATING_INC_LOSS</stp>
        <stp>FQ4 2016</stp>
        <stp>FQ4 2016</stp>
        <stp>[AMZ_2009-2018.xlsx]Income - Adjusted!R24C34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24" s="2"/>
      </tp>
      <tp>
        <v>-19</v>
        <stp/>
        <stp>##V3_BDHV12</stp>
        <stp>AMZN US Equity</stp>
        <stp>IS_OTHER_NON_OPERATING_INC_LOSS</stp>
        <stp>FQ4 2011</stp>
        <stp>FQ4 2011</stp>
        <stp>[AMZ_2009-2018.xlsx]Income - Adjusted!R24C14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4" s="2"/>
      </tp>
      <tp>
        <v>776</v>
        <stp/>
        <stp>##V3_BDHV12</stp>
        <stp>AMZN US Equity</stp>
        <stp>IS_OTHER_OPERATING_EXPENSES</stp>
        <stp>FQ4 2009</stp>
        <stp>FQ4 2009</stp>
        <stp>[AMZ_2009-2018.xlsx]Income - Adjusted!R17C6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7" s="2"/>
      </tp>
      <tp>
        <v>2</v>
        <stp/>
        <stp>##V3_BDHV12</stp>
        <stp>AMZN US Equity</stp>
        <stp>IS_SH_PRO_EQY_MT_INV_NET_OF_TAX</stp>
        <stp>FQ2 2010</stp>
        <stp>FQ2 2010</stp>
        <stp>[AMZ_2009-2018.xlsx]Income - Adjusted!R33C8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33" s="2"/>
      </tp>
      <tp>
        <v>0</v>
        <stp/>
        <stp>##V3_BDHV12</stp>
        <stp>AMZN US Equity</stp>
        <stp>XO_GL_NET_OF_TAX</stp>
        <stp>FQ4 2017</stp>
        <stp>FQ4 2017</stp>
        <stp>[AMZ_2009-2018.xlsx]Income - Adjusted!R47C38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7" s="2"/>
      </tp>
      <tp>
        <v>0</v>
        <stp/>
        <stp>##V3_BDHV12</stp>
        <stp>AMZN US Equity</stp>
        <stp>XO_GL_NET_OF_TAX</stp>
        <stp>FQ4 2017</stp>
        <stp>FQ4 2017</stp>
        <stp>[AMZ_2009-2018.xlsx]Income - Adjusted!R35C38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5" s="2"/>
      </tp>
      <tp>
        <v>0</v>
        <stp/>
        <stp>##V3_BDHV12</stp>
        <stp>AMZN US Equity</stp>
        <stp>XO_GL_NET_OF_TAX</stp>
        <stp>FQ2 2017</stp>
        <stp>FQ2 2017</stp>
        <stp>[AMZ_2009-2018.xlsx]Income - Adjusted!R35C36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5" s="2"/>
      </tp>
      <tp>
        <v>0</v>
        <stp/>
        <stp>##V3_BDHV12</stp>
        <stp>AMZN US Equity</stp>
        <stp>XO_GL_NET_OF_TAX</stp>
        <stp>FQ3 2017</stp>
        <stp>FQ3 2017</stp>
        <stp>[AMZ_2009-2018.xlsx]Income - Adjusted!R35C37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5" s="2"/>
      </tp>
      <tp>
        <v>0</v>
        <stp/>
        <stp>##V3_BDHV12</stp>
        <stp>AMZN US Equity</stp>
        <stp>XO_GL_NET_OF_TAX</stp>
        <stp>FQ1 2017</stp>
        <stp>FQ1 2017</stp>
        <stp>[AMZ_2009-2018.xlsx]Income - Adjusted!R35C35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5" s="2"/>
      </tp>
      <tp>
        <v>0</v>
        <stp/>
        <stp>##V3_BDHV12</stp>
        <stp>AMZN US Equity</stp>
        <stp>XO_GL_NET_OF_TAX</stp>
        <stp>FQ1 2017</stp>
        <stp>FQ1 2017</stp>
        <stp>[AMZ_2009-2018.xlsx]Income - Adjusted!R47C35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7" s="2"/>
      </tp>
      <tp>
        <v>0</v>
        <stp/>
        <stp>##V3_BDHV12</stp>
        <stp>AMZN US Equity</stp>
        <stp>XO_GL_NET_OF_TAX</stp>
        <stp>FQ3 2017</stp>
        <stp>FQ3 2017</stp>
        <stp>[AMZ_2009-2018.xlsx]Income - Adjusted!R47C37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7" s="2"/>
      </tp>
      <tp>
        <v>0</v>
        <stp/>
        <stp>##V3_BDHV12</stp>
        <stp>AMZN US Equity</stp>
        <stp>XO_GL_NET_OF_TAX</stp>
        <stp>FQ2 2017</stp>
        <stp>FQ2 2017</stp>
        <stp>[AMZ_2009-2018.xlsx]Income - Adjusted!R47C36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7" s="2"/>
      </tp>
      <tp>
        <v>0.85</v>
        <stp/>
        <stp>##V3_BDHV12</stp>
        <stp>AMZN US Equity</stp>
        <stp>IS_DIL_EPS_BEF_XO</stp>
        <stp>FQ4 2009</stp>
        <stp>FQ4 2009</stp>
        <stp>[AMZ_2009-2018.xlsx]Income - Adjusted!R56C6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56" s="2"/>
      </tp>
      <tp t="s">
        <v>—</v>
        <stp/>
        <stp>##V3_BDHV12</stp>
        <stp>AMZN US Equity</stp>
        <stp>IS_FOREIGN_EXCH_LOSS</stp>
        <stp>FQ1 2017</stp>
        <stp>FQ1 2017</stp>
        <stp>[AMZ_2009-2018.xlsx]Income - Adjusted!R23C35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23" s="2"/>
      </tp>
      <tp t="s">
        <v>—</v>
        <stp/>
        <stp>##V3_BDHV12</stp>
        <stp>AMZN US Equity</stp>
        <stp>IS_FOREIGN_EXCH_LOSS</stp>
        <stp>FQ1 2012</stp>
        <stp>FQ1 2012</stp>
        <stp>[AMZ_2009-2018.xlsx]Income - Adjusted!R23C15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3" s="2"/>
      </tp>
      <tp t="s">
        <v>—</v>
        <stp/>
        <stp>##V3_BDHV12</stp>
        <stp>AMZN US Equity</stp>
        <stp>IS_FOREIGN_EXCH_LOSS</stp>
        <stp>FQ3 2014</stp>
        <stp>FQ3 2014</stp>
        <stp>[AMZ_2009-2018.xlsx]Income - Adjusted!R23C25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3" s="2"/>
      </tp>
      <tp>
        <v>0</v>
        <stp/>
        <stp>##V3_BDHV12</stp>
        <stp>AMZN US Equity</stp>
        <stp>XO_GL_NET_OF_TAX</stp>
        <stp>FQ4 2009</stp>
        <stp>FQ4 2009</stp>
        <stp>[AMZ_2009-2018.xlsx]Income - Adjusted!R35C6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5" s="2"/>
      </tp>
      <tp>
        <v>0</v>
        <stp/>
        <stp>##V3_BDHV12</stp>
        <stp>AMZN US Equity</stp>
        <stp>XO_GL_NET_OF_TAX</stp>
        <stp>FQ4 2009</stp>
        <stp>FQ4 2009</stp>
        <stp>[AMZ_2009-2018.xlsx]Income - Adjusted!R47C6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47" s="2"/>
      </tp>
      <tp>
        <v>-2414</v>
        <stp/>
        <stp>##V3_BDHV12</stp>
        <stp>AMZN US Equity</stp>
        <stp>ACQUIS_FXD_&amp;_INTANG_DETAILED</stp>
        <stp>FQ4 2016</stp>
        <stp>FQ4 2016</stp>
        <stp>[AMZ_2009-2018.xlsx]Cash Flow - Standardized!R26C34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6" s="4"/>
      </tp>
      <tp>
        <v>17490</v>
        <stp/>
        <stp>##V3_BDHV12</stp>
        <stp>AMZN US Equity</stp>
        <stp>BS_CUR_ASSET_REPORT</stp>
        <stp>FQ4 2011</stp>
        <stp>FQ4 2011</stp>
        <stp>[AMZ_2009-2018.xlsx]Bal Sheet - Standardized!R22C14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2" s="3"/>
      </tp>
      <tp>
        <v>14.087300000000001</v>
        <stp/>
        <stp>##V3_BDHV12</stp>
        <stp>AMZN US Equity</stp>
        <stp>TANG_BOOK_VAL_PER_SH</stp>
        <stp>FQ3 2013</stp>
        <stp>FQ3 2013</stp>
        <stp>[AMZ_2009-2018.xlsx]Per Share!R27C21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27" s="5"/>
      </tp>
      <tp>
        <v>-298</v>
        <stp/>
        <stp>##V3_BDHV12</stp>
        <stp>AMZN US Equity</stp>
        <stp>ACQUIS_FXD_&amp;_INTANG_DETAILED</stp>
        <stp>FQ1 2011</stp>
        <stp>FQ1 2011</stp>
        <stp>[AMZ_2009-2018.xlsx]Cash Flow - Standardized!R26C11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6" s="4"/>
      </tp>
      <tp>
        <v>30513</v>
        <stp/>
        <stp>##V3_BDHV12</stp>
        <stp>AMZN US Equity</stp>
        <stp>BS_CUR_ASSET_REPORT</stp>
        <stp>FQ1 2016</stp>
        <stp>FQ1 2016</stp>
        <stp>[AMZ_2009-2018.xlsx]Bal Sheet - Standardized!R22C31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2" s="3"/>
      </tp>
      <tp>
        <v>23.243600000000001</v>
        <stp/>
        <stp>##V3_BDHV12</stp>
        <stp>AMZN US Equity</stp>
        <stp>TANG_BOOK_VAL_PER_SH</stp>
        <stp>FQ1 2016</stp>
        <stp>FQ1 2016</stp>
        <stp>[AMZ_2009-2018.xlsx]Per Share!R27C31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27" s="5"/>
      </tp>
      <tp>
        <v>12.9071</v>
        <stp/>
        <stp>##V3_BDHV12</stp>
        <stp>AMZN US Equity</stp>
        <stp>TANG_BOOK_VAL_PER_SH</stp>
        <stp>FQ1 2011</stp>
        <stp>FQ1 2011</stp>
        <stp>[AMZ_2009-2018.xlsx]Per Share!R27C11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27" s="5"/>
      </tp>
      <tp>
        <v>18755</v>
        <stp/>
        <stp>##V3_BDHV12</stp>
        <stp>AMZN US Equity</stp>
        <stp>BS_CUR_ASSET_REPORT</stp>
        <stp>FQ2 2014</stp>
        <stp>FQ2 2014</stp>
        <stp>[AMZ_2009-2018.xlsx]Bal Sheet - Standardized!R22C24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2" s="3"/>
      </tp>
      <tp>
        <v>-657</v>
        <stp/>
        <stp>##V3_BDHV12</stp>
        <stp>AMZN US Equity</stp>
        <stp>ACQUIS_FXD_&amp;_INTANG_DETAILED</stp>
        <stp>FQ2 2012</stp>
        <stp>FQ2 2012</stp>
        <stp>[AMZ_2009-2018.xlsx]Cash Flow - Standardized!R26C16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6" s="4"/>
      </tp>
      <tp>
        <v>6004</v>
        <stp/>
        <stp>##V3_BDHV12</stp>
        <stp>AMZN US Equity</stp>
        <stp>ST_DEFERRED_REVENUE</stp>
        <stp>FQ2 2018</stp>
        <stp>FQ2 2018</stp>
        <stp>[AMZ_2009-2018.xlsx]Bal Sheet - Standardized!R48C40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8" s="3"/>
      </tp>
      <tp>
        <v>146</v>
        <stp/>
        <stp>##V3_BDHV12</stp>
        <stp>AMZN US Equity</stp>
        <stp>PRETAX_INC</stp>
        <stp>FQ2 2012</stp>
        <stp>FQ2 2012</stp>
        <stp>[AMZ_2009-2018.xlsx]Income - Adjusted!R31C16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31" s="2"/>
      </tp>
      <tp>
        <v>666</v>
        <stp/>
        <stp>##V3_BDHV12</stp>
        <stp>AMZN US Equity</stp>
        <stp>PRETAX_INC</stp>
        <stp>FQ2 2017</stp>
        <stp>FQ2 2017</stp>
        <stp>[AMZ_2009-2018.xlsx]Income - Adjusted!R31C36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31" s="2"/>
      </tp>
      <tp>
        <v>28849</v>
        <stp/>
        <stp>##V3_BDHV12</stp>
        <stp>AMZN US Equity</stp>
        <stp>BS_CUR_ASSET_REPORT</stp>
        <stp>FQ3 2015</stp>
        <stp>FQ3 2015</stp>
        <stp>[AMZ_2009-2018.xlsx]Bal Sheet - Standardized!R22C29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2" s="3"/>
      </tp>
      <tp t="s">
        <v>—</v>
        <stp/>
        <stp>##V3_BDHV12</stp>
        <stp>AMZN US Equity</stp>
        <stp>IS_CAP_INT_EXP</stp>
        <stp>FQ1 2010</stp>
        <stp>FQ1 2010</stp>
        <stp>[AMZ_2009-2018.xlsx]Income - Adjusted!R71C7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1" s="2"/>
      </tp>
      <tp>
        <v>429</v>
        <stp/>
        <stp>##V3_BDHV12</stp>
        <stp>AMZN US Equity</stp>
        <stp>PRETAX_INC</stp>
        <stp>FQ4 2014</stp>
        <stp>FQ4 2014</stp>
        <stp>[AMZ_2009-2018.xlsx]Income - Adjusted!R31C26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31" s="2"/>
      </tp>
      <tp t="s">
        <v>—</v>
        <stp/>
        <stp>##V3_BDHV12</stp>
        <stp>AMZN US Equity</stp>
        <stp>IS_FOREIGN_EXCH_LOSS</stp>
        <stp>FQ1 2010</stp>
        <stp>FQ1 2010</stp>
        <stp>[AMZ_2009-2018.xlsx]Income - Adjusted!R23C7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3" s="2"/>
      </tp>
      <tp>
        <v>-2570</v>
        <stp/>
        <stp>##V3_BDHV12</stp>
        <stp>AMZN US Equity</stp>
        <stp>CF_CASH_FROM_INV_ACT</stp>
        <stp>FQ3 2016</stp>
        <stp>FQ3 2016</stp>
        <stp>[AMZ_2009-2018.xlsx]Cash Flow - Standardized!R38C33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8" s="4"/>
      </tp>
      <tp>
        <v>-1847</v>
        <stp/>
        <stp>##V3_BDHV12</stp>
        <stp>AMZN US Equity</stp>
        <stp>CF_CASH_FROM_INV_ACT</stp>
        <stp>FQ1 2015</stp>
        <stp>FQ1 2015</stp>
        <stp>[AMZ_2009-2018.xlsx]Cash Flow - Standardized!R38C27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8" s="4"/>
      </tp>
      <tp>
        <v>13388</v>
        <stp/>
        <stp>##V3_BDHV12</stp>
        <stp>AMZN US Equity</stp>
        <stp>BS_GOODWILL</stp>
        <stp>FQ1 2018</stp>
        <stp>FQ1 2018</stp>
        <stp>[AMZ_2009-2018.xlsx]Bal Sheet - Standardized!R29C39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9" s="3"/>
      </tp>
      <tp>
        <v>0</v>
        <stp/>
        <stp>##V3_BDHV12</stp>
        <stp>AMZN US Equity</stp>
        <stp>CF_NET_CASH_DISCONT_OPS_OPER</stp>
        <stp>FQ2 2018</stp>
        <stp>FQ2 2018</stp>
        <stp>[AMZ_2009-2018.xlsx]Cash Flow - Standardized!R18C40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18" s="4"/>
      </tp>
      <tp>
        <v>-5274</v>
        <stp/>
        <stp>##V3_BDHV12</stp>
        <stp>AMZN US Equity</stp>
        <stp>CF_CASH_FROM_INV_ACT</stp>
        <stp>FQ2 2017</stp>
        <stp>FQ2 2017</stp>
        <stp>[AMZ_2009-2018.xlsx]Cash Flow - Standardized!R38C36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8" s="4"/>
      </tp>
      <tp>
        <v>116</v>
        <stp/>
        <stp>##V3_BDHV12</stp>
        <stp>AMZN US Equity</stp>
        <stp>LONG_TERM_BORROWINGS_DETAILED</stp>
        <stp>FQ3 2009</stp>
        <stp>FQ3 2009</stp>
        <stp>[AMZ_2009-2018.xlsx]Bal Sheet - Standardized!R53C5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3" s="3"/>
      </tp>
      <tp t="s">
        <v>—</v>
        <stp/>
        <stp>##V3_BDHV12</stp>
        <stp>AMZN US Equity</stp>
        <stp>LT_DEFERRED_REVENUE</stp>
        <stp>FQ2 2018</stp>
        <stp>FQ2 2018</stp>
        <stp>[AMZ_2009-2018.xlsx]Bal Sheet - Standardized!R58C40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58" s="3"/>
      </tp>
      <tp>
        <v>1976</v>
        <stp/>
        <stp>##V3_BDHV12</stp>
        <stp>AMZN US Equity</stp>
        <stp>GROSS_PROFIT</stp>
        <stp>FQ4 2009</stp>
        <stp>FQ4 2009</stp>
        <stp>[AMZ_2009-2018.xlsx]Income - Adjusted!R10C6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0" s="2"/>
      </tp>
      <tp>
        <v>132</v>
        <stp/>
        <stp>##V3_BDHV12</stp>
        <stp>AMZN US Equity</stp>
        <stp>LONG_TERM_BORROWINGS_DETAILED</stp>
        <stp>FQ2 2010</stp>
        <stp>FQ2 2010</stp>
        <stp>[AMZ_2009-2018.xlsx]Bal Sheet - Standardized!R53C8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3" s="3"/>
      </tp>
      <tp>
        <v>0.7863</v>
        <stp/>
        <stp>##V3_BDHV12</stp>
        <stp>AMZN US Equity</stp>
        <stp>EBITDA_PER_SH</stp>
        <stp>FQ3 2011</stp>
        <stp>FQ3 2011</stp>
        <stp>[AMZ_2009-2018.xlsx]Per Share!R12C13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12" s="5"/>
      </tp>
      <tp>
        <v>1.7702</v>
        <stp/>
        <stp>##V3_BDHV12</stp>
        <stp>AMZN US Equity</stp>
        <stp>EBITDA_PER_SH</stp>
        <stp>FQ3 2013</stp>
        <stp>FQ3 2013</stp>
        <stp>[AMZ_2009-2018.xlsx]Per Share!R12C21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12" s="5"/>
      </tp>
      <tp>
        <v>1.1637</v>
        <stp/>
        <stp>##V3_BDHV12</stp>
        <stp>AMZN US Equity</stp>
        <stp>EBITDA_PER_SH</stp>
        <stp>FQ3 2012</stp>
        <stp>FQ3 2012</stp>
        <stp>[AMZ_2009-2018.xlsx]Per Share!R12C17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12" s="5"/>
      </tp>
      <tp>
        <v>4.2842000000000002</v>
        <stp/>
        <stp>##V3_BDHV12</stp>
        <stp>AMZN US Equity</stp>
        <stp>EBITDA_PER_SH</stp>
        <stp>FQ3 2015</stp>
        <stp>FQ3 2015</stp>
        <stp>[AMZ_2009-2018.xlsx]Per Share!R12C29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12" s="5"/>
      </tp>
      <tp>
        <v>1.5184</v>
        <stp/>
        <stp>##V3_BDHV12</stp>
        <stp>AMZN US Equity</stp>
        <stp>EBITDA_PER_SH</stp>
        <stp>FQ3 2014</stp>
        <stp>FQ3 2014</stp>
        <stp>[AMZ_2009-2018.xlsx]Per Share!R12C25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12" s="5"/>
      </tp>
      <tp>
        <v>6.7755000000000001</v>
        <stp/>
        <stp>##V3_BDHV12</stp>
        <stp>AMZN US Equity</stp>
        <stp>EBITDA_PER_SH</stp>
        <stp>FQ3 2017</stp>
        <stp>FQ3 2017</stp>
        <stp>[AMZ_2009-2018.xlsx]Per Share!R12C37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12" s="5"/>
      </tp>
      <tp>
        <v>0.90490000000000004</v>
        <stp/>
        <stp>##V3_BDHV12</stp>
        <stp>AMZN US Equity</stp>
        <stp>FREE_CASH_FLOW_PER_SH</stp>
        <stp>FQ2 2009</stp>
        <stp>FQ2 2009</stp>
        <stp>[AMZ_2009-2018.xlsx]Per Share!R23C4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23" s="5"/>
      </tp>
      <tp>
        <v>5.6097000000000001</v>
        <stp/>
        <stp>##V3_BDHV12</stp>
        <stp>AMZN US Equity</stp>
        <stp>EBITDA_PER_SH</stp>
        <stp>FQ3 2016</stp>
        <stp>FQ3 2016</stp>
        <stp>[AMZ_2009-2018.xlsx]Per Share!R12C33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12" s="5"/>
      </tp>
      <tp>
        <v>0</v>
        <stp/>
        <stp>##V3_BDHV12</stp>
        <stp>AMZN US Equity</stp>
        <stp>EQY_DPS</stp>
        <stp>FQ4 2014</stp>
        <stp>FQ4 2014</stp>
        <stp>[AMZ_2009-2018.xlsx]Per Share!R20C26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20" s="5"/>
      </tp>
      <tp>
        <v>0</v>
        <stp/>
        <stp>##V3_BDHV12</stp>
        <stp>AMZN US Equity</stp>
        <stp>EQY_DPS</stp>
        <stp>FQ2 2017</stp>
        <stp>FQ2 2017</stp>
        <stp>[AMZ_2009-2018.xlsx]Per Share!R20C36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20" s="5"/>
      </tp>
      <tp>
        <v>0</v>
        <stp/>
        <stp>##V3_BDHV12</stp>
        <stp>AMZN US Equity</stp>
        <stp>EQY_DPS</stp>
        <stp>FQ2 2012</stp>
        <stp>FQ2 2012</stp>
        <stp>[AMZ_2009-2018.xlsx]Per Share!R20C16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20" s="5"/>
      </tp>
      <tp>
        <v>0.51</v>
        <stp/>
        <stp>##V3_BDHV12</stp>
        <stp>AMZN US Equity</stp>
        <stp>IS_BASIC_EPS_CONT_OPS</stp>
        <stp>FQ3 2010</stp>
        <stp>FQ3 2010</stp>
        <stp>[AMZ_2009-2018.xlsx]Per Share!R16C9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16" s="5"/>
      </tp>
      <tp>
        <v>923</v>
        <stp/>
        <stp>##V3_BDHV12</stp>
        <stp>AMZN US Equity</stp>
        <stp>IS_OPERATING_EXPN</stp>
        <stp>FQ2 2009</stp>
        <stp>FQ2 2009</stp>
        <stp>[AMZ_2009-2018.xlsx]Income - Adjusted!R12C4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2" s="2"/>
      </tp>
      <tp>
        <v>460</v>
        <stp/>
        <stp>##V3_BDHV12</stp>
        <stp>AMZN US Equity</stp>
        <stp>IS_SH_FOR_DILUTED_EPS</stp>
        <stp>FQ2 2011</stp>
        <stp>FQ2 2011</stp>
        <stp>[AMZ_2009-2018.xlsx]Per Share!R7C12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7" s="5"/>
      </tp>
      <tp>
        <v>456</v>
        <stp/>
        <stp>##V3_BDHV12</stp>
        <stp>AMZN US Equity</stp>
        <stp>IS_SH_FOR_DILUTED_EPS</stp>
        <stp>FQ2 2013</stp>
        <stp>FQ2 2013</stp>
        <stp>[AMZ_2009-2018.xlsx]Per Share!R7C20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7" s="5"/>
      </tp>
      <tp>
        <v>752.25</v>
        <stp/>
        <stp>##V3_BDHV12</stp>
        <stp>AMZN US Equity</stp>
        <stp>EARN_FOR_COMMON</stp>
        <stp>FQ4 2016</stp>
        <stp>FQ4 2016</stp>
        <stp>[AMZ_2009-2018.xlsx]Income - Adjusted!R45C34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45" s="2"/>
      </tp>
      <tp>
        <v>177</v>
        <stp/>
        <stp>##V3_BDHV12</stp>
        <stp>AMZN US Equity</stp>
        <stp>EARN_FOR_COMMON</stp>
        <stp>FQ4 2011</stp>
        <stp>FQ4 2011</stp>
        <stp>[AMZ_2009-2018.xlsx]Income - Adjusted!R45C14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45" s="2"/>
      </tp>
      <tp>
        <v>-126</v>
        <stp/>
        <stp>##V3_BDHV12</stp>
        <stp>AMZN US Equity</stp>
        <stp>EARN_FOR_COMMON</stp>
        <stp>FQ2 2014</stp>
        <stp>FQ2 2014</stp>
        <stp>[AMZ_2009-2018.xlsx]Income - Adjusted!R45C24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45" s="2"/>
      </tp>
      <tp>
        <v>50</v>
        <stp/>
        <stp>##V3_BDHV12</stp>
        <stp>AMZN US Equity</stp>
        <stp>IS_OTHER_NON_OPERATING_INC_LOSS</stp>
        <stp>FQ3 2014</stp>
        <stp>FQ3 2014</stp>
        <stp>[AMZ_2009-2018.xlsx]Income - Adjusted!R24C25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4" s="2"/>
      </tp>
      <tp>
        <v>99</v>
        <stp/>
        <stp>##V3_BDHV12</stp>
        <stp>AMZN US Equity</stp>
        <stp>IS_OTHER_NON_OPERATING_INC_LOSS</stp>
        <stp>FQ1 2012</stp>
        <stp>FQ1 2012</stp>
        <stp>[AMZ_2009-2018.xlsx]Income - Adjusted!R24C15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4" s="2"/>
      </tp>
      <tp>
        <v>-48</v>
        <stp/>
        <stp>##V3_BDHV12</stp>
        <stp>AMZN US Equity</stp>
        <stp>IS_OTHER_NON_OPERATING_INC_LOSS</stp>
        <stp>FQ1 2017</stp>
        <stp>FQ1 2017</stp>
        <stp>[AMZ_2009-2018.xlsx]Income - Adjusted!R24C35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24" s="2"/>
      </tp>
      <tp>
        <v>92</v>
        <stp/>
        <stp>##V3_BDHV12</stp>
        <stp>AMZN US Equity</stp>
        <stp>IS_NET_INTEREST_EXPENSE</stp>
        <stp>FQ2 2016</stp>
        <stp>FQ2 2016</stp>
        <stp>[AMZ_2009-2018.xlsx]Income - Adjusted!R20C32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20" s="2"/>
      </tp>
      <tp>
        <v>-1</v>
        <stp/>
        <stp>##V3_BDHV12</stp>
        <stp>AMZN US Equity</stp>
        <stp>IS_NET_INTEREST_EXPENSE</stp>
        <stp>FQ2 2011</stp>
        <stp>FQ2 2011</stp>
        <stp>[AMZ_2009-2018.xlsx]Income - Adjusted!R20C12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0" s="2"/>
      </tp>
      <tp>
        <v>0</v>
        <stp/>
        <stp>##V3_BDHV12</stp>
        <stp>AMZN US Equity</stp>
        <stp>IS_NET_ABNORMAL_ITEMS</stp>
        <stp>FQ1 2018</stp>
        <stp>FQ1 2018</stp>
        <stp>[AMZ_2009-2018.xlsx]Income - Adjusted!R46C39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6" s="2"/>
      </tp>
      <tp>
        <v>29</v>
        <stp/>
        <stp>##V3_BDHV12</stp>
        <stp>AMZN US Equity</stp>
        <stp>IS_NET_INTEREST_EXPENSE</stp>
        <stp>FQ4 2013</stp>
        <stp>FQ4 2013</stp>
        <stp>[AMZ_2009-2018.xlsx]Income - Adjusted!R20C22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0" s="2"/>
      </tp>
      <tp>
        <v>-18</v>
        <stp/>
        <stp>##V3_BDHV12</stp>
        <stp>AMZN US Equity</stp>
        <stp>IS_SH_PRO_EQY_MT_INV_NET_OF_TAX</stp>
        <stp>FQ3 2010</stp>
        <stp>FQ3 2010</stp>
        <stp>[AMZ_2009-2018.xlsx]Income - Adjusted!R33C9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33" s="2"/>
      </tp>
      <tp>
        <v>21.855899999999998</v>
        <stp/>
        <stp>##V3_BDHV12</stp>
        <stp>AMZN US Equity</stp>
        <stp>REVENUE_PER_SH</stp>
        <stp>FQ1 2011</stp>
        <stp>FQ1 2011</stp>
        <stp>[AMZ_2009-2018.xlsx]Per Share!R11C11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K11" s="5"/>
      </tp>
      <tp>
        <v>6.2321</v>
        <stp/>
        <stp>##V3_BDHV12</stp>
        <stp>AMZN US Equity</stp>
        <stp>EBITDA_MARGIN</stp>
        <stp>FQ3 2010</stp>
        <stp>FQ3 2010</stp>
        <stp>[AMZ_2009-2018.xlsx]Income - Adjusted!R62C9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I62" s="2"/>
      </tp>
      <tp>
        <v>0</v>
        <stp/>
        <stp>##V3_BDHV12</stp>
        <stp>AMZN US Equity</stp>
        <stp>XO_GL_NET_OF_TAX</stp>
        <stp>FQ1 2018</stp>
        <stp>FQ1 2018</stp>
        <stp>[AMZ_2009-2018.xlsx]Income - Adjusted!R47C39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47" s="2"/>
      </tp>
      <tp>
        <v>5.9147999999999996</v>
        <stp/>
        <stp>##V3_BDHV12</stp>
        <stp>AMZN US Equity</stp>
        <stp>EBITDA_MARGIN</stp>
        <stp>FQ2 2009</stp>
        <stp>FQ2 2009</stp>
        <stp>[AMZ_2009-2018.xlsx]Income - Adjusted!R62C4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D62" s="2"/>
      </tp>
      <tp>
        <v>6.4434000000000005</v>
        <stp/>
        <stp>##V3_BDHV12</stp>
        <stp>AMZN US Equity</stp>
        <stp>EBITDA_MARGIN</stp>
        <stp>FQ2 2010</stp>
        <stp>FQ2 2010</stp>
        <stp>[AMZ_2009-2018.xlsx]Income - Adjusted!R62C8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H62" s="2"/>
      </tp>
      <tp>
        <v>6.1310000000000002</v>
        <stp/>
        <stp>##V3_BDHV12</stp>
        <stp>AMZN US Equity</stp>
        <stp>EBITDA_MARGIN</stp>
        <stp>FQ3 2009</stp>
        <stp>FQ3 2009</stp>
        <stp>[AMZ_2009-2018.xlsx]Income - Adjusted!R62C5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E62" s="2"/>
      </tp>
      <tp>
        <v>35.3187</v>
        <stp/>
        <stp>##V3_BDHV12</stp>
        <stp>AMZN US Equity</stp>
        <stp>REVENUE_PER_SH</stp>
        <stp>FQ1 2013</stp>
        <stp>FQ1 2013</stp>
        <stp>[AMZ_2009-2018.xlsx]Per Share!R11C19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S11" s="5"/>
      </tp>
      <tp>
        <v>6.5382999999999996</v>
        <stp/>
        <stp>##V3_BDHV12</stp>
        <stp>AMZN US Equity</stp>
        <stp>EBITDA_MARGIN</stp>
        <stp>FQ1 2010</stp>
        <stp>FQ1 2010</stp>
        <stp>[AMZ_2009-2018.xlsx]Income - Adjusted!R62C7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G62" s="2"/>
      </tp>
      <tp>
        <v>29.106000000000002</v>
        <stp/>
        <stp>##V3_BDHV12</stp>
        <stp>AMZN US Equity</stp>
        <stp>REVENUE_PER_SH</stp>
        <stp>FQ1 2012</stp>
        <stp>FQ1 2012</stp>
        <stp>[AMZ_2009-2018.xlsx]Per Share!R11C15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O11" s="5"/>
      </tp>
      <tp>
        <v>6.0190999999999999</v>
        <stp/>
        <stp>##V3_BDHV12</stp>
        <stp>AMZN US Equity</stp>
        <stp>EBITDA_MARGIN</stp>
        <stp>FQ1 2009</stp>
        <stp>FQ1 2009</stp>
        <stp>[AMZ_2009-2018.xlsx]Income - Adjusted!R62C3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C62" s="2"/>
      </tp>
      <tp>
        <v>48.8538</v>
        <stp/>
        <stp>##V3_BDHV12</stp>
        <stp>AMZN US Equity</stp>
        <stp>REVENUE_PER_SH</stp>
        <stp>FQ1 2015</stp>
        <stp>FQ1 2015</stp>
        <stp>[AMZ_2009-2018.xlsx]Per Share!R11C27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A11" s="5"/>
      </tp>
      <tp>
        <v>42.915199999999999</v>
        <stp/>
        <stp>##V3_BDHV12</stp>
        <stp>AMZN US Equity</stp>
        <stp>REVENUE_PER_SH</stp>
        <stp>FQ1 2014</stp>
        <stp>FQ1 2014</stp>
        <stp>[AMZ_2009-2018.xlsx]Per Share!R11C23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W11" s="5"/>
      </tp>
      <tp>
        <v>74.872100000000003</v>
        <stp/>
        <stp>##V3_BDHV12</stp>
        <stp>AMZN US Equity</stp>
        <stp>REVENUE_PER_SH</stp>
        <stp>FQ1 2017</stp>
        <stp>FQ1 2017</stp>
        <stp>[AMZ_2009-2018.xlsx]Per Share!R11C35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I11" s="5"/>
      </tp>
      <tp>
        <v>6.4020000000000001</v>
        <stp/>
        <stp>##V3_BDHV12</stp>
        <stp>AMZN US Equity</stp>
        <stp>EBITDA_MARGIN</stp>
        <stp>FQ4 2009</stp>
        <stp>FQ4 2009</stp>
        <stp>[AMZ_2009-2018.xlsx]Income - Adjusted!R62C6</stp>
        <stp>Currency=USD</stp>
        <stp>Period=FQ</stp>
        <stp>BEST_FPERIOD_OVERRIDE=FQ</stp>
        <stp>FILING_STATUS=MR</stp>
        <stp>FA_ADJUSTED=Adjusted</stp>
        <stp>Sort=A</stp>
        <stp>Dates=H</stp>
        <stp>DateFormat=P</stp>
        <stp>Fill=—</stp>
        <stp>Direction=H</stp>
        <stp>UseDPDF=Y</stp>
        <tr r="F62" s="2"/>
      </tp>
      <tp>
        <v>61.8429</v>
        <stp/>
        <stp>##V3_BDHV12</stp>
        <stp>AMZN US Equity</stp>
        <stp>REVENUE_PER_SH</stp>
        <stp>FQ1 2016</stp>
        <stp>FQ1 2016</stp>
        <stp>[AMZ_2009-2018.xlsx]Per Share!R11C31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E11" s="5"/>
      </tp>
      <tp>
        <v>0</v>
        <stp/>
        <stp>##V3_BDHV12</stp>
        <stp>AMZN US Equity</stp>
        <stp>XO_GL_NET_OF_TAX</stp>
        <stp>FQ1 2018</stp>
        <stp>FQ1 2018</stp>
        <stp>[AMZ_2009-2018.xlsx]Income - Adjusted!R35C39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5" s="2"/>
      </tp>
      <tp>
        <v>105.45869999999999</v>
        <stp/>
        <stp>##V3_BDHV12</stp>
        <stp>AMZN US Equity</stp>
        <stp>REVENUE_PER_SH</stp>
        <stp>FQ1 2018</stp>
        <stp>FQ1 2018</stp>
        <stp>[AMZ_2009-2018.xlsx]Per Share!R11C39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M11" s="5"/>
      </tp>
      <tp>
        <v>485</v>
        <stp/>
        <stp>##V3_BDHV12</stp>
        <stp>AMZN US Equity</stp>
        <stp>CF_DEPR_AMORT</stp>
        <stp>FQ2 2012</stp>
        <stp>FQ2 2012</stp>
        <stp>[AMZ_2009-2018.xlsx]Cash Flow - Standardized!R8C16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8" s="4"/>
      </tp>
      <tp>
        <v>1010</v>
        <stp/>
        <stp>##V3_BDHV12</stp>
        <stp>AMZN US Equity</stp>
        <stp>CF_DEPR_AMORT</stp>
        <stp>FQ1 2014</stp>
        <stp>FQ1 2014</stp>
        <stp>[AMZ_2009-2018.xlsx]Cash Flow - Standardized!R8C23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8" s="4"/>
      </tp>
      <tp>
        <v>1426</v>
        <stp/>
        <stp>##V3_BDHV12</stp>
        <stp>AMZN US Equity</stp>
        <stp>CF_DEPR_AMORT</stp>
        <stp>FQ1 2015</stp>
        <stp>FQ1 2015</stp>
        <stp>[AMZ_2009-2018.xlsx]Cash Flow - Standardized!R8C27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8" s="4"/>
      </tp>
      <tp>
        <v>244</v>
        <stp/>
        <stp>##V3_BDHV12</stp>
        <stp>AMZN US Equity</stp>
        <stp>CF_DEPR_AMORT</stp>
        <stp>FQ2 2011</stp>
        <stp>FQ2 2011</stp>
        <stp>[AMZ_2009-2018.xlsx]Cash Flow - Standardized!R8C12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8" s="4"/>
      </tp>
      <tp>
        <v>0</v>
        <stp/>
        <stp>##V3_BDHV12</stp>
        <stp>AMZN US Equity</stp>
        <stp>XO_GL_NET_OF_TAX</stp>
        <stp>FQ3 2010</stp>
        <stp>FQ3 2010</stp>
        <stp>[AMZ_2009-2018.xlsx]Income - Adjusted!R35C9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5" s="2"/>
      </tp>
      <tp>
        <v>0</v>
        <stp/>
        <stp>##V3_BDHV12</stp>
        <stp>AMZN US Equity</stp>
        <stp>XO_GL_NET_OF_TAX</stp>
        <stp>FQ3 2010</stp>
        <stp>FQ3 2010</stp>
        <stp>[AMZ_2009-2018.xlsx]Income - Adjusted!R47C9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47" s="2"/>
      </tp>
      <tp>
        <v>2249</v>
        <stp/>
        <stp>##V3_BDHV12</stp>
        <stp>AMZN US Equity</stp>
        <stp>GROSS_PROFIT</stp>
        <stp>FQ1 2011</stp>
        <stp>FQ1 2011</stp>
        <stp>[AMZ_2009-2018.xlsx]Income - Adjusted!R10C11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0" s="2"/>
      </tp>
      <tp>
        <v>10262</v>
        <stp/>
        <stp>##V3_BDHV12</stp>
        <stp>AMZN US Equity</stp>
        <stp>GROSS_PROFIT</stp>
        <stp>FQ1 2016</stp>
        <stp>FQ1 2016</stp>
        <stp>[AMZ_2009-2018.xlsx]Income - Adjusted!R10C31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0" s="2"/>
      </tp>
      <tp>
        <v>4726</v>
        <stp/>
        <stp>##V3_BDHV12</stp>
        <stp>AMZN US Equity</stp>
        <stp>GROSS_PROFIT</stp>
        <stp>FQ3 2013</stp>
        <stp>FQ3 2013</stp>
        <stp>[AMZ_2009-2018.xlsx]Income - Adjusted!R10C21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0" s="2"/>
      </tp>
      <tp>
        <v>268</v>
        <stp/>
        <stp>##V3_BDHV12</stp>
        <stp>AMZN US Equity</stp>
        <stp>EBIT</stp>
        <stp>FQ3 2010</stp>
        <stp>FQ3 2010</stp>
        <stp>[AMZ_2009-2018.xlsx]Income - Adjusted!R64C9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64" s="2"/>
      </tp>
      <tp>
        <v>1837</v>
        <stp/>
        <stp>##V3_BDHV12</stp>
        <stp>AMZN US Equity</stp>
        <stp>BS_AMT_OF_TSY_STOCK</stp>
        <stp>FQ3 2015</stp>
        <stp>FQ3 2015</stp>
        <stp>[AMZ_2009-2018.xlsx]Bal Sheet - Standardized!R68C29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68" s="3"/>
      </tp>
      <tp>
        <v>192</v>
        <stp/>
        <stp>##V3_BDHV12</stp>
        <stp>AMZN US Equity</stp>
        <stp>OTHER_CURRENT_ASSETS_DETAILED</stp>
        <stp>FQ1 2009</stp>
        <stp>FQ1 2009</stp>
        <stp>[AMZ_2009-2018.xlsx]Bal Sheet - Standardized!R18C3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3"/>
      </tp>
      <tp>
        <v>247</v>
        <stp/>
        <stp>##V3_BDHV12</stp>
        <stp>AMZN US Equity</stp>
        <stp>PRETAX_INC</stp>
        <stp>FQ3 2015</stp>
        <stp>FQ3 2015</stp>
        <stp>[AMZ_2009-2018.xlsx]Income - Adjusted!R31C29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31" s="2"/>
      </tp>
      <tp>
        <v>1837</v>
        <stp/>
        <stp>##V3_BDHV12</stp>
        <stp>AMZN US Equity</stp>
        <stp>BS_AMT_OF_TSY_STOCK</stp>
        <stp>FQ2 2014</stp>
        <stp>FQ2 2014</stp>
        <stp>[AMZ_2009-2018.xlsx]Bal Sheet - Standardized!R68C24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68" s="3"/>
      </tp>
      <tp>
        <v>-3243</v>
        <stp/>
        <stp>##V3_BDHV12</stp>
        <stp>AMZN US Equity</stp>
        <stp>ACQUIS_FXD_&amp;_INTANG_DETAILED</stp>
        <stp>FQ2 2018</stp>
        <stp>FQ2 2018</stp>
        <stp>[AMZ_2009-2018.xlsx]Cash Flow - Standardized!R26C40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6" s="4"/>
      </tp>
      <tp t="s">
        <v>—</v>
        <stp/>
        <stp>##V3_BDHV12</stp>
        <stp>AMZN US Equity</stp>
        <stp>ST_DEFERRED_REVENUE</stp>
        <stp>FQ2 2012</stp>
        <stp>FQ2 2012</stp>
        <stp>[AMZ_2009-2018.xlsx]Bal Sheet - Standardized!R48C16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8" s="3"/>
      </tp>
      <tp>
        <v>81</v>
        <stp/>
        <stp>##V3_BDHV12</stp>
        <stp>AMZN US Equity</stp>
        <stp>PRETAX_INC</stp>
        <stp>FQ1 2013</stp>
        <stp>FQ1 2013</stp>
        <stp>[AMZ_2009-2018.xlsx]Income - Adjusted!R31C19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31" s="2"/>
      </tp>
      <tp>
        <v>1916</v>
        <stp/>
        <stp>##V3_BDHV12</stp>
        <stp>AMZN US Equity</stp>
        <stp>PRETAX_INC</stp>
        <stp>FQ1 2018</stp>
        <stp>FQ1 2018</stp>
        <stp>[AMZ_2009-2018.xlsx]Income - Adjusted!R31C39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31" s="2"/>
      </tp>
      <tp>
        <v>4768</v>
        <stp/>
        <stp>##V3_BDHV12</stp>
        <stp>AMZN US Equity</stp>
        <stp>ST_DEFERRED_REVENUE</stp>
        <stp>FQ4 2016</stp>
        <stp>FQ4 2016</stp>
        <stp>[AMZ_2009-2018.xlsx]Bal Sheet - Standardized!R48C34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8" s="3"/>
      </tp>
      <tp>
        <v>1837</v>
        <stp/>
        <stp>##V3_BDHV12</stp>
        <stp>AMZN US Equity</stp>
        <stp>BS_AMT_OF_TSY_STOCK</stp>
        <stp>FQ1 2016</stp>
        <stp>FQ1 2016</stp>
        <stp>[AMZ_2009-2018.xlsx]Bal Sheet - Standardized!R68C31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68" s="3"/>
      </tp>
      <tp t="s">
        <v>—</v>
        <stp/>
        <stp>##V3_BDHV12</stp>
        <stp>AMZN US Equity</stp>
        <stp>ST_DEFERRED_REVENUE</stp>
        <stp>FQ1 2011</stp>
        <stp>FQ1 2011</stp>
        <stp>[AMZ_2009-2018.xlsx]Bal Sheet - Standardized!R48C11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8" s="3"/>
      </tp>
      <tp>
        <v>877</v>
        <stp/>
        <stp>##V3_BDHV12</stp>
        <stp>AMZN US Equity</stp>
        <stp>BS_AMT_OF_TSY_STOCK</stp>
        <stp>FQ4 2011</stp>
        <stp>FQ4 2011</stp>
        <stp>[AMZ_2009-2018.xlsx]Bal Sheet - Standardized!R68C14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68" s="3"/>
      </tp>
      <tp>
        <v>-417</v>
        <stp/>
        <stp>##V3_BDHV12</stp>
        <stp>AMZN US Equity</stp>
        <stp>OTHER_INVESTING_ACT_DETAILED</stp>
        <stp>FQ2 2013</stp>
        <stp>FQ2 2013</stp>
        <stp>[AMZ_2009-2018.xlsx]Cash Flow - Standardized!R36C20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36" s="4"/>
      </tp>
      <tp t="s">
        <v>—</v>
        <stp/>
        <stp>##V3_BDHV12</stp>
        <stp>AMZN US Equity</stp>
        <stp>IS_FOREIGN_EXCH_LOSS</stp>
        <stp>FQ2 2010</stp>
        <stp>FQ2 2010</stp>
        <stp>[AMZ_2009-2018.xlsx]Income - Adjusted!R23C8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3" s="2"/>
      </tp>
      <tp t="s">
        <v>—</v>
        <stp/>
        <stp>##V3_BDHV12</stp>
        <stp>AMZN US Equity</stp>
        <stp>LT_DEFERRED_REVENUE</stp>
        <stp>FQ1 2011</stp>
        <stp>FQ1 2011</stp>
        <stp>[AMZ_2009-2018.xlsx]Bal Sheet - Standardized!R58C11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58" s="3"/>
      </tp>
      <tp>
        <v>677</v>
        <stp/>
        <stp>##V3_BDHV12</stp>
        <stp>AMZN US Equity</stp>
        <stp>OTHER_INVESTING_ACT_DETAILED</stp>
        <stp>FQ3 2011</stp>
        <stp>FQ3 2011</stp>
        <stp>[AMZ_2009-2018.xlsx]Cash Flow - Standardized!R36C13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36" s="4"/>
      </tp>
      <tp>
        <v>499</v>
        <stp/>
        <stp>##V3_BDHV12</stp>
        <stp>AMZN US Equity</stp>
        <stp>LT_DEFERRED_REVENUE</stp>
        <stp>FQ4 2016</stp>
        <stp>FQ4 2016</stp>
        <stp>[AMZ_2009-2018.xlsx]Bal Sheet - Standardized!R58C34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58" s="3"/>
      </tp>
      <tp>
        <v>3364</v>
        <stp/>
        <stp>##V3_BDHV12</stp>
        <stp>AMZN US Equity</stp>
        <stp>BS_ACCTS_REC_EXCL_NOTES_REC</stp>
        <stp>FQ4 2012</stp>
        <stp>FQ4 2012</stp>
        <stp>[AMZ_2009-2018.xlsx]Bal Sheet - Standardized!R11C18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1" s="3"/>
      </tp>
      <tp>
        <v>2655</v>
        <stp/>
        <stp>##V3_BDHV12</stp>
        <stp>AMZN US Equity</stp>
        <stp>BS_GOODWILL</stp>
        <stp>FQ4 2013</stp>
        <stp>FQ4 2013</stp>
        <stp>[AMZ_2009-2018.xlsx]Bal Sheet - Standardized!R29C22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9" s="3"/>
      </tp>
      <tp>
        <v>3332</v>
        <stp/>
        <stp>##V3_BDHV12</stp>
        <stp>AMZN US Equity</stp>
        <stp>BS_GOODWILL</stp>
        <stp>FQ3 2014</stp>
        <stp>FQ3 2014</stp>
        <stp>[AMZ_2009-2018.xlsx]Bal Sheet - Standardized!R29C25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9" s="3"/>
      </tp>
      <tp t="s">
        <v>—</v>
        <stp/>
        <stp>##V3_BDHV12</stp>
        <stp>AMZN US Equity</stp>
        <stp>LT_DEFERRED_REVENUE</stp>
        <stp>FQ2 2012</stp>
        <stp>FQ2 2012</stp>
        <stp>[AMZ_2009-2018.xlsx]Bal Sheet - Standardized!R58C16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58" s="3"/>
      </tp>
      <tp>
        <v>1349</v>
        <stp/>
        <stp>##V3_BDHV12</stp>
        <stp>AMZN US Equity</stp>
        <stp>BS_GOODWILL</stp>
        <stp>FQ4 2010</stp>
        <stp>FQ4 2010</stp>
        <stp>[AMZ_2009-2018.xlsx]Bal Sheet - Standardized!R29C10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9" s="3"/>
      </tp>
      <tp>
        <v>3823</v>
        <stp/>
        <stp>##V3_BDHV12</stp>
        <stp>AMZN US Equity</stp>
        <stp>BS_GOODWILL</stp>
        <stp>FQ1 2017</stp>
        <stp>FQ1 2017</stp>
        <stp>[AMZ_2009-2018.xlsx]Bal Sheet - Standardized!R29C35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9" s="3"/>
      </tp>
      <tp>
        <v>449</v>
        <stp/>
        <stp>##V3_BDHV12</stp>
        <stp>AMZN US Equity</stp>
        <stp>BS_SH_OUT</stp>
        <stp>FQ3 2010</stp>
        <stp>FQ3 2010</stp>
        <stp>[AMZ_2009-2018.xlsx]Per Share!R6C9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6" s="5"/>
      </tp>
      <tp>
        <v>448</v>
        <stp/>
        <stp>##V3_BDHV12</stp>
        <stp>AMZN US Equity</stp>
        <stp>BS_SH_OUT</stp>
        <stp>FQ2 2010</stp>
        <stp>FQ2 2010</stp>
        <stp>[AMZ_2009-2018.xlsx]Per Share!R6C8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6" s="5"/>
      </tp>
      <tp>
        <v>3523</v>
        <stp/>
        <stp>##V3_BDHV12</stp>
        <stp>AMZN US Equity</stp>
        <stp>BS_GOODWILL</stp>
        <stp>FQ2 2015</stp>
        <stp>FQ2 2015</stp>
        <stp>[AMZ_2009-2018.xlsx]Bal Sheet - Standardized!R29C28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9" s="3"/>
      </tp>
      <tp>
        <v>0</v>
        <stp/>
        <stp>##V3_BDHV12</stp>
        <stp>AMZN US Equity</stp>
        <stp>CF_NET_CASH_DISCONT_OPS_OPER</stp>
        <stp>FQ2 2012</stp>
        <stp>FQ2 2012</stp>
        <stp>[AMZ_2009-2018.xlsx]Cash Flow - Standardized!R18C16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8" s="4"/>
      </tp>
      <tp>
        <v>-177</v>
        <stp/>
        <stp>##V3_BDHV12</stp>
        <stp>AMZN US Equity</stp>
        <stp>OTHER_INVESTING_ACT_DETAILED</stp>
        <stp>FQ1 2013</stp>
        <stp>FQ1 2013</stp>
        <stp>[AMZ_2009-2018.xlsx]Cash Flow - Standardized!R36C19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36" s="4"/>
      </tp>
      <tp>
        <v>10557</v>
        <stp/>
        <stp>##V3_BDHV12</stp>
        <stp>AMZN US Equity</stp>
        <stp>BS_ACCTS_REC_EXCL_NOTES_REC</stp>
        <stp>FQ3 2017</stp>
        <stp>FQ3 2017</stp>
        <stp>[AMZ_2009-2018.xlsx]Bal Sheet - Standardized!R11C37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1" s="3"/>
      </tp>
      <tp>
        <v>0</v>
        <stp/>
        <stp>##V3_BDHV12</stp>
        <stp>AMZN US Equity</stp>
        <stp>CF_NET_CASH_DISCONT_OPS_OPER</stp>
        <stp>FQ1 2011</stp>
        <stp>FQ1 2011</stp>
        <stp>[AMZ_2009-2018.xlsx]Cash Flow - Standardized!R18C11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8" s="4"/>
      </tp>
      <tp>
        <v>6092</v>
        <stp/>
        <stp>##V3_BDHV12</stp>
        <stp>AMZN US Equity</stp>
        <stp>BS_ACCTS_REC_EXCL_NOTES_REC</stp>
        <stp>FQ2 2016</stp>
        <stp>FQ2 2016</stp>
        <stp>[AMZ_2009-2018.xlsx]Bal Sheet - Standardized!R11C32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1" s="3"/>
      </tp>
      <tp>
        <v>3945</v>
        <stp/>
        <stp>##V3_BDHV12</stp>
        <stp>AMZN US Equity</stp>
        <stp>BS_ACCTS_REC_EXCL_NOTES_REC</stp>
        <stp>FQ1 2014</stp>
        <stp>FQ1 2014</stp>
        <stp>[AMZ_2009-2018.xlsx]Bal Sheet - Standardized!R11C23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1" s="3"/>
      </tp>
      <tp>
        <v>429</v>
        <stp/>
        <stp>##V3_BDHV12</stp>
        <stp>AMZN US Equity</stp>
        <stp>BS_SH_OUT</stp>
        <stp>FQ1 2009</stp>
        <stp>FQ1 2009</stp>
        <stp>[AMZ_2009-2018.xlsx]Per Share!R6C3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6" s="5"/>
      </tp>
      <tp>
        <v>444</v>
        <stp/>
        <stp>##V3_BDHV12</stp>
        <stp>AMZN US Equity</stp>
        <stp>BS_SH_OUT</stp>
        <stp>FQ4 2009</stp>
        <stp>FQ4 2009</stp>
        <stp>[AMZ_2009-2018.xlsx]Per Share!R6C6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6" s="5"/>
      </tp>
      <tp>
        <v>0</v>
        <stp/>
        <stp>##V3_BDHV12</stp>
        <stp>AMZN US Equity</stp>
        <stp>CF_NET_CASH_DISCONT_OPS_OPER</stp>
        <stp>FQ4 2016</stp>
        <stp>FQ4 2016</stp>
        <stp>[AMZ_2009-2018.xlsx]Cash Flow - Standardized!R18C34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8" s="4"/>
      </tp>
      <tp>
        <v>0</v>
        <stp/>
        <stp>##V3_BDHV12</stp>
        <stp>AMZN US Equity</stp>
        <stp>EQY_DPS</stp>
        <stp>FQ3 2015</stp>
        <stp>FQ3 2015</stp>
        <stp>[AMZ_2009-2018.xlsx]Per Share!R20C29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20" s="5"/>
      </tp>
      <tp>
        <v>0</v>
        <stp/>
        <stp>##V3_BDHV12</stp>
        <stp>AMZN US Equity</stp>
        <stp>EQY_DPS</stp>
        <stp>FQ1 2013</stp>
        <stp>FQ1 2013</stp>
        <stp>[AMZ_2009-2018.xlsx]Per Share!R20C19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20" s="5"/>
      </tp>
      <tp>
        <v>0</v>
        <stp/>
        <stp>##V3_BDHV12</stp>
        <stp>AMZN US Equity</stp>
        <stp>EQY_DPS</stp>
        <stp>FQ1 2018</stp>
        <stp>FQ1 2018</stp>
        <stp>[AMZ_2009-2018.xlsx]Per Share!R20C39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20" s="5"/>
      </tp>
      <tp>
        <v>73</v>
        <stp/>
        <stp>##V3_BDHV12</stp>
        <stp>AMZN US Equity</stp>
        <stp>NON_CASH_ITEMS_DETAILED</stp>
        <stp>FQ4 2009</stp>
        <stp>FQ4 2009</stp>
        <stp>[AMZ_2009-2018.xlsx]Cash Flow - Standardized!R9C6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9" s="4"/>
      </tp>
      <tp>
        <v>27</v>
        <stp/>
        <stp>##V3_BDHV12</stp>
        <stp>AMZN US Equity</stp>
        <stp>NON_CASH_ITEMS_DETAILED</stp>
        <stp>FQ1 2009</stp>
        <stp>FQ1 2009</stp>
        <stp>[AMZ_2009-2018.xlsx]Cash Flow - Standardized!R9C3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4"/>
      </tp>
      <tp>
        <v>110</v>
        <stp/>
        <stp>##V3_BDHV12</stp>
        <stp>AMZN US Equity</stp>
        <stp>NON_CASH_ITEMS_DETAILED</stp>
        <stp>FQ2 2009</stp>
        <stp>FQ2 2009</stp>
        <stp>[AMZ_2009-2018.xlsx]Cash Flow - Standardized!R9C4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9" s="4"/>
      </tp>
      <tp>
        <v>183</v>
        <stp/>
        <stp>##V3_BDHV12</stp>
        <stp>AMZN US Equity</stp>
        <stp>NON_CASH_ITEMS_DETAILED</stp>
        <stp>FQ3 2009</stp>
        <stp>FQ3 2009</stp>
        <stp>[AMZ_2009-2018.xlsx]Cash Flow - Standardized!R9C5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9" s="4"/>
      </tp>
      <tp>
        <v>1</v>
        <stp/>
        <stp>##V3_BDHV12</stp>
        <stp>AMZN US Equity</stp>
        <stp>NON_CASH_ITEMS_DETAILED</stp>
        <stp>FQ1 2010</stp>
        <stp>FQ1 2010</stp>
        <stp>[AMZ_2009-2018.xlsx]Cash Flow - Standardized!R9C7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9" s="4"/>
      </tp>
      <tp>
        <v>478</v>
        <stp/>
        <stp>##V3_BDHV12</stp>
        <stp>AMZN US Equity</stp>
        <stp>IS_SH_FOR_DILUTED_EPS</stp>
        <stp>FQ3 2015</stp>
        <stp>FQ3 2015</stp>
        <stp>[AMZ_2009-2018.xlsx]Per Share!R7C29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7" s="5"/>
      </tp>
      <tp>
        <v>31</v>
        <stp/>
        <stp>##V3_BDHV12</stp>
        <stp>AMZN US Equity</stp>
        <stp>NON_CASH_ITEMS_DETAILED</stp>
        <stp>FQ2 2010</stp>
        <stp>FQ2 2010</stp>
        <stp>[AMZ_2009-2018.xlsx]Cash Flow - Standardized!R9C8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9" s="4"/>
      </tp>
      <tp>
        <v>5</v>
        <stp/>
        <stp>##V3_BDHV12</stp>
        <stp>AMZN US Equity</stp>
        <stp>NON_CASH_ITEMS_DETAILED</stp>
        <stp>FQ3 2010</stp>
        <stp>FQ3 2010</stp>
        <stp>[AMZ_2009-2018.xlsx]Cash Flow - Standardized!R9C9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9" s="4"/>
      </tp>
      <tp>
        <v>8907</v>
        <stp/>
        <stp>##V3_BDHV12</stp>
        <stp>AMZN US Equity</stp>
        <stp>CF_CHANGE_IN_ACCOUNTS_PAYABLE</stp>
        <stp>FQ4 2017</stp>
        <stp>FQ4 2017</stp>
        <stp>[AMZ_2009-2018.xlsx]Cash Flow - Standardized!R16C38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6" s="4"/>
      </tp>
      <tp>
        <v>0</v>
        <stp/>
        <stp>##V3_BDHV12</stp>
        <stp>AMZN US Equity</stp>
        <stp>EQY_DPS</stp>
        <stp>FQ3 2009</stp>
        <stp>FQ3 2009</stp>
        <stp>[AMZ_2009-2018.xlsx]Per Share!R20C5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20" s="5"/>
      </tp>
      <tp>
        <v>1223</v>
        <stp/>
        <stp>##V3_BDHV12</stp>
        <stp>AMZN US Equity</stp>
        <stp>CF_CHANGE_IN_ACCOUNTS_PAYABLE</stp>
        <stp>FQ3 2012</stp>
        <stp>FQ3 2012</stp>
        <stp>[AMZ_2009-2018.xlsx]Cash Flow - Standardized!R16C17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6" s="4"/>
      </tp>
      <tp>
        <v>0</v>
        <stp/>
        <stp>##V3_BDHV12</stp>
        <stp>AMZN US Equity</stp>
        <stp>NET_CHG_IN_LT_INVEST_DETAILED</stp>
        <stp>FQ3 2016</stp>
        <stp>FQ3 2016</stp>
        <stp>[AMZ_2009-2018.xlsx]Cash Flow - Standardized!R29C33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9" s="4"/>
      </tp>
      <tp>
        <v>-789</v>
        <stp/>
        <stp>##V3_BDHV12</stp>
        <stp>AMZN US Equity</stp>
        <stp>IS_NET_ABNORMAL_ITEMS</stp>
        <stp>FQ4 2017</stp>
        <stp>FQ4 2017</stp>
        <stp>[AMZ_2009-2018.xlsx]Income - Adjusted!R46C38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6" s="2"/>
      </tp>
      <tp>
        <v>0</v>
        <stp/>
        <stp>##V3_BDHV12</stp>
        <stp>AMZN US Equity</stp>
        <stp>NET_CHG_IN_LT_INVEST_DETAILED</stp>
        <stp>FQ2 2017</stp>
        <stp>FQ2 2017</stp>
        <stp>[AMZ_2009-2018.xlsx]Cash Flow - Standardized!R29C36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9" s="4"/>
      </tp>
      <tp>
        <v>0</v>
        <stp/>
        <stp>##V3_BDHV12</stp>
        <stp>AMZN US Equity</stp>
        <stp>NET_CHG_IN_LT_INVEST_DETAILED</stp>
        <stp>FQ1 2015</stp>
        <stp>FQ1 2015</stp>
        <stp>[AMZ_2009-2018.xlsx]Cash Flow - Standardized!R29C27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9" s="4"/>
      </tp>
      <tp>
        <v>0</v>
        <stp/>
        <stp>##V3_BDHV12</stp>
        <stp>AMZN US Equity</stp>
        <stp>IS_NET_ABNORMAL_ITEMS</stp>
        <stp>FQ1 2017</stp>
        <stp>FQ1 2017</stp>
        <stp>[AMZ_2009-2018.xlsx]Income - Adjusted!R46C35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6" s="2"/>
      </tp>
      <tp>
        <v>0</v>
        <stp/>
        <stp>##V3_BDHV12</stp>
        <stp>AMZN US Equity</stp>
        <stp>IS_NET_ABNORMAL_ITEMS</stp>
        <stp>FQ2 2017</stp>
        <stp>FQ2 2017</stp>
        <stp>[AMZ_2009-2018.xlsx]Income - Adjusted!R46C36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6" s="2"/>
      </tp>
      <tp>
        <v>0</v>
        <stp/>
        <stp>##V3_BDHV12</stp>
        <stp>AMZN US Equity</stp>
        <stp>IS_NET_ABNORMAL_ITEMS</stp>
        <stp>FQ3 2017</stp>
        <stp>FQ3 2017</stp>
        <stp>[AMZ_2009-2018.xlsx]Income - Adjusted!R46C37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6" s="2"/>
      </tp>
      <tp t="s">
        <v>—</v>
        <stp/>
        <stp>##V3_BDHV12</stp>
        <stp>AMZN US Equity</stp>
        <stp>BS_ACCRUED_LIABILITIES</stp>
        <stp>FQ3 2009</stp>
        <stp>FQ3 2009</stp>
        <stp>[AMZ_2009-2018.xlsx]Bal Sheet - Standardized!R56C5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6" s="3"/>
      </tp>
      <tp t="s">
        <v>—</v>
        <stp/>
        <stp>##V3_BDHV12</stp>
        <stp>AMZN US Equity</stp>
        <stp>BS_ACCRUED_LIABILITIES</stp>
        <stp>FQ2 2010</stp>
        <stp>FQ2 2010</stp>
        <stp>[AMZ_2009-2018.xlsx]Bal Sheet - Standardized!R56C8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6" s="3"/>
      </tp>
      <tp>
        <v>0</v>
        <stp/>
        <stp>##V3_BDHV12</stp>
        <stp>AMZN US Equity</stp>
        <stp>PENSION_LIABILITIES</stp>
        <stp>FQ4 2009</stp>
        <stp>FQ4 2009</stp>
        <stp>[AMZ_2009-2018.xlsx]Bal Sheet - Standardized!R57C6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7" s="3"/>
      </tp>
      <tp>
        <v>554</v>
        <stp/>
        <stp>##V3_BDHV12</stp>
        <stp>AMZN US Equity</stp>
        <stp>CF_DEPR_AMORT</stp>
        <stp>FQ3 2012</stp>
        <stp>FQ3 2012</stp>
        <stp>[AMZ_2009-2018.xlsx]Cash Flow - Standardized!R8C17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8" s="4"/>
      </tp>
      <tp>
        <v>1827</v>
        <stp/>
        <stp>##V3_BDHV12</stp>
        <stp>AMZN US Equity</stp>
        <stp>CF_DEPR_AMORT</stp>
        <stp>FQ1 2016</stp>
        <stp>FQ1 2016</stp>
        <stp>[AMZ_2009-2018.xlsx]Cash Flow - Standardized!R8C31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8" s="4"/>
      </tp>
      <tp>
        <v>2435</v>
        <stp/>
        <stp>##V3_BDHV12</stp>
        <stp>AMZN US Equity</stp>
        <stp>CF_DEPR_AMORT</stp>
        <stp>FQ1 2017</stp>
        <stp>FQ1 2017</stp>
        <stp>[AMZ_2009-2018.xlsx]Cash Flow - Standardized!R8C35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8" s="4"/>
      </tp>
      <tp>
        <v>3671</v>
        <stp/>
        <stp>##V3_BDHV12</stp>
        <stp>AMZN US Equity</stp>
        <stp>CF_DEPR_AMORT</stp>
        <stp>FQ1 2018</stp>
        <stp>FQ1 2018</stp>
        <stp>[AMZ_2009-2018.xlsx]Cash Flow - Standardized!R8C39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8" s="4"/>
      </tp>
      <tp>
        <v>278</v>
        <stp/>
        <stp>##V3_BDHV12</stp>
        <stp>AMZN US Equity</stp>
        <stp>CF_DEPR_AMORT</stp>
        <stp>FQ3 2011</stp>
        <stp>FQ3 2011</stp>
        <stp>[AMZ_2009-2018.xlsx]Cash Flow - Standardized!R8C13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8" s="4"/>
      </tp>
      <tp>
        <v>11406</v>
        <stp/>
        <stp>##V3_BDHV12</stp>
        <stp>AMZN US Equity</stp>
        <stp>GROSS_PROFIT</stp>
        <stp>FQ4 2015</stp>
        <stp>FQ4 2015</stp>
        <stp>[AMZ_2009-2018.xlsx]Income - Adjusted!R10C30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0" s="2"/>
      </tp>
      <tp>
        <v>2631</v>
        <stp/>
        <stp>##V3_BDHV12</stp>
        <stp>AMZN US Equity</stp>
        <stp>GROSS_PROFIT</stp>
        <stp>FQ4 2010</stp>
        <stp>FQ4 2010</stp>
        <stp>[AMZ_2009-2018.xlsx]Income - Adjusted!R10C10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0" s="2"/>
      </tp>
      <tp>
        <v>0</v>
        <stp/>
        <stp>##V3_BDHV12</stp>
        <stp>AMZN US Equity</stp>
        <stp>XO_GL_NET_OF_TAX</stp>
        <stp>FQ2 2010</stp>
        <stp>FQ2 2010</stp>
        <stp>[AMZ_2009-2018.xlsx]Income - Adjusted!R35C8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5" s="2"/>
      </tp>
      <tp>
        <v>0</v>
        <stp/>
        <stp>##V3_BDHV12</stp>
        <stp>AMZN US Equity</stp>
        <stp>XO_GL_NET_OF_TAX</stp>
        <stp>FQ2 2010</stp>
        <stp>FQ2 2010</stp>
        <stp>[AMZ_2009-2018.xlsx]Income - Adjusted!R47C8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47" s="2"/>
      </tp>
      <tp>
        <v>22254</v>
        <stp/>
        <stp>##V3_BDHV12</stp>
        <stp>AMZN US Equity</stp>
        <stp>GROSS_PROFIT</stp>
        <stp>FQ2 2018</stp>
        <stp>FQ2 2018</stp>
        <stp>[AMZ_2009-2018.xlsx]Income - Adjusted!R10C40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0" s="2"/>
      </tp>
      <tp>
        <v>4495</v>
        <stp/>
        <stp>##V3_BDHV12</stp>
        <stp>AMZN US Equity</stp>
        <stp>GROSS_PROFIT</stp>
        <stp>FQ2 2013</stp>
        <stp>FQ2 2013</stp>
        <stp>[AMZ_2009-2018.xlsx]Income - Adjusted!R10C20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0" s="2"/>
      </tp>
      <tp>
        <v>5097</v>
        <stp/>
        <stp>##V3_BDHV12</stp>
        <stp>AMZN US Equity</stp>
        <stp>ST_DEFERRED_REVENUE</stp>
        <stp>FQ4 2017</stp>
        <stp>FQ4 2017</stp>
        <stp>[AMZ_2009-2018.xlsx]Bal Sheet - Standardized!R48C38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48" s="3"/>
      </tp>
      <tp>
        <v>270</v>
        <stp/>
        <stp>##V3_BDHV12</stp>
        <stp>AMZN US Equity</stp>
        <stp>EBIT</stp>
        <stp>FQ2 2010</stp>
        <stp>FQ2 2010</stp>
        <stp>[AMZ_2009-2018.xlsx]Income - Adjusted!R64C8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64" s="2"/>
      </tp>
      <tp>
        <v>50829</v>
        <stp/>
        <stp>##V3_BDHV12</stp>
        <stp>AMZN US Equity</stp>
        <stp>BS_CUR_ASSET_REPORT</stp>
        <stp>FQ1 2018</stp>
        <stp>FQ1 2018</stp>
        <stp>[AMZ_2009-2018.xlsx]Bal Sheet - Standardized!R22C39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2" s="3"/>
      </tp>
      <tp>
        <v>1837</v>
        <stp/>
        <stp>##V3_BDHV12</stp>
        <stp>AMZN US Equity</stp>
        <stp>BS_AMT_OF_TSY_STOCK</stp>
        <stp>FQ2 2015</stp>
        <stp>FQ2 2015</stp>
        <stp>[AMZ_2009-2018.xlsx]Bal Sheet - Standardized!R68C28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68" s="3"/>
      </tp>
      <tp>
        <v>1837</v>
        <stp/>
        <stp>##V3_BDHV12</stp>
        <stp>AMZN US Equity</stp>
        <stp>BS_AMT_OF_TSY_STOCK</stp>
        <stp>FQ1 2017</stp>
        <stp>FQ1 2017</stp>
        <stp>[AMZ_2009-2018.xlsx]Bal Sheet - Standardized!R68C35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68" s="3"/>
      </tp>
      <tp>
        <v>362</v>
        <stp/>
        <stp>##V3_BDHV12</stp>
        <stp>AMZN US Equity</stp>
        <stp>PRETAX_INC</stp>
        <stp>FQ2 2015</stp>
        <stp>FQ2 2015</stp>
        <stp>[AMZ_2009-2018.xlsx]Income - Adjusted!R31C28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31" s="2"/>
      </tp>
      <tp t="s">
        <v>—</v>
        <stp/>
        <stp>##V3_BDHV12</stp>
        <stp>AMZN US Equity</stp>
        <stp>ST_DEFERRED_REVENUE</stp>
        <stp>FQ3 2012</stp>
        <stp>FQ3 2012</stp>
        <stp>[AMZ_2009-2018.xlsx]Bal Sheet - Standardized!R48C17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8" s="3"/>
      </tp>
      <tp>
        <v>600</v>
        <stp/>
        <stp>##V3_BDHV12</stp>
        <stp>AMZN US Equity</stp>
        <stp>BS_AMT_OF_TSY_STOCK</stp>
        <stp>FQ4 2010</stp>
        <stp>FQ4 2010</stp>
        <stp>[AMZ_2009-2018.xlsx]Bal Sheet - Standardized!R68C10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68" s="3"/>
      </tp>
      <tp>
        <v>1837</v>
        <stp/>
        <stp>##V3_BDHV12</stp>
        <stp>AMZN US Equity</stp>
        <stp>BS_AMT_OF_TSY_STOCK</stp>
        <stp>FQ4 2013</stp>
        <stp>FQ4 2013</stp>
        <stp>[AMZ_2009-2018.xlsx]Bal Sheet - Standardized!R68C22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68" s="3"/>
      </tp>
      <tp>
        <v>1837</v>
        <stp/>
        <stp>##V3_BDHV12</stp>
        <stp>AMZN US Equity</stp>
        <stp>BS_AMT_OF_TSY_STOCK</stp>
        <stp>FQ3 2014</stp>
        <stp>FQ3 2014</stp>
        <stp>[AMZ_2009-2018.xlsx]Bal Sheet - Standardized!R68C25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68" s="3"/>
      </tp>
      <tp>
        <v>266</v>
        <stp/>
        <stp>##V3_BDHV12</stp>
        <stp>AMZN US Equity</stp>
        <stp>OTHER_CURRENT_ASSETS_DETAILED</stp>
        <stp>FQ1 2010</stp>
        <stp>FQ1 2010</stp>
        <stp>[AMZ_2009-2018.xlsx]Bal Sheet - Standardized!R18C7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8" s="3"/>
      </tp>
      <tp>
        <v>1872</v>
        <stp/>
        <stp>##V3_BDHV12</stp>
        <stp>AMZN US Equity</stp>
        <stp>PRETAX_INC</stp>
        <stp>FQ4 2017</stp>
        <stp>FQ4 2017</stp>
        <stp>[AMZ_2009-2018.xlsx]Income - Adjusted!R31C38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31" s="2"/>
      </tp>
      <tp>
        <v>337</v>
        <stp/>
        <stp>##V3_BDHV12</stp>
        <stp>AMZN US Equity</stp>
        <stp>PRETAX_INC</stp>
        <stp>FQ4 2012</stp>
        <stp>FQ4 2012</stp>
        <stp>[AMZ_2009-2018.xlsx]Income - Adjusted!R31C18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31" s="2"/>
      </tp>
      <tp>
        <v>-49</v>
        <stp/>
        <stp>##V3_BDHV12</stp>
        <stp>AMZN US Equity</stp>
        <stp>OTHER_INVESTING_ACT_DETAILED</stp>
        <stp>FQ2 2011</stp>
        <stp>FQ2 2011</stp>
        <stp>[AMZ_2009-2018.xlsx]Cash Flow - Standardized!R36C12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36" s="4"/>
      </tp>
      <tp>
        <v>1955</v>
        <stp/>
        <stp>##V3_BDHV12</stp>
        <stp>AMZN US Equity</stp>
        <stp>BS_GOODWILL</stp>
        <stp>FQ4 2011</stp>
        <stp>FQ4 2011</stp>
        <stp>[AMZ_2009-2018.xlsx]Bal Sheet - Standardized!R29C14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9" s="3"/>
      </tp>
      <tp t="s">
        <v>—</v>
        <stp/>
        <stp>##V3_BDHV12</stp>
        <stp>AMZN US Equity</stp>
        <stp>IS_FOREIGN_EXCH_LOSS</stp>
        <stp>FQ3 2010</stp>
        <stp>FQ3 2010</stp>
        <stp>[AMZ_2009-2018.xlsx]Income - Adjusted!R23C9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3" s="2"/>
      </tp>
      <tp>
        <v>-1268</v>
        <stp/>
        <stp>##V3_BDHV12</stp>
        <stp>AMZN US Equity</stp>
        <stp>OTHER_INVESTING_ACT_DETAILED</stp>
        <stp>FQ4 2014</stp>
        <stp>FQ4 2014</stp>
        <stp>[AMZ_2009-2018.xlsx]Cash Flow - Standardized!R36C26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36" s="4"/>
      </tp>
      <tp>
        <v>-24</v>
        <stp/>
        <stp>##V3_BDHV12</stp>
        <stp>AMZN US Equity</stp>
        <stp>OTHER_INVESTING_ACT_DETAILED</stp>
        <stp>FQ3 2013</stp>
        <stp>FQ3 2013</stp>
        <stp>[AMZ_2009-2018.xlsx]Cash Flow - Standardized!R36C21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36" s="4"/>
      </tp>
      <tp>
        <v>41</v>
        <stp/>
        <stp>##V3_BDHV12</stp>
        <stp>AMZN US Equity</stp>
        <stp>BS_CURR_RENTAL_EXPENSE</stp>
        <stp>FQ1 2009</stp>
        <stp>FQ1 2009</stp>
        <stp>[AMZ_2009-2018.xlsx]Income - Adjusted!R73C3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3" s="2"/>
      </tp>
      <tp>
        <v>0</v>
        <stp/>
        <stp>##V3_BDHV12</stp>
        <stp>AMZN US Equity</stp>
        <stp>CF_NET_CASH_DISCONT_OPS_OPER</stp>
        <stp>FQ4 2017</stp>
        <stp>FQ4 2017</stp>
        <stp>[AMZ_2009-2018.xlsx]Cash Flow - Standardized!R18C38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8" s="4"/>
      </tp>
      <tp>
        <v>3785</v>
        <stp/>
        <stp>##V3_BDHV12</stp>
        <stp>AMZN US Equity</stp>
        <stp>BS_GOODWILL</stp>
        <stp>FQ1 2016</stp>
        <stp>FQ1 2016</stp>
        <stp>[AMZ_2009-2018.xlsx]Bal Sheet - Standardized!R29C31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9" s="3"/>
      </tp>
      <tp t="s">
        <v>—</v>
        <stp/>
        <stp>##V3_BDHV12</stp>
        <stp>AMZN US Equity</stp>
        <stp>LT_DEFERRED_REVENUE</stp>
        <stp>FQ3 2012</stp>
        <stp>FQ3 2012</stp>
        <stp>[AMZ_2009-2018.xlsx]Bal Sheet - Standardized!R58C17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58" s="3"/>
      </tp>
      <tp>
        <v>886</v>
        <stp/>
        <stp>##V3_BDHV12</stp>
        <stp>AMZN US Equity</stp>
        <stp>OTHER_INVESTING_ACT_DETAILED</stp>
        <stp>FQ1 2012</stp>
        <stp>FQ1 2012</stp>
        <stp>[AMZ_2009-2018.xlsx]Cash Flow - Standardized!R36C15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36" s="4"/>
      </tp>
      <tp>
        <v>2677</v>
        <stp/>
        <stp>##V3_BDHV12</stp>
        <stp>AMZN US Equity</stp>
        <stp>BS_GOODWILL</stp>
        <stp>FQ2 2014</stp>
        <stp>FQ2 2014</stp>
        <stp>[AMZ_2009-2018.xlsx]Bal Sheet - Standardized!R29C24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9" s="3"/>
      </tp>
      <tp>
        <v>0.41</v>
        <stp/>
        <stp>##V3_BDHV12</stp>
        <stp>AMZN US Equity</stp>
        <stp>IS_EARN_BEF_XO_ITEMS_PER_SH</stp>
        <stp>FQ1 2009</stp>
        <stp>FQ1 2009</stp>
        <stp>[AMZ_2009-2018.xlsx]Income - Adjusted!R51C3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51" s="2"/>
      </tp>
      <tp>
        <v>-224</v>
        <stp/>
        <stp>##V3_BDHV12</stp>
        <stp>AMZN US Equity</stp>
        <stp>OTHER_INVESTING_ACT_DETAILED</stp>
        <stp>FQ4 2015</stp>
        <stp>FQ4 2015</stp>
        <stp>[AMZ_2009-2018.xlsx]Cash Flow - Standardized!R36C30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36" s="4"/>
      </tp>
      <tp>
        <v>0</v>
        <stp/>
        <stp>##V3_BDHV12</stp>
        <stp>AMZN US Equity</stp>
        <stp>CF_NET_CASH_DISCONT_OPS_OPER</stp>
        <stp>FQ3 2012</stp>
        <stp>FQ3 2012</stp>
        <stp>[AMZ_2009-2018.xlsx]Cash Flow - Standardized!R18C17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8" s="4"/>
      </tp>
      <tp>
        <v>8046</v>
        <stp/>
        <stp>##V3_BDHV12</stp>
        <stp>AMZN US Equity</stp>
        <stp>BS_ACCTS_REC_EXCL_NOTES_REC</stp>
        <stp>FQ2 2017</stp>
        <stp>FQ2 2017</stp>
        <stp>[AMZ_2009-2018.xlsx]Bal Sheet - Standardized!R11C36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1" s="3"/>
      </tp>
      <tp>
        <v>3529</v>
        <stp/>
        <stp>##V3_BDHV12</stp>
        <stp>AMZN US Equity</stp>
        <stp>BS_GOODWILL</stp>
        <stp>FQ3 2015</stp>
        <stp>FQ3 2015</stp>
        <stp>[AMZ_2009-2018.xlsx]Bal Sheet - Standardized!R29C29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9" s="3"/>
      </tp>
      <tp>
        <v>4772</v>
        <stp/>
        <stp>##V3_BDHV12</stp>
        <stp>AMZN US Equity</stp>
        <stp>BS_ACCTS_REC_EXCL_NOTES_REC</stp>
        <stp>FQ1 2015</stp>
        <stp>FQ1 2015</stp>
        <stp>[AMZ_2009-2018.xlsx]Bal Sheet - Standardized!R11C27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1" s="3"/>
      </tp>
      <tp>
        <v>6566</v>
        <stp/>
        <stp>##V3_BDHV12</stp>
        <stp>AMZN US Equity</stp>
        <stp>BS_ACCTS_REC_EXCL_NOTES_REC</stp>
        <stp>FQ3 2016</stp>
        <stp>FQ3 2016</stp>
        <stp>[AMZ_2009-2018.xlsx]Bal Sheet - Standardized!R11C33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1" s="3"/>
      </tp>
      <tp>
        <v>1000</v>
        <stp/>
        <stp>##V3_BDHV12</stp>
        <stp>AMZN US Equity</stp>
        <stp>LT_DEFERRED_REVENUE</stp>
        <stp>FQ4 2017</stp>
        <stp>FQ4 2017</stp>
        <stp>[AMZ_2009-2018.xlsx]Bal Sheet - Standardized!R58C38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58" s="3"/>
      </tp>
      <tp>
        <v>0</v>
        <stp/>
        <stp>##V3_BDHV12</stp>
        <stp>AMZN US Equity</stp>
        <stp>EQY_DPS</stp>
        <stp>FQ4 2012</stp>
        <stp>FQ4 2012</stp>
        <stp>[AMZ_2009-2018.xlsx]Per Share!R20C18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20" s="5"/>
      </tp>
      <tp>
        <v>0</v>
        <stp/>
        <stp>##V3_BDHV12</stp>
        <stp>AMZN US Equity</stp>
        <stp>EQY_DPS</stp>
        <stp>FQ4 2017</stp>
        <stp>FQ4 2017</stp>
        <stp>[AMZ_2009-2018.xlsx]Per Share!R20C38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20" s="5"/>
      </tp>
      <tp>
        <v>0</v>
        <stp/>
        <stp>##V3_BDHV12</stp>
        <stp>AMZN US Equity</stp>
        <stp>EQY_DPS</stp>
        <stp>FQ2 2015</stp>
        <stp>FQ2 2015</stp>
        <stp>[AMZ_2009-2018.xlsx]Per Share!R20C28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20" s="5"/>
      </tp>
      <tp>
        <v>0.67</v>
        <stp/>
        <stp>##V3_BDHV12</stp>
        <stp>AMZN US Equity</stp>
        <stp>IS_BASIC_EPS_CONT_OPS</stp>
        <stp>FQ1 2010</stp>
        <stp>FQ1 2010</stp>
        <stp>[AMZ_2009-2018.xlsx]Per Share!R16C7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16" s="5"/>
      </tp>
      <tp>
        <v>476</v>
        <stp/>
        <stp>##V3_BDHV12</stp>
        <stp>AMZN US Equity</stp>
        <stp>IS_SH_FOR_DILUTED_EPS</stp>
        <stp>FQ2 2015</stp>
        <stp>FQ2 2015</stp>
        <stp>[AMZ_2009-2018.xlsx]Per Share!R7C28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7" s="5"/>
      </tp>
      <tp>
        <v>0</v>
        <stp/>
        <stp>##V3_BDHV12</stp>
        <stp>AMZN US Equity</stp>
        <stp>EQY_DPS</stp>
        <stp>FQ2 2009</stp>
        <stp>FQ2 2009</stp>
        <stp>[AMZ_2009-2018.xlsx]Per Share!R20C4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20" s="5"/>
      </tp>
      <tp>
        <v>180</v>
        <stp/>
        <stp>##V3_BDHV12</stp>
        <stp>AMZN US Equity</stp>
        <stp>CF_CHANGE_IN_ACCOUNTS_PAYABLE</stp>
        <stp>FQ2 2012</stp>
        <stp>FQ2 2012</stp>
        <stp>[AMZ_2009-2018.xlsx]Cash Flow - Standardized!R16C16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6" s="4"/>
      </tp>
      <tp>
        <v>7283</v>
        <stp/>
        <stp>##V3_BDHV12</stp>
        <stp>AMZN US Equity</stp>
        <stp>CF_CHANGE_IN_ACCOUNTS_PAYABLE</stp>
        <stp>FQ4 2016</stp>
        <stp>FQ4 2016</stp>
        <stp>[AMZ_2009-2018.xlsx]Cash Flow - Standardized!R16C34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6" s="4"/>
      </tp>
      <tp>
        <v>5257</v>
        <stp/>
        <stp>##V3_BDHV12</stp>
        <stp>AMZN US Equity</stp>
        <stp>EQTY_BEF_MINORITY_INT_DETAILED</stp>
        <stp>FQ4 2009</stp>
        <stp>FQ4 2009</stp>
        <stp>[AMZ_2009-2018.xlsx]Bal Sheet - Standardized!R71C6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1" s="3"/>
      </tp>
      <tp>
        <v>-2649</v>
        <stp/>
        <stp>##V3_BDHV12</stp>
        <stp>AMZN US Equity</stp>
        <stp>CF_CHANGE_IN_ACCOUNTS_PAYABLE</stp>
        <stp>FQ1 2011</stp>
        <stp>FQ1 2011</stp>
        <stp>[AMZ_2009-2018.xlsx]Cash Flow - Standardized!R16C11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6" s="4"/>
      </tp>
      <tp>
        <v>0</v>
        <stp/>
        <stp>##V3_BDHV12</stp>
        <stp>AMZN US Equity</stp>
        <stp>NET_CHG_IN_LT_INVEST_DETAILED</stp>
        <stp>FQ2 2016</stp>
        <stp>FQ2 2016</stp>
        <stp>[AMZ_2009-2018.xlsx]Cash Flow - Standardized!R29C32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9" s="4"/>
      </tp>
      <tp>
        <v>0</v>
        <stp/>
        <stp>##V3_BDHV12</stp>
        <stp>AMZN US Equity</stp>
        <stp>NET_CHG_IN_LT_INVEST_DETAILED</stp>
        <stp>FQ1 2014</stp>
        <stp>FQ1 2014</stp>
        <stp>[AMZ_2009-2018.xlsx]Cash Flow - Standardized!R29C23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9" s="4"/>
      </tp>
      <tp>
        <v>0</v>
        <stp/>
        <stp>##V3_BDHV12</stp>
        <stp>AMZN US Equity</stp>
        <stp>NET_CHG_IN_LT_INVEST_DETAILED</stp>
        <stp>FQ3 2017</stp>
        <stp>FQ3 2017</stp>
        <stp>[AMZ_2009-2018.xlsx]Cash Flow - Standardized!R29C37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9" s="4"/>
      </tp>
      <tp>
        <v>3.25</v>
        <stp/>
        <stp>##V3_BDHV12</stp>
        <stp>AMZN US Equity</stp>
        <stp>IS_NET_ABNORMAL_ITEMS</stp>
        <stp>FQ4 2016</stp>
        <stp>FQ4 2016</stp>
        <stp>[AMZ_2009-2018.xlsx]Income - Adjusted!R46C34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46" s="2"/>
      </tp>
      <tp t="s">
        <v>—</v>
        <stp/>
        <stp>##V3_BDHV12</stp>
        <stp>AMZN US Equity</stp>
        <stp>BS_ACCRUED_LIABILITIES</stp>
        <stp>FQ2 2009</stp>
        <stp>FQ2 2009</stp>
        <stp>[AMZ_2009-2018.xlsx]Bal Sheet - Standardized!R56C4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6" s="3"/>
      </tp>
      <tp>
        <v>0</v>
        <stp/>
        <stp>##V3_BDHV12</stp>
        <stp>AMZN US Equity</stp>
        <stp>IS_NET_ABNORMAL_ITEMS</stp>
        <stp>FQ1 2016</stp>
        <stp>FQ1 2016</stp>
        <stp>[AMZ_2009-2018.xlsx]Income - Adjusted!R46C31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6" s="2"/>
      </tp>
      <tp>
        <v>2</v>
        <stp/>
        <stp>##V3_BDHV12</stp>
        <stp>AMZN US Equity</stp>
        <stp>IS_SH_PRO_EQY_MT_INV_NET_OF_TAX</stp>
        <stp>FQ1 2010</stp>
        <stp>FQ1 2010</stp>
        <stp>[AMZ_2009-2018.xlsx]Income - Adjusted!R33C7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33" s="2"/>
      </tp>
      <tp>
        <v>0</v>
        <stp/>
        <stp>##V3_BDHV12</stp>
        <stp>AMZN US Equity</stp>
        <stp>IS_NET_ABNORMAL_ITEMS</stp>
        <stp>FQ2 2016</stp>
        <stp>FQ2 2016</stp>
        <stp>[AMZ_2009-2018.xlsx]Income - Adjusted!R46C32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6" s="2"/>
      </tp>
      <tp>
        <v>0</v>
        <stp/>
        <stp>##V3_BDHV12</stp>
        <stp>AMZN US Equity</stp>
        <stp>IS_NET_ABNORMAL_ITEMS</stp>
        <stp>FQ3 2016</stp>
        <stp>FQ3 2016</stp>
        <stp>[AMZ_2009-2018.xlsx]Income - Adjusted!R46C33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6" s="2"/>
      </tp>
      <tp t="s">
        <v>—</v>
        <stp/>
        <stp>##V3_BDHV12</stp>
        <stp>AMZN US Equity</stp>
        <stp>BS_ACCRUED_LIABILITIES</stp>
        <stp>FQ3 2010</stp>
        <stp>FQ3 2010</stp>
        <stp>[AMZ_2009-2018.xlsx]Bal Sheet - Standardized!R56C9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6" s="3"/>
      </tp>
      <tp>
        <v>0</v>
        <stp/>
        <stp>##V3_BDHV12</stp>
        <stp>AMZN US Equity</stp>
        <stp>NET_CHG_IN_LT_INVEST_DETAILED</stp>
        <stp>FQ4 2012</stp>
        <stp>FQ4 2012</stp>
        <stp>[AMZ_2009-2018.xlsx]Cash Flow - Standardized!R29C18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9" s="4"/>
      </tp>
      <tp>
        <v>37.400399999999998</v>
        <stp/>
        <stp>##V3_BDHV12</stp>
        <stp>AMZN US Equity</stp>
        <stp>REVENUE_PER_SH</stp>
        <stp>FQ3 2013</stp>
        <stp>FQ3 2013</stp>
        <stp>[AMZ_2009-2018.xlsx]Per Share!R11C21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U11" s="5"/>
      </tp>
      <tp>
        <v>30.5442</v>
        <stp/>
        <stp>##V3_BDHV12</stp>
        <stp>AMZN US Equity</stp>
        <stp>REVENUE_PER_SH</stp>
        <stp>FQ3 2012</stp>
        <stp>FQ3 2012</stp>
        <stp>[AMZ_2009-2018.xlsx]Per Share!R11C17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Q11" s="5"/>
      </tp>
      <tp>
        <v>23.9559</v>
        <stp/>
        <stp>##V3_BDHV12</stp>
        <stp>AMZN US Equity</stp>
        <stp>REVENUE_PER_SH</stp>
        <stp>FQ3 2011</stp>
        <stp>FQ3 2011</stp>
        <stp>[AMZ_2009-2018.xlsx]Per Share!R11C13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M11" s="5"/>
      </tp>
      <tp>
        <v>90.943899999999999</v>
        <stp/>
        <stp>##V3_BDHV12</stp>
        <stp>AMZN US Equity</stp>
        <stp>REVENUE_PER_SH</stp>
        <stp>FQ3 2017</stp>
        <stp>FQ3 2017</stp>
        <stp>[AMZ_2009-2018.xlsx]Per Share!R11C37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K11" s="5"/>
      </tp>
      <tp>
        <v>69.016900000000007</v>
        <stp/>
        <stp>##V3_BDHV12</stp>
        <stp>AMZN US Equity</stp>
        <stp>REVENUE_PER_SH</stp>
        <stp>FQ3 2016</stp>
        <stp>FQ3 2016</stp>
        <stp>[AMZ_2009-2018.xlsx]Per Share!R11C33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G11" s="5"/>
      </tp>
      <tp>
        <v>54.183799999999998</v>
        <stp/>
        <stp>##V3_BDHV12</stp>
        <stp>AMZN US Equity</stp>
        <stp>REVENUE_PER_SH</stp>
        <stp>FQ3 2015</stp>
        <stp>FQ3 2015</stp>
        <stp>[AMZ_2009-2018.xlsx]Per Share!R11C29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C11" s="5"/>
      </tp>
      <tp>
        <v>44.447099999999999</v>
        <stp/>
        <stp>##V3_BDHV12</stp>
        <stp>AMZN US Equity</stp>
        <stp>REVENUE_PER_SH</stp>
        <stp>FQ3 2014</stp>
        <stp>FQ3 2014</stp>
        <stp>[AMZ_2009-2018.xlsx]Per Share!R11C25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Y11" s="5"/>
      </tp>
      <tp>
        <v>1909</v>
        <stp/>
        <stp>##V3_BDHV12</stp>
        <stp>AMZN US Equity</stp>
        <stp>CF_DEPR_AMORT</stp>
        <stp>FQ2 2016</stp>
        <stp>FQ2 2016</stp>
        <stp>[AMZ_2009-2018.xlsx]Cash Flow - Standardized!R8C32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8" s="4"/>
      </tp>
      <tp t="s">
        <v>—</v>
        <stp/>
        <stp>##V3_BDHV12</stp>
        <stp>AMZN US Equity</stp>
        <stp>IS_FOREIGN_EXCH_LOSS</stp>
        <stp>FQ4 2012</stp>
        <stp>FQ4 2012</stp>
        <stp>[AMZ_2009-2018.xlsx]Income - Adjusted!R23C18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3" s="2"/>
      </tp>
      <tp t="s">
        <v>—</v>
        <stp/>
        <stp>##V3_BDHV12</stp>
        <stp>AMZN US Equity</stp>
        <stp>IS_FOREIGN_EXCH_LOSS</stp>
        <stp>FQ4 2017</stp>
        <stp>FQ4 2017</stp>
        <stp>[AMZ_2009-2018.xlsx]Income - Adjusted!R23C38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23" s="2"/>
      </tp>
      <tp>
        <v>0</v>
        <stp/>
        <stp>##V3_BDHV12</stp>
        <stp>AMZN US Equity</stp>
        <stp>XO_GL_NET_OF_TAX</stp>
        <stp>FQ1 2010</stp>
        <stp>FQ1 2010</stp>
        <stp>[AMZ_2009-2018.xlsx]Income - Adjusted!R35C7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5" s="2"/>
      </tp>
      <tp>
        <v>0</v>
        <stp/>
        <stp>##V3_BDHV12</stp>
        <stp>AMZN US Equity</stp>
        <stp>XO_GL_NET_OF_TAX</stp>
        <stp>FQ1 2010</stp>
        <stp>FQ1 2010</stp>
        <stp>[AMZ_2009-2018.xlsx]Income - Adjusted!R47C7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47" s="2"/>
      </tp>
      <tp>
        <v>1247</v>
        <stp/>
        <stp>##V3_BDHV12</stp>
        <stp>AMZN US Equity</stp>
        <stp>CF_DEPR_AMORT</stp>
        <stp>FQ3 2014</stp>
        <stp>FQ3 2014</stp>
        <stp>[AMZ_2009-2018.xlsx]Cash Flow - Standardized!R8C25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8" s="4"/>
      </tp>
      <tp>
        <v>2633</v>
        <stp/>
        <stp>##V3_BDHV12</stp>
        <stp>AMZN US Equity</stp>
        <stp>CF_DEPR_AMORT</stp>
        <stp>FQ2 2017</stp>
        <stp>FQ2 2017</stp>
        <stp>[AMZ_2009-2018.xlsx]Cash Flow - Standardized!R8C36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8" s="4"/>
      </tp>
      <tp t="s">
        <v>—</v>
        <stp/>
        <stp>##V3_BDHV12</stp>
        <stp>AMZN US Equity</stp>
        <stp>IS_FOREIGN_EXCH_LOSS</stp>
        <stp>FQ2 2015</stp>
        <stp>FQ2 2015</stp>
        <stp>[AMZ_2009-2018.xlsx]Income - Adjusted!R23C28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3" s="2"/>
      </tp>
      <tp>
        <v>834</v>
        <stp/>
        <stp>##V3_BDHV12</stp>
        <stp>AMZN US Equity</stp>
        <stp>CF_DEPR_AMORT</stp>
        <stp>FQ3 2013</stp>
        <stp>FQ3 2013</stp>
        <stp>[AMZ_2009-2018.xlsx]Cash Flow - Standardized!R8C21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8" s="4"/>
      </tp>
      <tp>
        <v>1599</v>
        <stp/>
        <stp>##V3_BDHV12</stp>
        <stp>AMZN US Equity</stp>
        <stp>CF_DEPR_AMORT</stp>
        <stp>FQ3 2015</stp>
        <stp>FQ3 2015</stp>
        <stp>[AMZ_2009-2018.xlsx]Cash Flow - Standardized!R8C29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8" s="4"/>
      </tp>
      <tp>
        <v>5686</v>
        <stp/>
        <stp>##V3_BDHV12</stp>
        <stp>AMZN US Equity</stp>
        <stp>GROSS_PROFIT</stp>
        <stp>FQ1 2014</stp>
        <stp>FQ1 2014</stp>
        <stp>[AMZ_2009-2018.xlsx]Income - Adjusted!R10C23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0" s="2"/>
      </tp>
      <tp>
        <v>2551</v>
        <stp/>
        <stp>##V3_BDHV12</stp>
        <stp>AMZN US Equity</stp>
        <stp>GROSS_PROFIT</stp>
        <stp>FQ3 2011</stp>
        <stp>FQ3 2011</stp>
        <stp>[AMZ_2009-2018.xlsx]Income - Adjusted!R10C13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0" s="2"/>
      </tp>
      <tp>
        <v>11454</v>
        <stp/>
        <stp>##V3_BDHV12</stp>
        <stp>AMZN US Equity</stp>
        <stp>GROSS_PROFIT</stp>
        <stp>FQ3 2016</stp>
        <stp>FQ3 2016</stp>
        <stp>[AMZ_2009-2018.xlsx]Income - Adjusted!R10C33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0" s="2"/>
      </tp>
      <tp t="s">
        <v>—</v>
        <stp/>
        <stp>##V3_BDHV12</stp>
        <stp>AMZN US Equity</stp>
        <stp>IS_CAP_INT_EXP</stp>
        <stp>FQ4 2009</stp>
        <stp>FQ4 2009</stp>
        <stp>[AMZ_2009-2018.xlsx]Income - Adjusted!R71C6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1" s="2"/>
      </tp>
      <tp>
        <v>80</v>
        <stp/>
        <stp>##V3_BDHV12</stp>
        <stp>AMZN US Equity</stp>
        <stp>OTHER_CURRENT_ASSETS_DETAILED</stp>
        <stp>FQ3 2009</stp>
        <stp>FQ3 2009</stp>
        <stp>[AMZ_2009-2018.xlsx]Bal Sheet - Standardized!R18C5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8" s="3"/>
      </tp>
      <tp t="s">
        <v>—</v>
        <stp/>
        <stp>##V3_BDHV12</stp>
        <stp>AMZN US Equity</stp>
        <stp>ST_DEFERRED_REVENUE</stp>
        <stp>FQ1 2013</stp>
        <stp>FQ1 2013</stp>
        <stp>[AMZ_2009-2018.xlsx]Bal Sheet - Standardized!R48C19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8" s="3"/>
      </tp>
      <tp>
        <v>265</v>
        <stp/>
        <stp>##V3_BDHV12</stp>
        <stp>AMZN US Equity</stp>
        <stp>OTHER_CURRENT_ASSETS_DETAILED</stp>
        <stp>FQ2 2010</stp>
        <stp>FQ2 2010</stp>
        <stp>[AMZ_2009-2018.xlsx]Bal Sheet - Standardized!R18C8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8" s="3"/>
      </tp>
      <tp>
        <v>1837</v>
        <stp/>
        <stp>##V3_BDHV12</stp>
        <stp>AMZN US Equity</stp>
        <stp>BS_AMT_OF_TSY_STOCK</stp>
        <stp>FQ1 2015</stp>
        <stp>FQ1 2015</stp>
        <stp>[AMZ_2009-2018.xlsx]Bal Sheet - Standardized!R68C27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68" s="3"/>
      </tp>
      <tp>
        <v>1837</v>
        <stp/>
        <stp>##V3_BDHV12</stp>
        <stp>AMZN US Equity</stp>
        <stp>BS_AMT_OF_TSY_STOCK</stp>
        <stp>FQ2 2017</stp>
        <stp>FQ2 2017</stp>
        <stp>[AMZ_2009-2018.xlsx]Bal Sheet - Standardized!R68C36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68" s="3"/>
      </tp>
      <tp t="s">
        <v>—</v>
        <stp/>
        <stp>##V3_BDHV12</stp>
        <stp>AMZN US Equity</stp>
        <stp>ST_DEFERRED_REVENUE</stp>
        <stp>FQ2 2013</stp>
        <stp>FQ2 2013</stp>
        <stp>[AMZ_2009-2018.xlsx]Bal Sheet - Standardized!R48C20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8" s="3"/>
      </tp>
      <tp t="s">
        <v>—</v>
        <stp/>
        <stp>##V3_BDHV12</stp>
        <stp>AMZN US Equity</stp>
        <stp>ST_DEFERRED_REVENUE</stp>
        <stp>FQ3 2011</stp>
        <stp>FQ3 2011</stp>
        <stp>[AMZ_2009-2018.xlsx]Bal Sheet - Standardized!R48C13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8" s="3"/>
      </tp>
      <tp>
        <v>1837</v>
        <stp/>
        <stp>##V3_BDHV12</stp>
        <stp>AMZN US Equity</stp>
        <stp>BS_AMT_OF_TSY_STOCK</stp>
        <stp>FQ3 2016</stp>
        <stp>FQ3 2016</stp>
        <stp>[AMZ_2009-2018.xlsx]Bal Sheet - Standardized!R68C33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68" s="3"/>
      </tp>
      <tp t="s">
        <v>—</v>
        <stp/>
        <stp>##V3_BDHV12</stp>
        <stp>AMZN US Equity</stp>
        <stp>BS_CASH_HELD_OVERSEAS</stp>
        <stp>FQ4 2009</stp>
        <stp>FQ4 2009</stp>
        <stp>[AMZ_2009-2018.xlsx]Bal Sheet - Standardized!R88C6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88" s="3"/>
      </tp>
      <tp t="s">
        <v>—</v>
        <stp/>
        <stp>##V3_BDHV12</stp>
        <stp>AMZN US Equity</stp>
        <stp>IS_FOREIGN_EXCH_LOSS</stp>
        <stp>FQ1 2009</stp>
        <stp>FQ1 2009</stp>
        <stp>[AMZ_2009-2018.xlsx]Income - Adjusted!R23C3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3" s="2"/>
      </tp>
      <tp>
        <v>-2166</v>
        <stp/>
        <stp>##V3_BDHV12</stp>
        <stp>AMZN US Equity</stp>
        <stp>OTHER_INVESTING_ACT_DETAILED</stp>
        <stp>FQ4 2016</stp>
        <stp>FQ4 2016</stp>
        <stp>[AMZ_2009-2018.xlsx]Cash Flow - Standardized!R36C34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36" s="4"/>
      </tp>
      <tp>
        <v>3774</v>
        <stp/>
        <stp>##V3_BDHV12</stp>
        <stp>AMZN US Equity</stp>
        <stp>BS_GOODWILL</stp>
        <stp>FQ2 2016</stp>
        <stp>FQ2 2016</stp>
        <stp>[AMZ_2009-2018.xlsx]Bal Sheet - Standardized!R29C32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29" s="3"/>
      </tp>
      <tp t="s">
        <v>—</v>
        <stp/>
        <stp>##V3_BDHV12</stp>
        <stp>AMZN US Equity</stp>
        <stp>LT_DEFERRED_REVENUE</stp>
        <stp>FQ2 2013</stp>
        <stp>FQ2 2013</stp>
        <stp>[AMZ_2009-2018.xlsx]Bal Sheet - Standardized!R58C20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58" s="3"/>
      </tp>
      <tp>
        <v>2653</v>
        <stp/>
        <stp>##V3_BDHV12</stp>
        <stp>AMZN US Equity</stp>
        <stp>BS_GOODWILL</stp>
        <stp>FQ1 2014</stp>
        <stp>FQ1 2014</stp>
        <stp>[AMZ_2009-2018.xlsx]Bal Sheet - Standardized!R29C23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29" s="3"/>
      </tp>
      <tp t="s">
        <v>—</v>
        <stp/>
        <stp>##V3_BDHV12</stp>
        <stp>AMZN US Equity</stp>
        <stp>LT_DEFERRED_REVENUE</stp>
        <stp>FQ3 2011</stp>
        <stp>FQ3 2011</stp>
        <stp>[AMZ_2009-2018.xlsx]Bal Sheet - Standardized!R58C13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58" s="3"/>
      </tp>
      <tp>
        <v>827</v>
        <stp/>
        <stp>##V3_BDHV12</stp>
        <stp>AMZN US Equity</stp>
        <stp>OTHER_INVESTING_ACT_DETAILED</stp>
        <stp>FQ1 2011</stp>
        <stp>FQ1 2011</stp>
        <stp>[AMZ_2009-2018.xlsx]Cash Flow - Standardized!R36C11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36" s="4"/>
      </tp>
      <tp>
        <v>4920</v>
        <stp/>
        <stp>##V3_BDHV12</stp>
        <stp>AMZN US Equity</stp>
        <stp>BS_ACCTS_REC_EXCL_NOTES_REC</stp>
        <stp>FQ2 2015</stp>
        <stp>FQ2 2015</stp>
        <stp>[AMZ_2009-2018.xlsx]Bal Sheet - Standardized!R11C28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1" s="3"/>
      </tp>
      <tp>
        <v>41</v>
        <stp/>
        <stp>##V3_BDHV12</stp>
        <stp>AMZN US Equity</stp>
        <stp>BS_CURR_RENTAL_EXPENSE</stp>
        <stp>FQ2 2009</stp>
        <stp>FQ2 2009</stp>
        <stp>[AMZ_2009-2018.xlsx]Income - Adjusted!R73C4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3" s="2"/>
      </tp>
      <tp>
        <v>13271</v>
        <stp/>
        <stp>##V3_BDHV12</stp>
        <stp>AMZN US Equity</stp>
        <stp>BS_GOODWILL</stp>
        <stp>FQ3 2017</stp>
        <stp>FQ3 2017</stp>
        <stp>[AMZ_2009-2018.xlsx]Bal Sheet - Standardized!R29C37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29" s="3"/>
      </tp>
      <tp>
        <v>0.51</v>
        <stp/>
        <stp>##V3_BDHV12</stp>
        <stp>AMZN US Equity</stp>
        <stp>IS_EARN_BEF_XO_ITEMS_PER_SH</stp>
        <stp>FQ3 2010</stp>
        <stp>FQ3 2010</stp>
        <stp>[AMZ_2009-2018.xlsx]Income - Adjusted!R51C9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51" s="2"/>
      </tp>
      <tp>
        <v>0</v>
        <stp/>
        <stp>##V3_BDHV12</stp>
        <stp>AMZN US Equity</stp>
        <stp>CF_NET_CASH_DISCONT_OPS_OPER</stp>
        <stp>FQ1 2013</stp>
        <stp>FQ1 2013</stp>
        <stp>[AMZ_2009-2018.xlsx]Cash Flow - Standardized!R18C19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8" s="4"/>
      </tp>
      <tp>
        <v>686</v>
        <stp/>
        <stp>##V3_BDHV12</stp>
        <stp>AMZN US Equity</stp>
        <stp>OTHER_INVESTING_ACT_DETAILED</stp>
        <stp>FQ2 2012</stp>
        <stp>FQ2 2012</stp>
        <stp>[AMZ_2009-2018.xlsx]Cash Flow - Standardized!R36C16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36" s="4"/>
      </tp>
      <tp>
        <v>4373</v>
        <stp/>
        <stp>##V3_BDHV12</stp>
        <stp>AMZN US Equity</stp>
        <stp>BS_ACCTS_REC_EXCL_NOTES_REC</stp>
        <stp>FQ3 2014</stp>
        <stp>FQ3 2014</stp>
        <stp>[AMZ_2009-2018.xlsx]Bal Sheet - Standardized!R11C25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1" s="3"/>
      </tp>
      <tp>
        <v>4767</v>
        <stp/>
        <stp>##V3_BDHV12</stp>
        <stp>AMZN US Equity</stp>
        <stp>BS_ACCTS_REC_EXCL_NOTES_REC</stp>
        <stp>FQ4 2013</stp>
        <stp>FQ4 2013</stp>
        <stp>[AMZ_2009-2018.xlsx]Bal Sheet - Standardized!R11C22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1" s="3"/>
      </tp>
      <tp>
        <v>1587</v>
        <stp/>
        <stp>##V3_BDHV12</stp>
        <stp>AMZN US Equity</stp>
        <stp>BS_ACCTS_REC_EXCL_NOTES_REC</stp>
        <stp>FQ4 2010</stp>
        <stp>FQ4 2010</stp>
        <stp>[AMZ_2009-2018.xlsx]Bal Sheet - Standardized!R11C10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1" s="3"/>
      </tp>
      <tp t="s">
        <v>—</v>
        <stp/>
        <stp>##V3_BDHV12</stp>
        <stp>AMZN US Equity</stp>
        <stp>LT_DEFERRED_REVENUE</stp>
        <stp>FQ1 2013</stp>
        <stp>FQ1 2013</stp>
        <stp>[AMZ_2009-2018.xlsx]Bal Sheet - Standardized!R58C19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58" s="3"/>
      </tp>
      <tp>
        <v>7329</v>
        <stp/>
        <stp>##V3_BDHV12</stp>
        <stp>AMZN US Equity</stp>
        <stp>BS_ACCTS_REC_EXCL_NOTES_REC</stp>
        <stp>FQ1 2017</stp>
        <stp>FQ1 2017</stp>
        <stp>[AMZ_2009-2018.xlsx]Bal Sheet - Standardized!R11C35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1" s="3"/>
      </tp>
      <tp>
        <v>0</v>
        <stp/>
        <stp>##V3_BDHV12</stp>
        <stp>AMZN US Equity</stp>
        <stp>CF_NET_CASH_DISCONT_OPS_OPER</stp>
        <stp>FQ2 2013</stp>
        <stp>FQ2 2013</stp>
        <stp>[AMZ_2009-2018.xlsx]Cash Flow - Standardized!R18C20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8" s="4"/>
      </tp>
      <tp>
        <v>0</v>
        <stp/>
        <stp>##V3_BDHV12</stp>
        <stp>AMZN US Equity</stp>
        <stp>CF_NET_CASH_DISCONT_OPS_OPER</stp>
        <stp>FQ3 2011</stp>
        <stp>FQ3 2011</stp>
        <stp>[AMZ_2009-2018.xlsx]Cash Flow - Standardized!R18C13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8" s="4"/>
      </tp>
      <tp>
        <v>2552</v>
        <stp/>
        <stp>##V3_BDHV12</stp>
        <stp>AMZN US Equity</stp>
        <stp>BS_GOODWILL</stp>
        <stp>FQ4 2012</stp>
        <stp>FQ4 2012</stp>
        <stp>[AMZ_2009-2018.xlsx]Bal Sheet - Standardized!R29C18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29" s="3"/>
      </tp>
      <tp>
        <v>1</v>
        <stp/>
        <stp>##V3_BDHV12</stp>
        <stp>AMZN US Equity</stp>
        <stp>CF_CASH_FOR_DIVESTITURES</stp>
        <stp>FQ4 2009</stp>
        <stp>FQ4 2009</stp>
        <stp>[AMZ_2009-2018.xlsx]Cash Flow - Standardized!R33C6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33" s="4"/>
      </tp>
      <tp>
        <v>-4258</v>
        <stp/>
        <stp>##V3_BDHV12</stp>
        <stp>AMZN US Equity</stp>
        <stp>CF_CHANGE_IN_ACCOUNTS_PAYABLE</stp>
        <stp>FQ1 2012</stp>
        <stp>FQ1 2012</stp>
        <stp>[AMZ_2009-2018.xlsx]Cash Flow - Standardized!R16C15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6" s="4"/>
      </tp>
      <tp>
        <v>6140</v>
        <stp/>
        <stp>##V3_BDHV12</stp>
        <stp>AMZN US Equity</stp>
        <stp>CF_CHANGE_IN_ACCOUNTS_PAYABLE</stp>
        <stp>FQ4 2015</stp>
        <stp>FQ4 2015</stp>
        <stp>[AMZ_2009-2018.xlsx]Cash Flow - Standardized!R16C30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6" s="4"/>
      </tp>
      <tp>
        <v>5053</v>
        <stp/>
        <stp>##V3_BDHV12</stp>
        <stp>AMZN US Equity</stp>
        <stp>CF_CHANGE_IN_ACCOUNTS_PAYABLE</stp>
        <stp>FQ4 2014</stp>
        <stp>FQ4 2014</stp>
        <stp>[AMZ_2009-2018.xlsx]Cash Flow - Standardized!R16C26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6" s="4"/>
      </tp>
      <tp>
        <v>947</v>
        <stp/>
        <stp>##V3_BDHV12</stp>
        <stp>AMZN US Equity</stp>
        <stp>CF_CHANGE_IN_ACCOUNTS_PAYABLE</stp>
        <stp>FQ3 2013</stp>
        <stp>FQ3 2013</stp>
        <stp>[AMZ_2009-2018.xlsx]Cash Flow - Standardized!R16C21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6" s="4"/>
      </tp>
      <tp>
        <v>82</v>
        <stp/>
        <stp>##V3_BDHV12</stp>
        <stp>AMZN US Equity</stp>
        <stp>EARN_FOR_COMMON</stp>
        <stp>FQ1 2013</stp>
        <stp>FQ1 2013</stp>
        <stp>[AMZ_2009-2018.xlsx]Income - Adjusted!R45C19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45" s="2"/>
      </tp>
      <tp>
        <v>1629</v>
        <stp/>
        <stp>##V3_BDHV12</stp>
        <stp>AMZN US Equity</stp>
        <stp>EARN_FOR_COMMON</stp>
        <stp>FQ1 2018</stp>
        <stp>FQ1 2018</stp>
        <stp>[AMZ_2009-2018.xlsx]Income - Adjusted!R45C39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45" s="2"/>
      </tp>
      <tp>
        <v>114</v>
        <stp/>
        <stp>##V3_BDHV12</stp>
        <stp>AMZN US Equity</stp>
        <stp>CF_CHANGE_IN_ACCOUNTS_PAYABLE</stp>
        <stp>FQ2 2011</stp>
        <stp>FQ2 2011</stp>
        <stp>[AMZ_2009-2018.xlsx]Cash Flow - Standardized!R16C12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6" s="4"/>
      </tp>
      <tp>
        <v>79</v>
        <stp/>
        <stp>##V3_BDHV12</stp>
        <stp>AMZN US Equity</stp>
        <stp>EARN_FOR_COMMON</stp>
        <stp>FQ3 2015</stp>
        <stp>FQ3 2015</stp>
        <stp>[AMZ_2009-2018.xlsx]Income - Adjusted!R45C29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45" s="2"/>
      </tp>
      <tp>
        <v>0</v>
        <stp/>
        <stp>##V3_BDHV12</stp>
        <stp>AMZN US Equity</stp>
        <stp>NET_CHG_IN_LT_INVEST_DETAILED</stp>
        <stp>FQ4 2011</stp>
        <stp>FQ4 2011</stp>
        <stp>[AMZ_2009-2018.xlsx]Cash Flow - Standardized!R29C14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29" s="4"/>
      </tp>
      <tp>
        <v>-1</v>
        <stp/>
        <stp>##V3_BDHV12</stp>
        <stp>AMZN US Equity</stp>
        <stp>IS_OTHER_NON_OPERATING_INC_LOSS</stp>
        <stp>FQ2 2015</stp>
        <stp>FQ2 2015</stp>
        <stp>[AMZ_2009-2018.xlsx]Income - Adjusted!R24C28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4" s="2"/>
      </tp>
      <tp>
        <v>0</v>
        <stp/>
        <stp>##V3_BDHV12</stp>
        <stp>AMZN US Equity</stp>
        <stp>NET_CHG_IN_LT_INVEST_DETAILED</stp>
        <stp>FQ1 2016</stp>
        <stp>FQ1 2016</stp>
        <stp>[AMZ_2009-2018.xlsx]Cash Flow - Standardized!R29C31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29" s="4"/>
      </tp>
      <tp>
        <v>0</v>
        <stp/>
        <stp>##V3_BDHV12</stp>
        <stp>AMZN US Equity</stp>
        <stp>NET_CHG_IN_LT_INVEST_DETAILED</stp>
        <stp>FQ2 2014</stp>
        <stp>FQ2 2014</stp>
        <stp>[AMZ_2009-2018.xlsx]Cash Flow - Standardized!R29C24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29" s="4"/>
      </tp>
      <tp>
        <v>-18</v>
        <stp/>
        <stp>##V3_BDHV12</stp>
        <stp>AMZN US Equity</stp>
        <stp>IS_OTHER_NON_OPERATING_INC_LOSS</stp>
        <stp>FQ4 2017</stp>
        <stp>FQ4 2017</stp>
        <stp>[AMZ_2009-2018.xlsx]Income - Adjusted!R24C38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24" s="2"/>
      </tp>
      <tp>
        <v>24</v>
        <stp/>
        <stp>##V3_BDHV12</stp>
        <stp>AMZN US Equity</stp>
        <stp>IS_OTHER_NON_OPERATING_INC_LOSS</stp>
        <stp>FQ4 2012</stp>
        <stp>FQ4 2012</stp>
        <stp>[AMZ_2009-2018.xlsx]Income - Adjusted!R24C18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4" s="2"/>
      </tp>
      <tp>
        <v>0</v>
        <stp/>
        <stp>##V3_BDHV12</stp>
        <stp>AMZN US Equity</stp>
        <stp>IS_NET_ABNORMAL_ITEMS</stp>
        <stp>FQ2 2014</stp>
        <stp>FQ2 2014</stp>
        <stp>[AMZ_2009-2018.xlsx]Income - Adjusted!R46C24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6" s="2"/>
      </tp>
      <tp>
        <v>110.5</v>
        <stp/>
        <stp>##V3_BDHV12</stp>
        <stp>AMZN US Equity</stp>
        <stp>IS_NET_ABNORMAL_ITEMS</stp>
        <stp>FQ3 2014</stp>
        <stp>FQ3 2014</stp>
        <stp>[AMZ_2009-2018.xlsx]Income - Adjusted!R46C25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6" s="2"/>
      </tp>
      <tp>
        <v>0</v>
        <stp/>
        <stp>##V3_BDHV12</stp>
        <stp>AMZN US Equity</stp>
        <stp>NET_CHG_IN_LT_INVEST_DETAILED</stp>
        <stp>FQ3 2015</stp>
        <stp>FQ3 2015</stp>
        <stp>[AMZ_2009-2018.xlsx]Cash Flow - Standardized!R29C29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29" s="4"/>
      </tp>
      <tp>
        <v>0</v>
        <stp/>
        <stp>##V3_BDHV12</stp>
        <stp>AMZN US Equity</stp>
        <stp>IS_NET_ABNORMAL_ITEMS</stp>
        <stp>FQ4 2014</stp>
        <stp>FQ4 2014</stp>
        <stp>[AMZ_2009-2018.xlsx]Income - Adjusted!R46C26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6" s="2"/>
      </tp>
      <tp>
        <v>1.95</v>
        <stp/>
        <stp>##V3_BDHV12</stp>
        <stp>AMZN US Equity</stp>
        <stp>IS_NET_ABNORMAL_ITEMS</stp>
        <stp>FQ4 2015</stp>
        <stp>FQ4 2015</stp>
        <stp>[AMZ_2009-2018.xlsx]Income - Adjusted!R46C30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6" s="2"/>
      </tp>
      <tp>
        <v>0</v>
        <stp/>
        <stp>##V3_BDHV12</stp>
        <stp>AMZN US Equity</stp>
        <stp>IS_NET_ABNORMAL_ITEMS</stp>
        <stp>FQ1 2014</stp>
        <stp>FQ1 2014</stp>
        <stp>[AMZ_2009-2018.xlsx]Income - Adjusted!R46C23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6" s="2"/>
      </tp>
      <tp t="s">
        <v>—</v>
        <stp/>
        <stp>##V3_BDHV12</stp>
        <stp>AMZN US Equity</stp>
        <stp>BS_ACCRUED_LIABILITIES</stp>
        <stp>FQ1 2009</stp>
        <stp>FQ1 2009</stp>
        <stp>[AMZ_2009-2018.xlsx]Bal Sheet - Standardized!R56C3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6" s="3"/>
      </tp>
      <tp>
        <v>28.456800000000001</v>
        <stp/>
        <stp>##V3_BDHV12</stp>
        <stp>AMZN US Equity</stp>
        <stp>REVENUE_PER_SH</stp>
        <stp>FQ2 2012</stp>
        <stp>FQ2 2012</stp>
        <stp>[AMZ_2009-2018.xlsx]Per Share!R11C16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P11" s="5"/>
      </tp>
      <tp>
        <v>34.438600000000001</v>
        <stp/>
        <stp>##V3_BDHV12</stp>
        <stp>AMZN US Equity</stp>
        <stp>REVENUE_PER_SH</stp>
        <stp>FQ2 2013</stp>
        <stp>FQ2 2013</stp>
        <stp>[AMZ_2009-2018.xlsx]Per Share!R11C20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T11" s="5"/>
      </tp>
      <tp>
        <v>21.882999999999999</v>
        <stp/>
        <stp>##V3_BDHV12</stp>
        <stp>AMZN US Equity</stp>
        <stp>REVENUE_PER_SH</stp>
        <stp>FQ2 2011</stp>
        <stp>FQ2 2011</stp>
        <stp>[AMZ_2009-2018.xlsx]Per Share!R11C12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L11" s="5"/>
      </tp>
      <tp>
        <v>64.2791</v>
        <stp/>
        <stp>##V3_BDHV12</stp>
        <stp>AMZN US Equity</stp>
        <stp>REVENUE_PER_SH</stp>
        <stp>FQ2 2016</stp>
        <stp>FQ2 2016</stp>
        <stp>[AMZ_2009-2018.xlsx]Per Share!R11C32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F11" s="5"/>
      </tp>
      <tp>
        <v>79.238</v>
        <stp/>
        <stp>##V3_BDHV12</stp>
        <stp>AMZN US Equity</stp>
        <stp>REVENUE_PER_SH</stp>
        <stp>FQ2 2017</stp>
        <stp>FQ2 2017</stp>
        <stp>[AMZ_2009-2018.xlsx]Per Share!R11C36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J11" s="5"/>
      </tp>
      <tp>
        <v>41.952300000000001</v>
        <stp/>
        <stp>##V3_BDHV12</stp>
        <stp>AMZN US Equity</stp>
        <stp>REVENUE_PER_SH</stp>
        <stp>FQ2 2014</stp>
        <stp>FQ2 2014</stp>
        <stp>[AMZ_2009-2018.xlsx]Per Share!R11C24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X11" s="5"/>
      </tp>
      <tp>
        <v>49.646700000000003</v>
        <stp/>
        <stp>##V3_BDHV12</stp>
        <stp>AMZN US Equity</stp>
        <stp>REVENUE_PER_SH</stp>
        <stp>FQ2 2015</stp>
        <stp>FQ2 2015</stp>
        <stp>[AMZ_2009-2018.xlsx]Per Share!R11C28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B11" s="5"/>
      </tp>
      <tp>
        <v>108.8189</v>
        <stp/>
        <stp>##V3_BDHV12</stp>
        <stp>AMZN US Equity</stp>
        <stp>REVENUE_PER_SH</stp>
        <stp>FQ2 2018</stp>
        <stp>FQ2 2018</stp>
        <stp>[AMZ_2009-2018.xlsx]Per Share!R11C40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N11" s="5"/>
      </tp>
      <tp>
        <v>457</v>
        <stp/>
        <stp>##V3_BDHV12</stp>
        <stp>AMZN US Equity</stp>
        <stp>CF_DEPR_AMORT</stp>
        <stp>FQ1 2012</stp>
        <stp>FQ1 2012</stp>
        <stp>[AMZ_2009-2018.xlsx]Cash Flow - Standardized!R8C15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8" s="4"/>
      </tp>
      <tp>
        <v>2084</v>
        <stp/>
        <stp>##V3_BDHV12</stp>
        <stp>AMZN US Equity</stp>
        <stp>CF_DEPR_AMORT</stp>
        <stp>FQ3 2016</stp>
        <stp>FQ3 2016</stp>
        <stp>[AMZ_2009-2018.xlsx]Cash Flow - Standardized!R8C33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8" s="4"/>
      </tp>
      <tp>
        <v>1109</v>
        <stp/>
        <stp>##V3_BDHV12</stp>
        <stp>AMZN US Equity</stp>
        <stp>CF_DEPR_AMORT</stp>
        <stp>FQ2 2014</stp>
        <stp>FQ2 2014</stp>
        <stp>[AMZ_2009-2018.xlsx]Cash Flow - Standardized!R8C24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8" s="4"/>
      </tp>
      <tp>
        <v>2912</v>
        <stp/>
        <stp>##V3_BDHV12</stp>
        <stp>AMZN US Equity</stp>
        <stp>CF_DEPR_AMORT</stp>
        <stp>FQ3 2017</stp>
        <stp>FQ3 2017</stp>
        <stp>[AMZ_2009-2018.xlsx]Cash Flow - Standardized!R8C37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8" s="4"/>
      </tp>
      <tp t="s">
        <v>—</v>
        <stp/>
        <stp>##V3_BDHV12</stp>
        <stp>AMZN US Equity</stp>
        <stp>IS_FOREIGN_EXCH_LOSS</stp>
        <stp>FQ1 2013</stp>
        <stp>FQ1 2013</stp>
        <stp>[AMZ_2009-2018.xlsx]Income - Adjusted!R23C19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3" s="2"/>
      </tp>
      <tp t="s">
        <v>—</v>
        <stp/>
        <stp>##V3_BDHV12</stp>
        <stp>AMZN US Equity</stp>
        <stp>IS_FOREIGN_EXCH_LOSS</stp>
        <stp>FQ1 2018</stp>
        <stp>FQ1 2018</stp>
        <stp>[AMZ_2009-2018.xlsx]Income - Adjusted!R23C39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23" s="2"/>
      </tp>
      <tp>
        <v>202</v>
        <stp/>
        <stp>##V3_BDHV12</stp>
        <stp>AMZN US Equity</stp>
        <stp>CF_DEPR_AMORT</stp>
        <stp>FQ1 2011</stp>
        <stp>FQ1 2011</stp>
        <stp>[AMZ_2009-2018.xlsx]Cash Flow - Standardized!R8C11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8" s="4"/>
      </tp>
      <tp>
        <v>756</v>
        <stp/>
        <stp>##V3_BDHV12</stp>
        <stp>AMZN US Equity</stp>
        <stp>CF_DEPR_AMORT</stp>
        <stp>FQ2 2013</stp>
        <stp>FQ2 2013</stp>
        <stp>[AMZ_2009-2018.xlsx]Cash Flow - Standardized!R8C20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8" s="4"/>
      </tp>
      <tp t="s">
        <v>—</v>
        <stp/>
        <stp>##V3_BDHV12</stp>
        <stp>AMZN US Equity</stp>
        <stp>IS_FOREIGN_EXCH_LOSS</stp>
        <stp>FQ3 2015</stp>
        <stp>FQ3 2015</stp>
        <stp>[AMZ_2009-2018.xlsx]Income - Adjusted!R23C29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3" s="2"/>
      </tp>
      <tp>
        <v>6781</v>
        <stp/>
        <stp>##V3_BDHV12</stp>
        <stp>AMZN US Equity</stp>
        <stp>GROSS_PROFIT</stp>
        <stp>FQ4 2013</stp>
        <stp>FQ4 2013</stp>
        <stp>[AMZ_2009-2018.xlsx]Income - Adjusted!R10C22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0" s="2"/>
      </tp>
      <tp>
        <v>1504</v>
        <stp/>
        <stp>##V3_BDHV12</stp>
        <stp>AMZN US Equity</stp>
        <stp>CF_DEPR_AMORT</stp>
        <stp>FQ2 2015</stp>
        <stp>FQ2 2015</stp>
        <stp>[AMZ_2009-2018.xlsx]Cash Flow - Standardized!R8C28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8" s="4"/>
      </tp>
      <tp>
        <v>700</v>
        <stp/>
        <stp>##V3_BDHV12</stp>
        <stp>AMZN US Equity</stp>
        <stp>CF_DEPR_AMORT</stp>
        <stp>FQ1 2013</stp>
        <stp>FQ1 2013</stp>
        <stp>[AMZ_2009-2018.xlsx]Cash Flow - Standardized!R8C19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8" s="4"/>
      </tp>
      <tp>
        <v>2388</v>
        <stp/>
        <stp>##V3_BDHV12</stp>
        <stp>AMZN US Equity</stp>
        <stp>GROSS_PROFIT</stp>
        <stp>FQ2 2011</stp>
        <stp>FQ2 2011</stp>
        <stp>[AMZ_2009-2018.xlsx]Income - Adjusted!R10C12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0" s="2"/>
      </tp>
      <tp>
        <v>11224</v>
        <stp/>
        <stp>##V3_BDHV12</stp>
        <stp>AMZN US Equity</stp>
        <stp>GROSS_PROFIT</stp>
        <stp>FQ2 2016</stp>
        <stp>FQ2 2016</stp>
        <stp>[AMZ_2009-2018.xlsx]Income - Adjusted!R10C32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0" s="2"/>
      </tp>
      <tp>
        <v>1837</v>
        <stp/>
        <stp>##V3_BDHV12</stp>
        <stp>AMZN US Equity</stp>
        <stp>BS_AMT_OF_TSY_STOCK</stp>
        <stp>FQ4 2012</stp>
        <stp>FQ4 2012</stp>
        <stp>[AMZ_2009-2018.xlsx]Bal Sheet - Standardized!R68C18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68" s="3"/>
      </tp>
      <tp>
        <v>183</v>
        <stp/>
        <stp>##V3_BDHV12</stp>
        <stp>AMZN US Equity</stp>
        <stp>OTHER_CURRENT_ASSETS_DETAILED</stp>
        <stp>FQ2 2009</stp>
        <stp>FQ2 2009</stp>
        <stp>[AMZ_2009-2018.xlsx]Bal Sheet - Standardized!R18C4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8" s="3"/>
      </tp>
      <tp>
        <v>244</v>
        <stp/>
        <stp>##V3_BDHV12</stp>
        <stp>AMZN US Equity</stp>
        <stp>EBIT</stp>
        <stp>FQ1 2009</stp>
        <stp>FQ1 2009</stp>
        <stp>[AMZ_2009-2018.xlsx]Income - Adjusted!R64C3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64" s="2"/>
      </tp>
      <tp>
        <v>200</v>
        <stp/>
        <stp>##V3_BDHV12</stp>
        <stp>AMZN US Equity</stp>
        <stp>OTHER_CURRENT_ASSETS_DETAILED</stp>
        <stp>FQ3 2010</stp>
        <stp>FQ3 2010</stp>
        <stp>[AMZ_2009-2018.xlsx]Bal Sheet - Standardized!R18C9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8" s="3"/>
      </tp>
      <tp t="s">
        <v>—</v>
        <stp/>
        <stp>##V3_BDHV12</stp>
        <stp>AMZN US Equity</stp>
        <stp>ST_DEFERRED_REVENUE</stp>
        <stp>FQ1 2012</stp>
        <stp>FQ1 2012</stp>
        <stp>[AMZ_2009-2018.xlsx]Bal Sheet - Standardized!R48C15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8" s="3"/>
      </tp>
      <tp>
        <v>3118</v>
        <stp/>
        <stp>##V3_BDHV12</stp>
        <stp>AMZN US Equity</stp>
        <stp>ST_DEFERRED_REVENUE</stp>
        <stp>FQ4 2015</stp>
        <stp>FQ4 2015</stp>
        <stp>[AMZ_2009-2018.xlsx]Bal Sheet - Standardized!R48C30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48" s="3"/>
      </tp>
      <tp>
        <v>1837</v>
        <stp/>
        <stp>##V3_BDHV12</stp>
        <stp>AMZN US Equity</stp>
        <stp>BS_AMT_OF_TSY_STOCK</stp>
        <stp>FQ3 2017</stp>
        <stp>FQ3 2017</stp>
        <stp>[AMZ_2009-2018.xlsx]Bal Sheet - Standardized!R68C37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68" s="3"/>
      </tp>
      <tp t="s">
        <v>—</v>
        <stp/>
        <stp>##V3_BDHV12</stp>
        <stp>AMZN US Equity</stp>
        <stp>ST_DEFERRED_REVENUE</stp>
        <stp>FQ2 2011</stp>
        <stp>FQ2 2011</stp>
        <stp>[AMZ_2009-2018.xlsx]Bal Sheet - Standardized!R48C12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8" s="3"/>
      </tp>
      <tp>
        <v>1823</v>
        <stp/>
        <stp>##V3_BDHV12</stp>
        <stp>AMZN US Equity</stp>
        <stp>ST_DEFERRED_REVENUE</stp>
        <stp>FQ4 2014</stp>
        <stp>FQ4 2014</stp>
        <stp>[AMZ_2009-2018.xlsx]Bal Sheet - Standardized!R48C26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48" s="3"/>
      </tp>
      <tp t="s">
        <v>—</v>
        <stp/>
        <stp>##V3_BDHV12</stp>
        <stp>AMZN US Equity</stp>
        <stp>ST_DEFERRED_REVENUE</stp>
        <stp>FQ3 2013</stp>
        <stp>FQ3 2013</stp>
        <stp>[AMZ_2009-2018.xlsx]Bal Sheet - Standardized!R48C21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8" s="3"/>
      </tp>
      <tp>
        <v>1837</v>
        <stp/>
        <stp>##V3_BDHV12</stp>
        <stp>AMZN US Equity</stp>
        <stp>BS_AMT_OF_TSY_STOCK</stp>
        <stp>FQ1 2014</stp>
        <stp>FQ1 2014</stp>
        <stp>[AMZ_2009-2018.xlsx]Bal Sheet - Standardized!R68C23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68" s="3"/>
      </tp>
      <tp>
        <v>1837</v>
        <stp/>
        <stp>##V3_BDHV12</stp>
        <stp>AMZN US Equity</stp>
        <stp>BS_AMT_OF_TSY_STOCK</stp>
        <stp>FQ2 2016</stp>
        <stp>FQ2 2016</stp>
        <stp>[AMZ_2009-2018.xlsx]Bal Sheet - Standardized!R68C32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68" s="3"/>
      </tp>
      <tp>
        <v>3815</v>
        <stp/>
        <stp>##V3_BDHV12</stp>
        <stp>AMZN US Equity</stp>
        <stp>BS_GOODWILL</stp>
        <stp>FQ3 2016</stp>
        <stp>FQ3 2016</stp>
        <stp>[AMZ_2009-2018.xlsx]Bal Sheet - Standardized!R29C33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29" s="3"/>
      </tp>
      <tp t="s">
        <v>—</v>
        <stp/>
        <stp>##V3_BDHV12</stp>
        <stp>AMZN US Equity</stp>
        <stp>LT_DEFERRED_REVENUE</stp>
        <stp>FQ2 2011</stp>
        <stp>FQ2 2011</stp>
        <stp>[AMZ_2009-2018.xlsx]Bal Sheet - Standardized!R58C12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58" s="3"/>
      </tp>
      <tp>
        <v>0</v>
        <stp/>
        <stp>##V3_BDHV12</stp>
        <stp>AMZN US Equity</stp>
        <stp>LT_DEFERRED_REVENUE</stp>
        <stp>FQ4 2014</stp>
        <stp>FQ4 2014</stp>
        <stp>[AMZ_2009-2018.xlsx]Bal Sheet - Standardized!R58C26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58" s="3"/>
      </tp>
      <tp t="s">
        <v>—</v>
        <stp/>
        <stp>##V3_BDHV12</stp>
        <stp>AMZN US Equity</stp>
        <stp>LT_DEFERRED_REVENUE</stp>
        <stp>FQ3 2013</stp>
        <stp>FQ3 2013</stp>
        <stp>[AMZ_2009-2018.xlsx]Bal Sheet - Standardized!R58C21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58" s="3"/>
      </tp>
      <tp>
        <v>42</v>
        <stp/>
        <stp>##V3_BDHV12</stp>
        <stp>AMZN US Equity</stp>
        <stp>BS_CURR_RENTAL_EXPENSE</stp>
        <stp>FQ3 2009</stp>
        <stp>FQ3 2009</stp>
        <stp>[AMZ_2009-2018.xlsx]Income - Adjusted!R73C5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3" s="2"/>
      </tp>
      <tp>
        <v>244</v>
        <stp/>
        <stp>##V3_BDHV12</stp>
        <stp>AMZN US Equity</stp>
        <stp>LT_DEFERRED_REVENUE</stp>
        <stp>FQ4 2015</stp>
        <stp>FQ4 2015</stp>
        <stp>[AMZ_2009-2018.xlsx]Bal Sheet - Standardized!R58C30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58" s="3"/>
      </tp>
      <tp>
        <v>4254</v>
        <stp/>
        <stp>##V3_BDHV12</stp>
        <stp>AMZN US Equity</stp>
        <stp>BS_GOODWILL</stp>
        <stp>FQ2 2017</stp>
        <stp>FQ2 2017</stp>
        <stp>[AMZ_2009-2018.xlsx]Bal Sheet - Standardized!R29C36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29" s="3"/>
      </tp>
      <tp>
        <v>5440</v>
        <stp/>
        <stp>##V3_BDHV12</stp>
        <stp>AMZN US Equity</stp>
        <stp>BS_ACCTS_REC_EXCL_NOTES_REC</stp>
        <stp>FQ3 2015</stp>
        <stp>FQ3 2015</stp>
        <stp>[AMZ_2009-2018.xlsx]Bal Sheet - Standardized!R11C29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1" s="3"/>
      </tp>
      <tp>
        <v>0.46</v>
        <stp/>
        <stp>##V3_BDHV12</stp>
        <stp>AMZN US Equity</stp>
        <stp>IS_EARN_BEF_XO_ITEMS_PER_SH</stp>
        <stp>FQ2 2010</stp>
        <stp>FQ2 2010</stp>
        <stp>[AMZ_2009-2018.xlsx]Income - Adjusted!R51C8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51" s="2"/>
      </tp>
      <tp t="s">
        <v>—</v>
        <stp/>
        <stp>##V3_BDHV12</stp>
        <stp>AMZN US Equity</stp>
        <stp>LT_DEFERRED_REVENUE</stp>
        <stp>FQ1 2012</stp>
        <stp>FQ1 2012</stp>
        <stp>[AMZ_2009-2018.xlsx]Bal Sheet - Standardized!R58C15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58" s="3"/>
      </tp>
      <tp>
        <v>384</v>
        <stp/>
        <stp>##V3_BDHV12</stp>
        <stp>AMZN US Equity</stp>
        <stp>OTHER_INVESTING_ACT_DETAILED</stp>
        <stp>FQ3 2012</stp>
        <stp>FQ3 2012</stp>
        <stp>[AMZ_2009-2018.xlsx]Cash Flow - Standardized!R36C17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36" s="4"/>
      </tp>
      <tp>
        <v>-533</v>
        <stp/>
        <stp>##V3_BDHV12</stp>
        <stp>AMZN US Equity</stp>
        <stp>CF_CASH_FROM_INV_ACT</stp>
        <stp>FQ1 2018</stp>
        <stp>FQ1 2018</stp>
        <stp>[AMZ_2009-2018.xlsx]Cash Flow - Standardized!R38C39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38" s="4"/>
      </tp>
      <tp>
        <v>3491</v>
        <stp/>
        <stp>##V3_BDHV12</stp>
        <stp>AMZN US Equity</stp>
        <stp>BS_GOODWILL</stp>
        <stp>FQ1 2015</stp>
        <stp>FQ1 2015</stp>
        <stp>[AMZ_2009-2018.xlsx]Bal Sheet - Standardized!R29C27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29" s="3"/>
      </tp>
      <tp>
        <v>0</v>
        <stp/>
        <stp>##V3_BDHV12</stp>
        <stp>AMZN US Equity</stp>
        <stp>CF_NET_CASH_DISCONT_OPS_OPER</stp>
        <stp>FQ4 2015</stp>
        <stp>FQ4 2015</stp>
        <stp>[AMZ_2009-2018.xlsx]Cash Flow - Standardized!R18C30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8" s="4"/>
      </tp>
      <tp>
        <v>4125</v>
        <stp/>
        <stp>##V3_BDHV12</stp>
        <stp>AMZN US Equity</stp>
        <stp>BS_ACCTS_REC_EXCL_NOTES_REC</stp>
        <stp>FQ2 2014</stp>
        <stp>FQ2 2014</stp>
        <stp>[AMZ_2009-2018.xlsx]Bal Sheet - Standardized!R11C24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1" s="3"/>
      </tp>
      <tp>
        <v>0</v>
        <stp/>
        <stp>##V3_BDHV12</stp>
        <stp>AMZN US Equity</stp>
        <stp>CF_NET_CASH_DISCONT_OPS_OPER</stp>
        <stp>FQ1 2012</stp>
        <stp>FQ1 2012</stp>
        <stp>[AMZ_2009-2018.xlsx]Cash Flow - Standardized!R18C15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8" s="4"/>
      </tp>
      <tp>
        <v>1085</v>
        <stp/>
        <stp>##V3_BDHV12</stp>
        <stp>AMZN US Equity</stp>
        <stp>OTHER_INVESTING_ACT_DETAILED</stp>
        <stp>FQ4 2017</stp>
        <stp>FQ4 2017</stp>
        <stp>[AMZ_2009-2018.xlsx]Cash Flow - Standardized!R36C38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36" s="4"/>
      </tp>
      <tp>
        <v>2571</v>
        <stp/>
        <stp>##V3_BDHV12</stp>
        <stp>AMZN US Equity</stp>
        <stp>BS_ACCTS_REC_EXCL_NOTES_REC</stp>
        <stp>FQ4 2011</stp>
        <stp>FQ4 2011</stp>
        <stp>[AMZ_2009-2018.xlsx]Bal Sheet - Standardized!R11C14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1" s="3"/>
      </tp>
      <tp>
        <v>0</v>
        <stp/>
        <stp>##V3_BDHV12</stp>
        <stp>AMZN US Equity</stp>
        <stp>CF_NET_CASH_DISCONT_OPS_OPER</stp>
        <stp>FQ2 2011</stp>
        <stp>FQ2 2011</stp>
        <stp>[AMZ_2009-2018.xlsx]Cash Flow - Standardized!R18C12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8" s="4"/>
      </tp>
      <tp>
        <v>5072</v>
        <stp/>
        <stp>##V3_BDHV12</stp>
        <stp>AMZN US Equity</stp>
        <stp>BS_ACCTS_REC_EXCL_NOTES_REC</stp>
        <stp>FQ1 2016</stp>
        <stp>FQ1 2016</stp>
        <stp>[AMZ_2009-2018.xlsx]Bal Sheet - Standardized!R11C31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1" s="3"/>
      </tp>
      <tp>
        <v>0</v>
        <stp/>
        <stp>##V3_BDHV12</stp>
        <stp>AMZN US Equity</stp>
        <stp>CF_NET_CASH_DISCONT_OPS_OPER</stp>
        <stp>FQ4 2014</stp>
        <stp>FQ4 2014</stp>
        <stp>[AMZ_2009-2018.xlsx]Cash Flow - Standardized!R18C26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8" s="4"/>
      </tp>
      <tp>
        <v>0</v>
        <stp/>
        <stp>##V3_BDHV12</stp>
        <stp>AMZN US Equity</stp>
        <stp>CF_NET_CASH_DISCONT_OPS_OPER</stp>
        <stp>FQ3 2013</stp>
        <stp>FQ3 2013</stp>
        <stp>[AMZ_2009-2018.xlsx]Cash Flow - Standardized!R18C21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8" s="4"/>
      </tp>
      <tp>
        <v>496</v>
        <stp/>
        <stp>##V3_BDHV12</stp>
        <stp>AMZN US Equity</stp>
        <stp>IS_SH_FOR_DILUTED_EPS</stp>
        <stp>FQ4 2017</stp>
        <stp>FQ4 2017</stp>
        <stp>[AMZ_2009-2018.xlsx]Per Share!R7C38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7" s="5"/>
      </tp>
      <tp>
        <v>-340</v>
        <stp/>
        <stp>##V3_BDHV12</stp>
        <stp>AMZN US Equity</stp>
        <stp>CF_CHANGE_IN_INVENTORIES</stp>
        <stp>FQ4 2009</stp>
        <stp>FQ4 2009</stp>
        <stp>[AMZ_2009-2018.xlsx]Cash Flow - Standardized!R15C6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5" s="4"/>
      </tp>
      <tp>
        <v>-4187</v>
        <stp/>
        <stp>##V3_BDHV12</stp>
        <stp>AMZN US Equity</stp>
        <stp>CF_CHANGE_IN_ACCOUNTS_PAYABLE</stp>
        <stp>FQ1 2013</stp>
        <stp>FQ1 2013</stp>
        <stp>[AMZ_2009-2018.xlsx]Cash Flow - Standardized!R16C19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6" s="4"/>
      </tp>
      <tp>
        <v>394</v>
        <stp/>
        <stp>##V3_BDHV12</stp>
        <stp>AMZN US Equity</stp>
        <stp>IS_OPER_INC</stp>
        <stp>FQ1 2010</stp>
        <stp>FQ1 2010</stp>
        <stp>[AMZ_2009-2018.xlsx]Income - Adjusted!R18C7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8" s="2"/>
      </tp>
      <tp>
        <v>1067</v>
        <stp/>
        <stp>##V3_BDHV12</stp>
        <stp>AMZN US Equity</stp>
        <stp>EARN_FOR_COMMON</stp>
        <stp>FQ4 2017</stp>
        <stp>FQ4 2017</stp>
        <stp>[AMZ_2009-2018.xlsx]Income - Adjusted!R45C38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45" s="2"/>
      </tp>
      <tp>
        <v>122</v>
        <stp/>
        <stp>##V3_BDHV12</stp>
        <stp>AMZN US Equity</stp>
        <stp>EARN_FOR_COMMON</stp>
        <stp>FQ4 2012</stp>
        <stp>FQ4 2012</stp>
        <stp>[AMZ_2009-2018.xlsx]Income - Adjusted!R45C18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45" s="2"/>
      </tp>
      <tp>
        <v>0</v>
        <stp/>
        <stp>##V3_BDHV12</stp>
        <stp>AMZN US Equity</stp>
        <stp>EQY_DPS</stp>
        <stp>FQ4 2009</stp>
        <stp>FQ4 2009</stp>
        <stp>[AMZ_2009-2018.xlsx]Per Share!R20C6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20" s="5"/>
      </tp>
      <tp>
        <v>848</v>
        <stp/>
        <stp>##V3_BDHV12</stp>
        <stp>AMZN US Equity</stp>
        <stp>CF_CHANGE_IN_ACCOUNTS_PAYABLE</stp>
        <stp>FQ3 2011</stp>
        <stp>FQ3 2011</stp>
        <stp>[AMZ_2009-2018.xlsx]Cash Flow - Standardized!R16C13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6" s="4"/>
      </tp>
      <tp>
        <v>0</v>
        <stp/>
        <stp>##V3_BDHV12</stp>
        <stp>AMZN US Equity</stp>
        <stp>CF_CHANGE_IN_ACCOUNTS_PAYABLE</stp>
        <stp>FQ2 2013</stp>
        <stp>FQ2 2013</stp>
        <stp>[AMZ_2009-2018.xlsx]Cash Flow - Standardized!R16C20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6" s="4"/>
      </tp>
      <tp>
        <v>92.65</v>
        <stp/>
        <stp>##V3_BDHV12</stp>
        <stp>AMZN US Equity</stp>
        <stp>EARN_FOR_COMMON</stp>
        <stp>FQ2 2015</stp>
        <stp>FQ2 2015</stp>
        <stp>[AMZ_2009-2018.xlsx]Income - Adjusted!R45C28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45" s="2"/>
      </tp>
      <tp>
        <v>56</v>
        <stp/>
        <stp>##V3_BDHV12</stp>
        <stp>AMZN US Equity</stp>
        <stp>IS_OTHER_NON_OPERATING_INC_LOSS</stp>
        <stp>FQ3 2015</stp>
        <stp>FQ3 2015</stp>
        <stp>[AMZ_2009-2018.xlsx]Income - Adjusted!R24C29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4" s="2"/>
      </tp>
      <tp>
        <v>-239</v>
        <stp/>
        <stp>##V3_BDHV12</stp>
        <stp>AMZN US Equity</stp>
        <stp>IS_OTHER_NON_OPERATING_INC_LOSS</stp>
        <stp>FQ1 2018</stp>
        <stp>FQ1 2018</stp>
        <stp>[AMZ_2009-2018.xlsx]Income - Adjusted!R24C39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24" s="2"/>
      </tp>
      <tp>
        <v>77</v>
        <stp/>
        <stp>##V3_BDHV12</stp>
        <stp>AMZN US Equity</stp>
        <stp>IS_OTHER_NON_OPERATING_INC_LOSS</stp>
        <stp>FQ1 2013</stp>
        <stp>FQ1 2013</stp>
        <stp>[AMZ_2009-2018.xlsx]Income - Adjusted!R24C19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4" s="2"/>
      </tp>
      <tp t="s">
        <v>—</v>
        <stp/>
        <stp>##V3_BDHV12</stp>
        <stp>AMZN US Equity</stp>
        <stp>BS_ACCRUED_LIABILITIES</stp>
        <stp>FQ1 2010</stp>
        <stp>FQ1 2010</stp>
        <stp>[AMZ_2009-2018.xlsx]Bal Sheet - Standardized!R56C7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6" s="3"/>
      </tp>
      <tp>
        <v>0.65</v>
        <stp/>
        <stp>##V3_BDHV12</stp>
        <stp>AMZN US Equity</stp>
        <stp>IS_NET_ABNORMAL_ITEMS</stp>
        <stp>FQ2 2015</stp>
        <stp>FQ2 2015</stp>
        <stp>[AMZ_2009-2018.xlsx]Income - Adjusted!R46C28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6" s="2"/>
      </tp>
      <tp>
        <v>0</v>
        <stp/>
        <stp>##V3_BDHV12</stp>
        <stp>AMZN US Equity</stp>
        <stp>NET_CHG_IN_LT_INVEST_DETAILED</stp>
        <stp>FQ3 2014</stp>
        <stp>FQ3 2014</stp>
        <stp>[AMZ_2009-2018.xlsx]Cash Flow - Standardized!R29C25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29" s="4"/>
      </tp>
      <tp>
        <v>0</v>
        <stp/>
        <stp>##V3_BDHV12</stp>
        <stp>AMZN US Equity</stp>
        <stp>NET_CHG_IN_LT_INVEST_DETAILED</stp>
        <stp>FQ4 2013</stp>
        <stp>FQ4 2013</stp>
        <stp>[AMZ_2009-2018.xlsx]Cash Flow - Standardized!R29C22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29" s="4"/>
      </tp>
      <tp>
        <v>0</v>
        <stp/>
        <stp>##V3_BDHV12</stp>
        <stp>AMZN US Equity</stp>
        <stp>IS_NET_ABNORMAL_ITEMS</stp>
        <stp>FQ3 2015</stp>
        <stp>FQ3 2015</stp>
        <stp>[AMZ_2009-2018.xlsx]Income - Adjusted!R46C29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6" s="2"/>
      </tp>
      <tp>
        <v>0</v>
        <stp/>
        <stp>##V3_BDHV12</stp>
        <stp>AMZN US Equity</stp>
        <stp>NET_CHG_IN_LT_INVEST_DETAILED</stp>
        <stp>FQ4 2010</stp>
        <stp>FQ4 2010</stp>
        <stp>[AMZ_2009-2018.xlsx]Cash Flow - Standardized!R29C10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29" s="4"/>
      </tp>
      <tp>
        <v>0</v>
        <stp/>
        <stp>##V3_BDHV12</stp>
        <stp>AMZN US Equity</stp>
        <stp>NET_CHG_IN_LT_INVEST_DETAILED</stp>
        <stp>FQ1 2017</stp>
        <stp>FQ1 2017</stp>
        <stp>[AMZ_2009-2018.xlsx]Cash Flow - Standardized!R29C35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29" s="4"/>
      </tp>
      <tp>
        <v>0</v>
        <stp/>
        <stp>##V3_BDHV12</stp>
        <stp>AMZN US Equity</stp>
        <stp>NET_CHG_IN_LT_INVEST_DETAILED</stp>
        <stp>FQ2 2015</stp>
        <stp>FQ2 2015</stp>
        <stp>[AMZ_2009-2018.xlsx]Cash Flow - Standardized!R29C28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29" s="4"/>
      </tp>
      <tp>
        <v>0.65</v>
        <stp/>
        <stp>##V3_BDHV12</stp>
        <stp>AMZN US Equity</stp>
        <stp>IS_NET_ABNORMAL_ITEMS</stp>
        <stp>FQ1 2015</stp>
        <stp>FQ1 2015</stp>
        <stp>[AMZ_2009-2018.xlsx]Income - Adjusted!R46C27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6" s="2"/>
      </tp>
      <tp t="s">
        <v>—</v>
        <stp/>
        <stp>##V3_BDHV12</stp>
        <stp>AMZN US Equity</stp>
        <stp>PENSION_LIABILITIES</stp>
        <stp>FQ1 2009</stp>
        <stp>FQ1 2009</stp>
        <stp>[AMZ_2009-2018.xlsx]Bal Sheet - Standardized!R57C3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7" s="3"/>
      </tp>
      <tp>
        <v>2297</v>
        <stp/>
        <stp>##V3_BDHV12</stp>
        <stp>AMZN US Equity</stp>
        <stp>CF_DEPR_AMORT</stp>
        <stp>FQ4 2016</stp>
        <stp>FQ4 2016</stp>
        <stp>[AMZ_2009-2018.xlsx]Cash Flow - Standardized!R8C34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8" s="4"/>
      </tp>
      <tp>
        <v>1752</v>
        <stp/>
        <stp>##V3_BDHV12</stp>
        <stp>AMZN US Equity</stp>
        <stp>CF_DEPR_AMORT</stp>
        <stp>FQ4 2015</stp>
        <stp>FQ4 2015</stp>
        <stp>[AMZ_2009-2018.xlsx]Cash Flow - Standardized!R8C30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8" s="4"/>
      </tp>
      <tp>
        <v>3498</v>
        <stp/>
        <stp>##V3_BDHV12</stp>
        <stp>AMZN US Equity</stp>
        <stp>CF_DEPR_AMORT</stp>
        <stp>FQ4 2017</stp>
        <stp>FQ4 2017</stp>
        <stp>[AMZ_2009-2018.xlsx]Cash Flow - Standardized!R8C38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8" s="4"/>
      </tp>
      <tp>
        <v>3158</v>
        <stp/>
        <stp>##V3_BDHV12</stp>
        <stp>AMZN US Equity</stp>
        <stp>GROSS_PROFIT</stp>
        <stp>FQ1 2012</stp>
        <stp>FQ1 2012</stp>
        <stp>[AMZ_2009-2018.xlsx]Income - Adjusted!R10C15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0" s="2"/>
      </tp>
      <tp>
        <v>13274</v>
        <stp/>
        <stp>##V3_BDHV12</stp>
        <stp>AMZN US Equity</stp>
        <stp>GROSS_PROFIT</stp>
        <stp>FQ1 2017</stp>
        <stp>FQ1 2017</stp>
        <stp>[AMZ_2009-2018.xlsx]Income - Adjusted!R10C35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0" s="2"/>
      </tp>
      <tp>
        <v>6122</v>
        <stp/>
        <stp>##V3_BDHV12</stp>
        <stp>AMZN US Equity</stp>
        <stp>GROSS_PROFIT</stp>
        <stp>FQ3 2014</stp>
        <stp>FQ3 2014</stp>
        <stp>[AMZ_2009-2018.xlsx]Income - Adjusted!R10C25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0" s="2"/>
      </tp>
      <tp t="s">
        <v>—</v>
        <stp/>
        <stp>##V3_BDHV12</stp>
        <stp>AMZN US Equity</stp>
        <stp>IS_CAP_INT_EXP</stp>
        <stp>FQ2 2009</stp>
        <stp>FQ2 2009</stp>
        <stp>[AMZ_2009-2018.xlsx]Income - Adjusted!R71C4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1" s="2"/>
      </tp>
      <tp>
        <v>2562</v>
        <stp/>
        <stp>##V3_BDHV12</stp>
        <stp>AMZN US Equity</stp>
        <stp>ST_DEFERRED_REVENUE</stp>
        <stp>FQ2 2015</stp>
        <stp>FQ2 2015</stp>
        <stp>[AMZ_2009-2018.xlsx]Bal Sheet - Standardized!R48C28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48" s="3"/>
      </tp>
      <tp>
        <v>-3098</v>
        <stp/>
        <stp>##V3_BDHV12</stp>
        <stp>AMZN US Equity</stp>
        <stp>ACQUIS_FXD_&amp;_INTANG_DETAILED</stp>
        <stp>FQ1 2018</stp>
        <stp>FQ1 2018</stp>
        <stp>[AMZ_2009-2018.xlsx]Cash Flow - Standardized!R26C39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M26" s="4"/>
      </tp>
      <tp>
        <v>210</v>
        <stp/>
        <stp>##V3_BDHV12</stp>
        <stp>AMZN US Equity</stp>
        <stp>EBIT</stp>
        <stp>FQ2 2009</stp>
        <stp>FQ2 2009</stp>
        <stp>[AMZ_2009-2018.xlsx]Income - Adjusted!R64C4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64" s="2"/>
      </tp>
      <tp>
        <v>1837</v>
        <stp/>
        <stp>##V3_BDHV12</stp>
        <stp>AMZN US Equity</stp>
        <stp>BS_AMT_OF_TSY_STOCK</stp>
        <stp>FQ4 2017</stp>
        <stp>FQ4 2017</stp>
        <stp>[AMZ_2009-2018.xlsx]Bal Sheet - Standardized!R68C38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68" s="3"/>
      </tp>
      <tp>
        <v>5454</v>
        <stp/>
        <stp>##V3_BDHV12</stp>
        <stp>AMZN US Equity</stp>
        <stp>ST_DEFERRED_REVENUE</stp>
        <stp>FQ1 2017</stp>
        <stp>FQ1 2017</stp>
        <stp>[AMZ_2009-2018.xlsx]Bal Sheet - Standardized!R48C35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48" s="3"/>
      </tp>
      <tp>
        <v>1159</v>
        <stp/>
        <stp>##V3_BDHV12</stp>
        <stp>AMZN US Equity</stp>
        <stp>ST_DEFERRED_REVENUE</stp>
        <stp>FQ4 2013</stp>
        <stp>FQ4 2013</stp>
        <stp>[AMZ_2009-2018.xlsx]Bal Sheet - Standardized!R48C22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8" s="3"/>
      </tp>
      <tp>
        <v>1814</v>
        <stp/>
        <stp>##V3_BDHV12</stp>
        <stp>AMZN US Equity</stp>
        <stp>ST_DEFERRED_REVENUE</stp>
        <stp>FQ3 2014</stp>
        <stp>FQ3 2014</stp>
        <stp>[AMZ_2009-2018.xlsx]Bal Sheet - Standardized!R48C25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48" s="3"/>
      </tp>
      <tp>
        <v>0</v>
        <stp/>
        <stp>##V3_BDHV12</stp>
        <stp>AMZN US Equity</stp>
        <stp>ST_DEFERRED_REVENUE</stp>
        <stp>FQ4 2010</stp>
        <stp>FQ4 2010</stp>
        <stp>[AMZ_2009-2018.xlsx]Bal Sheet - Standardized!R48C10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8" s="3"/>
      </tp>
      <tp>
        <v>1837</v>
        <stp/>
        <stp>##V3_BDHV12</stp>
        <stp>AMZN US Equity</stp>
        <stp>BS_AMT_OF_TSY_STOCK</stp>
        <stp>FQ3 2012</stp>
        <stp>FQ3 2012</stp>
        <stp>[AMZ_2009-2018.xlsx]Bal Sheet - Standardized!R68C17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68" s="3"/>
      </tp>
      <tp>
        <v>0</v>
        <stp/>
        <stp>##V3_BDHV12</stp>
        <stp>AMZN US Equity</stp>
        <stp>LT_DEFERRED_REVENUE</stp>
        <stp>FQ4 2013</stp>
        <stp>FQ4 2013</stp>
        <stp>[AMZ_2009-2018.xlsx]Bal Sheet - Standardized!R58C22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58" s="3"/>
      </tp>
      <tp t="s">
        <v>—</v>
        <stp/>
        <stp>##V3_BDHV12</stp>
        <stp>AMZN US Equity</stp>
        <stp>LT_DEFERRED_REVENUE</stp>
        <stp>FQ3 2014</stp>
        <stp>FQ3 2014</stp>
        <stp>[AMZ_2009-2018.xlsx]Bal Sheet - Standardized!R58C25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58" s="3"/>
      </tp>
      <tp>
        <v>0</v>
        <stp/>
        <stp>##V3_BDHV12</stp>
        <stp>AMZN US Equity</stp>
        <stp>CF_NET_CASH_DISCONT_OPS_OPER</stp>
        <stp>FQ2 2015</stp>
        <stp>FQ2 2015</stp>
        <stp>[AMZ_2009-2018.xlsx]Cash Flow - Standardized!R18C28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8" s="4"/>
      </tp>
      <tp t="s">
        <v>—</v>
        <stp/>
        <stp>##V3_BDHV12</stp>
        <stp>AMZN US Equity</stp>
        <stp>BS_CASH_HELD_OVERSEAS</stp>
        <stp>FQ3 2010</stp>
        <stp>FQ3 2010</stp>
        <stp>[AMZ_2009-2018.xlsx]Bal Sheet - Standardized!R88C9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88" s="3"/>
      </tp>
      <tp t="s">
        <v>—</v>
        <stp/>
        <stp>##V3_BDHV12</stp>
        <stp>AMZN US Equity</stp>
        <stp>IS_FOREIGN_EXCH_LOSS</stp>
        <stp>FQ3 2009</stp>
        <stp>FQ3 2009</stp>
        <stp>[AMZ_2009-2018.xlsx]Income - Adjusted!R23C5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3" s="2"/>
      </tp>
      <tp>
        <v>0</v>
        <stp/>
        <stp>##V3_BDHV12</stp>
        <stp>AMZN US Equity</stp>
        <stp>LT_DEFERRED_REVENUE</stp>
        <stp>FQ4 2010</stp>
        <stp>FQ4 2010</stp>
        <stp>[AMZ_2009-2018.xlsx]Bal Sheet - Standardized!R58C10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58" s="3"/>
      </tp>
      <tp>
        <v>2521</v>
        <stp/>
        <stp>##V3_BDHV12</stp>
        <stp>AMZN US Equity</stp>
        <stp>BS_GOODWILL</stp>
        <stp>FQ2 2012</stp>
        <stp>FQ2 2012</stp>
        <stp>[AMZ_2009-2018.xlsx]Bal Sheet - Standardized!R29C16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9" s="3"/>
      </tp>
      <tp t="s">
        <v>—</v>
        <stp/>
        <stp>##V3_BDHV12</stp>
        <stp>AMZN US Equity</stp>
        <stp>LT_DEFERRED_REVENUE</stp>
        <stp>FQ1 2017</stp>
        <stp>FQ1 2017</stp>
        <stp>[AMZ_2009-2018.xlsx]Bal Sheet - Standardized!R58C35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58" s="3"/>
      </tp>
      <tp>
        <v>-3248</v>
        <stp/>
        <stp>##V3_BDHV12</stp>
        <stp>AMZN US Equity</stp>
        <stp>OTHER_INVESTING_ACT_DETAILED</stp>
        <stp>FQ3 2017</stp>
        <stp>FQ3 2017</stp>
        <stp>[AMZ_2009-2018.xlsx]Cash Flow - Standardized!R36C37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36" s="4"/>
      </tp>
      <tp>
        <v>2516</v>
        <stp/>
        <stp>##V3_BDHV12</stp>
        <stp>AMZN US Equity</stp>
        <stp>BS_ACCTS_REC_EXCL_NOTES_REC</stp>
        <stp>FQ1 2013</stp>
        <stp>FQ1 2013</stp>
        <stp>[AMZ_2009-2018.xlsx]Bal Sheet - Standardized!R11C19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11" s="3"/>
      </tp>
      <tp>
        <v>156</v>
        <stp/>
        <stp>##V3_BDHV12</stp>
        <stp>AMZN US Equity</stp>
        <stp>OTHER_INVESTING_ACT_DETAILED</stp>
        <stp>FQ1 2014</stp>
        <stp>FQ1 2014</stp>
        <stp>[AMZ_2009-2018.xlsx]Cash Flow - Standardized!R36C23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36" s="4"/>
      </tp>
      <tp t="s">
        <v>—</v>
        <stp/>
        <stp>##V3_BDHV12</stp>
        <stp>AMZN US Equity</stp>
        <stp>BS_CASH_HELD_OVERSEAS</stp>
        <stp>FQ2 2009</stp>
        <stp>FQ2 2009</stp>
        <stp>[AMZ_2009-2018.xlsx]Bal Sheet - Standardized!R88C4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88" s="3"/>
      </tp>
      <tp>
        <v>1513</v>
        <stp/>
        <stp>##V3_BDHV12</stp>
        <stp>AMZN US Equity</stp>
        <stp>BS_GOODWILL</stp>
        <stp>FQ1 2011</stp>
        <stp>FQ1 2011</stp>
        <stp>[AMZ_2009-2018.xlsx]Bal Sheet - Standardized!R29C11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9" s="3"/>
      </tp>
      <tp>
        <v>0.87</v>
        <stp/>
        <stp>##V3_BDHV12</stp>
        <stp>AMZN US Equity</stp>
        <stp>IS_EARN_BEF_XO_ITEMS_PER_SH</stp>
        <stp>FQ4 2009</stp>
        <stp>FQ4 2009</stp>
        <stp>[AMZ_2009-2018.xlsx]Income - Adjusted!R51C6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51" s="2"/>
      </tp>
      <tp>
        <v>47</v>
        <stp/>
        <stp>##V3_BDHV12</stp>
        <stp>AMZN US Equity</stp>
        <stp>BS_CURR_RENTAL_EXPENSE</stp>
        <stp>FQ4 2009</stp>
        <stp>FQ4 2009</stp>
        <stp>[AMZ_2009-2018.xlsx]Income - Adjusted!R73C6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73" s="2"/>
      </tp>
      <tp>
        <v>-714</v>
        <stp/>
        <stp>##V3_BDHV12</stp>
        <stp>AMZN US Equity</stp>
        <stp>OTHER_INVESTING_ACT_DETAILED</stp>
        <stp>FQ2 2016</stp>
        <stp>FQ2 2016</stp>
        <stp>[AMZ_2009-2018.xlsx]Cash Flow - Standardized!R36C32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36" s="4"/>
      </tp>
      <tp>
        <v>3784</v>
        <stp/>
        <stp>##V3_BDHV12</stp>
        <stp>AMZN US Equity</stp>
        <stp>BS_GOODWILL</stp>
        <stp>FQ4 2016</stp>
        <stp>FQ4 2016</stp>
        <stp>[AMZ_2009-2018.xlsx]Bal Sheet - Standardized!R29C34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9" s="3"/>
      </tp>
      <tp>
        <v>-1022</v>
        <stp/>
        <stp>##V3_BDHV12</stp>
        <stp>AMZN US Equity</stp>
        <stp>OTHER_INVESTING_ACT_DETAILED</stp>
        <stp>FQ4 2012</stp>
        <stp>FQ4 2012</stp>
        <stp>[AMZ_2009-2018.xlsx]Cash Flow - Standardized!R36C18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36" s="4"/>
      </tp>
      <tp>
        <v>2861</v>
        <stp/>
        <stp>##V3_BDHV12</stp>
        <stp>AMZN US Equity</stp>
        <stp>BS_ACCTS_REC_EXCL_NOTES_REC</stp>
        <stp>FQ2 2013</stp>
        <stp>FQ2 2013</stp>
        <stp>[AMZ_2009-2018.xlsx]Bal Sheet - Standardized!R11C20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11" s="3"/>
      </tp>
      <tp>
        <v>1496</v>
        <stp/>
        <stp>##V3_BDHV12</stp>
        <stp>AMZN US Equity</stp>
        <stp>BS_ACCTS_REC_EXCL_NOTES_REC</stp>
        <stp>FQ3 2011</stp>
        <stp>FQ3 2011</stp>
        <stp>[AMZ_2009-2018.xlsx]Bal Sheet - Standardized!R11C13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11" s="3"/>
      </tp>
      <tp t="s">
        <v>—</v>
        <stp/>
        <stp>##V3_BDHV12</stp>
        <stp>AMZN US Equity</stp>
        <stp>LT_DEFERRED_REVENUE</stp>
        <stp>FQ2 2015</stp>
        <stp>FQ2 2015</stp>
        <stp>[AMZ_2009-2018.xlsx]Bal Sheet - Standardized!R58C28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58" s="3"/>
      </tp>
      <tp>
        <v>0</v>
        <stp/>
        <stp>##V3_BDHV12</stp>
        <stp>AMZN US Equity</stp>
        <stp>CF_NET_CASH_DISCONT_OPS_OPER</stp>
        <stp>FQ4 2013</stp>
        <stp>FQ4 2013</stp>
        <stp>[AMZ_2009-2018.xlsx]Cash Flow - Standardized!R18C22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8" s="4"/>
      </tp>
      <tp>
        <v>0</v>
        <stp/>
        <stp>##V3_BDHV12</stp>
        <stp>AMZN US Equity</stp>
        <stp>CF_NET_CASH_DISCONT_OPS_OPER</stp>
        <stp>FQ3 2014</stp>
        <stp>FQ3 2014</stp>
        <stp>[AMZ_2009-2018.xlsx]Cash Flow - Standardized!R18C25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8" s="4"/>
      </tp>
      <tp>
        <v>0</v>
        <stp/>
        <stp>##V3_BDHV12</stp>
        <stp>AMZN US Equity</stp>
        <stp>CF_NET_CASH_DISCONT_OPS_OPER</stp>
        <stp>FQ4 2010</stp>
        <stp>FQ4 2010</stp>
        <stp>[AMZ_2009-2018.xlsx]Cash Flow - Standardized!R18C10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8" s="4"/>
      </tp>
      <tp>
        <v>432</v>
        <stp/>
        <stp>##V3_BDHV12</stp>
        <stp>AMZN US Equity</stp>
        <stp>BS_SH_OUT</stp>
        <stp>FQ2 2009</stp>
        <stp>FQ2 2009</stp>
        <stp>[AMZ_2009-2018.xlsx]Per Share!R6C4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6" s="5"/>
      </tp>
      <tp>
        <v>433</v>
        <stp/>
        <stp>##V3_BDHV12</stp>
        <stp>AMZN US Equity</stp>
        <stp>BS_SH_OUT</stp>
        <stp>FQ3 2009</stp>
        <stp>FQ3 2009</stp>
        <stp>[AMZ_2009-2018.xlsx]Per Share!R6C5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6" s="5"/>
      </tp>
      <tp>
        <v>0</v>
        <stp/>
        <stp>##V3_BDHV12</stp>
        <stp>AMZN US Equity</stp>
        <stp>CF_NET_CASH_DISCONT_OPS_OPER</stp>
        <stp>FQ1 2017</stp>
        <stp>FQ1 2017</stp>
        <stp>[AMZ_2009-2018.xlsx]Cash Flow - Standardized!R18C35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8" s="4"/>
      </tp>
      <tp>
        <v>500</v>
        <stp/>
        <stp>##V3_BDHV12</stp>
        <stp>AMZN US Equity</stp>
        <stp>IS_SH_FOR_DILUTED_EPS</stp>
        <stp>FQ2 2018</stp>
        <stp>FQ2 2018</stp>
        <stp>[AMZ_2009-2018.xlsx]Per Share!R7C40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7" s="5"/>
      </tp>
      <tp>
        <v>0</v>
        <stp/>
        <stp>##V3_BDHV12</stp>
        <stp>AMZN US Equity</stp>
        <stp>CF_CASH_FOR_DIVESTITURES</stp>
        <stp>FQ2 2009</stp>
        <stp>FQ2 2009</stp>
        <stp>[AMZ_2009-2018.xlsx]Cash Flow - Standardized!R33C4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33" s="4"/>
      </tp>
      <tp>
        <v>-276</v>
        <stp/>
        <stp>##V3_BDHV12</stp>
        <stp>AMZN US Equity</stp>
        <stp>CF_CHANGE_IN_INVENTORIES</stp>
        <stp>FQ3 2009</stp>
        <stp>FQ3 2009</stp>
        <stp>[AMZ_2009-2018.xlsx]Cash Flow - Standardized!R15C5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15" s="4"/>
      </tp>
      <tp>
        <v>-141</v>
        <stp/>
        <stp>##V3_BDHV12</stp>
        <stp>AMZN US Equity</stp>
        <stp>CF_CHANGE_IN_INVENTORIES</stp>
        <stp>FQ2 2010</stp>
        <stp>FQ2 2010</stp>
        <stp>[AMZ_2009-2018.xlsx]Cash Flow - Standardized!R15C8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15" s="4"/>
      </tp>
      <tp>
        <v>0</v>
        <stp/>
        <stp>##V3_BDHV12</stp>
        <stp>AMZN US Equity</stp>
        <stp>CF_CASH_FOR_DIVESTITURES</stp>
        <stp>FQ3 2010</stp>
        <stp>FQ3 2010</stp>
        <stp>[AMZ_2009-2018.xlsx]Cash Flow - Standardized!R33C9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33" s="4"/>
      </tp>
      <tp>
        <v>2030</v>
        <stp/>
        <stp>##V3_BDHV12</stp>
        <stp>AMZN US Equity</stp>
        <stp>CF_CHANGE_IN_ACCOUNTS_PAYABLE</stp>
        <stp>FQ3 2015</stp>
        <stp>FQ3 2015</stp>
        <stp>[AMZ_2009-2018.xlsx]Cash Flow - Standardized!R16C29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6" s="4"/>
      </tp>
      <tp>
        <v>0</v>
        <stp/>
        <stp>##V3_BDHV12</stp>
        <stp>AMZN US Equity</stp>
        <stp>EQY_DPS</stp>
        <stp>FQ2 2010</stp>
        <stp>FQ2 2010</stp>
        <stp>[AMZ_2009-2018.xlsx]Per Share!R20C8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20" s="5"/>
      </tp>
      <tp>
        <v>-5770</v>
        <stp/>
        <stp>##V3_BDHV12</stp>
        <stp>AMZN US Equity</stp>
        <stp>CF_CHANGE_IN_ACCOUNTS_PAYABLE</stp>
        <stp>FQ1 2016</stp>
        <stp>FQ1 2016</stp>
        <stp>[AMZ_2009-2018.xlsx]Cash Flow - Standardized!R16C31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6" s="4"/>
      </tp>
      <tp>
        <v>4684</v>
        <stp/>
        <stp>##V3_BDHV12</stp>
        <stp>AMZN US Equity</stp>
        <stp>CF_CHANGE_IN_ACCOUNTS_PAYABLE</stp>
        <stp>FQ4 2011</stp>
        <stp>FQ4 2011</stp>
        <stp>[AMZ_2009-2018.xlsx]Cash Flow - Standardized!R16C14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6" s="4"/>
      </tp>
      <tp>
        <v>2918</v>
        <stp/>
        <stp>##V3_BDHV12</stp>
        <stp>AMZN US Equity</stp>
        <stp>EQTY_BEF_MINORITY_INT_DETAILED</stp>
        <stp>FQ1 2009</stp>
        <stp>FQ1 2009</stp>
        <stp>[AMZ_2009-2018.xlsx]Bal Sheet - Standardized!R71C3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1" s="3"/>
      </tp>
      <tp>
        <v>-344</v>
        <stp/>
        <stp>##V3_BDHV12</stp>
        <stp>AMZN US Equity</stp>
        <stp>CF_CHANGE_IN_ACCOUNTS_PAYABLE</stp>
        <stp>FQ2 2014</stp>
        <stp>FQ2 2014</stp>
        <stp>[AMZ_2009-2018.xlsx]Cash Flow - Standardized!R16C24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6" s="4"/>
      </tp>
      <tp>
        <v>23</v>
        <stp/>
        <stp>##V3_BDHV12</stp>
        <stp>AMZN US Equity</stp>
        <stp>IS_NET_INTEREST_EXPENSE</stp>
        <stp>FQ1 2013</stp>
        <stp>FQ1 2013</stp>
        <stp>[AMZ_2009-2018.xlsx]Income - Adjusted!R20C19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0" s="2"/>
      </tp>
      <tp>
        <v>250</v>
        <stp/>
        <stp>##V3_BDHV12</stp>
        <stp>AMZN US Equity</stp>
        <stp>IS_NET_INTEREST_EXPENSE</stp>
        <stp>FQ1 2018</stp>
        <stp>FQ1 2018</stp>
        <stp>[AMZ_2009-2018.xlsx]Income - Adjusted!R20C39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20" s="2"/>
      </tp>
      <tp>
        <v>0</v>
        <stp/>
        <stp>##V3_BDHV12</stp>
        <stp>AMZN US Equity</stp>
        <stp>NET_CHG_IN_LT_INVEST_DETAILED</stp>
        <stp>FQ4 2015</stp>
        <stp>FQ4 2015</stp>
        <stp>[AMZ_2009-2018.xlsx]Cash Flow - Standardized!R29C30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9" s="4"/>
      </tp>
      <tp>
        <v>103</v>
        <stp/>
        <stp>##V3_BDHV12</stp>
        <stp>AMZN US Equity</stp>
        <stp>IS_NET_INTEREST_EXPENSE</stp>
        <stp>FQ3 2015</stp>
        <stp>FQ3 2015</stp>
        <stp>[AMZ_2009-2018.xlsx]Income - Adjusted!R20C29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0" s="2"/>
      </tp>
      <tp>
        <v>0</v>
        <stp/>
        <stp>##V3_BDHV12</stp>
        <stp>AMZN US Equity</stp>
        <stp>NET_CHG_IN_LT_INVEST_DETAILED</stp>
        <stp>FQ1 2012</stp>
        <stp>FQ1 2012</stp>
        <stp>[AMZ_2009-2018.xlsx]Cash Flow - Standardized!R29C15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9" s="4"/>
      </tp>
      <tp>
        <v>0</v>
        <stp/>
        <stp>##V3_BDHV12</stp>
        <stp>AMZN US Equity</stp>
        <stp>NET_CHG_IN_LT_INVEST_DETAILED</stp>
        <stp>FQ2 2011</stp>
        <stp>FQ2 2011</stp>
        <stp>[AMZ_2009-2018.xlsx]Cash Flow - Standardized!R29C12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9" s="4"/>
      </tp>
      <tp>
        <v>0</v>
        <stp/>
        <stp>##V3_BDHV12</stp>
        <stp>AMZN US Equity</stp>
        <stp>NET_CHG_IN_LT_INVEST_DETAILED</stp>
        <stp>FQ3 2013</stp>
        <stp>FQ3 2013</stp>
        <stp>[AMZ_2009-2018.xlsx]Cash Flow - Standardized!R29C21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9" s="4"/>
      </tp>
      <tp>
        <v>0</v>
        <stp/>
        <stp>##V3_BDHV12</stp>
        <stp>AMZN US Equity</stp>
        <stp>NET_CHG_IN_LT_INVEST_DETAILED</stp>
        <stp>FQ4 2014</stp>
        <stp>FQ4 2014</stp>
        <stp>[AMZ_2009-2018.xlsx]Cash Flow - Standardized!R29C26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9" s="4"/>
      </tp>
      <tp>
        <v>0</v>
        <stp/>
        <stp>##V3_BDHV12</stp>
        <stp>AMZN US Equity</stp>
        <stp>IS_NET_ABNORMAL_ITEMS</stp>
        <stp>FQ4 2011</stp>
        <stp>FQ4 2011</stp>
        <stp>[AMZ_2009-2018.xlsx]Income - Adjusted!R46C14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6" s="2"/>
      </tp>
      <tp>
        <v>0</v>
        <stp/>
        <stp>##V3_BDHV12</stp>
        <stp>AMZN US Equity</stp>
        <stp>IS_NET_ABNORMAL_ITEMS</stp>
        <stp>FQ1 2011</stp>
        <stp>FQ1 2011</stp>
        <stp>[AMZ_2009-2018.xlsx]Income - Adjusted!R46C11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46" s="2"/>
      </tp>
      <tp>
        <v>0</v>
        <stp/>
        <stp>##V3_BDHV12</stp>
        <stp>AMZN US Equity</stp>
        <stp>IS_NET_ABNORMAL_ITEMS</stp>
        <stp>FQ2 2011</stp>
        <stp>FQ2 2011</stp>
        <stp>[AMZ_2009-2018.xlsx]Income - Adjusted!R46C12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46" s="2"/>
      </tp>
      <tp>
        <v>0</v>
        <stp/>
        <stp>##V3_BDHV12</stp>
        <stp>AMZN US Equity</stp>
        <stp>IS_NET_ABNORMAL_ITEMS</stp>
        <stp>FQ3 2011</stp>
        <stp>FQ3 2011</stp>
        <stp>[AMZ_2009-2018.xlsx]Income - Adjusted!R46C13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46" s="2"/>
      </tp>
      <tp>
        <v>63.206899999999997</v>
        <stp/>
        <stp>##V3_BDHV12</stp>
        <stp>AMZN US Equity</stp>
        <stp>REVENUE_PER_SH</stp>
        <stp>FQ4 2014</stp>
        <stp>FQ4 2014</stp>
        <stp>[AMZ_2009-2018.xlsx]Per Share!R11C26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Z11" s="5"/>
      </tp>
      <tp>
        <v>76.057400000000001</v>
        <stp/>
        <stp>##V3_BDHV12</stp>
        <stp>AMZN US Equity</stp>
        <stp>REVENUE_PER_SH</stp>
        <stp>FQ4 2015</stp>
        <stp>FQ4 2015</stp>
        <stp>[AMZ_2009-2018.xlsx]Per Share!R11C30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D11" s="5"/>
      </tp>
      <tp>
        <v>91.892899999999997</v>
        <stp/>
        <stp>##V3_BDHV12</stp>
        <stp>AMZN US Equity</stp>
        <stp>REVENUE_PER_SH</stp>
        <stp>FQ4 2016</stp>
        <stp>FQ4 2016</stp>
        <stp>[AMZ_2009-2018.xlsx]Per Share!R11C34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H11" s="5"/>
      </tp>
      <tp>
        <v>125.1615</v>
        <stp/>
        <stp>##V3_BDHV12</stp>
        <stp>AMZN US Equity</stp>
        <stp>REVENUE_PER_SH</stp>
        <stp>FQ4 2017</stp>
        <stp>FQ4 2017</stp>
        <stp>[AMZ_2009-2018.xlsx]Per Share!R11C38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AL11" s="5"/>
      </tp>
      <tp>
        <v>28.773299999999999</v>
        <stp/>
        <stp>##V3_BDHV12</stp>
        <stp>AMZN US Equity</stp>
        <stp>REVENUE_PER_SH</stp>
        <stp>FQ4 2010</stp>
        <stp>FQ4 2010</stp>
        <stp>[AMZ_2009-2018.xlsx]Per Share!R11C10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J11" s="5"/>
      </tp>
      <tp>
        <v>38.309899999999999</v>
        <stp/>
        <stp>##V3_BDHV12</stp>
        <stp>AMZN US Equity</stp>
        <stp>REVENUE_PER_SH</stp>
        <stp>FQ4 2011</stp>
        <stp>FQ4 2011</stp>
        <stp>[AMZ_2009-2018.xlsx]Per Share!R11C14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N11" s="5"/>
      </tp>
      <tp>
        <v>46.845799999999997</v>
        <stp/>
        <stp>##V3_BDHV12</stp>
        <stp>AMZN US Equity</stp>
        <stp>REVENUE_PER_SH</stp>
        <stp>FQ4 2012</stp>
        <stp>FQ4 2012</stp>
        <stp>[AMZ_2009-2018.xlsx]Per Share!R11C18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R11" s="5"/>
      </tp>
      <tp>
        <v>55.866799999999998</v>
        <stp/>
        <stp>##V3_BDHV12</stp>
        <stp>AMZN US Equity</stp>
        <stp>REVENUE_PER_SH</stp>
        <stp>FQ4 2013</stp>
        <stp>FQ4 2013</stp>
        <stp>[AMZ_2009-2018.xlsx]Per Share!R11C22</stp>
        <stp>Currency=USD</stp>
        <stp>Period=FQ</stp>
        <stp>BEST_FPERIOD_OVERRIDE=FQ</stp>
        <stp>FILING_STATUS=MR</stp>
        <stp>FA_ADJUSTED=GAAP</stp>
        <stp>Sort=A</stp>
        <stp>Dates=H</stp>
        <stp>DateFormat=P</stp>
        <stp>Fill=—</stp>
        <stp>Direction=H</stp>
        <stp>UseDPDF=Y</stp>
        <tr r="V11" s="5"/>
      </tp>
      <tp t="s">
        <v>—</v>
        <stp/>
        <stp>##V3_BDHV12</stp>
        <stp>AMZN US Equity</stp>
        <stp>PENSION_LIABILITIES</stp>
        <stp>FQ1 2010</stp>
        <stp>FQ1 2010</stp>
        <stp>[AMZ_2009-2018.xlsx]Bal Sheet - Standardized!R57C7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57" s="3"/>
      </tp>
      <tp>
        <v>1379</v>
        <stp/>
        <stp>##V3_BDHV12</stp>
        <stp>AMZN US Equity</stp>
        <stp>CF_DEPR_AMORT</stp>
        <stp>FQ4 2014</stp>
        <stp>FQ4 2014</stp>
        <stp>[AMZ_2009-2018.xlsx]Cash Flow - Standardized!R8C26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8" s="4"/>
      </tp>
      <tp>
        <v>963</v>
        <stp/>
        <stp>##V3_BDHV12</stp>
        <stp>AMZN US Equity</stp>
        <stp>CF_DEPR_AMORT</stp>
        <stp>FQ4 2013</stp>
        <stp>FQ4 2013</stp>
        <stp>[AMZ_2009-2018.xlsx]Cash Flow - Standardized!R8C22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8" s="4"/>
      </tp>
      <tp>
        <v>14783</v>
        <stp/>
        <stp>##V3_BDHV12</stp>
        <stp>AMZN US Equity</stp>
        <stp>GROSS_PROFIT</stp>
        <stp>FQ4 2016</stp>
        <stp>FQ4 2016</stp>
        <stp>[AMZ_2009-2018.xlsx]Income - Adjusted!R10C34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0" s="2"/>
      </tp>
      <tp>
        <v>3601</v>
        <stp/>
        <stp>##V3_BDHV12</stp>
        <stp>AMZN US Equity</stp>
        <stp>GROSS_PROFIT</stp>
        <stp>FQ4 2011</stp>
        <stp>FQ4 2011</stp>
        <stp>[AMZ_2009-2018.xlsx]Income - Adjusted!R10C14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0" s="2"/>
      </tp>
      <tp>
        <v>3630</v>
        <stp/>
        <stp>##V3_BDHV12</stp>
        <stp>AMZN US Equity</stp>
        <stp>CF_DEPR_AMORT</stp>
        <stp>FQ2 2018</stp>
        <stp>FQ2 2018</stp>
        <stp>[AMZ_2009-2018.xlsx]Cash Flow - Standardized!R8C40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8" s="4"/>
      </tp>
      <tp>
        <v>5941</v>
        <stp/>
        <stp>##V3_BDHV12</stp>
        <stp>AMZN US Equity</stp>
        <stp>GROSS_PROFIT</stp>
        <stp>FQ2 2014</stp>
        <stp>FQ2 2014</stp>
        <stp>[AMZ_2009-2018.xlsx]Income - Adjusted!R10C24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0" s="2"/>
      </tp>
      <tp t="s">
        <v>—</v>
        <stp/>
        <stp>##V3_BDHV12</stp>
        <stp>AMZN US Equity</stp>
        <stp>IS_CAP_INT_EXP</stp>
        <stp>FQ3 2009</stp>
        <stp>FQ3 2009</stp>
        <stp>[AMZ_2009-2018.xlsx]Income - Adjusted!R71C5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1" s="2"/>
      </tp>
      <tp>
        <v>3219</v>
        <stp/>
        <stp>##V3_BDHV12</stp>
        <stp>AMZN US Equity</stp>
        <stp>BS_MKT_SEC_OTHER_ST_INVEST</stp>
        <stp>FQ1 2010</stp>
        <stp>FQ1 2010</stp>
        <stp>[AMZ_2009-2018.xlsx]Bal Sheet - Standardized!R9C7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9" s="3"/>
      </tp>
      <tp>
        <v>3063</v>
        <stp/>
        <stp>##V3_BDHV12</stp>
        <stp>AMZN US Equity</stp>
        <stp>ST_DEFERRED_REVENUE</stp>
        <stp>FQ3 2015</stp>
        <stp>FQ3 2015</stp>
        <stp>[AMZ_2009-2018.xlsx]Bal Sheet - Standardized!R48C29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48" s="3"/>
      </tp>
      <tp>
        <v>251</v>
        <stp/>
        <stp>##V3_BDHV12</stp>
        <stp>AMZN US Equity</stp>
        <stp>EBIT</stp>
        <stp>FQ3 2009</stp>
        <stp>FQ3 2009</stp>
        <stp>[AMZ_2009-2018.xlsx]Income - Adjusted!R64C5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64" s="2"/>
      </tp>
      <tp>
        <v>1276</v>
        <stp/>
        <stp>##V3_BDHV12</stp>
        <stp>AMZN US Equity</stp>
        <stp>BS_MKT_SEC_OTHER_ST_INVEST</stp>
        <stp>FQ2 2009</stp>
        <stp>FQ2 2009</stp>
        <stp>[AMZ_2009-2018.xlsx]Bal Sheet - Standardized!R9C4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9" s="3"/>
      </tp>
      <tp>
        <v>1487</v>
        <stp/>
        <stp>##V3_BDHV12</stp>
        <stp>AMZN US Equity</stp>
        <stp>BS_MKT_SEC_OTHER_ST_INVEST</stp>
        <stp>FQ3 2009</stp>
        <stp>FQ3 2009</stp>
        <stp>[AMZ_2009-2018.xlsx]Bal Sheet - Standardized!R9C5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9" s="3"/>
      </tp>
      <tp>
        <v>272</v>
        <stp/>
        <stp>##V3_BDHV12</stp>
        <stp>AMZN US Equity</stp>
        <stp>OTHER_CURRENT_ASSETS_DETAILED</stp>
        <stp>FQ4 2009</stp>
        <stp>FQ4 2009</stp>
        <stp>[AMZ_2009-2018.xlsx]Bal Sheet - Standardized!R18C6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18" s="3"/>
      </tp>
      <tp>
        <v>1029</v>
        <stp/>
        <stp>##V3_BDHV12</stp>
        <stp>AMZN US Equity</stp>
        <stp>BS_MKT_SEC_OTHER_ST_INVEST</stp>
        <stp>FQ1 2009</stp>
        <stp>FQ1 2009</stp>
        <stp>[AMZ_2009-2018.xlsx]Bal Sheet - Standardized!R9C3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3"/>
      </tp>
      <tp>
        <v>2922</v>
        <stp/>
        <stp>##V3_BDHV12</stp>
        <stp>AMZN US Equity</stp>
        <stp>BS_MKT_SEC_OTHER_ST_INVEST</stp>
        <stp>FQ4 2009</stp>
        <stp>FQ4 2009</stp>
        <stp>[AMZ_2009-2018.xlsx]Bal Sheet - Standardized!R9C6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9" s="3"/>
      </tp>
      <tp>
        <v>3766</v>
        <stp/>
        <stp>##V3_BDHV12</stp>
        <stp>AMZN US Equity</stp>
        <stp>ST_DEFERRED_REVENUE</stp>
        <stp>FQ1 2016</stp>
        <stp>FQ1 2016</stp>
        <stp>[AMZ_2009-2018.xlsx]Bal Sheet - Standardized!R48C31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48" s="3"/>
      </tp>
      <tp>
        <v>1837</v>
        <stp/>
        <stp>##V3_BDHV12</stp>
        <stp>AMZN US Equity</stp>
        <stp>BS_AMT_OF_TSY_STOCK</stp>
        <stp>FQ4 2016</stp>
        <stp>FQ4 2016</stp>
        <stp>[AMZ_2009-2018.xlsx]Bal Sheet - Standardized!R68C34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68" s="3"/>
      </tp>
      <tp>
        <v>0</v>
        <stp/>
        <stp>##V3_BDHV12</stp>
        <stp>AMZN US Equity</stp>
        <stp>ST_DEFERRED_REVENUE</stp>
        <stp>FQ4 2011</stp>
        <stp>FQ4 2011</stp>
        <stp>[AMZ_2009-2018.xlsx]Bal Sheet - Standardized!R48C14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48" s="3"/>
      </tp>
      <tp>
        <v>600</v>
        <stp/>
        <stp>##V3_BDHV12</stp>
        <stp>AMZN US Equity</stp>
        <stp>BS_AMT_OF_TSY_STOCK</stp>
        <stp>FQ1 2011</stp>
        <stp>FQ1 2011</stp>
        <stp>[AMZ_2009-2018.xlsx]Bal Sheet - Standardized!R68C11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68" s="3"/>
      </tp>
      <tp>
        <v>54481</v>
        <stp/>
        <stp>##V3_BDHV12</stp>
        <stp>AMZN US Equity</stp>
        <stp>BS_CUR_ASSET_REPORT</stp>
        <stp>FQ2 2018</stp>
        <stp>FQ2 2018</stp>
        <stp>[AMZ_2009-2018.xlsx]Bal Sheet - Standardized!R22C40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22" s="3"/>
      </tp>
      <tp>
        <v>1837</v>
        <stp/>
        <stp>##V3_BDHV12</stp>
        <stp>AMZN US Equity</stp>
        <stp>BS_AMT_OF_TSY_STOCK</stp>
        <stp>FQ2 2012</stp>
        <stp>FQ2 2012</stp>
        <stp>[AMZ_2009-2018.xlsx]Bal Sheet - Standardized!R68C16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68" s="3"/>
      </tp>
      <tp>
        <v>3479</v>
        <stp/>
        <stp>##V3_BDHV12</stp>
        <stp>AMZN US Equity</stp>
        <stp>BS_MKT_SEC_OTHER_ST_INVEST</stp>
        <stp>FQ2 2010</stp>
        <stp>FQ2 2010</stp>
        <stp>[AMZ_2009-2018.xlsx]Bal Sheet - Standardized!R9C8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9" s="3"/>
      </tp>
      <tp>
        <v>4346</v>
        <stp/>
        <stp>##V3_BDHV12</stp>
        <stp>AMZN US Equity</stp>
        <stp>BS_MKT_SEC_OTHER_ST_INVEST</stp>
        <stp>FQ3 2010</stp>
        <stp>FQ3 2010</stp>
        <stp>[AMZ_2009-2018.xlsx]Bal Sheet - Standardized!R9C9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9" s="3"/>
      </tp>
      <tp>
        <v>1606</v>
        <stp/>
        <stp>##V3_BDHV12</stp>
        <stp>AMZN US Equity</stp>
        <stp>ST_DEFERRED_REVENUE</stp>
        <stp>FQ2 2014</stp>
        <stp>FQ2 2014</stp>
        <stp>[AMZ_2009-2018.xlsx]Bal Sheet - Standardized!R48C24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48" s="3"/>
      </tp>
      <tp>
        <v>2540</v>
        <stp/>
        <stp>##V3_BDHV12</stp>
        <stp>AMZN US Equity</stp>
        <stp>BS_GOODWILL</stp>
        <stp>FQ3 2012</stp>
        <stp>FQ3 2012</stp>
        <stp>[AMZ_2009-2018.xlsx]Bal Sheet - Standardized!R29C17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9" s="3"/>
      </tp>
      <tp t="s">
        <v>—</v>
        <stp/>
        <stp>##V3_BDHV12</stp>
        <stp>AMZN US Equity</stp>
        <stp>BS_CASH_HELD_OVERSEAS</stp>
        <stp>FQ2 2010</stp>
        <stp>FQ2 2010</stp>
        <stp>[AMZ_2009-2018.xlsx]Bal Sheet - Standardized!R88C8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88" s="3"/>
      </tp>
      <tp t="s">
        <v>—</v>
        <stp/>
        <stp>##V3_BDHV12</stp>
        <stp>AMZN US Equity</stp>
        <stp>IS_FOREIGN_EXCH_LOSS</stp>
        <stp>FQ2 2009</stp>
        <stp>FQ2 2009</stp>
        <stp>[AMZ_2009-2018.xlsx]Income - Adjusted!R23C4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3" s="2"/>
      </tp>
      <tp t="s">
        <v>—</v>
        <stp/>
        <stp>##V3_BDHV12</stp>
        <stp>AMZN US Equity</stp>
        <stp>LT_DEFERRED_REVENUE</stp>
        <stp>FQ2 2014</stp>
        <stp>FQ2 2014</stp>
        <stp>[AMZ_2009-2018.xlsx]Bal Sheet - Standardized!R58C24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58" s="3"/>
      </tp>
      <tp>
        <v>0</v>
        <stp/>
        <stp>##V3_BDHV12</stp>
        <stp>AMZN US Equity</stp>
        <stp>CF_NET_CASH_DISCONT_OPS_OPER</stp>
        <stp>FQ3 2015</stp>
        <stp>FQ3 2015</stp>
        <stp>[AMZ_2009-2018.xlsx]Cash Flow - Standardized!R18C29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18" s="4"/>
      </tp>
      <tp>
        <v>-611</v>
        <stp/>
        <stp>##V3_BDHV12</stp>
        <stp>AMZN US Equity</stp>
        <stp>OTHER_INVESTING_ACT_DETAILED</stp>
        <stp>FQ1 2015</stp>
        <stp>FQ1 2015</stp>
        <stp>[AMZ_2009-2018.xlsx]Cash Flow - Standardized!R36C27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36" s="4"/>
      </tp>
      <tp>
        <v>-2140</v>
        <stp/>
        <stp>##V3_BDHV12</stp>
        <stp>AMZN US Equity</stp>
        <stp>OTHER_INVESTING_ACT_DETAILED</stp>
        <stp>FQ2 2017</stp>
        <stp>FQ2 2017</stp>
        <stp>[AMZ_2009-2018.xlsx]Cash Flow - Standardized!R36C36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36" s="4"/>
      </tp>
      <tp>
        <v>0</v>
        <stp/>
        <stp>##V3_BDHV12</stp>
        <stp>AMZN US Equity</stp>
        <stp>LT_DEFERRED_REVENUE</stp>
        <stp>FQ4 2011</stp>
        <stp>FQ4 2011</stp>
        <stp>[AMZ_2009-2018.xlsx]Bal Sheet - Standardized!R58C14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58" s="3"/>
      </tp>
      <tp t="s">
        <v>—</v>
        <stp/>
        <stp>##V3_BDHV12</stp>
        <stp>AMZN US Equity</stp>
        <stp>BS_CASH_HELD_OVERSEAS</stp>
        <stp>FQ3 2009</stp>
        <stp>FQ3 2009</stp>
        <stp>[AMZ_2009-2018.xlsx]Bal Sheet - Standardized!R88C5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88" s="3"/>
      </tp>
      <tp t="s">
        <v>—</v>
        <stp/>
        <stp>##V3_BDHV12</stp>
        <stp>AMZN US Equity</stp>
        <stp>LT_DEFERRED_REVENUE</stp>
        <stp>FQ1 2016</stp>
        <stp>FQ1 2016</stp>
        <stp>[AMZ_2009-2018.xlsx]Bal Sheet - Standardized!R58C31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58" s="3"/>
      </tp>
      <tp>
        <v>-645</v>
        <stp/>
        <stp>##V3_BDHV12</stp>
        <stp>AMZN US Equity</stp>
        <stp>OTHER_INVESTING_ACT_DETAILED</stp>
        <stp>FQ3 2016</stp>
        <stp>FQ3 2016</stp>
        <stp>[AMZ_2009-2018.xlsx]Cash Flow - Standardized!R36C33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36" s="4"/>
      </tp>
      <tp>
        <v>0</v>
        <stp/>
        <stp>##V3_BDHV12</stp>
        <stp>AMZN US Equity</stp>
        <stp>CF_NET_CASH_DISCONT_OPS_OPER</stp>
        <stp>FQ4 2011</stp>
        <stp>FQ4 2011</stp>
        <stp>[AMZ_2009-2018.xlsx]Cash Flow - Standardized!R18C14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18" s="4"/>
      </tp>
      <tp>
        <v>0</v>
        <stp/>
        <stp>##V3_BDHV12</stp>
        <stp>AMZN US Equity</stp>
        <stp>CF_NET_CASH_DISCONT_OPS_OPER</stp>
        <stp>FQ1 2016</stp>
        <stp>FQ1 2016</stp>
        <stp>[AMZ_2009-2018.xlsx]Cash Flow - Standardized!R18C31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18" s="4"/>
      </tp>
      <tp>
        <v>1438</v>
        <stp/>
        <stp>##V3_BDHV12</stp>
        <stp>AMZN US Equity</stp>
        <stp>BS_ACCTS_REC_EXCL_NOTES_REC</stp>
        <stp>FQ2 2011</stp>
        <stp>FQ2 2011</stp>
        <stp>[AMZ_2009-2018.xlsx]Bal Sheet - Standardized!R11C12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11" s="3"/>
      </tp>
      <tp>
        <v>13350</v>
        <stp/>
        <stp>##V3_BDHV12</stp>
        <stp>AMZN US Equity</stp>
        <stp>BS_GOODWILL</stp>
        <stp>FQ4 2017</stp>
        <stp>FQ4 2017</stp>
        <stp>[AMZ_2009-2018.xlsx]Bal Sheet - Standardized!R29C38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9" s="3"/>
      </tp>
      <tp>
        <v>3057</v>
        <stp/>
        <stp>##V3_BDHV12</stp>
        <stp>AMZN US Equity</stp>
        <stp>BS_ACCTS_REC_EXCL_NOTES_REC</stp>
        <stp>FQ3 2013</stp>
        <stp>FQ3 2013</stp>
        <stp>[AMZ_2009-2018.xlsx]Bal Sheet - Standardized!R11C21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11" s="3"/>
      </tp>
      <tp>
        <v>5612</v>
        <stp/>
        <stp>##V3_BDHV12</stp>
        <stp>AMZN US Equity</stp>
        <stp>BS_ACCTS_REC_EXCL_NOTES_REC</stp>
        <stp>FQ4 2014</stp>
        <stp>FQ4 2014</stp>
        <stp>[AMZ_2009-2018.xlsx]Bal Sheet - Standardized!R11C26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11" s="3"/>
      </tp>
      <tp>
        <v>5654</v>
        <stp/>
        <stp>##V3_BDHV12</stp>
        <stp>AMZN US Equity</stp>
        <stp>BS_ACCTS_REC_EXCL_NOTES_REC</stp>
        <stp>FQ4 2015</stp>
        <stp>FQ4 2015</stp>
        <stp>[AMZ_2009-2018.xlsx]Bal Sheet - Standardized!R11C30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11" s="3"/>
      </tp>
      <tp t="s">
        <v>—</v>
        <stp/>
        <stp>##V3_BDHV12</stp>
        <stp>AMZN US Equity</stp>
        <stp>LT_DEFERRED_REVENUE</stp>
        <stp>FQ3 2015</stp>
        <stp>FQ3 2015</stp>
        <stp>[AMZ_2009-2018.xlsx]Bal Sheet - Standardized!R58C29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58" s="3"/>
      </tp>
      <tp>
        <v>0</v>
        <stp/>
        <stp>##V3_BDHV12</stp>
        <stp>AMZN US Equity</stp>
        <stp>CF_NET_CASH_DISCONT_OPS_OPER</stp>
        <stp>FQ2 2014</stp>
        <stp>FQ2 2014</stp>
        <stp>[AMZ_2009-2018.xlsx]Cash Flow - Standardized!R18C24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18" s="4"/>
      </tp>
      <tp>
        <v>1813</v>
        <stp/>
        <stp>##V3_BDHV12</stp>
        <stp>AMZN US Equity</stp>
        <stp>BS_ACCTS_REC_EXCL_NOTES_REC</stp>
        <stp>FQ1 2012</stp>
        <stp>FQ1 2012</stp>
        <stp>[AMZ_2009-2018.xlsx]Bal Sheet - Standardized!R11C15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11" s="3"/>
      </tp>
      <tp>
        <v>-2.782</v>
        <stp/>
        <stp>##V3_BDHV12</stp>
        <stp>AMZN US Equity</stp>
        <stp>FREE_CASH_FLOW_PER_SH</stp>
        <stp>FQ1 2010</stp>
        <stp>FQ1 2010</stp>
        <stp>[AMZ_2009-2018.xlsx]Per Share!R23C7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23" s="5"/>
      </tp>
      <tp>
        <v>1236</v>
        <stp/>
        <stp>##V3_BDHV12</stp>
        <stp>AMZN US Equity</stp>
        <stp>IS_OPERATING_EXPN</stp>
        <stp>FQ1 2010</stp>
        <stp>FQ1 2010</stp>
        <stp>[AMZ_2009-2018.xlsx]Income - Adjusted!R12C7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2" s="2"/>
      </tp>
      <tp>
        <v>0</v>
        <stp/>
        <stp>##V3_BDHV12</stp>
        <stp>AMZN US Equity</stp>
        <stp>CF_CASH_FOR_DIVESTITURES</stp>
        <stp>FQ3 2009</stp>
        <stp>FQ3 2009</stp>
        <stp>[AMZ_2009-2018.xlsx]Cash Flow - Standardized!R33C5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33" s="4"/>
      </tp>
      <tp>
        <v>-23</v>
        <stp/>
        <stp>##V3_BDHV12</stp>
        <stp>AMZN US Equity</stp>
        <stp>CF_CHANGE_IN_INVENTORIES</stp>
        <stp>FQ2 2009</stp>
        <stp>FQ2 2009</stp>
        <stp>[AMZ_2009-2018.xlsx]Cash Flow - Standardized!R15C4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15" s="4"/>
      </tp>
      <tp>
        <v>-505</v>
        <stp/>
        <stp>##V3_BDHV12</stp>
        <stp>AMZN US Equity</stp>
        <stp>CF_CHANGE_IN_INVENTORIES</stp>
        <stp>FQ3 2010</stp>
        <stp>FQ3 2010</stp>
        <stp>[AMZ_2009-2018.xlsx]Cash Flow - Standardized!R15C9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15" s="4"/>
      </tp>
      <tp>
        <v>0</v>
        <stp/>
        <stp>##V3_BDHV12</stp>
        <stp>AMZN US Equity</stp>
        <stp>CF_CASH_FOR_DIVESTITURES</stp>
        <stp>FQ2 2010</stp>
        <stp>FQ2 2010</stp>
        <stp>[AMZ_2009-2018.xlsx]Cash Flow - Standardized!R33C8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33" s="4"/>
      </tp>
      <tp>
        <v>5618</v>
        <stp/>
        <stp>##V3_BDHV12</stp>
        <stp>AMZN US Equity</stp>
        <stp>EQTY_BEF_MINORITY_INT_DETAILED</stp>
        <stp>FQ1 2010</stp>
        <stp>FQ1 2010</stp>
        <stp>[AMZ_2009-2018.xlsx]Bal Sheet - Standardized!R71C7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71" s="3"/>
      </tp>
      <tp>
        <v>373</v>
        <stp/>
        <stp>##V3_BDHV12</stp>
        <stp>AMZN US Equity</stp>
        <stp>CF_CHANGE_IN_ACCOUNTS_PAYABLE</stp>
        <stp>FQ2 2015</stp>
        <stp>FQ2 2015</stp>
        <stp>[AMZ_2009-2018.xlsx]Cash Flow - Standardized!R16C28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16" s="4"/>
      </tp>
      <tp>
        <v>0</v>
        <stp/>
        <stp>##V3_BDHV12</stp>
        <stp>AMZN US Equity</stp>
        <stp>EQY_DPS</stp>
        <stp>FQ3 2010</stp>
        <stp>FQ3 2010</stp>
        <stp>[AMZ_2009-2018.xlsx]Per Share!R20C9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20" s="5"/>
      </tp>
      <tp>
        <v>-6865</v>
        <stp/>
        <stp>##V3_BDHV12</stp>
        <stp>AMZN US Equity</stp>
        <stp>CF_CHANGE_IN_ACCOUNTS_PAYABLE</stp>
        <stp>FQ1 2017</stp>
        <stp>FQ1 2017</stp>
        <stp>[AMZ_2009-2018.xlsx]Cash Flow - Standardized!R16C35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16" s="4"/>
      </tp>
      <tp>
        <v>3442</v>
        <stp/>
        <stp>##V3_BDHV12</stp>
        <stp>AMZN US Equity</stp>
        <stp>CF_CHANGE_IN_ACCOUNTS_PAYABLE</stp>
        <stp>FQ4 2010</stp>
        <stp>FQ4 2010</stp>
        <stp>[AMZ_2009-2018.xlsx]Cash Flow - Standardized!R16C10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16" s="4"/>
      </tp>
      <tp>
        <v>5128</v>
        <stp/>
        <stp>##V3_BDHV12</stp>
        <stp>AMZN US Equity</stp>
        <stp>CF_CHANGE_IN_ACCOUNTS_PAYABLE</stp>
        <stp>FQ4 2013</stp>
        <stp>FQ4 2013</stp>
        <stp>[AMZ_2009-2018.xlsx]Cash Flow - Standardized!R16C22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16" s="4"/>
      </tp>
      <tp>
        <v>1724</v>
        <stp/>
        <stp>##V3_BDHV12</stp>
        <stp>AMZN US Equity</stp>
        <stp>CF_CHANGE_IN_ACCOUNTS_PAYABLE</stp>
        <stp>FQ3 2014</stp>
        <stp>FQ3 2014</stp>
        <stp>[AMZ_2009-2018.xlsx]Cash Flow - Standardized!R16C25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16" s="4"/>
      </tp>
      <tp>
        <v>102</v>
        <stp/>
        <stp>##V3_BDHV12</stp>
        <stp>AMZN US Equity</stp>
        <stp>IS_NET_INTEREST_EXPENSE</stp>
        <stp>FQ2 2015</stp>
        <stp>FQ2 2015</stp>
        <stp>[AMZ_2009-2018.xlsx]Income - Adjusted!R20C28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0" s="2"/>
      </tp>
      <tp>
        <v>19</v>
        <stp/>
        <stp>##V3_BDHV12</stp>
        <stp>AMZN US Equity</stp>
        <stp>IS_NET_INTEREST_EXPENSE</stp>
        <stp>FQ4 2012</stp>
        <stp>FQ4 2012</stp>
        <stp>[AMZ_2009-2018.xlsx]Income - Adjusted!R20C18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0" s="2"/>
      </tp>
      <tp>
        <v>273</v>
        <stp/>
        <stp>##V3_BDHV12</stp>
        <stp>AMZN US Equity</stp>
        <stp>IS_NET_INTEREST_EXPENSE</stp>
        <stp>FQ4 2017</stp>
        <stp>FQ4 2017</stp>
        <stp>[AMZ_2009-2018.xlsx]Income - Adjusted!R20C38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20" s="2"/>
      </tp>
      <tp>
        <v>0</v>
        <stp/>
        <stp>##V3_BDHV12</stp>
        <stp>AMZN US Equity</stp>
        <stp>NET_CHG_IN_LT_INVEST_DETAILED</stp>
        <stp>FQ2 2013</stp>
        <stp>FQ2 2013</stp>
        <stp>[AMZ_2009-2018.xlsx]Cash Flow - Standardized!R29C20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9" s="4"/>
      </tp>
      <tp>
        <v>0</v>
        <stp/>
        <stp>##V3_BDHV12</stp>
        <stp>AMZN US Equity</stp>
        <stp>NET_CHG_IN_LT_INVEST_DETAILED</stp>
        <stp>FQ3 2011</stp>
        <stp>FQ3 2011</stp>
        <stp>[AMZ_2009-2018.xlsx]Cash Flow - Standardized!R29C13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9" s="4"/>
      </tp>
      <tp>
        <v>0</v>
        <stp/>
        <stp>##V3_BDHV12</stp>
        <stp>AMZN US Equity</stp>
        <stp>IS_NET_ABNORMAL_ITEMS</stp>
        <stp>FQ4 2010</stp>
        <stp>FQ4 2010</stp>
        <stp>[AMZ_2009-2018.xlsx]Income - Adjusted!R46C10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46" s="2"/>
      </tp>
      <tp>
        <v>0</v>
        <stp/>
        <stp>##V3_BDHV12</stp>
        <stp>AMZN US Equity</stp>
        <stp>IS_NET_ABNORMAL_ITEMS</stp>
        <stp>FQ2 2013</stp>
        <stp>FQ2 2013</stp>
        <stp>[AMZ_2009-2018.xlsx]Income - Adjusted!R46C20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46" s="2"/>
      </tp>
      <tp>
        <v>0</v>
        <stp/>
        <stp>##V3_BDHV12</stp>
        <stp>AMZN US Equity</stp>
        <stp>IS_NET_ABNORMAL_ITEMS</stp>
        <stp>FQ3 2013</stp>
        <stp>FQ3 2013</stp>
        <stp>[AMZ_2009-2018.xlsx]Income - Adjusted!R46C21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46" s="2"/>
      </tp>
      <tp>
        <v>0</v>
        <stp/>
        <stp>##V3_BDHV12</stp>
        <stp>AMZN US Equity</stp>
        <stp>IS_NET_ABNORMAL_ITEMS</stp>
        <stp>FQ4 2013</stp>
        <stp>FQ4 2013</stp>
        <stp>[AMZ_2009-2018.xlsx]Income - Adjusted!R46C22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46" s="2"/>
      </tp>
      <tp>
        <v>0</v>
        <stp/>
        <stp>##V3_BDHV12</stp>
        <stp>AMZN US Equity</stp>
        <stp>NET_CHG_IN_LT_INVEST_DETAILED</stp>
        <stp>FQ1 2013</stp>
        <stp>FQ1 2013</stp>
        <stp>[AMZ_2009-2018.xlsx]Cash Flow - Standardized!R29C19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9" s="4"/>
      </tp>
      <tp t="s">
        <v>—</v>
        <stp/>
        <stp>##V3_BDHV12</stp>
        <stp>AMZN US Equity</stp>
        <stp>PENSION_LIABILITIES</stp>
        <stp>FQ2 2010</stp>
        <stp>FQ2 2010</stp>
        <stp>[AMZ_2009-2018.xlsx]Bal Sheet - Standardized!R57C8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57" s="3"/>
      </tp>
      <tp t="s">
        <v>—</v>
        <stp/>
        <stp>##V3_BDHV12</stp>
        <stp>AMZN US Equity</stp>
        <stp>PENSION_LIABILITIES</stp>
        <stp>FQ3 2009</stp>
        <stp>FQ3 2009</stp>
        <stp>[AMZ_2009-2018.xlsx]Bal Sheet - Standardized!R57C5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57" s="3"/>
      </tp>
      <tp>
        <v>170</v>
        <stp/>
        <stp>##V3_BDHV12</stp>
        <stp>AMZN US Equity</stp>
        <stp>CF_DEPR_AMORT</stp>
        <stp>FQ4 2010</stp>
        <stp>FQ4 2010</stp>
        <stp>[AMZ_2009-2018.xlsx]Cash Flow - Standardized!R8C10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8" s="4"/>
      </tp>
      <tp>
        <v>359</v>
        <stp/>
        <stp>##V3_BDHV12</stp>
        <stp>AMZN US Equity</stp>
        <stp>CF_DEPR_AMORT</stp>
        <stp>FQ4 2011</stp>
        <stp>FQ4 2011</stp>
        <stp>[AMZ_2009-2018.xlsx]Cash Flow - Standardized!R8C14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8" s="4"/>
      </tp>
      <tp>
        <v>662</v>
        <stp/>
        <stp>##V3_BDHV12</stp>
        <stp>AMZN US Equity</stp>
        <stp>CF_DEPR_AMORT</stp>
        <stp>FQ4 2012</stp>
        <stp>FQ4 2012</stp>
        <stp>[AMZ_2009-2018.xlsx]Cash Flow - Standardized!R8C18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8" s="4"/>
      </tp>
      <tp>
        <v>7322</v>
        <stp/>
        <stp>##V3_BDHV12</stp>
        <stp>AMZN US Equity</stp>
        <stp>GROSS_PROFIT</stp>
        <stp>FQ1 2015</stp>
        <stp>FQ1 2015</stp>
        <stp>[AMZ_2009-2018.xlsx]Income - Adjusted!R10C27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0" s="2"/>
      </tp>
      <tp>
        <v>3487</v>
        <stp/>
        <stp>##V3_BDHV12</stp>
        <stp>AMZN US Equity</stp>
        <stp>GROSS_PROFIT</stp>
        <stp>FQ3 2012</stp>
        <stp>FQ3 2012</stp>
        <stp>[AMZ_2009-2018.xlsx]Income - Adjusted!R10C17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0" s="2"/>
      </tp>
      <tp>
        <v>16195</v>
        <stp/>
        <stp>##V3_BDHV12</stp>
        <stp>AMZN US Equity</stp>
        <stp>GROSS_PROFIT</stp>
        <stp>FQ3 2017</stp>
        <stp>FQ3 2017</stp>
        <stp>[AMZ_2009-2018.xlsx]Income - Adjusted!R10C37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0" s="2"/>
      </tp>
      <tp>
        <v>17.6175</v>
        <stp/>
        <stp>##V3_BDHV12</stp>
        <stp>AMZN US Equity</stp>
        <stp>TANG_BOOK_VAL_PER_SH</stp>
        <stp>FQ2 2015</stp>
        <stp>FQ2 2015</stp>
        <stp>[AMZ_2009-2018.xlsx]Per Share!R27C28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27" s="5"/>
      </tp>
      <tp>
        <v>476</v>
        <stp/>
        <stp>##V3_BDHV12</stp>
        <stp>AMZN US Equity</stp>
        <stp>EBIT</stp>
        <stp>FQ4 2009</stp>
        <stp>FQ4 2009</stp>
        <stp>[AMZ_2009-2018.xlsx]Income - Adjusted!R64C6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64" s="2"/>
      </tp>
      <tp>
        <v>0</v>
        <stp/>
        <stp>##V3_BDHV12</stp>
        <stp>AMZN US Equity</stp>
        <stp>ST_DEFERRED_REVENUE</stp>
        <stp>FQ4 2012</stp>
        <stp>FQ4 2012</stp>
        <stp>[AMZ_2009-2018.xlsx]Bal Sheet - Standardized!R48C18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8" s="3"/>
      </tp>
      <tp>
        <v>10.826000000000001</v>
        <stp/>
        <stp>##V3_BDHV12</stp>
        <stp>AMZN US Equity</stp>
        <stp>TANG_BOOK_VAL_PER_SH</stp>
        <stp>FQ4 2012</stp>
        <stp>FQ4 2012</stp>
        <stp>[AMZ_2009-2018.xlsx]Per Share!R27C18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27" s="5"/>
      </tp>
      <tp>
        <v>22.702500000000001</v>
        <stp/>
        <stp>##V3_BDHV12</stp>
        <stp>AMZN US Equity</stp>
        <stp>TANG_BOOK_VAL_PER_SH</stp>
        <stp>FQ4 2017</stp>
        <stp>FQ4 2017</stp>
        <stp>[AMZ_2009-2018.xlsx]Per Share!R27C38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27" s="5"/>
      </tp>
      <tp>
        <v>1516</v>
        <stp/>
        <stp>##V3_BDHV12</stp>
        <stp>AMZN US Equity</stp>
        <stp>ST_DEFERRED_REVENUE</stp>
        <stp>FQ1 2014</stp>
        <stp>FQ1 2014</stp>
        <stp>[AMZ_2009-2018.xlsx]Bal Sheet - Standardized!R48C23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48" s="3"/>
      </tp>
      <tp>
        <v>1837</v>
        <stp/>
        <stp>##V3_BDHV12</stp>
        <stp>AMZN US Equity</stp>
        <stp>BS_AMT_OF_TSY_STOCK</stp>
        <stp>FQ4 2014</stp>
        <stp>FQ4 2014</stp>
        <stp>[AMZ_2009-2018.xlsx]Bal Sheet - Standardized!R68C26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68" s="3"/>
      </tp>
      <tp>
        <v>1837</v>
        <stp/>
        <stp>##V3_BDHV12</stp>
        <stp>AMZN US Equity</stp>
        <stp>BS_AMT_OF_TSY_STOCK</stp>
        <stp>FQ3 2013</stp>
        <stp>FQ3 2013</stp>
        <stp>[AMZ_2009-2018.xlsx]Bal Sheet - Standardized!R68C21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68" s="3"/>
      </tp>
      <tp>
        <v>600</v>
        <stp/>
        <stp>##V3_BDHV12</stp>
        <stp>AMZN US Equity</stp>
        <stp>BS_AMT_OF_TSY_STOCK</stp>
        <stp>FQ2 2011</stp>
        <stp>FQ2 2011</stp>
        <stp>[AMZ_2009-2018.xlsx]Bal Sheet - Standardized!R68C12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68" s="3"/>
      </tp>
      <tp>
        <v>3851</v>
        <stp/>
        <stp>##V3_BDHV12</stp>
        <stp>AMZN US Equity</stp>
        <stp>ST_DEFERRED_REVENUE</stp>
        <stp>FQ2 2016</stp>
        <stp>FQ2 2016</stp>
        <stp>[AMZ_2009-2018.xlsx]Bal Sheet - Standardized!R48C32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48" s="3"/>
      </tp>
      <tp>
        <v>1837</v>
        <stp/>
        <stp>##V3_BDHV12</stp>
        <stp>AMZN US Equity</stp>
        <stp>BS_AMT_OF_TSY_STOCK</stp>
        <stp>FQ1 2012</stp>
        <stp>FQ1 2012</stp>
        <stp>[AMZ_2009-2018.xlsx]Bal Sheet - Standardized!R68C15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68" s="3"/>
      </tp>
      <tp>
        <v>5153</v>
        <stp/>
        <stp>##V3_BDHV12</stp>
        <stp>AMZN US Equity</stp>
        <stp>ST_DEFERRED_REVENUE</stp>
        <stp>FQ3 2017</stp>
        <stp>FQ3 2017</stp>
        <stp>[AMZ_2009-2018.xlsx]Bal Sheet - Standardized!R48C37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48" s="3"/>
      </tp>
      <tp>
        <v>1837</v>
        <stp/>
        <stp>##V3_BDHV12</stp>
        <stp>AMZN US Equity</stp>
        <stp>BS_AMT_OF_TSY_STOCK</stp>
        <stp>FQ4 2015</stp>
        <stp>FQ4 2015</stp>
        <stp>[AMZ_2009-2018.xlsx]Bal Sheet - Standardized!R68C30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68" s="3"/>
      </tp>
      <tp t="s">
        <v>—</v>
        <stp/>
        <stp>##V3_BDHV12</stp>
        <stp>AMZN US Equity</stp>
        <stp>LT_DEFERRED_REVENUE</stp>
        <stp>FQ3 2017</stp>
        <stp>FQ3 2017</stp>
        <stp>[AMZ_2009-2018.xlsx]Bal Sheet - Standardized!R58C37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58" s="3"/>
      </tp>
      <tp>
        <v>556</v>
        <stp/>
        <stp>##V3_BDHV12</stp>
        <stp>AMZN US Equity</stp>
        <stp>OTHER_INVESTING_ACT_DETAILED</stp>
        <stp>FQ1 2017</stp>
        <stp>FQ1 2017</stp>
        <stp>[AMZ_2009-2018.xlsx]Cash Flow - Standardized!R36C35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I36" s="4"/>
      </tp>
      <tp>
        <v>96</v>
        <stp/>
        <stp>##V3_BDHV12</stp>
        <stp>AMZN US Equity</stp>
        <stp>OTHER_INVESTING_ACT_DETAILED</stp>
        <stp>FQ4 2013</stp>
        <stp>FQ4 2013</stp>
        <stp>[AMZ_2009-2018.xlsx]Cash Flow - Standardized!R36C22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36" s="4"/>
      </tp>
      <tp>
        <v>1292</v>
        <stp/>
        <stp>##V3_BDHV12</stp>
        <stp>AMZN US Equity</stp>
        <stp>OTHER_INVESTING_ACT_DETAILED</stp>
        <stp>FQ3 2014</stp>
        <stp>FQ3 2014</stp>
        <stp>[AMZ_2009-2018.xlsx]Cash Flow - Standardized!R36C25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36" s="4"/>
      </tp>
      <tp>
        <v>-616</v>
        <stp/>
        <stp>##V3_BDHV12</stp>
        <stp>AMZN US Equity</stp>
        <stp>OTHER_INVESTING_ACT_DETAILED</stp>
        <stp>FQ4 2010</stp>
        <stp>FQ4 2010</stp>
        <stp>[AMZ_2009-2018.xlsx]Cash Flow - Standardized!R36C10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36" s="4"/>
      </tp>
      <tp t="s">
        <v>—</v>
        <stp/>
        <stp>##V3_BDHV12</stp>
        <stp>AMZN US Equity</stp>
        <stp>LT_DEFERRED_REVENUE</stp>
        <stp>FQ2 2016</stp>
        <stp>FQ2 2016</stp>
        <stp>[AMZ_2009-2018.xlsx]Bal Sheet - Standardized!R58C32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58" s="3"/>
      </tp>
      <tp>
        <v>0.33</v>
        <stp/>
        <stp>##V3_BDHV12</stp>
        <stp>AMZN US Equity</stp>
        <stp>IS_EARN_BEF_XO_ITEMS_PER_SH</stp>
        <stp>FQ2 2009</stp>
        <stp>FQ2 2009</stp>
        <stp>[AMZ_2009-2018.xlsx]Income - Adjusted!R51C4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51" s="2"/>
      </tp>
      <tp t="s">
        <v>—</v>
        <stp/>
        <stp>##V3_BDHV12</stp>
        <stp>AMZN US Equity</stp>
        <stp>LT_DEFERRED_REVENUE</stp>
        <stp>FQ1 2014</stp>
        <stp>FQ1 2014</stp>
        <stp>[AMZ_2009-2018.xlsx]Bal Sheet - Standardized!R58C23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58" s="3"/>
      </tp>
      <tp>
        <v>2614</v>
        <stp/>
        <stp>##V3_BDHV12</stp>
        <stp>AMZN US Equity</stp>
        <stp>BS_GOODWILL</stp>
        <stp>FQ2 2013</stp>
        <stp>FQ2 2013</stp>
        <stp>[AMZ_2009-2018.xlsx]Bal Sheet - Standardized!R29C20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29" s="3"/>
      </tp>
      <tp>
        <v>0</v>
        <stp/>
        <stp>##V3_BDHV12</stp>
        <stp>AMZN US Equity</stp>
        <stp>CF_NET_CASH_DISCONT_OPS_OPER</stp>
        <stp>FQ4 2012</stp>
        <stp>FQ4 2012</stp>
        <stp>[AMZ_2009-2018.xlsx]Cash Flow - Standardized!R18C18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8" s="4"/>
      </tp>
      <tp>
        <v>1934</v>
        <stp/>
        <stp>##V3_BDHV12</stp>
        <stp>AMZN US Equity</stp>
        <stp>BS_GOODWILL</stp>
        <stp>FQ3 2011</stp>
        <stp>FQ3 2011</stp>
        <stp>[AMZ_2009-2018.xlsx]Bal Sheet - Standardized!R29C13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29" s="3"/>
      </tp>
      <tp>
        <v>0</v>
        <stp/>
        <stp>##V3_BDHV12</stp>
        <stp>AMZN US Equity</stp>
        <stp>CF_NET_CASH_DISCONT_OPS_OPER</stp>
        <stp>FQ2 2016</stp>
        <stp>FQ2 2016</stp>
        <stp>[AMZ_2009-2018.xlsx]Cash Flow - Standardized!R18C32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8" s="4"/>
      </tp>
      <tp>
        <v>1304</v>
        <stp/>
        <stp>##V3_BDHV12</stp>
        <stp>AMZN US Equity</stp>
        <stp>BS_ACCTS_REC_EXCL_NOTES_REC</stp>
        <stp>FQ1 2011</stp>
        <stp>FQ1 2011</stp>
        <stp>[AMZ_2009-2018.xlsx]Bal Sheet - Standardized!R11C11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11" s="3"/>
      </tp>
      <tp>
        <v>0</v>
        <stp/>
        <stp>##V3_BDHV12</stp>
        <stp>AMZN US Equity</stp>
        <stp>CF_NET_CASH_DISCONT_OPS_OPER</stp>
        <stp>FQ1 2014</stp>
        <stp>FQ1 2014</stp>
        <stp>[AMZ_2009-2018.xlsx]Cash Flow - Standardized!R18C23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8" s="4"/>
      </tp>
      <tp>
        <v>0</v>
        <stp/>
        <stp>##V3_BDHV12</stp>
        <stp>AMZN US Equity</stp>
        <stp>LT_DEFERRED_REVENUE</stp>
        <stp>FQ4 2012</stp>
        <stp>FQ4 2012</stp>
        <stp>[AMZ_2009-2018.xlsx]Bal Sheet - Standardized!R58C18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58" s="3"/>
      </tp>
      <tp>
        <v>8339</v>
        <stp/>
        <stp>##V3_BDHV12</stp>
        <stp>AMZN US Equity</stp>
        <stp>BS_ACCTS_REC_EXCL_NOTES_REC</stp>
        <stp>FQ4 2016</stp>
        <stp>FQ4 2016</stp>
        <stp>[AMZ_2009-2018.xlsx]Bal Sheet - Standardized!R11C34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11" s="3"/>
      </tp>
      <tp t="s">
        <v>—</v>
        <stp/>
        <stp>##V3_BDHV12</stp>
        <stp>AMZN US Equity</stp>
        <stp>BS_CASH_HELD_OVERSEAS</stp>
        <stp>FQ1 2010</stp>
        <stp>FQ1 2010</stp>
        <stp>[AMZ_2009-2018.xlsx]Bal Sheet - Standardized!R88C7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88" s="3"/>
      </tp>
      <tp>
        <v>0</v>
        <stp/>
        <stp>##V3_BDHV12</stp>
        <stp>AMZN US Equity</stp>
        <stp>CF_NET_CASH_DISCONT_OPS_OPER</stp>
        <stp>FQ3 2017</stp>
        <stp>FQ3 2017</stp>
        <stp>[AMZ_2009-2018.xlsx]Cash Flow - Standardized!R18C37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8" s="4"/>
      </tp>
      <tp>
        <v>2035</v>
        <stp/>
        <stp>##V3_BDHV12</stp>
        <stp>AMZN US Equity</stp>
        <stp>BS_ACCTS_REC_EXCL_NOTES_REC</stp>
        <stp>FQ2 2012</stp>
        <stp>FQ2 2012</stp>
        <stp>[AMZ_2009-2018.xlsx]Bal Sheet - Standardized!R11C16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11" s="3"/>
      </tp>
      <tp>
        <v>-155</v>
        <stp/>
        <stp>##V3_BDHV12</stp>
        <stp>AMZN US Equity</stp>
        <stp>OTHER_INVESTING_ACT_DETAILED</stp>
        <stp>FQ2 2015</stp>
        <stp>FQ2 2015</stp>
        <stp>[AMZ_2009-2018.xlsx]Cash Flow - Standardized!R36C28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36" s="4"/>
      </tp>
      <tp>
        <v>2535</v>
        <stp/>
        <stp>##V3_BDHV12</stp>
        <stp>AMZN US Equity</stp>
        <stp>BS_GOODWILL</stp>
        <stp>FQ1 2013</stp>
        <stp>FQ1 2013</stp>
        <stp>[AMZ_2009-2018.xlsx]Bal Sheet - Standardized!R29C19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29" s="3"/>
      </tp>
      <tp>
        <v>0</v>
        <stp/>
        <stp>##V3_BDHV12</stp>
        <stp>AMZN US Equity</stp>
        <stp>CF_CASH_FOR_DIVESTITURES</stp>
        <stp>FQ1 2010</stp>
        <stp>FQ1 2010</stp>
        <stp>[AMZ_2009-2018.xlsx]Cash Flow - Standardized!R33C7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33" s="4"/>
      </tp>
      <tp>
        <v>461</v>
        <stp/>
        <stp>##V3_BDHV12</stp>
        <stp>AMZN US Equity</stp>
        <stp>IS_SH_FOR_DILUTED_EPS</stp>
        <stp>FQ4 2012</stp>
        <stp>FQ4 2012</stp>
        <stp>[AMZ_2009-2018.xlsx]Per Share!R7C18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7" s="5"/>
      </tp>
      <tp>
        <v>463</v>
        <stp/>
        <stp>##V3_BDHV12</stp>
        <stp>AMZN US Equity</stp>
        <stp>IS_SH_FOR_DILUTED_EPS</stp>
        <stp>FQ1 2013</stp>
        <stp>FQ1 2013</stp>
        <stp>[AMZ_2009-2018.xlsx]Per Share!R7C19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7" s="5"/>
      </tp>
      <tp>
        <v>107</v>
        <stp/>
        <stp>##V3_BDHV12</stp>
        <stp>AMZN US Equity</stp>
        <stp>CF_CHANGE_IN_INVENTORIES</stp>
        <stp>FQ1 2009</stp>
        <stp>FQ1 2009</stp>
        <stp>[AMZ_2009-2018.xlsx]Cash Flow - Standardized!R15C3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4"/>
      </tp>
      <tp>
        <v>0</v>
        <stp/>
        <stp>##V3_BDHV12</stp>
        <stp>AMZN US Equity</stp>
        <stp>EQY_DPS</stp>
        <stp>FQ1 2009</stp>
        <stp>FQ1 2009</stp>
        <stp>[AMZ_2009-2018.xlsx]Per Share!R20C3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20" s="5"/>
      </tp>
      <tp>
        <v>3585</v>
        <stp/>
        <stp>##V3_BDHV12</stp>
        <stp>AMZN US Equity</stp>
        <stp>EQTY_BEF_MINORITY_INT_DETAILED</stp>
        <stp>FQ3 2009</stp>
        <stp>FQ3 2009</stp>
        <stp>[AMZ_2009-2018.xlsx]Bal Sheet - Standardized!R71C5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71" s="3"/>
      </tp>
      <tp>
        <v>2540</v>
        <stp/>
        <stp>##V3_BDHV12</stp>
        <stp>AMZN US Equity</stp>
        <stp>CF_CHANGE_IN_ACCOUNTS_PAYABLE</stp>
        <stp>FQ3 2016</stp>
        <stp>FQ3 2016</stp>
        <stp>[AMZ_2009-2018.xlsx]Cash Flow - Standardized!R16C33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6" s="4"/>
      </tp>
      <tp>
        <v>-4249</v>
        <stp/>
        <stp>##V3_BDHV12</stp>
        <stp>AMZN US Equity</stp>
        <stp>CF_CHANGE_IN_ACCOUNTS_PAYABLE</stp>
        <stp>FQ1 2015</stp>
        <stp>FQ1 2015</stp>
        <stp>[AMZ_2009-2018.xlsx]Cash Flow - Standardized!R16C27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6" s="4"/>
      </tp>
      <tp>
        <v>5857</v>
        <stp/>
        <stp>##V3_BDHV12</stp>
        <stp>AMZN US Equity</stp>
        <stp>EQTY_BEF_MINORITY_INT_DETAILED</stp>
        <stp>FQ2 2010</stp>
        <stp>FQ2 2010</stp>
        <stp>[AMZ_2009-2018.xlsx]Bal Sheet - Standardized!R71C8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71" s="3"/>
      </tp>
      <tp>
        <v>2088</v>
        <stp/>
        <stp>##V3_BDHV12</stp>
        <stp>AMZN US Equity</stp>
        <stp>CF_CHANGE_IN_ACCOUNTS_PAYABLE</stp>
        <stp>FQ2 2017</stp>
        <stp>FQ2 2017</stp>
        <stp>[AMZ_2009-2018.xlsx]Cash Flow - Standardized!R16C36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6" s="4"/>
      </tp>
      <tp>
        <v>0</v>
        <stp/>
        <stp>##V3_BDHV12</stp>
        <stp>AMZN US Equity</stp>
        <stp>NET_CHG_IN_LT_INVEST_DETAILED</stp>
        <stp>FQ3 2012</stp>
        <stp>FQ3 2012</stp>
        <stp>[AMZ_2009-2018.xlsx]Cash Flow - Standardized!R29C17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29" s="4"/>
      </tp>
      <tp>
        <v>0</v>
        <stp/>
        <stp>##V3_BDHV12</stp>
        <stp>AMZN US Equity</stp>
        <stp>IS_NET_ABNORMAL_ITEMS</stp>
        <stp>FQ1 2013</stp>
        <stp>FQ1 2013</stp>
        <stp>[AMZ_2009-2018.xlsx]Income - Adjusted!R46C19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46" s="2"/>
      </tp>
      <tp>
        <v>572</v>
        <stp/>
        <stp>##V3_BDHV12</stp>
        <stp>AMZN US Equity</stp>
        <stp>IS_OTHER_OPERATING_EXPENSES</stp>
        <stp>FQ1 2010</stp>
        <stp>FQ1 2010</stp>
        <stp>[AMZ_2009-2018.xlsx]Income - Adjusted!R17C7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7" s="2"/>
      </tp>
      <tp>
        <v>0</v>
        <stp/>
        <stp>##V3_BDHV12</stp>
        <stp>AMZN US Equity</stp>
        <stp>NET_CHG_IN_LT_INVEST_DETAILED</stp>
        <stp>FQ4 2017</stp>
        <stp>FQ4 2017</stp>
        <stp>[AMZ_2009-2018.xlsx]Cash Flow - Standardized!R29C38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29" s="4"/>
      </tp>
      <tp t="s">
        <v>—</v>
        <stp/>
        <stp>##V3_BDHV12</stp>
        <stp>AMZN US Equity</stp>
        <stp>PENSION_LIABILITIES</stp>
        <stp>FQ3 2010</stp>
        <stp>FQ3 2010</stp>
        <stp>[AMZ_2009-2018.xlsx]Bal Sheet - Standardized!R57C9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57" s="3"/>
      </tp>
      <tp t="s">
        <v>—</v>
        <stp/>
        <stp>##V3_BDHV12</stp>
        <stp>AMZN US Equity</stp>
        <stp>PENSION_LIABILITIES</stp>
        <stp>FQ2 2009</stp>
        <stp>FQ2 2009</stp>
        <stp>[AMZ_2009-2018.xlsx]Bal Sheet - Standardized!R57C4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57" s="3"/>
      </tp>
      <tp>
        <v>0</v>
        <stp/>
        <stp>##V3_BDHV12</stp>
        <stp>AMZN US Equity</stp>
        <stp>XO_GL_NET_OF_TAX</stp>
        <stp>FQ2 2018</stp>
        <stp>FQ2 2018</stp>
        <stp>[AMZ_2009-2018.xlsx]Income - Adjusted!R47C40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47" s="2"/>
      </tp>
      <tp>
        <v>0</v>
        <stp/>
        <stp>##V3_BDHV12</stp>
        <stp>AMZN US Equity</stp>
        <stp>XO_GL_NET_OF_TAX</stp>
        <stp>FQ2 2018</stp>
        <stp>FQ2 2018</stp>
        <stp>[AMZ_2009-2018.xlsx]Income - Adjusted!R35C40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5" s="2"/>
      </tp>
      <tp>
        <v>0.66</v>
        <stp/>
        <stp>##V3_BDHV12</stp>
        <stp>AMZN US Equity</stp>
        <stp>IS_DIL_EPS_BEF_XO</stp>
        <stp>FQ1 2010</stp>
        <stp>FQ1 2010</stp>
        <stp>[AMZ_2009-2018.xlsx]Income - Adjusted!R56C7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56" s="2"/>
      </tp>
      <tp>
        <v>8657</v>
        <stp/>
        <stp>##V3_BDHV12</stp>
        <stp>AMZN US Equity</stp>
        <stp>GROSS_PROFIT</stp>
        <stp>FQ4 2014</stp>
        <stp>FQ4 2014</stp>
        <stp>[AMZ_2009-2018.xlsx]Income - Adjusted!R10C26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0" s="2"/>
      </tp>
      <tp>
        <v>3346</v>
        <stp/>
        <stp>##V3_BDHV12</stp>
        <stp>AMZN US Equity</stp>
        <stp>GROSS_PROFIT</stp>
        <stp>FQ2 2012</stp>
        <stp>FQ2 2012</stp>
        <stp>[AMZ_2009-2018.xlsx]Income - Adjusted!R10C16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0" s="2"/>
      </tp>
      <tp>
        <v>14504</v>
        <stp/>
        <stp>##V3_BDHV12</stp>
        <stp>AMZN US Equity</stp>
        <stp>GROSS_PROFIT</stp>
        <stp>FQ2 2017</stp>
        <stp>FQ2 2017</stp>
        <stp>[AMZ_2009-2018.xlsx]Income - Adjusted!R10C36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0" s="2"/>
      </tp>
      <tp>
        <v>1837</v>
        <stp/>
        <stp>##V3_BDHV12</stp>
        <stp>AMZN US Equity</stp>
        <stp>BS_AMT_OF_TSY_STOCK</stp>
        <stp>FQ1 2013</stp>
        <stp>FQ1 2013</stp>
        <stp>[AMZ_2009-2018.xlsx]Bal Sheet - Standardized!R68C19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68" s="3"/>
      </tp>
      <tp>
        <v>18.9787</v>
        <stp/>
        <stp>##V3_BDHV12</stp>
        <stp>AMZN US Equity</stp>
        <stp>TANG_BOOK_VAL_PER_SH</stp>
        <stp>FQ3 2015</stp>
        <stp>FQ3 2015</stp>
        <stp>[AMZ_2009-2018.xlsx]Per Share!R27C29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27" s="5"/>
      </tp>
      <tp>
        <v>37.344999999999999</v>
        <stp/>
        <stp>##V3_BDHV12</stp>
        <stp>AMZN US Equity</stp>
        <stp>TANG_BOOK_VAL_PER_SH</stp>
        <stp>FQ1 2018</stp>
        <stp>FQ1 2018</stp>
        <stp>[AMZ_2009-2018.xlsx]Per Share!R27C39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27" s="5"/>
      </tp>
      <tp>
        <v>12.9604</v>
        <stp/>
        <stp>##V3_BDHV12</stp>
        <stp>AMZN US Equity</stp>
        <stp>TANG_BOOK_VAL_PER_SH</stp>
        <stp>FQ1 2013</stp>
        <stp>FQ1 2013</stp>
        <stp>[AMZ_2009-2018.xlsx]Per Share!R27C19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27" s="5"/>
      </tp>
      <tp t="s">
        <v>—</v>
        <stp/>
        <stp>##V3_BDHV12</stp>
        <stp>AMZN US Equity</stp>
        <stp>IS_CAP_INT_EXP</stp>
        <stp>FQ1 2009</stp>
        <stp>FQ1 2009</stp>
        <stp>[AMZ_2009-2018.xlsx]Income - Adjusted!R71C3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1" s="2"/>
      </tp>
      <tp>
        <v>600</v>
        <stp/>
        <stp>##V3_BDHV12</stp>
        <stp>AMZN US Equity</stp>
        <stp>BS_AMT_OF_TSY_STOCK</stp>
        <stp>FQ3 2011</stp>
        <stp>FQ3 2011</stp>
        <stp>[AMZ_2009-2018.xlsx]Bal Sheet - Standardized!R68C13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68" s="3"/>
      </tp>
      <tp>
        <v>1837</v>
        <stp/>
        <stp>##V3_BDHV12</stp>
        <stp>AMZN US Equity</stp>
        <stp>BS_AMT_OF_TSY_STOCK</stp>
        <stp>FQ2 2013</stp>
        <stp>FQ2 2013</stp>
        <stp>[AMZ_2009-2018.xlsx]Bal Sheet - Standardized!R68C20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68" s="3"/>
      </tp>
      <tp>
        <v>4200</v>
        <stp/>
        <stp>##V3_BDHV12</stp>
        <stp>AMZN US Equity</stp>
        <stp>ST_DEFERRED_REVENUE</stp>
        <stp>FQ3 2016</stp>
        <stp>FQ3 2016</stp>
        <stp>[AMZ_2009-2018.xlsx]Bal Sheet - Standardized!R48C33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48" s="3"/>
      </tp>
      <tp>
        <v>2420</v>
        <stp/>
        <stp>##V3_BDHV12</stp>
        <stp>AMZN US Equity</stp>
        <stp>ST_DEFERRED_REVENUE</stp>
        <stp>FQ1 2015</stp>
        <stp>FQ1 2015</stp>
        <stp>[AMZ_2009-2018.xlsx]Bal Sheet - Standardized!R48C27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48" s="3"/>
      </tp>
      <tp>
        <v>5065</v>
        <stp/>
        <stp>##V3_BDHV12</stp>
        <stp>AMZN US Equity</stp>
        <stp>ST_DEFERRED_REVENUE</stp>
        <stp>FQ2 2017</stp>
        <stp>FQ2 2017</stp>
        <stp>[AMZ_2009-2018.xlsx]Bal Sheet - Standardized!R48C36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48" s="3"/>
      </tp>
      <tp t="s">
        <v>—</v>
        <stp/>
        <stp>##V3_BDHV12</stp>
        <stp>AMZN US Equity</stp>
        <stp>LT_DEFERRED_REVENUE</stp>
        <stp>FQ2 2017</stp>
        <stp>FQ2 2017</stp>
        <stp>[AMZ_2009-2018.xlsx]Bal Sheet - Standardized!R58C36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58" s="3"/>
      </tp>
      <tp>
        <v>3759</v>
        <stp/>
        <stp>##V3_BDHV12</stp>
        <stp>AMZN US Equity</stp>
        <stp>BS_GOODWILL</stp>
        <stp>FQ4 2015</stp>
        <stp>FQ4 2015</stp>
        <stp>[AMZ_2009-2018.xlsx]Bal Sheet - Standardized!R29C30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29" s="3"/>
      </tp>
      <tp t="s">
        <v>—</v>
        <stp/>
        <stp>##V3_BDHV12</stp>
        <stp>AMZN US Equity</stp>
        <stp>BS_CASH_HELD_OVERSEAS</stp>
        <stp>FQ1 2009</stp>
        <stp>FQ1 2009</stp>
        <stp>[AMZ_2009-2018.xlsx]Bal Sheet - Standardized!R88C3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8" s="3"/>
      </tp>
      <tp t="s">
        <v>—</v>
        <stp/>
        <stp>##V3_BDHV12</stp>
        <stp>AMZN US Equity</stp>
        <stp>IS_FOREIGN_EXCH_LOSS</stp>
        <stp>FQ4 2009</stp>
        <stp>FQ4 2009</stp>
        <stp>[AMZ_2009-2018.xlsx]Income - Adjusted!R23C6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3" s="2"/>
      </tp>
      <tp>
        <v>1970</v>
        <stp/>
        <stp>##V3_BDHV12</stp>
        <stp>AMZN US Equity</stp>
        <stp>BS_GOODWILL</stp>
        <stp>FQ1 2012</stp>
        <stp>FQ1 2012</stp>
        <stp>[AMZ_2009-2018.xlsx]Bal Sheet - Standardized!R29C15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29" s="3"/>
      </tp>
      <tp t="s">
        <v>—</v>
        <stp/>
        <stp>##V3_BDHV12</stp>
        <stp>AMZN US Equity</stp>
        <stp>LT_DEFERRED_REVENUE</stp>
        <stp>FQ1 2015</stp>
        <stp>FQ1 2015</stp>
        <stp>[AMZ_2009-2018.xlsx]Bal Sheet - Standardized!R58C27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58" s="3"/>
      </tp>
      <tp>
        <v>626</v>
        <stp/>
        <stp>##V3_BDHV12</stp>
        <stp>AMZN US Equity</stp>
        <stp>OTHER_INVESTING_ACT_DETAILED</stp>
        <stp>FQ2 2014</stp>
        <stp>FQ2 2014</stp>
        <stp>[AMZ_2009-2018.xlsx]Cash Flow - Standardized!R36C24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36" s="4"/>
      </tp>
      <tp t="s">
        <v>—</v>
        <stp/>
        <stp>##V3_BDHV12</stp>
        <stp>AMZN US Equity</stp>
        <stp>LT_DEFERRED_REVENUE</stp>
        <stp>FQ3 2016</stp>
        <stp>FQ3 2016</stp>
        <stp>[AMZ_2009-2018.xlsx]Bal Sheet - Standardized!R58C33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58" s="3"/>
      </tp>
      <tp>
        <v>502</v>
        <stp/>
        <stp>##V3_BDHV12</stp>
        <stp>AMZN US Equity</stp>
        <stp>OTHER_INVESTING_ACT_DETAILED</stp>
        <stp>FQ1 2016</stp>
        <stp>FQ1 2016</stp>
        <stp>[AMZ_2009-2018.xlsx]Cash Flow - Standardized!R36C31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36" s="4"/>
      </tp>
      <tp>
        <v>0.46</v>
        <stp/>
        <stp>##V3_BDHV12</stp>
        <stp>AMZN US Equity</stp>
        <stp>IS_EARN_BEF_XO_ITEMS_PER_SH</stp>
        <stp>FQ3 2009</stp>
        <stp>FQ3 2009</stp>
        <stp>[AMZ_2009-2018.xlsx]Income - Adjusted!R51C5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51" s="2"/>
      </tp>
      <tp>
        <v>-870</v>
        <stp/>
        <stp>##V3_BDHV12</stp>
        <stp>AMZN US Equity</stp>
        <stp>OTHER_INVESTING_ACT_DETAILED</stp>
        <stp>FQ4 2011</stp>
        <stp>FQ4 2011</stp>
        <stp>[AMZ_2009-2018.xlsx]Cash Flow - Standardized!R36C14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36" s="4"/>
      </tp>
      <tp>
        <v>13164</v>
        <stp/>
        <stp>##V3_BDHV12</stp>
        <stp>AMZN US Equity</stp>
        <stp>BS_ACCTS_REC_EXCL_NOTES_REC</stp>
        <stp>FQ4 2017</stp>
        <stp>FQ4 2017</stp>
        <stp>[AMZ_2009-2018.xlsx]Bal Sheet - Standardized!R11C38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L11" s="3"/>
      </tp>
      <tp>
        <v>1909</v>
        <stp/>
        <stp>##V3_BDHV12</stp>
        <stp>AMZN US Equity</stp>
        <stp>BS_GOODWILL</stp>
        <stp>FQ2 2011</stp>
        <stp>FQ2 2011</stp>
        <stp>[AMZ_2009-2018.xlsx]Bal Sheet - Standardized!R29C12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29" s="3"/>
      </tp>
      <tp>
        <v>3319</v>
        <stp/>
        <stp>##V3_BDHV12</stp>
        <stp>AMZN US Equity</stp>
        <stp>BS_GOODWILL</stp>
        <stp>FQ4 2014</stp>
        <stp>FQ4 2014</stp>
        <stp>[AMZ_2009-2018.xlsx]Bal Sheet - Standardized!R29C26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29" s="3"/>
      </tp>
      <tp>
        <v>2635</v>
        <stp/>
        <stp>##V3_BDHV12</stp>
        <stp>AMZN US Equity</stp>
        <stp>BS_GOODWILL</stp>
        <stp>FQ3 2013</stp>
        <stp>FQ3 2013</stp>
        <stp>[AMZ_2009-2018.xlsx]Bal Sheet - Standardized!R29C21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29" s="3"/>
      </tp>
      <tp>
        <v>0</v>
        <stp/>
        <stp>##V3_BDHV12</stp>
        <stp>AMZN US Equity</stp>
        <stp>CF_NET_CASH_DISCONT_OPS_OPER</stp>
        <stp>FQ3 2016</stp>
        <stp>FQ3 2016</stp>
        <stp>[AMZ_2009-2018.xlsx]Cash Flow - Standardized!R18C33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18" s="4"/>
      </tp>
      <tp>
        <v>1630</v>
        <stp/>
        <stp>##V3_BDHV12</stp>
        <stp>AMZN US Equity</stp>
        <stp>GROSS_PROFIT</stp>
        <stp>FQ1 2010</stp>
        <stp>FQ1 2010</stp>
        <stp>[AMZ_2009-2018.xlsx]Income - Adjusted!R10C7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0" s="2"/>
      </tp>
      <tp>
        <v>0</v>
        <stp/>
        <stp>##V3_BDHV12</stp>
        <stp>AMZN US Equity</stp>
        <stp>CF_NET_CASH_DISCONT_OPS_OPER</stp>
        <stp>FQ2 2017</stp>
        <stp>FQ2 2017</stp>
        <stp>[AMZ_2009-2018.xlsx]Cash Flow - Standardized!R18C36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J18" s="4"/>
      </tp>
      <tp>
        <v>2392</v>
        <stp/>
        <stp>##V3_BDHV12</stp>
        <stp>AMZN US Equity</stp>
        <stp>BS_ACCTS_REC_EXCL_NOTES_REC</stp>
        <stp>FQ3 2012</stp>
        <stp>FQ3 2012</stp>
        <stp>[AMZ_2009-2018.xlsx]Bal Sheet - Standardized!R11C17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11" s="3"/>
      </tp>
      <tp>
        <v>-2692</v>
        <stp/>
        <stp>##V3_BDHV12</stp>
        <stp>AMZN US Equity</stp>
        <stp>CF_CASH_FROM_INV_ACT</stp>
        <stp>FQ2 2018</stp>
        <stp>FQ2 2018</stp>
        <stp>[AMZ_2009-2018.xlsx]Cash Flow - Standardized!R38C40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N38" s="4"/>
      </tp>
      <tp>
        <v>0</v>
        <stp/>
        <stp>##V3_BDHV12</stp>
        <stp>AMZN US Equity</stp>
        <stp>CF_NET_CASH_DISCONT_OPS_OPER</stp>
        <stp>FQ1 2015</stp>
        <stp>FQ1 2015</stp>
        <stp>[AMZ_2009-2018.xlsx]Cash Flow - Standardized!R18C27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18" s="4"/>
      </tp>
      <tp>
        <v>-77</v>
        <stp/>
        <stp>##V3_BDHV12</stp>
        <stp>AMZN US Equity</stp>
        <stp>OTHER_INVESTING_ACT_DETAILED</stp>
        <stp>FQ3 2015</stp>
        <stp>FQ3 2015</stp>
        <stp>[AMZ_2009-2018.xlsx]Cash Flow - Standardized!R36C29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36" s="4"/>
      </tp>
      <tp>
        <v>321</v>
        <stp/>
        <stp>##V3_BDHV12</stp>
        <stp>AMZN US Equity</stp>
        <stp>CF_CHANGE_IN_INVENTORIES</stp>
        <stp>FQ1 2010</stp>
        <stp>FQ1 2010</stp>
        <stp>[AMZ_2009-2018.xlsx]Cash Flow - Standardized!R15C7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15" s="4"/>
      </tp>
      <tp>
        <v>0</v>
        <stp/>
        <stp>##V3_BDHV12</stp>
        <stp>AMZN US Equity</stp>
        <stp>CF_CASH_FOR_DIVESTITURES</stp>
        <stp>FQ1 2009</stp>
        <stp>FQ1 2009</stp>
        <stp>[AMZ_2009-2018.xlsx]Cash Flow - Standardized!R33C3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4"/>
      </tp>
      <tp>
        <v>4926</v>
        <stp/>
        <stp>##V3_BDHV12</stp>
        <stp>AMZN US Equity</stp>
        <stp>CF_CHANGE_IN_ACCOUNTS_PAYABLE</stp>
        <stp>FQ4 2012</stp>
        <stp>FQ4 2012</stp>
        <stp>[AMZ_2009-2018.xlsx]Cash Flow - Standardized!R16C18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16" s="4"/>
      </tp>
      <tp>
        <v>-4675</v>
        <stp/>
        <stp>##V3_BDHV12</stp>
        <stp>AMZN US Equity</stp>
        <stp>CF_CHANGE_IN_ACCOUNTS_PAYABLE</stp>
        <stp>FQ1 2014</stp>
        <stp>FQ1 2014</stp>
        <stp>[AMZ_2009-2018.xlsx]Cash Flow - Standardized!R16C23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16" s="4"/>
      </tp>
      <tp>
        <v>3256</v>
        <stp/>
        <stp>##V3_BDHV12</stp>
        <stp>AMZN US Equity</stp>
        <stp>EQTY_BEF_MINORITY_INT_DETAILED</stp>
        <stp>FQ2 2009</stp>
        <stp>FQ2 2009</stp>
        <stp>[AMZ_2009-2018.xlsx]Bal Sheet - Standardized!R71C4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71" s="3"/>
      </tp>
      <tp>
        <v>977</v>
        <stp/>
        <stp>##V3_BDHV12</stp>
        <stp>AMZN US Equity</stp>
        <stp>CF_CHANGE_IN_ACCOUNTS_PAYABLE</stp>
        <stp>FQ2 2016</stp>
        <stp>FQ2 2016</stp>
        <stp>[AMZ_2009-2018.xlsx]Cash Flow - Standardized!R16C32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16" s="4"/>
      </tp>
      <tp>
        <v>6397</v>
        <stp/>
        <stp>##V3_BDHV12</stp>
        <stp>AMZN US Equity</stp>
        <stp>EQTY_BEF_MINORITY_INT_DETAILED</stp>
        <stp>FQ3 2010</stp>
        <stp>FQ3 2010</stp>
        <stp>[AMZ_2009-2018.xlsx]Bal Sheet - Standardized!R71C9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71" s="3"/>
      </tp>
      <tp>
        <v>3046</v>
        <stp/>
        <stp>##V3_BDHV12</stp>
        <stp>AMZN US Equity</stp>
        <stp>CF_CHANGE_IN_ACCOUNTS_PAYABLE</stp>
        <stp>FQ3 2017</stp>
        <stp>FQ3 2017</stp>
        <stp>[AMZ_2009-2018.xlsx]Cash Flow - Standardized!R16C37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K16" s="4"/>
      </tp>
      <tp>
        <v>0</v>
        <stp/>
        <stp>##V3_BDHV12</stp>
        <stp>AMZN US Equity</stp>
        <stp>NET_CHG_IN_LT_INVEST_DETAILED</stp>
        <stp>FQ2 2012</stp>
        <stp>FQ2 2012</stp>
        <stp>[AMZ_2009-2018.xlsx]Cash Flow - Standardized!R29C16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29" s="4"/>
      </tp>
      <tp>
        <v>25</v>
        <stp/>
        <stp>##V3_BDHV12</stp>
        <stp>AMZN US Equity</stp>
        <stp>IS_NET_ABNORMAL_ITEMS</stp>
        <stp>FQ4 2012</stp>
        <stp>FQ4 2012</stp>
        <stp>[AMZ_2009-2018.xlsx]Income - Adjusted!R46C18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46" s="2"/>
      </tp>
      <tp>
        <v>0</v>
        <stp/>
        <stp>##V3_BDHV12</stp>
        <stp>AMZN US Equity</stp>
        <stp>NET_CHG_IN_LT_INVEST_DETAILED</stp>
        <stp>FQ1 2011</stp>
        <stp>FQ1 2011</stp>
        <stp>[AMZ_2009-2018.xlsx]Cash Flow - Standardized!R29C11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29" s="4"/>
      </tp>
      <tp>
        <v>0</v>
        <stp/>
        <stp>##V3_BDHV12</stp>
        <stp>AMZN US Equity</stp>
        <stp>NET_CHG_IN_LT_INVEST_DETAILED</stp>
        <stp>FQ4 2016</stp>
        <stp>FQ4 2016</stp>
        <stp>[AMZ_2009-2018.xlsx]Cash Flow - Standardized!R29C34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29" s="4"/>
      </tp>
      <tp>
        <v>0</v>
        <stp/>
        <stp>##V3_BDHV12</stp>
        <stp>AMZN US Equity</stp>
        <stp>IS_NET_ABNORMAL_ITEMS</stp>
        <stp>FQ1 2012</stp>
        <stp>FQ1 2012</stp>
        <stp>[AMZ_2009-2018.xlsx]Income - Adjusted!R46C15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46" s="2"/>
      </tp>
      <tp>
        <v>65</v>
        <stp/>
        <stp>##V3_BDHV12</stp>
        <stp>AMZN US Equity</stp>
        <stp>IS_NET_ABNORMAL_ITEMS</stp>
        <stp>FQ2 2012</stp>
        <stp>FQ2 2012</stp>
        <stp>[AMZ_2009-2018.xlsx]Income - Adjusted!R46C16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46" s="2"/>
      </tp>
      <tp>
        <v>145</v>
        <stp/>
        <stp>##V3_BDHV12</stp>
        <stp>AMZN US Equity</stp>
        <stp>IS_NET_ABNORMAL_ITEMS</stp>
        <stp>FQ3 2012</stp>
        <stp>FQ3 2012</stp>
        <stp>[AMZ_2009-2018.xlsx]Income - Adjusted!R46C17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46" s="2"/>
      </tp>
      <tp>
        <v>0</v>
        <stp/>
        <stp>##V3_BDHV12</stp>
        <stp>AMZN US Equity</stp>
        <stp>BS_ACCRUED_LIABILITIES</stp>
        <stp>FQ4 2009</stp>
        <stp>FQ4 2009</stp>
        <stp>[AMZ_2009-2018.xlsx]Bal Sheet - Standardized!R56C6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5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"/>
  <sheetViews>
    <sheetView tabSelected="1" topLeftCell="A49" workbookViewId="0">
      <selection activeCell="C6" sqref="C6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0</v>
      </c>
      <c r="B6" s="6" t="s">
        <v>88</v>
      </c>
      <c r="C6" s="17">
        <f>_xll.BDH("AMZN US Equity","SALES_REV_TURN","FQ1 2009","FQ1 2009","Currency=USD","Period=FQ","BEST_FPERIOD_OVERRIDE=FQ","FILING_STATUS=MR","SCALING_FORMAT=MLN","FA_ADJUSTED=Adjusted","Sort=A","Dates=H","DateFormat=P","Fill=—","Direction=H","UseDPDF=Y")</f>
        <v>4889</v>
      </c>
      <c r="D6" s="17">
        <f>_xll.BDH("AMZN US Equity","SALES_REV_TURN","FQ2 2009","FQ2 2009","Currency=USD","Period=FQ","BEST_FPERIOD_OVERRIDE=FQ","FILING_STATUS=MR","SCALING_FORMAT=MLN","FA_ADJUSTED=Adjusted","Sort=A","Dates=H","DateFormat=P","Fill=—","Direction=H","UseDPDF=Y")</f>
        <v>4651</v>
      </c>
      <c r="E6" s="17">
        <f>_xll.BDH("AMZN US Equity","SALES_REV_TURN","FQ3 2009","FQ3 2009","Currency=USD","Period=FQ","BEST_FPERIOD_OVERRIDE=FQ","FILING_STATUS=MR","SCALING_FORMAT=MLN","FA_ADJUSTED=Adjusted","Sort=A","Dates=H","DateFormat=P","Fill=—","Direction=H","UseDPDF=Y")</f>
        <v>5449</v>
      </c>
      <c r="F6" s="17">
        <f>_xll.BDH("AMZN US Equity","SALES_REV_TURN","FQ4 2009","FQ4 2009","Currency=USD","Period=FQ","BEST_FPERIOD_OVERRIDE=FQ","FILING_STATUS=MR","SCALING_FORMAT=MLN","FA_ADJUSTED=Adjusted","Sort=A","Dates=H","DateFormat=P","Fill=—","Direction=H","UseDPDF=Y")</f>
        <v>9519</v>
      </c>
      <c r="G6" s="17">
        <f>_xll.BDH("AMZN US Equity","SALES_REV_TURN","FQ1 2010","FQ1 2010","Currency=USD","Period=FQ","BEST_FPERIOD_OVERRIDE=FQ","FILING_STATUS=MR","SCALING_FORMAT=MLN","FA_ADJUSTED=Adjusted","Sort=A","Dates=H","DateFormat=P","Fill=—","Direction=H","UseDPDF=Y")</f>
        <v>7131</v>
      </c>
      <c r="H6" s="17">
        <f>_xll.BDH("AMZN US Equity","SALES_REV_TURN","FQ2 2010","FQ2 2010","Currency=USD","Period=FQ","BEST_FPERIOD_OVERRIDE=FQ","FILING_STATUS=MR","SCALING_FORMAT=MLN","FA_ADJUSTED=Adjusted","Sort=A","Dates=H","DateFormat=P","Fill=—","Direction=H","UseDPDF=Y")</f>
        <v>6566</v>
      </c>
      <c r="I6" s="17">
        <f>_xll.BDH("AMZN US Equity","SALES_REV_TURN","FQ3 2010","FQ3 2010","Currency=USD","Period=FQ","BEST_FPERIOD_OVERRIDE=FQ","FILING_STATUS=MR","SCALING_FORMAT=MLN","FA_ADJUSTED=Adjusted","Sort=A","Dates=H","DateFormat=P","Fill=—","Direction=H","UseDPDF=Y")</f>
        <v>7560</v>
      </c>
      <c r="J6" s="17">
        <f>_xll.BDH("AMZN US Equity","SALES_REV_TURN","FQ4 2010","FQ4 2010","Currency=USD","Period=FQ","BEST_FPERIOD_OVERRIDE=FQ","FILING_STATUS=MR","SCALING_FORMAT=MLN","FA_ADJUSTED=Adjusted","Sort=A","Dates=H","DateFormat=P","Fill=—","Direction=H","UseDPDF=Y")</f>
        <v>12948</v>
      </c>
      <c r="K6" s="17">
        <f>_xll.BDH("AMZN US Equity","SALES_REV_TURN","FQ1 2011","FQ1 2011","Currency=USD","Period=FQ","BEST_FPERIOD_OVERRIDE=FQ","FILING_STATUS=MR","SCALING_FORMAT=MLN","FA_ADJUSTED=Adjusted","Sort=A","Dates=H","DateFormat=P","Fill=—","Direction=H","UseDPDF=Y")</f>
        <v>9857</v>
      </c>
      <c r="L6" s="17">
        <f>_xll.BDH("AMZN US Equity","SALES_REV_TURN","FQ2 2011","FQ2 2011","Currency=USD","Period=FQ","BEST_FPERIOD_OVERRIDE=FQ","FILING_STATUS=MR","SCALING_FORMAT=MLN","FA_ADJUSTED=Adjusted","Sort=A","Dates=H","DateFormat=P","Fill=—","Direction=H","UseDPDF=Y")</f>
        <v>9913</v>
      </c>
      <c r="M6" s="17">
        <f>_xll.BDH("AMZN US Equity","SALES_REV_TURN","FQ3 2011","FQ3 2011","Currency=USD","Period=FQ","BEST_FPERIOD_OVERRIDE=FQ","FILING_STATUS=MR","SCALING_FORMAT=MLN","FA_ADJUSTED=Adjusted","Sort=A","Dates=H","DateFormat=P","Fill=—","Direction=H","UseDPDF=Y")</f>
        <v>10876</v>
      </c>
      <c r="N6" s="17">
        <f>_xll.BDH("AMZN US Equity","SALES_REV_TURN","FQ4 2011","FQ4 2011","Currency=USD","Period=FQ","BEST_FPERIOD_OVERRIDE=FQ","FILING_STATUS=MR","SCALING_FORMAT=MLN","FA_ADJUSTED=Adjusted","Sort=A","Dates=H","DateFormat=P","Fill=—","Direction=H","UseDPDF=Y")</f>
        <v>17431</v>
      </c>
      <c r="O6" s="17">
        <f>_xll.BDH("AMZN US Equity","SALES_REV_TURN","FQ1 2012","FQ1 2012","Currency=USD","Period=FQ","BEST_FPERIOD_OVERRIDE=FQ","FILING_STATUS=MR","SCALING_FORMAT=MLN","FA_ADJUSTED=Adjusted","Sort=A","Dates=H","DateFormat=P","Fill=—","Direction=H","UseDPDF=Y")</f>
        <v>13185</v>
      </c>
      <c r="P6" s="17">
        <f>_xll.BDH("AMZN US Equity","SALES_REV_TURN","FQ2 2012","FQ2 2012","Currency=USD","Period=FQ","BEST_FPERIOD_OVERRIDE=FQ","FILING_STATUS=MR","SCALING_FORMAT=MLN","FA_ADJUSTED=Adjusted","Sort=A","Dates=H","DateFormat=P","Fill=—","Direction=H","UseDPDF=Y")</f>
        <v>12834</v>
      </c>
      <c r="Q6" s="17">
        <f>_xll.BDH("AMZN US Equity","SALES_REV_TURN","FQ3 2012","FQ3 2012","Currency=USD","Period=FQ","BEST_FPERIOD_OVERRIDE=FQ","FILING_STATUS=MR","SCALING_FORMAT=MLN","FA_ADJUSTED=Adjusted","Sort=A","Dates=H","DateFormat=P","Fill=—","Direction=H","UseDPDF=Y")</f>
        <v>13806</v>
      </c>
      <c r="R6" s="17">
        <f>_xll.BDH("AMZN US Equity","SALES_REV_TURN","FQ4 2012","FQ4 2012","Currency=USD","Period=FQ","BEST_FPERIOD_OVERRIDE=FQ","FILING_STATUS=MR","SCALING_FORMAT=MLN","FA_ADJUSTED=Adjusted","Sort=A","Dates=H","DateFormat=P","Fill=—","Direction=H","UseDPDF=Y")</f>
        <v>21268</v>
      </c>
      <c r="S6" s="17">
        <f>_xll.BDH("AMZN US Equity","SALES_REV_TURN","FQ1 2013","FQ1 2013","Currency=USD","Period=FQ","BEST_FPERIOD_OVERRIDE=FQ","FILING_STATUS=MR","SCALING_FORMAT=MLN","FA_ADJUSTED=Adjusted","Sort=A","Dates=H","DateFormat=P","Fill=—","Direction=H","UseDPDF=Y")</f>
        <v>16070</v>
      </c>
      <c r="T6" s="17">
        <f>_xll.BDH("AMZN US Equity","SALES_REV_TURN","FQ2 2013","FQ2 2013","Currency=USD","Period=FQ","BEST_FPERIOD_OVERRIDE=FQ","FILING_STATUS=MR","SCALING_FORMAT=MLN","FA_ADJUSTED=Adjusted","Sort=A","Dates=H","DateFormat=P","Fill=—","Direction=H","UseDPDF=Y")</f>
        <v>15704</v>
      </c>
      <c r="U6" s="17">
        <f>_xll.BDH("AMZN US Equity","SALES_REV_TURN","FQ3 2013","FQ3 2013","Currency=USD","Period=FQ","BEST_FPERIOD_OVERRIDE=FQ","FILING_STATUS=MR","SCALING_FORMAT=MLN","FA_ADJUSTED=Adjusted","Sort=A","Dates=H","DateFormat=P","Fill=—","Direction=H","UseDPDF=Y")</f>
        <v>17092</v>
      </c>
      <c r="V6" s="17">
        <f>_xll.BDH("AMZN US Equity","SALES_REV_TURN","FQ4 2013","FQ4 2013","Currency=USD","Period=FQ","BEST_FPERIOD_OVERRIDE=FQ","FILING_STATUS=MR","SCALING_FORMAT=MLN","FA_ADJUSTED=Adjusted","Sort=A","Dates=H","DateFormat=P","Fill=—","Direction=H","UseDPDF=Y")</f>
        <v>25587</v>
      </c>
      <c r="W6" s="17">
        <f>_xll.BDH("AMZN US Equity","SALES_REV_TURN","FQ1 2014","FQ1 2014","Currency=USD","Period=FQ","BEST_FPERIOD_OVERRIDE=FQ","FILING_STATUS=MR","SCALING_FORMAT=MLN","FA_ADJUSTED=Adjusted","Sort=A","Dates=H","DateFormat=P","Fill=—","Direction=H","UseDPDF=Y")</f>
        <v>19741</v>
      </c>
      <c r="X6" s="17">
        <f>_xll.BDH("AMZN US Equity","SALES_REV_TURN","FQ2 2014","FQ2 2014","Currency=USD","Period=FQ","BEST_FPERIOD_OVERRIDE=FQ","FILING_STATUS=MR","SCALING_FORMAT=MLN","FA_ADJUSTED=Adjusted","Sort=A","Dates=H","DateFormat=P","Fill=—","Direction=H","UseDPDF=Y")</f>
        <v>19340</v>
      </c>
      <c r="Y6" s="17">
        <f>_xll.BDH("AMZN US Equity","SALES_REV_TURN","FQ3 2014","FQ3 2014","Currency=USD","Period=FQ","BEST_FPERIOD_OVERRIDE=FQ","FILING_STATUS=MR","SCALING_FORMAT=MLN","FA_ADJUSTED=Adjusted","Sort=A","Dates=H","DateFormat=P","Fill=—","Direction=H","UseDPDF=Y")</f>
        <v>20579</v>
      </c>
      <c r="Z6" s="17">
        <f>_xll.BDH("AMZN US Equity","SALES_REV_TURN","FQ4 2014","FQ4 2014","Currency=USD","Period=FQ","BEST_FPERIOD_OVERRIDE=FQ","FILING_STATUS=MR","SCALING_FORMAT=MLN","FA_ADJUSTED=Adjusted","Sort=A","Dates=H","DateFormat=P","Fill=—","Direction=H","UseDPDF=Y")</f>
        <v>29328</v>
      </c>
      <c r="AA6" s="17">
        <f>_xll.BDH("AMZN US Equity","SALES_REV_TURN","FQ1 2015","FQ1 2015","Currency=USD","Period=FQ","BEST_FPERIOD_OVERRIDE=FQ","FILING_STATUS=MR","SCALING_FORMAT=MLN","FA_ADJUSTED=Adjusted","Sort=A","Dates=H","DateFormat=P","Fill=—","Direction=H","UseDPDF=Y")</f>
        <v>22717</v>
      </c>
      <c r="AB6" s="17">
        <f>_xll.BDH("AMZN US Equity","SALES_REV_TURN","FQ2 2015","FQ2 2015","Currency=USD","Period=FQ","BEST_FPERIOD_OVERRIDE=FQ","FILING_STATUS=MR","SCALING_FORMAT=MLN","FA_ADJUSTED=Adjusted","Sort=A","Dates=H","DateFormat=P","Fill=—","Direction=H","UseDPDF=Y")</f>
        <v>23185</v>
      </c>
      <c r="AC6" s="17">
        <f>_xll.BDH("AMZN US Equity","SALES_REV_TURN","FQ3 2015","FQ3 2015","Currency=USD","Period=FQ","BEST_FPERIOD_OVERRIDE=FQ","FILING_STATUS=MR","SCALING_FORMAT=MLN","FA_ADJUSTED=Adjusted","Sort=A","Dates=H","DateFormat=P","Fill=—","Direction=H","UseDPDF=Y")</f>
        <v>25358</v>
      </c>
      <c r="AD6" s="17">
        <f>_xll.BDH("AMZN US Equity","SALES_REV_TURN","FQ4 2015","FQ4 2015","Currency=USD","Period=FQ","BEST_FPERIOD_OVERRIDE=FQ","FILING_STATUS=MR","SCALING_FORMAT=MLN","FA_ADJUSTED=Adjusted","Sort=A","Dates=H","DateFormat=P","Fill=—","Direction=H","UseDPDF=Y")</f>
        <v>35747</v>
      </c>
      <c r="AE6" s="17">
        <f>_xll.BDH("AMZN US Equity","SALES_REV_TURN","FQ1 2016","FQ1 2016","Currency=USD","Period=FQ","BEST_FPERIOD_OVERRIDE=FQ","FILING_STATUS=MR","SCALING_FORMAT=MLN","FA_ADJUSTED=Adjusted","Sort=A","Dates=H","DateFormat=P","Fill=—","Direction=H","UseDPDF=Y")</f>
        <v>29128</v>
      </c>
      <c r="AF6" s="17">
        <f>_xll.BDH("AMZN US Equity","SALES_REV_TURN","FQ2 2016","FQ2 2016","Currency=USD","Period=FQ","BEST_FPERIOD_OVERRIDE=FQ","FILING_STATUS=MR","SCALING_FORMAT=MLN","FA_ADJUSTED=Adjusted","Sort=A","Dates=H","DateFormat=P","Fill=—","Direction=H","UseDPDF=Y")</f>
        <v>30404</v>
      </c>
      <c r="AG6" s="17">
        <f>_xll.BDH("AMZN US Equity","SALES_REV_TURN","FQ3 2016","FQ3 2016","Currency=USD","Period=FQ","BEST_FPERIOD_OVERRIDE=FQ","FILING_STATUS=MR","SCALING_FORMAT=MLN","FA_ADJUSTED=Adjusted","Sort=A","Dates=H","DateFormat=P","Fill=—","Direction=H","UseDPDF=Y")</f>
        <v>32714</v>
      </c>
      <c r="AH6" s="17">
        <f>_xll.BDH("AMZN US Equity","SALES_REV_TURN","FQ4 2016","FQ4 2016","Currency=USD","Period=FQ","BEST_FPERIOD_OVERRIDE=FQ","FILING_STATUS=MR","SCALING_FORMAT=MLN","FA_ADJUSTED=Adjusted","Sort=A","Dates=H","DateFormat=P","Fill=—","Direction=H","UseDPDF=Y")</f>
        <v>43741</v>
      </c>
      <c r="AI6" s="17">
        <f>_xll.BDH("AMZN US Equity","SALES_REV_TURN","FQ1 2017","FQ1 2017","Currency=USD","Period=FQ","BEST_FPERIOD_OVERRIDE=FQ","FILING_STATUS=MR","SCALING_FORMAT=MLN","FA_ADJUSTED=Adjusted","Sort=A","Dates=H","DateFormat=P","Fill=—","Direction=H","UseDPDF=Y")</f>
        <v>35714</v>
      </c>
      <c r="AJ6" s="17">
        <f>_xll.BDH("AMZN US Equity","SALES_REV_TURN","FQ2 2017","FQ2 2017","Currency=USD","Period=FQ","BEST_FPERIOD_OVERRIDE=FQ","FILING_STATUS=MR","SCALING_FORMAT=MLN","FA_ADJUSTED=Adjusted","Sort=A","Dates=H","DateFormat=P","Fill=—","Direction=H","UseDPDF=Y")</f>
        <v>37955</v>
      </c>
      <c r="AK6" s="17">
        <f>_xll.BDH("AMZN US Equity","SALES_REV_TURN","FQ3 2017","FQ3 2017","Currency=USD","Period=FQ","BEST_FPERIOD_OVERRIDE=FQ","FILING_STATUS=MR","SCALING_FORMAT=MLN","FA_ADJUSTED=Adjusted","Sort=A","Dates=H","DateFormat=P","Fill=—","Direction=H","UseDPDF=Y")</f>
        <v>43744</v>
      </c>
      <c r="AL6" s="17">
        <f>_xll.BDH("AMZN US Equity","SALES_REV_TURN","FQ4 2017","FQ4 2017","Currency=USD","Period=FQ","BEST_FPERIOD_OVERRIDE=FQ","FILING_STATUS=MR","SCALING_FORMAT=MLN","FA_ADJUSTED=Adjusted","Sort=A","Dates=H","DateFormat=P","Fill=—","Direction=H","UseDPDF=Y")</f>
        <v>60453</v>
      </c>
      <c r="AM6" s="17">
        <f>_xll.BDH("AMZN US Equity","SALES_REV_TURN","FQ1 2018","FQ1 2018","Currency=USD","Period=FQ","BEST_FPERIOD_OVERRIDE=FQ","FILING_STATUS=MR","SCALING_FORMAT=MLN","FA_ADJUSTED=Adjusted","Sort=A","Dates=H","DateFormat=P","Fill=—","Direction=H","UseDPDF=Y")</f>
        <v>51042</v>
      </c>
      <c r="AN6" s="17">
        <f>_xll.BDH("AMZN US Equity","SALES_REV_TURN","FQ2 2018","FQ2 2018","Currency=USD","Period=FQ","BEST_FPERIOD_OVERRIDE=FQ","FILING_STATUS=MR","SCALING_FORMAT=MLN","FA_ADJUSTED=Adjusted","Sort=A","Dates=H","DateFormat=P","Fill=—","Direction=H","UseDPDF=Y")</f>
        <v>52886</v>
      </c>
      <c r="AO6" s="17">
        <v>57066.7</v>
      </c>
      <c r="AP6" s="17">
        <v>73777.103000000003</v>
      </c>
    </row>
    <row r="7" spans="1:42" x14ac:dyDescent="0.25">
      <c r="A7" s="10" t="s">
        <v>89</v>
      </c>
      <c r="B7" s="10" t="s">
        <v>90</v>
      </c>
      <c r="C7" s="13">
        <f>_xll.BDH("AMZN US Equity","IS_SALES_AND_SERVICES_REVENUES","FQ1 2009","FQ1 2009","Currency=USD","Period=FQ","BEST_FPERIOD_OVERRIDE=FQ","FILING_STATUS=MR","SCALING_FORMAT=MLN","FA_ADJUSTED=Adjusted","Sort=A","Dates=H","DateFormat=P","Fill=—","Direction=H","UseDPDF=Y")</f>
        <v>4889</v>
      </c>
      <c r="D7" s="13">
        <f>_xll.BDH("AMZN US Equity","IS_SALES_AND_SERVICES_REVENUES","FQ2 2009","FQ2 2009","Currency=USD","Period=FQ","BEST_FPERIOD_OVERRIDE=FQ","FILING_STATUS=MR","SCALING_FORMAT=MLN","FA_ADJUSTED=Adjusted","Sort=A","Dates=H","DateFormat=P","Fill=—","Direction=H","UseDPDF=Y")</f>
        <v>4651</v>
      </c>
      <c r="E7" s="13">
        <f>_xll.BDH("AMZN US Equity","IS_SALES_AND_SERVICES_REVENUES","FQ3 2009","FQ3 2009","Currency=USD","Period=FQ","BEST_FPERIOD_OVERRIDE=FQ","FILING_STATUS=MR","SCALING_FORMAT=MLN","FA_ADJUSTED=Adjusted","Sort=A","Dates=H","DateFormat=P","Fill=—","Direction=H","UseDPDF=Y")</f>
        <v>5449</v>
      </c>
      <c r="F7" s="13">
        <f>_xll.BDH("AMZN US Equity","IS_SALES_AND_SERVICES_REVENUES","FQ4 2009","FQ4 2009","Currency=USD","Period=FQ","BEST_FPERIOD_OVERRIDE=FQ","FILING_STATUS=MR","SCALING_FORMAT=MLN","FA_ADJUSTED=Adjusted","Sort=A","Dates=H","DateFormat=P","Fill=—","Direction=H","UseDPDF=Y")</f>
        <v>9519</v>
      </c>
      <c r="G7" s="13">
        <f>_xll.BDH("AMZN US Equity","IS_SALES_AND_SERVICES_REVENUES","FQ1 2010","FQ1 2010","Currency=USD","Period=FQ","BEST_FPERIOD_OVERRIDE=FQ","FILING_STATUS=MR","SCALING_FORMAT=MLN","FA_ADJUSTED=Adjusted","Sort=A","Dates=H","DateFormat=P","Fill=—","Direction=H","UseDPDF=Y")</f>
        <v>7131</v>
      </c>
      <c r="H7" s="13">
        <f>_xll.BDH("AMZN US Equity","IS_SALES_AND_SERVICES_REVENUES","FQ2 2010","FQ2 2010","Currency=USD","Period=FQ","BEST_FPERIOD_OVERRIDE=FQ","FILING_STATUS=MR","SCALING_FORMAT=MLN","FA_ADJUSTED=Adjusted","Sort=A","Dates=H","DateFormat=P","Fill=—","Direction=H","UseDPDF=Y")</f>
        <v>6566</v>
      </c>
      <c r="I7" s="13">
        <f>_xll.BDH("AMZN US Equity","IS_SALES_AND_SERVICES_REVENUES","FQ3 2010","FQ3 2010","Currency=USD","Period=FQ","BEST_FPERIOD_OVERRIDE=FQ","FILING_STATUS=MR","SCALING_FORMAT=MLN","FA_ADJUSTED=Adjusted","Sort=A","Dates=H","DateFormat=P","Fill=—","Direction=H","UseDPDF=Y")</f>
        <v>7560</v>
      </c>
      <c r="J7" s="13">
        <f>_xll.BDH("AMZN US Equity","IS_SALES_AND_SERVICES_REVENUES","FQ4 2010","FQ4 2010","Currency=USD","Period=FQ","BEST_FPERIOD_OVERRIDE=FQ","FILING_STATUS=MR","SCALING_FORMAT=MLN","FA_ADJUSTED=Adjusted","Sort=A","Dates=H","DateFormat=P","Fill=—","Direction=H","UseDPDF=Y")</f>
        <v>12948</v>
      </c>
      <c r="K7" s="13">
        <f>_xll.BDH("AMZN US Equity","IS_SALES_AND_SERVICES_REVENUES","FQ1 2011","FQ1 2011","Currency=USD","Period=FQ","BEST_FPERIOD_OVERRIDE=FQ","FILING_STATUS=MR","SCALING_FORMAT=MLN","FA_ADJUSTED=Adjusted","Sort=A","Dates=H","DateFormat=P","Fill=—","Direction=H","UseDPDF=Y")</f>
        <v>9857</v>
      </c>
      <c r="L7" s="13">
        <f>_xll.BDH("AMZN US Equity","IS_SALES_AND_SERVICES_REVENUES","FQ2 2011","FQ2 2011","Currency=USD","Period=FQ","BEST_FPERIOD_OVERRIDE=FQ","FILING_STATUS=MR","SCALING_FORMAT=MLN","FA_ADJUSTED=Adjusted","Sort=A","Dates=H","DateFormat=P","Fill=—","Direction=H","UseDPDF=Y")</f>
        <v>9913</v>
      </c>
      <c r="M7" s="13">
        <f>_xll.BDH("AMZN US Equity","IS_SALES_AND_SERVICES_REVENUES","FQ3 2011","FQ3 2011","Currency=USD","Period=FQ","BEST_FPERIOD_OVERRIDE=FQ","FILING_STATUS=MR","SCALING_FORMAT=MLN","FA_ADJUSTED=Adjusted","Sort=A","Dates=H","DateFormat=P","Fill=—","Direction=H","UseDPDF=Y")</f>
        <v>10876</v>
      </c>
      <c r="N7" s="13">
        <f>_xll.BDH("AMZN US Equity","IS_SALES_AND_SERVICES_REVENUES","FQ4 2011","FQ4 2011","Currency=USD","Period=FQ","BEST_FPERIOD_OVERRIDE=FQ","FILING_STATUS=MR","SCALING_FORMAT=MLN","FA_ADJUSTED=Adjusted","Sort=A","Dates=H","DateFormat=P","Fill=—","Direction=H","UseDPDF=Y")</f>
        <v>17431</v>
      </c>
      <c r="O7" s="13">
        <f>_xll.BDH("AMZN US Equity","IS_SALES_AND_SERVICES_REVENUES","FQ1 2012","FQ1 2012","Currency=USD","Period=FQ","BEST_FPERIOD_OVERRIDE=FQ","FILING_STATUS=MR","SCALING_FORMAT=MLN","FA_ADJUSTED=Adjusted","Sort=A","Dates=H","DateFormat=P","Fill=—","Direction=H","UseDPDF=Y")</f>
        <v>13185</v>
      </c>
      <c r="P7" s="13">
        <f>_xll.BDH("AMZN US Equity","IS_SALES_AND_SERVICES_REVENUES","FQ2 2012","FQ2 2012","Currency=USD","Period=FQ","BEST_FPERIOD_OVERRIDE=FQ","FILING_STATUS=MR","SCALING_FORMAT=MLN","FA_ADJUSTED=Adjusted","Sort=A","Dates=H","DateFormat=P","Fill=—","Direction=H","UseDPDF=Y")</f>
        <v>12834</v>
      </c>
      <c r="Q7" s="13">
        <f>_xll.BDH("AMZN US Equity","IS_SALES_AND_SERVICES_REVENUES","FQ3 2012","FQ3 2012","Currency=USD","Period=FQ","BEST_FPERIOD_OVERRIDE=FQ","FILING_STATUS=MR","SCALING_FORMAT=MLN","FA_ADJUSTED=Adjusted","Sort=A","Dates=H","DateFormat=P","Fill=—","Direction=H","UseDPDF=Y")</f>
        <v>13806</v>
      </c>
      <c r="R7" s="13">
        <f>_xll.BDH("AMZN US Equity","IS_SALES_AND_SERVICES_REVENUES","FQ4 2012","FQ4 2012","Currency=USD","Period=FQ","BEST_FPERIOD_OVERRIDE=FQ","FILING_STATUS=MR","SCALING_FORMAT=MLN","FA_ADJUSTED=Adjusted","Sort=A","Dates=H","DateFormat=P","Fill=—","Direction=H","UseDPDF=Y")</f>
        <v>21268</v>
      </c>
      <c r="S7" s="13">
        <f>_xll.BDH("AMZN US Equity","IS_SALES_AND_SERVICES_REVENUES","FQ1 2013","FQ1 2013","Currency=USD","Period=FQ","BEST_FPERIOD_OVERRIDE=FQ","FILING_STATUS=MR","SCALING_FORMAT=MLN","FA_ADJUSTED=Adjusted","Sort=A","Dates=H","DateFormat=P","Fill=—","Direction=H","UseDPDF=Y")</f>
        <v>16070</v>
      </c>
      <c r="T7" s="13">
        <f>_xll.BDH("AMZN US Equity","IS_SALES_AND_SERVICES_REVENUES","FQ2 2013","FQ2 2013","Currency=USD","Period=FQ","BEST_FPERIOD_OVERRIDE=FQ","FILING_STATUS=MR","SCALING_FORMAT=MLN","FA_ADJUSTED=Adjusted","Sort=A","Dates=H","DateFormat=P","Fill=—","Direction=H","UseDPDF=Y")</f>
        <v>15704</v>
      </c>
      <c r="U7" s="13">
        <f>_xll.BDH("AMZN US Equity","IS_SALES_AND_SERVICES_REVENUES","FQ3 2013","FQ3 2013","Currency=USD","Period=FQ","BEST_FPERIOD_OVERRIDE=FQ","FILING_STATUS=MR","SCALING_FORMAT=MLN","FA_ADJUSTED=Adjusted","Sort=A","Dates=H","DateFormat=P","Fill=—","Direction=H","UseDPDF=Y")</f>
        <v>17092</v>
      </c>
      <c r="V7" s="13">
        <f>_xll.BDH("AMZN US Equity","IS_SALES_AND_SERVICES_REVENUES","FQ4 2013","FQ4 2013","Currency=USD","Period=FQ","BEST_FPERIOD_OVERRIDE=FQ","FILING_STATUS=MR","SCALING_FORMAT=MLN","FA_ADJUSTED=Adjusted","Sort=A","Dates=H","DateFormat=P","Fill=—","Direction=H","UseDPDF=Y")</f>
        <v>25587</v>
      </c>
      <c r="W7" s="13">
        <f>_xll.BDH("AMZN US Equity","IS_SALES_AND_SERVICES_REVENUES","FQ1 2014","FQ1 2014","Currency=USD","Period=FQ","BEST_FPERIOD_OVERRIDE=FQ","FILING_STATUS=MR","SCALING_FORMAT=MLN","FA_ADJUSTED=Adjusted","Sort=A","Dates=H","DateFormat=P","Fill=—","Direction=H","UseDPDF=Y")</f>
        <v>19741</v>
      </c>
      <c r="X7" s="13">
        <f>_xll.BDH("AMZN US Equity","IS_SALES_AND_SERVICES_REVENUES","FQ2 2014","FQ2 2014","Currency=USD","Period=FQ","BEST_FPERIOD_OVERRIDE=FQ","FILING_STATUS=MR","SCALING_FORMAT=MLN","FA_ADJUSTED=Adjusted","Sort=A","Dates=H","DateFormat=P","Fill=—","Direction=H","UseDPDF=Y")</f>
        <v>19340</v>
      </c>
      <c r="Y7" s="13">
        <f>_xll.BDH("AMZN US Equity","IS_SALES_AND_SERVICES_REVENUES","FQ3 2014","FQ3 2014","Currency=USD","Period=FQ","BEST_FPERIOD_OVERRIDE=FQ","FILING_STATUS=MR","SCALING_FORMAT=MLN","FA_ADJUSTED=Adjusted","Sort=A","Dates=H","DateFormat=P","Fill=—","Direction=H","UseDPDF=Y")</f>
        <v>20579</v>
      </c>
      <c r="Z7" s="13">
        <f>_xll.BDH("AMZN US Equity","IS_SALES_AND_SERVICES_REVENUES","FQ4 2014","FQ4 2014","Currency=USD","Period=FQ","BEST_FPERIOD_OVERRIDE=FQ","FILING_STATUS=MR","SCALING_FORMAT=MLN","FA_ADJUSTED=Adjusted","Sort=A","Dates=H","DateFormat=P","Fill=—","Direction=H","UseDPDF=Y")</f>
        <v>29328</v>
      </c>
      <c r="AA7" s="13">
        <f>_xll.BDH("AMZN US Equity","IS_SALES_AND_SERVICES_REVENUES","FQ1 2015","FQ1 2015","Currency=USD","Period=FQ","BEST_FPERIOD_OVERRIDE=FQ","FILING_STATUS=MR","SCALING_FORMAT=MLN","FA_ADJUSTED=Adjusted","Sort=A","Dates=H","DateFormat=P","Fill=—","Direction=H","UseDPDF=Y")</f>
        <v>22717</v>
      </c>
      <c r="AB7" s="13">
        <f>_xll.BDH("AMZN US Equity","IS_SALES_AND_SERVICES_REVENUES","FQ2 2015","FQ2 2015","Currency=USD","Period=FQ","BEST_FPERIOD_OVERRIDE=FQ","FILING_STATUS=MR","SCALING_FORMAT=MLN","FA_ADJUSTED=Adjusted","Sort=A","Dates=H","DateFormat=P","Fill=—","Direction=H","UseDPDF=Y")</f>
        <v>23185</v>
      </c>
      <c r="AC7" s="13">
        <f>_xll.BDH("AMZN US Equity","IS_SALES_AND_SERVICES_REVENUES","FQ3 2015","FQ3 2015","Currency=USD","Period=FQ","BEST_FPERIOD_OVERRIDE=FQ","FILING_STATUS=MR","SCALING_FORMAT=MLN","FA_ADJUSTED=Adjusted","Sort=A","Dates=H","DateFormat=P","Fill=—","Direction=H","UseDPDF=Y")</f>
        <v>25358</v>
      </c>
      <c r="AD7" s="13">
        <f>_xll.BDH("AMZN US Equity","IS_SALES_AND_SERVICES_REVENUES","FQ4 2015","FQ4 2015","Currency=USD","Period=FQ","BEST_FPERIOD_OVERRIDE=FQ","FILING_STATUS=MR","SCALING_FORMAT=MLN","FA_ADJUSTED=Adjusted","Sort=A","Dates=H","DateFormat=P","Fill=—","Direction=H","UseDPDF=Y")</f>
        <v>35747</v>
      </c>
      <c r="AE7" s="13">
        <f>_xll.BDH("AMZN US Equity","IS_SALES_AND_SERVICES_REVENUES","FQ1 2016","FQ1 2016","Currency=USD","Period=FQ","BEST_FPERIOD_OVERRIDE=FQ","FILING_STATUS=MR","SCALING_FORMAT=MLN","FA_ADJUSTED=Adjusted","Sort=A","Dates=H","DateFormat=P","Fill=—","Direction=H","UseDPDF=Y")</f>
        <v>29128</v>
      </c>
      <c r="AF7" s="13">
        <f>_xll.BDH("AMZN US Equity","IS_SALES_AND_SERVICES_REVENUES","FQ2 2016","FQ2 2016","Currency=USD","Period=FQ","BEST_FPERIOD_OVERRIDE=FQ","FILING_STATUS=MR","SCALING_FORMAT=MLN","FA_ADJUSTED=Adjusted","Sort=A","Dates=H","DateFormat=P","Fill=—","Direction=H","UseDPDF=Y")</f>
        <v>30404</v>
      </c>
      <c r="AG7" s="13">
        <f>_xll.BDH("AMZN US Equity","IS_SALES_AND_SERVICES_REVENUES","FQ3 2016","FQ3 2016","Currency=USD","Period=FQ","BEST_FPERIOD_OVERRIDE=FQ","FILING_STATUS=MR","SCALING_FORMAT=MLN","FA_ADJUSTED=Adjusted","Sort=A","Dates=H","DateFormat=P","Fill=—","Direction=H","UseDPDF=Y")</f>
        <v>32714</v>
      </c>
      <c r="AH7" s="13">
        <f>_xll.BDH("AMZN US Equity","IS_SALES_AND_SERVICES_REVENUES","FQ4 2016","FQ4 2016","Currency=USD","Period=FQ","BEST_FPERIOD_OVERRIDE=FQ","FILING_STATUS=MR","SCALING_FORMAT=MLN","FA_ADJUSTED=Adjusted","Sort=A","Dates=H","DateFormat=P","Fill=—","Direction=H","UseDPDF=Y")</f>
        <v>43741</v>
      </c>
      <c r="AI7" s="13">
        <f>_xll.BDH("AMZN US Equity","IS_SALES_AND_SERVICES_REVENUES","FQ1 2017","FQ1 2017","Currency=USD","Period=FQ","BEST_FPERIOD_OVERRIDE=FQ","FILING_STATUS=MR","SCALING_FORMAT=MLN","FA_ADJUSTED=Adjusted","Sort=A","Dates=H","DateFormat=P","Fill=—","Direction=H","UseDPDF=Y")</f>
        <v>35714</v>
      </c>
      <c r="AJ7" s="13">
        <f>_xll.BDH("AMZN US Equity","IS_SALES_AND_SERVICES_REVENUES","FQ2 2017","FQ2 2017","Currency=USD","Period=FQ","BEST_FPERIOD_OVERRIDE=FQ","FILING_STATUS=MR","SCALING_FORMAT=MLN","FA_ADJUSTED=Adjusted","Sort=A","Dates=H","DateFormat=P","Fill=—","Direction=H","UseDPDF=Y")</f>
        <v>37955</v>
      </c>
      <c r="AK7" s="13">
        <f>_xll.BDH("AMZN US Equity","IS_SALES_AND_SERVICES_REVENUES","FQ3 2017","FQ3 2017","Currency=USD","Period=FQ","BEST_FPERIOD_OVERRIDE=FQ","FILING_STATUS=MR","SCALING_FORMAT=MLN","FA_ADJUSTED=Adjusted","Sort=A","Dates=H","DateFormat=P","Fill=—","Direction=H","UseDPDF=Y")</f>
        <v>43744</v>
      </c>
      <c r="AL7" s="13">
        <f>_xll.BDH("AMZN US Equity","IS_SALES_AND_SERVICES_REVENUES","FQ4 2017","FQ4 2017","Currency=USD","Period=FQ","BEST_FPERIOD_OVERRIDE=FQ","FILING_STATUS=MR","SCALING_FORMAT=MLN","FA_ADJUSTED=Adjusted","Sort=A","Dates=H","DateFormat=P","Fill=—","Direction=H","UseDPDF=Y")</f>
        <v>60453</v>
      </c>
      <c r="AM7" s="13">
        <f>_xll.BDH("AMZN US Equity","IS_SALES_AND_SERVICES_REVENUES","FQ1 2018","FQ1 2018","Currency=USD","Period=FQ","BEST_FPERIOD_OVERRIDE=FQ","FILING_STATUS=MR","SCALING_FORMAT=MLN","FA_ADJUSTED=Adjusted","Sort=A","Dates=H","DateFormat=P","Fill=—","Direction=H","UseDPDF=Y")</f>
        <v>51042</v>
      </c>
      <c r="AN7" s="13">
        <f>_xll.BDH("AMZN US Equity","IS_SALES_AND_SERVICES_REVENUES","FQ2 2018","FQ2 2018","Currency=USD","Period=FQ","BEST_FPERIOD_OVERRIDE=FQ","FILING_STATUS=MR","SCALING_FORMAT=MLN","FA_ADJUSTED=Adjusted","Sort=A","Dates=H","DateFormat=P","Fill=—","Direction=H","UseDPDF=Y")</f>
        <v>52886</v>
      </c>
      <c r="AO7" s="13"/>
      <c r="AP7" s="13"/>
    </row>
    <row r="8" spans="1:42" x14ac:dyDescent="0.25">
      <c r="A8" s="10" t="s">
        <v>91</v>
      </c>
      <c r="B8" s="10" t="s">
        <v>92</v>
      </c>
      <c r="C8" s="13">
        <f>_xll.BDH("AMZN US Equity","IS_COGS_TO_FE_AND_PP_AND_G","FQ1 2009","FQ1 2009","Currency=USD","Period=FQ","BEST_FPERIOD_OVERRIDE=FQ","FILING_STATUS=MR","SCALING_FORMAT=MLN","FA_ADJUSTED=Adjusted","Sort=A","Dates=H","DateFormat=P","Fill=—","Direction=H","UseDPDF=Y")</f>
        <v>3741</v>
      </c>
      <c r="D8" s="13">
        <f>_xll.BDH("AMZN US Equity","IS_COGS_TO_FE_AND_PP_AND_G","FQ2 2009","FQ2 2009","Currency=USD","Period=FQ","BEST_FPERIOD_OVERRIDE=FQ","FILING_STATUS=MR","SCALING_FORMAT=MLN","FA_ADJUSTED=Adjusted","Sort=A","Dates=H","DateFormat=P","Fill=—","Direction=H","UseDPDF=Y")</f>
        <v>3518</v>
      </c>
      <c r="E8" s="13">
        <f>_xll.BDH("AMZN US Equity","IS_COGS_TO_FE_AND_PP_AND_G","FQ3 2009","FQ3 2009","Currency=USD","Period=FQ","BEST_FPERIOD_OVERRIDE=FQ","FILING_STATUS=MR","SCALING_FORMAT=MLN","FA_ADJUSTED=Adjusted","Sort=A","Dates=H","DateFormat=P","Fill=—","Direction=H","UseDPDF=Y")</f>
        <v>4176</v>
      </c>
      <c r="F8" s="13">
        <f>_xll.BDH("AMZN US Equity","IS_COGS_TO_FE_AND_PP_AND_G","FQ4 2009","FQ4 2009","Currency=USD","Period=FQ","BEST_FPERIOD_OVERRIDE=FQ","FILING_STATUS=MR","SCALING_FORMAT=MLN","FA_ADJUSTED=Adjusted","Sort=A","Dates=H","DateFormat=P","Fill=—","Direction=H","UseDPDF=Y")</f>
        <v>7543</v>
      </c>
      <c r="G8" s="13">
        <f>_xll.BDH("AMZN US Equity","IS_COGS_TO_FE_AND_PP_AND_G","FQ1 2010","FQ1 2010","Currency=USD","Period=FQ","BEST_FPERIOD_OVERRIDE=FQ","FILING_STATUS=MR","SCALING_FORMAT=MLN","FA_ADJUSTED=Adjusted","Sort=A","Dates=H","DateFormat=P","Fill=—","Direction=H","UseDPDF=Y")</f>
        <v>5501</v>
      </c>
      <c r="H8" s="13">
        <f>_xll.BDH("AMZN US Equity","IS_COGS_TO_FE_AND_PP_AND_G","FQ2 2010","FQ2 2010","Currency=USD","Period=FQ","BEST_FPERIOD_OVERRIDE=FQ","FILING_STATUS=MR","SCALING_FORMAT=MLN","FA_ADJUSTED=Adjusted","Sort=A","Dates=H","DateFormat=P","Fill=—","Direction=H","UseDPDF=Y")</f>
        <v>4957</v>
      </c>
      <c r="I8" s="13">
        <f>_xll.BDH("AMZN US Equity","IS_COGS_TO_FE_AND_PP_AND_G","FQ3 2010","FQ3 2010","Currency=USD","Period=FQ","BEST_FPERIOD_OVERRIDE=FQ","FILING_STATUS=MR","SCALING_FORMAT=MLN","FA_ADJUSTED=Adjusted","Sort=A","Dates=H","DateFormat=P","Fill=—","Direction=H","UseDPDF=Y")</f>
        <v>5786</v>
      </c>
      <c r="J8" s="13">
        <f>_xll.BDH("AMZN US Equity","IS_COGS_TO_FE_AND_PP_AND_G","FQ4 2010","FQ4 2010","Currency=USD","Period=FQ","BEST_FPERIOD_OVERRIDE=FQ","FILING_STATUS=MR","SCALING_FORMAT=MLN","FA_ADJUSTED=Adjusted","Sort=A","Dates=H","DateFormat=P","Fill=—","Direction=H","UseDPDF=Y")</f>
        <v>10317</v>
      </c>
      <c r="K8" s="13">
        <f>_xll.BDH("AMZN US Equity","IS_COGS_TO_FE_AND_PP_AND_G","FQ1 2011","FQ1 2011","Currency=USD","Period=FQ","BEST_FPERIOD_OVERRIDE=FQ","FILING_STATUS=MR","SCALING_FORMAT=MLN","FA_ADJUSTED=Adjusted","Sort=A","Dates=H","DateFormat=P","Fill=—","Direction=H","UseDPDF=Y")</f>
        <v>7608</v>
      </c>
      <c r="L8" s="13">
        <f>_xll.BDH("AMZN US Equity","IS_COGS_TO_FE_AND_PP_AND_G","FQ2 2011","FQ2 2011","Currency=USD","Period=FQ","BEST_FPERIOD_OVERRIDE=FQ","FILING_STATUS=MR","SCALING_FORMAT=MLN","FA_ADJUSTED=Adjusted","Sort=A","Dates=H","DateFormat=P","Fill=—","Direction=H","UseDPDF=Y")</f>
        <v>7525</v>
      </c>
      <c r="M8" s="13">
        <f>_xll.BDH("AMZN US Equity","IS_COGS_TO_FE_AND_PP_AND_G","FQ3 2011","FQ3 2011","Currency=USD","Period=FQ","BEST_FPERIOD_OVERRIDE=FQ","FILING_STATUS=MR","SCALING_FORMAT=MLN","FA_ADJUSTED=Adjusted","Sort=A","Dates=H","DateFormat=P","Fill=—","Direction=H","UseDPDF=Y")</f>
        <v>8325</v>
      </c>
      <c r="N8" s="13">
        <f>_xll.BDH("AMZN US Equity","IS_COGS_TO_FE_AND_PP_AND_G","FQ4 2011","FQ4 2011","Currency=USD","Period=FQ","BEST_FPERIOD_OVERRIDE=FQ","FILING_STATUS=MR","SCALING_FORMAT=MLN","FA_ADJUSTED=Adjusted","Sort=A","Dates=H","DateFormat=P","Fill=—","Direction=H","UseDPDF=Y")</f>
        <v>13830</v>
      </c>
      <c r="O8" s="13">
        <f>_xll.BDH("AMZN US Equity","IS_COGS_TO_FE_AND_PP_AND_G","FQ1 2012","FQ1 2012","Currency=USD","Period=FQ","BEST_FPERIOD_OVERRIDE=FQ","FILING_STATUS=MR","SCALING_FORMAT=MLN","FA_ADJUSTED=Adjusted","Sort=A","Dates=H","DateFormat=P","Fill=—","Direction=H","UseDPDF=Y")</f>
        <v>10027</v>
      </c>
      <c r="P8" s="13">
        <f>_xll.BDH("AMZN US Equity","IS_COGS_TO_FE_AND_PP_AND_G","FQ2 2012","FQ2 2012","Currency=USD","Period=FQ","BEST_FPERIOD_OVERRIDE=FQ","FILING_STATUS=MR","SCALING_FORMAT=MLN","FA_ADJUSTED=Adjusted","Sort=A","Dates=H","DateFormat=P","Fill=—","Direction=H","UseDPDF=Y")</f>
        <v>9488</v>
      </c>
      <c r="Q8" s="13">
        <f>_xll.BDH("AMZN US Equity","IS_COGS_TO_FE_AND_PP_AND_G","FQ3 2012","FQ3 2012","Currency=USD","Period=FQ","BEST_FPERIOD_OVERRIDE=FQ","FILING_STATUS=MR","SCALING_FORMAT=MLN","FA_ADJUSTED=Adjusted","Sort=A","Dates=H","DateFormat=P","Fill=—","Direction=H","UseDPDF=Y")</f>
        <v>10319</v>
      </c>
      <c r="R8" s="13">
        <f>_xll.BDH("AMZN US Equity","IS_COGS_TO_FE_AND_PP_AND_G","FQ4 2012","FQ4 2012","Currency=USD","Period=FQ","BEST_FPERIOD_OVERRIDE=FQ","FILING_STATUS=MR","SCALING_FORMAT=MLN","FA_ADJUSTED=Adjusted","Sort=A","Dates=H","DateFormat=P","Fill=—","Direction=H","UseDPDF=Y")</f>
        <v>16136</v>
      </c>
      <c r="S8" s="13">
        <f>_xll.BDH("AMZN US Equity","IS_COGS_TO_FE_AND_PP_AND_G","FQ1 2013","FQ1 2013","Currency=USD","Period=FQ","BEST_FPERIOD_OVERRIDE=FQ","FILING_STATUS=MR","SCALING_FORMAT=MLN","FA_ADJUSTED=Adjusted","Sort=A","Dates=H","DateFormat=P","Fill=—","Direction=H","UseDPDF=Y")</f>
        <v>11801</v>
      </c>
      <c r="T8" s="13">
        <f>_xll.BDH("AMZN US Equity","IS_COGS_TO_FE_AND_PP_AND_G","FQ2 2013","FQ2 2013","Currency=USD","Period=FQ","BEST_FPERIOD_OVERRIDE=FQ","FILING_STATUS=MR","SCALING_FORMAT=MLN","FA_ADJUSTED=Adjusted","Sort=A","Dates=H","DateFormat=P","Fill=—","Direction=H","UseDPDF=Y")</f>
        <v>11209</v>
      </c>
      <c r="U8" s="13">
        <f>_xll.BDH("AMZN US Equity","IS_COGS_TO_FE_AND_PP_AND_G","FQ3 2013","FQ3 2013","Currency=USD","Period=FQ","BEST_FPERIOD_OVERRIDE=FQ","FILING_STATUS=MR","SCALING_FORMAT=MLN","FA_ADJUSTED=Adjusted","Sort=A","Dates=H","DateFormat=P","Fill=—","Direction=H","UseDPDF=Y")</f>
        <v>12366</v>
      </c>
      <c r="V8" s="13">
        <f>_xll.BDH("AMZN US Equity","IS_COGS_TO_FE_AND_PP_AND_G","FQ4 2013","FQ4 2013","Currency=USD","Period=FQ","BEST_FPERIOD_OVERRIDE=FQ","FILING_STATUS=MR","SCALING_FORMAT=MLN","FA_ADJUSTED=Adjusted","Sort=A","Dates=H","DateFormat=P","Fill=—","Direction=H","UseDPDF=Y")</f>
        <v>18806</v>
      </c>
      <c r="W8" s="13">
        <f>_xll.BDH("AMZN US Equity","IS_COGS_TO_FE_AND_PP_AND_G","FQ1 2014","FQ1 2014","Currency=USD","Period=FQ","BEST_FPERIOD_OVERRIDE=FQ","FILING_STATUS=MR","SCALING_FORMAT=MLN","FA_ADJUSTED=Adjusted","Sort=A","Dates=H","DateFormat=P","Fill=—","Direction=H","UseDPDF=Y")</f>
        <v>14055</v>
      </c>
      <c r="X8" s="13">
        <f>_xll.BDH("AMZN US Equity","IS_COGS_TO_FE_AND_PP_AND_G","FQ2 2014","FQ2 2014","Currency=USD","Period=FQ","BEST_FPERIOD_OVERRIDE=FQ","FILING_STATUS=MR","SCALING_FORMAT=MLN","FA_ADJUSTED=Adjusted","Sort=A","Dates=H","DateFormat=P","Fill=—","Direction=H","UseDPDF=Y")</f>
        <v>13399</v>
      </c>
      <c r="Y8" s="13">
        <f>_xll.BDH("AMZN US Equity","IS_COGS_TO_FE_AND_PP_AND_G","FQ3 2014","FQ3 2014","Currency=USD","Period=FQ","BEST_FPERIOD_OVERRIDE=FQ","FILING_STATUS=MR","SCALING_FORMAT=MLN","FA_ADJUSTED=Adjusted","Sort=A","Dates=H","DateFormat=P","Fill=—","Direction=H","UseDPDF=Y")</f>
        <v>14457</v>
      </c>
      <c r="Z8" s="13">
        <f>_xll.BDH("AMZN US Equity","IS_COGS_TO_FE_AND_PP_AND_G","FQ4 2014","FQ4 2014","Currency=USD","Period=FQ","BEST_FPERIOD_OVERRIDE=FQ","FILING_STATUS=MR","SCALING_FORMAT=MLN","FA_ADJUSTED=Adjusted","Sort=A","Dates=H","DateFormat=P","Fill=—","Direction=H","UseDPDF=Y")</f>
        <v>20671</v>
      </c>
      <c r="AA8" s="13">
        <f>_xll.BDH("AMZN US Equity","IS_COGS_TO_FE_AND_PP_AND_G","FQ1 2015","FQ1 2015","Currency=USD","Period=FQ","BEST_FPERIOD_OVERRIDE=FQ","FILING_STATUS=MR","SCALING_FORMAT=MLN","FA_ADJUSTED=Adjusted","Sort=A","Dates=H","DateFormat=P","Fill=—","Direction=H","UseDPDF=Y")</f>
        <v>15395</v>
      </c>
      <c r="AB8" s="13">
        <f>_xll.BDH("AMZN US Equity","IS_COGS_TO_FE_AND_PP_AND_G","FQ2 2015","FQ2 2015","Currency=USD","Period=FQ","BEST_FPERIOD_OVERRIDE=FQ","FILING_STATUS=MR","SCALING_FORMAT=MLN","FA_ADJUSTED=Adjusted","Sort=A","Dates=H","DateFormat=P","Fill=—","Direction=H","UseDPDF=Y")</f>
        <v>15160</v>
      </c>
      <c r="AC8" s="13">
        <f>_xll.BDH("AMZN US Equity","IS_COGS_TO_FE_AND_PP_AND_G","FQ3 2015","FQ3 2015","Currency=USD","Period=FQ","BEST_FPERIOD_OVERRIDE=FQ","FILING_STATUS=MR","SCALING_FORMAT=MLN","FA_ADJUSTED=Adjusted","Sort=A","Dates=H","DateFormat=P","Fill=—","Direction=H","UseDPDF=Y")</f>
        <v>16755</v>
      </c>
      <c r="AD8" s="13">
        <f>_xll.BDH("AMZN US Equity","IS_COGS_TO_FE_AND_PP_AND_G","FQ4 2015","FQ4 2015","Currency=USD","Period=FQ","BEST_FPERIOD_OVERRIDE=FQ","FILING_STATUS=MR","SCALING_FORMAT=MLN","FA_ADJUSTED=Adjusted","Sort=A","Dates=H","DateFormat=P","Fill=—","Direction=H","UseDPDF=Y")</f>
        <v>24341</v>
      </c>
      <c r="AE8" s="13">
        <f>_xll.BDH("AMZN US Equity","IS_COGS_TO_FE_AND_PP_AND_G","FQ1 2016","FQ1 2016","Currency=USD","Period=FQ","BEST_FPERIOD_OVERRIDE=FQ","FILING_STATUS=MR","SCALING_FORMAT=MLN","FA_ADJUSTED=Adjusted","Sort=A","Dates=H","DateFormat=P","Fill=—","Direction=H","UseDPDF=Y")</f>
        <v>18866</v>
      </c>
      <c r="AF8" s="13">
        <f>_xll.BDH("AMZN US Equity","IS_COGS_TO_FE_AND_PP_AND_G","FQ2 2016","FQ2 2016","Currency=USD","Period=FQ","BEST_FPERIOD_OVERRIDE=FQ","FILING_STATUS=MR","SCALING_FORMAT=MLN","FA_ADJUSTED=Adjusted","Sort=A","Dates=H","DateFormat=P","Fill=—","Direction=H","UseDPDF=Y")</f>
        <v>19180</v>
      </c>
      <c r="AG8" s="13">
        <f>_xll.BDH("AMZN US Equity","IS_COGS_TO_FE_AND_PP_AND_G","FQ3 2016","FQ3 2016","Currency=USD","Period=FQ","BEST_FPERIOD_OVERRIDE=FQ","FILING_STATUS=MR","SCALING_FORMAT=MLN","FA_ADJUSTED=Adjusted","Sort=A","Dates=H","DateFormat=P","Fill=—","Direction=H","UseDPDF=Y")</f>
        <v>21260</v>
      </c>
      <c r="AH8" s="13">
        <f>_xll.BDH("AMZN US Equity","IS_COGS_TO_FE_AND_PP_AND_G","FQ4 2016","FQ4 2016","Currency=USD","Period=FQ","BEST_FPERIOD_OVERRIDE=FQ","FILING_STATUS=MR","SCALING_FORMAT=MLN","FA_ADJUSTED=Adjusted","Sort=A","Dates=H","DateFormat=P","Fill=—","Direction=H","UseDPDF=Y")</f>
        <v>28958</v>
      </c>
      <c r="AI8" s="13">
        <f>_xll.BDH("AMZN US Equity","IS_COGS_TO_FE_AND_PP_AND_G","FQ1 2017","FQ1 2017","Currency=USD","Period=FQ","BEST_FPERIOD_OVERRIDE=FQ","FILING_STATUS=MR","SCALING_FORMAT=MLN","FA_ADJUSTED=Adjusted","Sort=A","Dates=H","DateFormat=P","Fill=—","Direction=H","UseDPDF=Y")</f>
        <v>22440</v>
      </c>
      <c r="AJ8" s="13">
        <f>_xll.BDH("AMZN US Equity","IS_COGS_TO_FE_AND_PP_AND_G","FQ2 2017","FQ2 2017","Currency=USD","Period=FQ","BEST_FPERIOD_OVERRIDE=FQ","FILING_STATUS=MR","SCALING_FORMAT=MLN","FA_ADJUSTED=Adjusted","Sort=A","Dates=H","DateFormat=P","Fill=—","Direction=H","UseDPDF=Y")</f>
        <v>23451</v>
      </c>
      <c r="AK8" s="13">
        <f>_xll.BDH("AMZN US Equity","IS_COGS_TO_FE_AND_PP_AND_G","FQ3 2017","FQ3 2017","Currency=USD","Period=FQ","BEST_FPERIOD_OVERRIDE=FQ","FILING_STATUS=MR","SCALING_FORMAT=MLN","FA_ADJUSTED=Adjusted","Sort=A","Dates=H","DateFormat=P","Fill=—","Direction=H","UseDPDF=Y")</f>
        <v>27549</v>
      </c>
      <c r="AL8" s="13">
        <f>_xll.BDH("AMZN US Equity","IS_COGS_TO_FE_AND_PP_AND_G","FQ4 2017","FQ4 2017","Currency=USD","Period=FQ","BEST_FPERIOD_OVERRIDE=FQ","FILING_STATUS=MR","SCALING_FORMAT=MLN","FA_ADJUSTED=Adjusted","Sort=A","Dates=H","DateFormat=P","Fill=—","Direction=H","UseDPDF=Y")</f>
        <v>38494</v>
      </c>
      <c r="AM8" s="13">
        <f>_xll.BDH("AMZN US Equity","IS_COGS_TO_FE_AND_PP_AND_G","FQ1 2018","FQ1 2018","Currency=USD","Period=FQ","BEST_FPERIOD_OVERRIDE=FQ","FILING_STATUS=MR","SCALING_FORMAT=MLN","FA_ADJUSTED=Adjusted","Sort=A","Dates=H","DateFormat=P","Fill=—","Direction=H","UseDPDF=Y")</f>
        <v>30735</v>
      </c>
      <c r="AN8" s="13">
        <f>_xll.BDH("AMZN US Equity","IS_COGS_TO_FE_AND_PP_AND_G","FQ2 2018","FQ2 2018","Currency=USD","Period=FQ","BEST_FPERIOD_OVERRIDE=FQ","FILING_STATUS=MR","SCALING_FORMAT=MLN","FA_ADJUSTED=Adjusted","Sort=A","Dates=H","DateFormat=P","Fill=—","Direction=H","UseDPDF=Y")</f>
        <v>30632</v>
      </c>
      <c r="AO8" s="13"/>
      <c r="AP8" s="13"/>
    </row>
    <row r="9" spans="1:42" x14ac:dyDescent="0.25">
      <c r="A9" s="10" t="s">
        <v>93</v>
      </c>
      <c r="B9" s="10" t="s">
        <v>94</v>
      </c>
      <c r="C9" s="13">
        <f>_xll.BDH("AMZN US Equity","IS_COG_AND_SERVICES_SOLD","FQ1 2009","FQ1 2009","Currency=USD","Period=FQ","BEST_FPERIOD_OVERRIDE=FQ","FILING_STATUS=MR","SCALING_FORMAT=MLN","FA_ADJUSTED=Adjusted","Sort=A","Dates=H","DateFormat=P","Fill=—","Direction=H","UseDPDF=Y")</f>
        <v>3741</v>
      </c>
      <c r="D9" s="13">
        <f>_xll.BDH("AMZN US Equity","IS_COG_AND_SERVICES_SOLD","FQ2 2009","FQ2 2009","Currency=USD","Period=FQ","BEST_FPERIOD_OVERRIDE=FQ","FILING_STATUS=MR","SCALING_FORMAT=MLN","FA_ADJUSTED=Adjusted","Sort=A","Dates=H","DateFormat=P","Fill=—","Direction=H","UseDPDF=Y")</f>
        <v>3518</v>
      </c>
      <c r="E9" s="13">
        <f>_xll.BDH("AMZN US Equity","IS_COG_AND_SERVICES_SOLD","FQ3 2009","FQ3 2009","Currency=USD","Period=FQ","BEST_FPERIOD_OVERRIDE=FQ","FILING_STATUS=MR","SCALING_FORMAT=MLN","FA_ADJUSTED=Adjusted","Sort=A","Dates=H","DateFormat=P","Fill=—","Direction=H","UseDPDF=Y")</f>
        <v>4176</v>
      </c>
      <c r="F9" s="13">
        <f>_xll.BDH("AMZN US Equity","IS_COG_AND_SERVICES_SOLD","FQ4 2009","FQ4 2009","Currency=USD","Period=FQ","BEST_FPERIOD_OVERRIDE=FQ","FILING_STATUS=MR","SCALING_FORMAT=MLN","FA_ADJUSTED=Adjusted","Sort=A","Dates=H","DateFormat=P","Fill=—","Direction=H","UseDPDF=Y")</f>
        <v>7543</v>
      </c>
      <c r="G9" s="13">
        <f>_xll.BDH("AMZN US Equity","IS_COG_AND_SERVICES_SOLD","FQ1 2010","FQ1 2010","Currency=USD","Period=FQ","BEST_FPERIOD_OVERRIDE=FQ","FILING_STATUS=MR","SCALING_FORMAT=MLN","FA_ADJUSTED=Adjusted","Sort=A","Dates=H","DateFormat=P","Fill=—","Direction=H","UseDPDF=Y")</f>
        <v>5501</v>
      </c>
      <c r="H9" s="13">
        <f>_xll.BDH("AMZN US Equity","IS_COG_AND_SERVICES_SOLD","FQ2 2010","FQ2 2010","Currency=USD","Period=FQ","BEST_FPERIOD_OVERRIDE=FQ","FILING_STATUS=MR","SCALING_FORMAT=MLN","FA_ADJUSTED=Adjusted","Sort=A","Dates=H","DateFormat=P","Fill=—","Direction=H","UseDPDF=Y")</f>
        <v>4957</v>
      </c>
      <c r="I9" s="13">
        <f>_xll.BDH("AMZN US Equity","IS_COG_AND_SERVICES_SOLD","FQ3 2010","FQ3 2010","Currency=USD","Period=FQ","BEST_FPERIOD_OVERRIDE=FQ","FILING_STATUS=MR","SCALING_FORMAT=MLN","FA_ADJUSTED=Adjusted","Sort=A","Dates=H","DateFormat=P","Fill=—","Direction=H","UseDPDF=Y")</f>
        <v>5786</v>
      </c>
      <c r="J9" s="13">
        <f>_xll.BDH("AMZN US Equity","IS_COG_AND_SERVICES_SOLD","FQ4 2010","FQ4 2010","Currency=USD","Period=FQ","BEST_FPERIOD_OVERRIDE=FQ","FILING_STATUS=MR","SCALING_FORMAT=MLN","FA_ADJUSTED=Adjusted","Sort=A","Dates=H","DateFormat=P","Fill=—","Direction=H","UseDPDF=Y")</f>
        <v>10317</v>
      </c>
      <c r="K9" s="13">
        <f>_xll.BDH("AMZN US Equity","IS_COG_AND_SERVICES_SOLD","FQ1 2011","FQ1 2011","Currency=USD","Period=FQ","BEST_FPERIOD_OVERRIDE=FQ","FILING_STATUS=MR","SCALING_FORMAT=MLN","FA_ADJUSTED=Adjusted","Sort=A","Dates=H","DateFormat=P","Fill=—","Direction=H","UseDPDF=Y")</f>
        <v>7608</v>
      </c>
      <c r="L9" s="13">
        <f>_xll.BDH("AMZN US Equity","IS_COG_AND_SERVICES_SOLD","FQ2 2011","FQ2 2011","Currency=USD","Period=FQ","BEST_FPERIOD_OVERRIDE=FQ","FILING_STATUS=MR","SCALING_FORMAT=MLN","FA_ADJUSTED=Adjusted","Sort=A","Dates=H","DateFormat=P","Fill=—","Direction=H","UseDPDF=Y")</f>
        <v>7525</v>
      </c>
      <c r="M9" s="13">
        <f>_xll.BDH("AMZN US Equity","IS_COG_AND_SERVICES_SOLD","FQ3 2011","FQ3 2011","Currency=USD","Period=FQ","BEST_FPERIOD_OVERRIDE=FQ","FILING_STATUS=MR","SCALING_FORMAT=MLN","FA_ADJUSTED=Adjusted","Sort=A","Dates=H","DateFormat=P","Fill=—","Direction=H","UseDPDF=Y")</f>
        <v>8325</v>
      </c>
      <c r="N9" s="13">
        <f>_xll.BDH("AMZN US Equity","IS_COG_AND_SERVICES_SOLD","FQ4 2011","FQ4 2011","Currency=USD","Period=FQ","BEST_FPERIOD_OVERRIDE=FQ","FILING_STATUS=MR","SCALING_FORMAT=MLN","FA_ADJUSTED=Adjusted","Sort=A","Dates=H","DateFormat=P","Fill=—","Direction=H","UseDPDF=Y")</f>
        <v>13830</v>
      </c>
      <c r="O9" s="13">
        <f>_xll.BDH("AMZN US Equity","IS_COG_AND_SERVICES_SOLD","FQ1 2012","FQ1 2012","Currency=USD","Period=FQ","BEST_FPERIOD_OVERRIDE=FQ","FILING_STATUS=MR","SCALING_FORMAT=MLN","FA_ADJUSTED=Adjusted","Sort=A","Dates=H","DateFormat=P","Fill=—","Direction=H","UseDPDF=Y")</f>
        <v>10027</v>
      </c>
      <c r="P9" s="13">
        <f>_xll.BDH("AMZN US Equity","IS_COG_AND_SERVICES_SOLD","FQ2 2012","FQ2 2012","Currency=USD","Period=FQ","BEST_FPERIOD_OVERRIDE=FQ","FILING_STATUS=MR","SCALING_FORMAT=MLN","FA_ADJUSTED=Adjusted","Sort=A","Dates=H","DateFormat=P","Fill=—","Direction=H","UseDPDF=Y")</f>
        <v>9488</v>
      </c>
      <c r="Q9" s="13">
        <f>_xll.BDH("AMZN US Equity","IS_COG_AND_SERVICES_SOLD","FQ3 2012","FQ3 2012","Currency=USD","Period=FQ","BEST_FPERIOD_OVERRIDE=FQ","FILING_STATUS=MR","SCALING_FORMAT=MLN","FA_ADJUSTED=Adjusted","Sort=A","Dates=H","DateFormat=P","Fill=—","Direction=H","UseDPDF=Y")</f>
        <v>10319</v>
      </c>
      <c r="R9" s="13">
        <f>_xll.BDH("AMZN US Equity","IS_COG_AND_SERVICES_SOLD","FQ4 2012","FQ4 2012","Currency=USD","Period=FQ","BEST_FPERIOD_OVERRIDE=FQ","FILING_STATUS=MR","SCALING_FORMAT=MLN","FA_ADJUSTED=Adjusted","Sort=A","Dates=H","DateFormat=P","Fill=—","Direction=H","UseDPDF=Y")</f>
        <v>16136</v>
      </c>
      <c r="S9" s="13">
        <f>_xll.BDH("AMZN US Equity","IS_COG_AND_SERVICES_SOLD","FQ1 2013","FQ1 2013","Currency=USD","Period=FQ","BEST_FPERIOD_OVERRIDE=FQ","FILING_STATUS=MR","SCALING_FORMAT=MLN","FA_ADJUSTED=Adjusted","Sort=A","Dates=H","DateFormat=P","Fill=—","Direction=H","UseDPDF=Y")</f>
        <v>11801</v>
      </c>
      <c r="T9" s="13">
        <f>_xll.BDH("AMZN US Equity","IS_COG_AND_SERVICES_SOLD","FQ2 2013","FQ2 2013","Currency=USD","Period=FQ","BEST_FPERIOD_OVERRIDE=FQ","FILING_STATUS=MR","SCALING_FORMAT=MLN","FA_ADJUSTED=Adjusted","Sort=A","Dates=H","DateFormat=P","Fill=—","Direction=H","UseDPDF=Y")</f>
        <v>11209</v>
      </c>
      <c r="U9" s="13">
        <f>_xll.BDH("AMZN US Equity","IS_COG_AND_SERVICES_SOLD","FQ3 2013","FQ3 2013","Currency=USD","Period=FQ","BEST_FPERIOD_OVERRIDE=FQ","FILING_STATUS=MR","SCALING_FORMAT=MLN","FA_ADJUSTED=Adjusted","Sort=A","Dates=H","DateFormat=P","Fill=—","Direction=H","UseDPDF=Y")</f>
        <v>12366</v>
      </c>
      <c r="V9" s="13">
        <f>_xll.BDH("AMZN US Equity","IS_COG_AND_SERVICES_SOLD","FQ4 2013","FQ4 2013","Currency=USD","Period=FQ","BEST_FPERIOD_OVERRIDE=FQ","FILING_STATUS=MR","SCALING_FORMAT=MLN","FA_ADJUSTED=Adjusted","Sort=A","Dates=H","DateFormat=P","Fill=—","Direction=H","UseDPDF=Y")</f>
        <v>18806</v>
      </c>
      <c r="W9" s="13">
        <f>_xll.BDH("AMZN US Equity","IS_COG_AND_SERVICES_SOLD","FQ1 2014","FQ1 2014","Currency=USD","Period=FQ","BEST_FPERIOD_OVERRIDE=FQ","FILING_STATUS=MR","SCALING_FORMAT=MLN","FA_ADJUSTED=Adjusted","Sort=A","Dates=H","DateFormat=P","Fill=—","Direction=H","UseDPDF=Y")</f>
        <v>14055</v>
      </c>
      <c r="X9" s="13">
        <f>_xll.BDH("AMZN US Equity","IS_COG_AND_SERVICES_SOLD","FQ2 2014","FQ2 2014","Currency=USD","Period=FQ","BEST_FPERIOD_OVERRIDE=FQ","FILING_STATUS=MR","SCALING_FORMAT=MLN","FA_ADJUSTED=Adjusted","Sort=A","Dates=H","DateFormat=P","Fill=—","Direction=H","UseDPDF=Y")</f>
        <v>13399</v>
      </c>
      <c r="Y9" s="13">
        <f>_xll.BDH("AMZN US Equity","IS_COG_AND_SERVICES_SOLD","FQ3 2014","FQ3 2014","Currency=USD","Period=FQ","BEST_FPERIOD_OVERRIDE=FQ","FILING_STATUS=MR","SCALING_FORMAT=MLN","FA_ADJUSTED=Adjusted","Sort=A","Dates=H","DateFormat=P","Fill=—","Direction=H","UseDPDF=Y")</f>
        <v>14457</v>
      </c>
      <c r="Z9" s="13">
        <f>_xll.BDH("AMZN US Equity","IS_COG_AND_SERVICES_SOLD","FQ4 2014","FQ4 2014","Currency=USD","Period=FQ","BEST_FPERIOD_OVERRIDE=FQ","FILING_STATUS=MR","SCALING_FORMAT=MLN","FA_ADJUSTED=Adjusted","Sort=A","Dates=H","DateFormat=P","Fill=—","Direction=H","UseDPDF=Y")</f>
        <v>20671</v>
      </c>
      <c r="AA9" s="13">
        <f>_xll.BDH("AMZN US Equity","IS_COG_AND_SERVICES_SOLD","FQ1 2015","FQ1 2015","Currency=USD","Period=FQ","BEST_FPERIOD_OVERRIDE=FQ","FILING_STATUS=MR","SCALING_FORMAT=MLN","FA_ADJUSTED=Adjusted","Sort=A","Dates=H","DateFormat=P","Fill=—","Direction=H","UseDPDF=Y")</f>
        <v>15395</v>
      </c>
      <c r="AB9" s="13">
        <f>_xll.BDH("AMZN US Equity","IS_COG_AND_SERVICES_SOLD","FQ2 2015","FQ2 2015","Currency=USD","Period=FQ","BEST_FPERIOD_OVERRIDE=FQ","FILING_STATUS=MR","SCALING_FORMAT=MLN","FA_ADJUSTED=Adjusted","Sort=A","Dates=H","DateFormat=P","Fill=—","Direction=H","UseDPDF=Y")</f>
        <v>15160</v>
      </c>
      <c r="AC9" s="13">
        <f>_xll.BDH("AMZN US Equity","IS_COG_AND_SERVICES_SOLD","FQ3 2015","FQ3 2015","Currency=USD","Period=FQ","BEST_FPERIOD_OVERRIDE=FQ","FILING_STATUS=MR","SCALING_FORMAT=MLN","FA_ADJUSTED=Adjusted","Sort=A","Dates=H","DateFormat=P","Fill=—","Direction=H","UseDPDF=Y")</f>
        <v>16755</v>
      </c>
      <c r="AD9" s="13">
        <f>_xll.BDH("AMZN US Equity","IS_COG_AND_SERVICES_SOLD","FQ4 2015","FQ4 2015","Currency=USD","Period=FQ","BEST_FPERIOD_OVERRIDE=FQ","FILING_STATUS=MR","SCALING_FORMAT=MLN","FA_ADJUSTED=Adjusted","Sort=A","Dates=H","DateFormat=P","Fill=—","Direction=H","UseDPDF=Y")</f>
        <v>24341</v>
      </c>
      <c r="AE9" s="13">
        <f>_xll.BDH("AMZN US Equity","IS_COG_AND_SERVICES_SOLD","FQ1 2016","FQ1 2016","Currency=USD","Period=FQ","BEST_FPERIOD_OVERRIDE=FQ","FILING_STATUS=MR","SCALING_FORMAT=MLN","FA_ADJUSTED=Adjusted","Sort=A","Dates=H","DateFormat=P","Fill=—","Direction=H","UseDPDF=Y")</f>
        <v>18866</v>
      </c>
      <c r="AF9" s="13">
        <f>_xll.BDH("AMZN US Equity","IS_COG_AND_SERVICES_SOLD","FQ2 2016","FQ2 2016","Currency=USD","Period=FQ","BEST_FPERIOD_OVERRIDE=FQ","FILING_STATUS=MR","SCALING_FORMAT=MLN","FA_ADJUSTED=Adjusted","Sort=A","Dates=H","DateFormat=P","Fill=—","Direction=H","UseDPDF=Y")</f>
        <v>19180</v>
      </c>
      <c r="AG9" s="13">
        <f>_xll.BDH("AMZN US Equity","IS_COG_AND_SERVICES_SOLD","FQ3 2016","FQ3 2016","Currency=USD","Period=FQ","BEST_FPERIOD_OVERRIDE=FQ","FILING_STATUS=MR","SCALING_FORMAT=MLN","FA_ADJUSTED=Adjusted","Sort=A","Dates=H","DateFormat=P","Fill=—","Direction=H","UseDPDF=Y")</f>
        <v>21260</v>
      </c>
      <c r="AH9" s="13">
        <f>_xll.BDH("AMZN US Equity","IS_COG_AND_SERVICES_SOLD","FQ4 2016","FQ4 2016","Currency=USD","Period=FQ","BEST_FPERIOD_OVERRIDE=FQ","FILING_STATUS=MR","SCALING_FORMAT=MLN","FA_ADJUSTED=Adjusted","Sort=A","Dates=H","DateFormat=P","Fill=—","Direction=H","UseDPDF=Y")</f>
        <v>28958</v>
      </c>
      <c r="AI9" s="13">
        <f>_xll.BDH("AMZN US Equity","IS_COG_AND_SERVICES_SOLD","FQ1 2017","FQ1 2017","Currency=USD","Period=FQ","BEST_FPERIOD_OVERRIDE=FQ","FILING_STATUS=MR","SCALING_FORMAT=MLN","FA_ADJUSTED=Adjusted","Sort=A","Dates=H","DateFormat=P","Fill=—","Direction=H","UseDPDF=Y")</f>
        <v>22440</v>
      </c>
      <c r="AJ9" s="13">
        <f>_xll.BDH("AMZN US Equity","IS_COG_AND_SERVICES_SOLD","FQ2 2017","FQ2 2017","Currency=USD","Period=FQ","BEST_FPERIOD_OVERRIDE=FQ","FILING_STATUS=MR","SCALING_FORMAT=MLN","FA_ADJUSTED=Adjusted","Sort=A","Dates=H","DateFormat=P","Fill=—","Direction=H","UseDPDF=Y")</f>
        <v>23451</v>
      </c>
      <c r="AK9" s="13">
        <f>_xll.BDH("AMZN US Equity","IS_COG_AND_SERVICES_SOLD","FQ3 2017","FQ3 2017","Currency=USD","Period=FQ","BEST_FPERIOD_OVERRIDE=FQ","FILING_STATUS=MR","SCALING_FORMAT=MLN","FA_ADJUSTED=Adjusted","Sort=A","Dates=H","DateFormat=P","Fill=—","Direction=H","UseDPDF=Y")</f>
        <v>27549</v>
      </c>
      <c r="AL9" s="13">
        <f>_xll.BDH("AMZN US Equity","IS_COG_AND_SERVICES_SOLD","FQ4 2017","FQ4 2017","Currency=USD","Period=FQ","BEST_FPERIOD_OVERRIDE=FQ","FILING_STATUS=MR","SCALING_FORMAT=MLN","FA_ADJUSTED=Adjusted","Sort=A","Dates=H","DateFormat=P","Fill=—","Direction=H","UseDPDF=Y")</f>
        <v>38494</v>
      </c>
      <c r="AM9" s="13">
        <f>_xll.BDH("AMZN US Equity","IS_COG_AND_SERVICES_SOLD","FQ1 2018","FQ1 2018","Currency=USD","Period=FQ","BEST_FPERIOD_OVERRIDE=FQ","FILING_STATUS=MR","SCALING_FORMAT=MLN","FA_ADJUSTED=Adjusted","Sort=A","Dates=H","DateFormat=P","Fill=—","Direction=H","UseDPDF=Y")</f>
        <v>30735</v>
      </c>
      <c r="AN9" s="13">
        <f>_xll.BDH("AMZN US Equity","IS_COG_AND_SERVICES_SOLD","FQ2 2018","FQ2 2018","Currency=USD","Period=FQ","BEST_FPERIOD_OVERRIDE=FQ","FILING_STATUS=MR","SCALING_FORMAT=MLN","FA_ADJUSTED=Adjusted","Sort=A","Dates=H","DateFormat=P","Fill=—","Direction=H","UseDPDF=Y")</f>
        <v>30632</v>
      </c>
      <c r="AO9" s="13"/>
      <c r="AP9" s="13"/>
    </row>
    <row r="10" spans="1:42" x14ac:dyDescent="0.25">
      <c r="A10" s="6" t="s">
        <v>1</v>
      </c>
      <c r="B10" s="6" t="s">
        <v>95</v>
      </c>
      <c r="C10" s="17">
        <f>_xll.BDH("AMZN US Equity","GROSS_PROFIT","FQ1 2009","FQ1 2009","Currency=USD","Period=FQ","BEST_FPERIOD_OVERRIDE=FQ","FILING_STATUS=MR","SCALING_FORMAT=MLN","FA_ADJUSTED=Adjusted","Sort=A","Dates=H","DateFormat=P","Fill=—","Direction=H","UseDPDF=Y")</f>
        <v>1148</v>
      </c>
      <c r="D10" s="17">
        <f>_xll.BDH("AMZN US Equity","GROSS_PROFIT","FQ2 2009","FQ2 2009","Currency=USD","Period=FQ","BEST_FPERIOD_OVERRIDE=FQ","FILING_STATUS=MR","SCALING_FORMAT=MLN","FA_ADJUSTED=Adjusted","Sort=A","Dates=H","DateFormat=P","Fill=—","Direction=H","UseDPDF=Y")</f>
        <v>1133</v>
      </c>
      <c r="E10" s="17">
        <f>_xll.BDH("AMZN US Equity","GROSS_PROFIT","FQ3 2009","FQ3 2009","Currency=USD","Period=FQ","BEST_FPERIOD_OVERRIDE=FQ","FILING_STATUS=MR","SCALING_FORMAT=MLN","FA_ADJUSTED=Adjusted","Sort=A","Dates=H","DateFormat=P","Fill=—","Direction=H","UseDPDF=Y")</f>
        <v>1273</v>
      </c>
      <c r="F10" s="17">
        <f>_xll.BDH("AMZN US Equity","GROSS_PROFIT","FQ4 2009","FQ4 2009","Currency=USD","Period=FQ","BEST_FPERIOD_OVERRIDE=FQ","FILING_STATUS=MR","SCALING_FORMAT=MLN","FA_ADJUSTED=Adjusted","Sort=A","Dates=H","DateFormat=P","Fill=—","Direction=H","UseDPDF=Y")</f>
        <v>1976</v>
      </c>
      <c r="G10" s="17">
        <f>_xll.BDH("AMZN US Equity","GROSS_PROFIT","FQ1 2010","FQ1 2010","Currency=USD","Period=FQ","BEST_FPERIOD_OVERRIDE=FQ","FILING_STATUS=MR","SCALING_FORMAT=MLN","FA_ADJUSTED=Adjusted","Sort=A","Dates=H","DateFormat=P","Fill=—","Direction=H","UseDPDF=Y")</f>
        <v>1630</v>
      </c>
      <c r="H10" s="17">
        <f>_xll.BDH("AMZN US Equity","GROSS_PROFIT","FQ2 2010","FQ2 2010","Currency=USD","Period=FQ","BEST_FPERIOD_OVERRIDE=FQ","FILING_STATUS=MR","SCALING_FORMAT=MLN","FA_ADJUSTED=Adjusted","Sort=A","Dates=H","DateFormat=P","Fill=—","Direction=H","UseDPDF=Y")</f>
        <v>1609</v>
      </c>
      <c r="I10" s="17">
        <f>_xll.BDH("AMZN US Equity","GROSS_PROFIT","FQ3 2010","FQ3 2010","Currency=USD","Period=FQ","BEST_FPERIOD_OVERRIDE=FQ","FILING_STATUS=MR","SCALING_FORMAT=MLN","FA_ADJUSTED=Adjusted","Sort=A","Dates=H","DateFormat=P","Fill=—","Direction=H","UseDPDF=Y")</f>
        <v>1774</v>
      </c>
      <c r="J10" s="17">
        <f>_xll.BDH("AMZN US Equity","GROSS_PROFIT","FQ4 2010","FQ4 2010","Currency=USD","Period=FQ","BEST_FPERIOD_OVERRIDE=FQ","FILING_STATUS=MR","SCALING_FORMAT=MLN","FA_ADJUSTED=Adjusted","Sort=A","Dates=H","DateFormat=P","Fill=—","Direction=H","UseDPDF=Y")</f>
        <v>2631</v>
      </c>
      <c r="K10" s="17">
        <f>_xll.BDH("AMZN US Equity","GROSS_PROFIT","FQ1 2011","FQ1 2011","Currency=USD","Period=FQ","BEST_FPERIOD_OVERRIDE=FQ","FILING_STATUS=MR","SCALING_FORMAT=MLN","FA_ADJUSTED=Adjusted","Sort=A","Dates=H","DateFormat=P","Fill=—","Direction=H","UseDPDF=Y")</f>
        <v>2249</v>
      </c>
      <c r="L10" s="17">
        <f>_xll.BDH("AMZN US Equity","GROSS_PROFIT","FQ2 2011","FQ2 2011","Currency=USD","Period=FQ","BEST_FPERIOD_OVERRIDE=FQ","FILING_STATUS=MR","SCALING_FORMAT=MLN","FA_ADJUSTED=Adjusted","Sort=A","Dates=H","DateFormat=P","Fill=—","Direction=H","UseDPDF=Y")</f>
        <v>2388</v>
      </c>
      <c r="M10" s="17">
        <f>_xll.BDH("AMZN US Equity","GROSS_PROFIT","FQ3 2011","FQ3 2011","Currency=USD","Period=FQ","BEST_FPERIOD_OVERRIDE=FQ","FILING_STATUS=MR","SCALING_FORMAT=MLN","FA_ADJUSTED=Adjusted","Sort=A","Dates=H","DateFormat=P","Fill=—","Direction=H","UseDPDF=Y")</f>
        <v>2551</v>
      </c>
      <c r="N10" s="17">
        <f>_xll.BDH("AMZN US Equity","GROSS_PROFIT","FQ4 2011","FQ4 2011","Currency=USD","Period=FQ","BEST_FPERIOD_OVERRIDE=FQ","FILING_STATUS=MR","SCALING_FORMAT=MLN","FA_ADJUSTED=Adjusted","Sort=A","Dates=H","DateFormat=P","Fill=—","Direction=H","UseDPDF=Y")</f>
        <v>3601</v>
      </c>
      <c r="O10" s="17">
        <f>_xll.BDH("AMZN US Equity","GROSS_PROFIT","FQ1 2012","FQ1 2012","Currency=USD","Period=FQ","BEST_FPERIOD_OVERRIDE=FQ","FILING_STATUS=MR","SCALING_FORMAT=MLN","FA_ADJUSTED=Adjusted","Sort=A","Dates=H","DateFormat=P","Fill=—","Direction=H","UseDPDF=Y")</f>
        <v>3158</v>
      </c>
      <c r="P10" s="17">
        <f>_xll.BDH("AMZN US Equity","GROSS_PROFIT","FQ2 2012","FQ2 2012","Currency=USD","Period=FQ","BEST_FPERIOD_OVERRIDE=FQ","FILING_STATUS=MR","SCALING_FORMAT=MLN","FA_ADJUSTED=Adjusted","Sort=A","Dates=H","DateFormat=P","Fill=—","Direction=H","UseDPDF=Y")</f>
        <v>3346</v>
      </c>
      <c r="Q10" s="17">
        <f>_xll.BDH("AMZN US Equity","GROSS_PROFIT","FQ3 2012","FQ3 2012","Currency=USD","Period=FQ","BEST_FPERIOD_OVERRIDE=FQ","FILING_STATUS=MR","SCALING_FORMAT=MLN","FA_ADJUSTED=Adjusted","Sort=A","Dates=H","DateFormat=P","Fill=—","Direction=H","UseDPDF=Y")</f>
        <v>3487</v>
      </c>
      <c r="R10" s="17">
        <f>_xll.BDH("AMZN US Equity","GROSS_PROFIT","FQ4 2012","FQ4 2012","Currency=USD","Period=FQ","BEST_FPERIOD_OVERRIDE=FQ","FILING_STATUS=MR","SCALING_FORMAT=MLN","FA_ADJUSTED=Adjusted","Sort=A","Dates=H","DateFormat=P","Fill=—","Direction=H","UseDPDF=Y")</f>
        <v>5132</v>
      </c>
      <c r="S10" s="17">
        <f>_xll.BDH("AMZN US Equity","GROSS_PROFIT","FQ1 2013","FQ1 2013","Currency=USD","Period=FQ","BEST_FPERIOD_OVERRIDE=FQ","FILING_STATUS=MR","SCALING_FORMAT=MLN","FA_ADJUSTED=Adjusted","Sort=A","Dates=H","DateFormat=P","Fill=—","Direction=H","UseDPDF=Y")</f>
        <v>4269</v>
      </c>
      <c r="T10" s="17">
        <f>_xll.BDH("AMZN US Equity","GROSS_PROFIT","FQ2 2013","FQ2 2013","Currency=USD","Period=FQ","BEST_FPERIOD_OVERRIDE=FQ","FILING_STATUS=MR","SCALING_FORMAT=MLN","FA_ADJUSTED=Adjusted","Sort=A","Dates=H","DateFormat=P","Fill=—","Direction=H","UseDPDF=Y")</f>
        <v>4495</v>
      </c>
      <c r="U10" s="17">
        <f>_xll.BDH("AMZN US Equity","GROSS_PROFIT","FQ3 2013","FQ3 2013","Currency=USD","Period=FQ","BEST_FPERIOD_OVERRIDE=FQ","FILING_STATUS=MR","SCALING_FORMAT=MLN","FA_ADJUSTED=Adjusted","Sort=A","Dates=H","DateFormat=P","Fill=—","Direction=H","UseDPDF=Y")</f>
        <v>4726</v>
      </c>
      <c r="V10" s="17">
        <f>_xll.BDH("AMZN US Equity","GROSS_PROFIT","FQ4 2013","FQ4 2013","Currency=USD","Period=FQ","BEST_FPERIOD_OVERRIDE=FQ","FILING_STATUS=MR","SCALING_FORMAT=MLN","FA_ADJUSTED=Adjusted","Sort=A","Dates=H","DateFormat=P","Fill=—","Direction=H","UseDPDF=Y")</f>
        <v>6781</v>
      </c>
      <c r="W10" s="17">
        <f>_xll.BDH("AMZN US Equity","GROSS_PROFIT","FQ1 2014","FQ1 2014","Currency=USD","Period=FQ","BEST_FPERIOD_OVERRIDE=FQ","FILING_STATUS=MR","SCALING_FORMAT=MLN","FA_ADJUSTED=Adjusted","Sort=A","Dates=H","DateFormat=P","Fill=—","Direction=H","UseDPDF=Y")</f>
        <v>5686</v>
      </c>
      <c r="X10" s="17">
        <f>_xll.BDH("AMZN US Equity","GROSS_PROFIT","FQ2 2014","FQ2 2014","Currency=USD","Period=FQ","BEST_FPERIOD_OVERRIDE=FQ","FILING_STATUS=MR","SCALING_FORMAT=MLN","FA_ADJUSTED=Adjusted","Sort=A","Dates=H","DateFormat=P","Fill=—","Direction=H","UseDPDF=Y")</f>
        <v>5941</v>
      </c>
      <c r="Y10" s="17">
        <f>_xll.BDH("AMZN US Equity","GROSS_PROFIT","FQ3 2014","FQ3 2014","Currency=USD","Period=FQ","BEST_FPERIOD_OVERRIDE=FQ","FILING_STATUS=MR","SCALING_FORMAT=MLN","FA_ADJUSTED=Adjusted","Sort=A","Dates=H","DateFormat=P","Fill=—","Direction=H","UseDPDF=Y")</f>
        <v>6122</v>
      </c>
      <c r="Z10" s="17">
        <f>_xll.BDH("AMZN US Equity","GROSS_PROFIT","FQ4 2014","FQ4 2014","Currency=USD","Period=FQ","BEST_FPERIOD_OVERRIDE=FQ","FILING_STATUS=MR","SCALING_FORMAT=MLN","FA_ADJUSTED=Adjusted","Sort=A","Dates=H","DateFormat=P","Fill=—","Direction=H","UseDPDF=Y")</f>
        <v>8657</v>
      </c>
      <c r="AA10" s="17">
        <f>_xll.BDH("AMZN US Equity","GROSS_PROFIT","FQ1 2015","FQ1 2015","Currency=USD","Period=FQ","BEST_FPERIOD_OVERRIDE=FQ","FILING_STATUS=MR","SCALING_FORMAT=MLN","FA_ADJUSTED=Adjusted","Sort=A","Dates=H","DateFormat=P","Fill=—","Direction=H","UseDPDF=Y")</f>
        <v>7322</v>
      </c>
      <c r="AB10" s="17">
        <f>_xll.BDH("AMZN US Equity","GROSS_PROFIT","FQ2 2015","FQ2 2015","Currency=USD","Period=FQ","BEST_FPERIOD_OVERRIDE=FQ","FILING_STATUS=MR","SCALING_FORMAT=MLN","FA_ADJUSTED=Adjusted","Sort=A","Dates=H","DateFormat=P","Fill=—","Direction=H","UseDPDF=Y")</f>
        <v>8025</v>
      </c>
      <c r="AC10" s="17">
        <f>_xll.BDH("AMZN US Equity","GROSS_PROFIT","FQ3 2015","FQ3 2015","Currency=USD","Period=FQ","BEST_FPERIOD_OVERRIDE=FQ","FILING_STATUS=MR","SCALING_FORMAT=MLN","FA_ADJUSTED=Adjusted","Sort=A","Dates=H","DateFormat=P","Fill=—","Direction=H","UseDPDF=Y")</f>
        <v>8603</v>
      </c>
      <c r="AD10" s="17">
        <f>_xll.BDH("AMZN US Equity","GROSS_PROFIT","FQ4 2015","FQ4 2015","Currency=USD","Period=FQ","BEST_FPERIOD_OVERRIDE=FQ","FILING_STATUS=MR","SCALING_FORMAT=MLN","FA_ADJUSTED=Adjusted","Sort=A","Dates=H","DateFormat=P","Fill=—","Direction=H","UseDPDF=Y")</f>
        <v>11406</v>
      </c>
      <c r="AE10" s="17">
        <f>_xll.BDH("AMZN US Equity","GROSS_PROFIT","FQ1 2016","FQ1 2016","Currency=USD","Period=FQ","BEST_FPERIOD_OVERRIDE=FQ","FILING_STATUS=MR","SCALING_FORMAT=MLN","FA_ADJUSTED=Adjusted","Sort=A","Dates=H","DateFormat=P","Fill=—","Direction=H","UseDPDF=Y")</f>
        <v>10262</v>
      </c>
      <c r="AF10" s="17">
        <f>_xll.BDH("AMZN US Equity","GROSS_PROFIT","FQ2 2016","FQ2 2016","Currency=USD","Period=FQ","BEST_FPERIOD_OVERRIDE=FQ","FILING_STATUS=MR","SCALING_FORMAT=MLN","FA_ADJUSTED=Adjusted","Sort=A","Dates=H","DateFormat=P","Fill=—","Direction=H","UseDPDF=Y")</f>
        <v>11224</v>
      </c>
      <c r="AG10" s="17">
        <f>_xll.BDH("AMZN US Equity","GROSS_PROFIT","FQ3 2016","FQ3 2016","Currency=USD","Period=FQ","BEST_FPERIOD_OVERRIDE=FQ","FILING_STATUS=MR","SCALING_FORMAT=MLN","FA_ADJUSTED=Adjusted","Sort=A","Dates=H","DateFormat=P","Fill=—","Direction=H","UseDPDF=Y")</f>
        <v>11454</v>
      </c>
      <c r="AH10" s="17">
        <f>_xll.BDH("AMZN US Equity","GROSS_PROFIT","FQ4 2016","FQ4 2016","Currency=USD","Period=FQ","BEST_FPERIOD_OVERRIDE=FQ","FILING_STATUS=MR","SCALING_FORMAT=MLN","FA_ADJUSTED=Adjusted","Sort=A","Dates=H","DateFormat=P","Fill=—","Direction=H","UseDPDF=Y")</f>
        <v>14783</v>
      </c>
      <c r="AI10" s="17">
        <f>_xll.BDH("AMZN US Equity","GROSS_PROFIT","FQ1 2017","FQ1 2017","Currency=USD","Period=FQ","BEST_FPERIOD_OVERRIDE=FQ","FILING_STATUS=MR","SCALING_FORMAT=MLN","FA_ADJUSTED=Adjusted","Sort=A","Dates=H","DateFormat=P","Fill=—","Direction=H","UseDPDF=Y")</f>
        <v>13274</v>
      </c>
      <c r="AJ10" s="17">
        <f>_xll.BDH("AMZN US Equity","GROSS_PROFIT","FQ2 2017","FQ2 2017","Currency=USD","Period=FQ","BEST_FPERIOD_OVERRIDE=FQ","FILING_STATUS=MR","SCALING_FORMAT=MLN","FA_ADJUSTED=Adjusted","Sort=A","Dates=H","DateFormat=P","Fill=—","Direction=H","UseDPDF=Y")</f>
        <v>14504</v>
      </c>
      <c r="AK10" s="17">
        <f>_xll.BDH("AMZN US Equity","GROSS_PROFIT","FQ3 2017","FQ3 2017","Currency=USD","Period=FQ","BEST_FPERIOD_OVERRIDE=FQ","FILING_STATUS=MR","SCALING_FORMAT=MLN","FA_ADJUSTED=Adjusted","Sort=A","Dates=H","DateFormat=P","Fill=—","Direction=H","UseDPDF=Y")</f>
        <v>16195</v>
      </c>
      <c r="AL10" s="17">
        <f>_xll.BDH("AMZN US Equity","GROSS_PROFIT","FQ4 2017","FQ4 2017","Currency=USD","Period=FQ","BEST_FPERIOD_OVERRIDE=FQ","FILING_STATUS=MR","SCALING_FORMAT=MLN","FA_ADJUSTED=Adjusted","Sort=A","Dates=H","DateFormat=P","Fill=—","Direction=H","UseDPDF=Y")</f>
        <v>21959</v>
      </c>
      <c r="AM10" s="17">
        <f>_xll.BDH("AMZN US Equity","GROSS_PROFIT","FQ1 2018","FQ1 2018","Currency=USD","Period=FQ","BEST_FPERIOD_OVERRIDE=FQ","FILING_STATUS=MR","SCALING_FORMAT=MLN","FA_ADJUSTED=Adjusted","Sort=A","Dates=H","DateFormat=P","Fill=—","Direction=H","UseDPDF=Y")</f>
        <v>20307</v>
      </c>
      <c r="AN10" s="17">
        <f>_xll.BDH("AMZN US Equity","GROSS_PROFIT","FQ2 2018","FQ2 2018","Currency=USD","Period=FQ","BEST_FPERIOD_OVERRIDE=FQ","FILING_STATUS=MR","SCALING_FORMAT=MLN","FA_ADJUSTED=Adjusted","Sort=A","Dates=H","DateFormat=P","Fill=—","Direction=H","UseDPDF=Y")</f>
        <v>22254</v>
      </c>
      <c r="AO10" s="17">
        <v>22680.018581</v>
      </c>
      <c r="AP10" s="17">
        <v>28984.072684580002</v>
      </c>
    </row>
    <row r="11" spans="1:42" x14ac:dyDescent="0.25">
      <c r="A11" s="10" t="s">
        <v>96</v>
      </c>
      <c r="B11" s="10" t="s">
        <v>97</v>
      </c>
      <c r="C11" s="13">
        <f>_xll.BDH("AMZN US Equity","IS_OTHER_OPER_INC","FQ1 2009","FQ1 2009","Currency=USD","Period=FQ","BEST_FPERIOD_OVERRIDE=FQ","FILING_STATUS=MR","SCALING_FORMAT=MLN","FA_ADJUSTED=Adjusted","Sort=A","Dates=H","DateFormat=P","Fill=—","Direction=H","UseDPDF=Y")</f>
        <v>0</v>
      </c>
      <c r="D11" s="13">
        <f>_xll.BDH("AMZN US Equity","IS_OTHER_OPER_INC","FQ2 2009","FQ2 2009","Currency=USD","Period=FQ","BEST_FPERIOD_OVERRIDE=FQ","FILING_STATUS=MR","SCALING_FORMAT=MLN","FA_ADJUSTED=Adjusted","Sort=A","Dates=H","DateFormat=P","Fill=—","Direction=H","UseDPDF=Y")</f>
        <v>0</v>
      </c>
      <c r="E11" s="13">
        <f>_xll.BDH("AMZN US Equity","IS_OTHER_OPER_INC","FQ3 2009","FQ3 2009","Currency=USD","Period=FQ","BEST_FPERIOD_OVERRIDE=FQ","FILING_STATUS=MR","SCALING_FORMAT=MLN","FA_ADJUSTED=Adjusted","Sort=A","Dates=H","DateFormat=P","Fill=—","Direction=H","UseDPDF=Y")</f>
        <v>0</v>
      </c>
      <c r="F11" s="13">
        <f>_xll.BDH("AMZN US Equity","IS_OTHER_OPER_INC","FQ4 2009","FQ4 2009","Currency=USD","Period=FQ","BEST_FPERIOD_OVERRIDE=FQ","FILING_STATUS=MR","SCALING_FORMAT=MLN","FA_ADJUSTED=Adjusted","Sort=A","Dates=H","DateFormat=P","Fill=—","Direction=H","UseDPDF=Y")</f>
        <v>0</v>
      </c>
      <c r="G11" s="13">
        <f>_xll.BDH("AMZN US Equity","IS_OTHER_OPER_INC","FQ1 2010","FQ1 2010","Currency=USD","Period=FQ","BEST_FPERIOD_OVERRIDE=FQ","FILING_STATUS=MR","SCALING_FORMAT=MLN","FA_ADJUSTED=Adjusted","Sort=A","Dates=H","DateFormat=P","Fill=—","Direction=H","UseDPDF=Y")</f>
        <v>0</v>
      </c>
      <c r="H11" s="13">
        <f>_xll.BDH("AMZN US Equity","IS_OTHER_OPER_INC","FQ2 2010","FQ2 2010","Currency=USD","Period=FQ","BEST_FPERIOD_OVERRIDE=FQ","FILING_STATUS=MR","SCALING_FORMAT=MLN","FA_ADJUSTED=Adjusted","Sort=A","Dates=H","DateFormat=P","Fill=—","Direction=H","UseDPDF=Y")</f>
        <v>0</v>
      </c>
      <c r="I11" s="13">
        <f>_xll.BDH("AMZN US Equity","IS_OTHER_OPER_INC","FQ3 2010","FQ3 2010","Currency=USD","Period=FQ","BEST_FPERIOD_OVERRIDE=FQ","FILING_STATUS=MR","SCALING_FORMAT=MLN","FA_ADJUSTED=Adjusted","Sort=A","Dates=H","DateFormat=P","Fill=—","Direction=H","UseDPDF=Y")</f>
        <v>0</v>
      </c>
      <c r="J11" s="13">
        <f>_xll.BDH("AMZN US Equity","IS_OTHER_OPER_INC","FQ4 2010","FQ4 2010","Currency=USD","Period=FQ","BEST_FPERIOD_OVERRIDE=FQ","FILING_STATUS=MR","SCALING_FORMAT=MLN","FA_ADJUSTED=Adjusted","Sort=A","Dates=H","DateFormat=P","Fill=—","Direction=H","UseDPDF=Y")</f>
        <v>0</v>
      </c>
      <c r="K11" s="13">
        <f>_xll.BDH("AMZN US Equity","IS_OTHER_OPER_INC","FQ1 2011","FQ1 2011","Currency=USD","Period=FQ","BEST_FPERIOD_OVERRIDE=FQ","FILING_STATUS=MR","SCALING_FORMAT=MLN","FA_ADJUSTED=Adjusted","Sort=A","Dates=H","DateFormat=P","Fill=—","Direction=H","UseDPDF=Y")</f>
        <v>0</v>
      </c>
      <c r="L11" s="13">
        <f>_xll.BDH("AMZN US Equity","IS_OTHER_OPER_INC","FQ2 2011","FQ2 2011","Currency=USD","Period=FQ","BEST_FPERIOD_OVERRIDE=FQ","FILING_STATUS=MR","SCALING_FORMAT=MLN","FA_ADJUSTED=Adjusted","Sort=A","Dates=H","DateFormat=P","Fill=—","Direction=H","UseDPDF=Y")</f>
        <v>0</v>
      </c>
      <c r="M11" s="13">
        <f>_xll.BDH("AMZN US Equity","IS_OTHER_OPER_INC","FQ3 2011","FQ3 2011","Currency=USD","Period=FQ","BEST_FPERIOD_OVERRIDE=FQ","FILING_STATUS=MR","SCALING_FORMAT=MLN","FA_ADJUSTED=Adjusted","Sort=A","Dates=H","DateFormat=P","Fill=—","Direction=H","UseDPDF=Y")</f>
        <v>0</v>
      </c>
      <c r="N11" s="13">
        <f>_xll.BDH("AMZN US Equity","IS_OTHER_OPER_INC","FQ4 2011","FQ4 2011","Currency=USD","Period=FQ","BEST_FPERIOD_OVERRIDE=FQ","FILING_STATUS=MR","SCALING_FORMAT=MLN","FA_ADJUSTED=Adjusted","Sort=A","Dates=H","DateFormat=P","Fill=—","Direction=H","UseDPDF=Y")</f>
        <v>0</v>
      </c>
      <c r="O11" s="13">
        <f>_xll.BDH("AMZN US Equity","IS_OTHER_OPER_INC","FQ1 2012","FQ1 2012","Currency=USD","Period=FQ","BEST_FPERIOD_OVERRIDE=FQ","FILING_STATUS=MR","SCALING_FORMAT=MLN","FA_ADJUSTED=Adjusted","Sort=A","Dates=H","DateFormat=P","Fill=—","Direction=H","UseDPDF=Y")</f>
        <v>0</v>
      </c>
      <c r="P11" s="13">
        <f>_xll.BDH("AMZN US Equity","IS_OTHER_OPER_INC","FQ2 2012","FQ2 2012","Currency=USD","Period=FQ","BEST_FPERIOD_OVERRIDE=FQ","FILING_STATUS=MR","SCALING_FORMAT=MLN","FA_ADJUSTED=Adjusted","Sort=A","Dates=H","DateFormat=P","Fill=—","Direction=H","UseDPDF=Y")</f>
        <v>0</v>
      </c>
      <c r="Q11" s="13">
        <f>_xll.BDH("AMZN US Equity","IS_OTHER_OPER_INC","FQ3 2012","FQ3 2012","Currency=USD","Period=FQ","BEST_FPERIOD_OVERRIDE=FQ","FILING_STATUS=MR","SCALING_FORMAT=MLN","FA_ADJUSTED=Adjusted","Sort=A","Dates=H","DateFormat=P","Fill=—","Direction=H","UseDPDF=Y")</f>
        <v>0</v>
      </c>
      <c r="R11" s="13">
        <f>_xll.BDH("AMZN US Equity","IS_OTHER_OPER_INC","FQ4 2012","FQ4 2012","Currency=USD","Period=FQ","BEST_FPERIOD_OVERRIDE=FQ","FILING_STATUS=MR","SCALING_FORMAT=MLN","FA_ADJUSTED=Adjusted","Sort=A","Dates=H","DateFormat=P","Fill=—","Direction=H","UseDPDF=Y")</f>
        <v>0</v>
      </c>
      <c r="S11" s="13">
        <f>_xll.BDH("AMZN US Equity","IS_OTHER_OPER_INC","FQ1 2013","FQ1 2013","Currency=USD","Period=FQ","BEST_FPERIOD_OVERRIDE=FQ","FILING_STATUS=MR","SCALING_FORMAT=MLN","FA_ADJUSTED=Adjusted","Sort=A","Dates=H","DateFormat=P","Fill=—","Direction=H","UseDPDF=Y")</f>
        <v>0</v>
      </c>
      <c r="T11" s="13">
        <f>_xll.BDH("AMZN US Equity","IS_OTHER_OPER_INC","FQ2 2013","FQ2 2013","Currency=USD","Period=FQ","BEST_FPERIOD_OVERRIDE=FQ","FILING_STATUS=MR","SCALING_FORMAT=MLN","FA_ADJUSTED=Adjusted","Sort=A","Dates=H","DateFormat=P","Fill=—","Direction=H","UseDPDF=Y")</f>
        <v>0</v>
      </c>
      <c r="U11" s="13">
        <f>_xll.BDH("AMZN US Equity","IS_OTHER_OPER_INC","FQ3 2013","FQ3 2013","Currency=USD","Period=FQ","BEST_FPERIOD_OVERRIDE=FQ","FILING_STATUS=MR","SCALING_FORMAT=MLN","FA_ADJUSTED=Adjusted","Sort=A","Dates=H","DateFormat=P","Fill=—","Direction=H","UseDPDF=Y")</f>
        <v>0</v>
      </c>
      <c r="V11" s="13">
        <f>_xll.BDH("AMZN US Equity","IS_OTHER_OPER_INC","FQ4 2013","FQ4 2013","Currency=USD","Period=FQ","BEST_FPERIOD_OVERRIDE=FQ","FILING_STATUS=MR","SCALING_FORMAT=MLN","FA_ADJUSTED=Adjusted","Sort=A","Dates=H","DateFormat=P","Fill=—","Direction=H","UseDPDF=Y")</f>
        <v>0</v>
      </c>
      <c r="W11" s="13">
        <f>_xll.BDH("AMZN US Equity","IS_OTHER_OPER_INC","FQ1 2014","FQ1 2014","Currency=USD","Period=FQ","BEST_FPERIOD_OVERRIDE=FQ","FILING_STATUS=MR","SCALING_FORMAT=MLN","FA_ADJUSTED=Adjusted","Sort=A","Dates=H","DateFormat=P","Fill=—","Direction=H","UseDPDF=Y")</f>
        <v>0</v>
      </c>
      <c r="X11" s="13">
        <f>_xll.BDH("AMZN US Equity","IS_OTHER_OPER_INC","FQ2 2014","FQ2 2014","Currency=USD","Period=FQ","BEST_FPERIOD_OVERRIDE=FQ","FILING_STATUS=MR","SCALING_FORMAT=MLN","FA_ADJUSTED=Adjusted","Sort=A","Dates=H","DateFormat=P","Fill=—","Direction=H","UseDPDF=Y")</f>
        <v>0</v>
      </c>
      <c r="Y11" s="13">
        <f>_xll.BDH("AMZN US Equity","IS_OTHER_OPER_INC","FQ3 2014","FQ3 2014","Currency=USD","Period=FQ","BEST_FPERIOD_OVERRIDE=FQ","FILING_STATUS=MR","SCALING_FORMAT=MLN","FA_ADJUSTED=Adjusted","Sort=A","Dates=H","DateFormat=P","Fill=—","Direction=H","UseDPDF=Y")</f>
        <v>0</v>
      </c>
      <c r="Z11" s="13">
        <f>_xll.BDH("AMZN US Equity","IS_OTHER_OPER_INC","FQ4 2014","FQ4 2014","Currency=USD","Period=FQ","BEST_FPERIOD_OVERRIDE=FQ","FILING_STATUS=MR","SCALING_FORMAT=MLN","FA_ADJUSTED=Adjusted","Sort=A","Dates=H","DateFormat=P","Fill=—","Direction=H","UseDPDF=Y")</f>
        <v>0</v>
      </c>
      <c r="AA11" s="13">
        <f>_xll.BDH("AMZN US Equity","IS_OTHER_OPER_INC","FQ1 2015","FQ1 2015","Currency=USD","Period=FQ","BEST_FPERIOD_OVERRIDE=FQ","FILING_STATUS=MR","SCALING_FORMAT=MLN","FA_ADJUSTED=Adjusted","Sort=A","Dates=H","DateFormat=P","Fill=—","Direction=H","UseDPDF=Y")</f>
        <v>0</v>
      </c>
      <c r="AB11" s="13">
        <f>_xll.BDH("AMZN US Equity","IS_OTHER_OPER_INC","FQ2 2015","FQ2 2015","Currency=USD","Period=FQ","BEST_FPERIOD_OVERRIDE=FQ","FILING_STATUS=MR","SCALING_FORMAT=MLN","FA_ADJUSTED=Adjusted","Sort=A","Dates=H","DateFormat=P","Fill=—","Direction=H","UseDPDF=Y")</f>
        <v>0</v>
      </c>
      <c r="AC11" s="13">
        <f>_xll.BDH("AMZN US Equity","IS_OTHER_OPER_INC","FQ3 2015","FQ3 2015","Currency=USD","Period=FQ","BEST_FPERIOD_OVERRIDE=FQ","FILING_STATUS=MR","SCALING_FORMAT=MLN","FA_ADJUSTED=Adjusted","Sort=A","Dates=H","DateFormat=P","Fill=—","Direction=H","UseDPDF=Y")</f>
        <v>0</v>
      </c>
      <c r="AD11" s="13">
        <f>_xll.BDH("AMZN US Equity","IS_OTHER_OPER_INC","FQ4 2015","FQ4 2015","Currency=USD","Period=FQ","BEST_FPERIOD_OVERRIDE=FQ","FILING_STATUS=MR","SCALING_FORMAT=MLN","FA_ADJUSTED=Adjusted","Sort=A","Dates=H","DateFormat=P","Fill=—","Direction=H","UseDPDF=Y")</f>
        <v>0</v>
      </c>
      <c r="AE11" s="13">
        <f>_xll.BDH("AMZN US Equity","IS_OTHER_OPER_INC","FQ1 2016","FQ1 2016","Currency=USD","Period=FQ","BEST_FPERIOD_OVERRIDE=FQ","FILING_STATUS=MR","SCALING_FORMAT=MLN","FA_ADJUSTED=Adjusted","Sort=A","Dates=H","DateFormat=P","Fill=—","Direction=H","UseDPDF=Y")</f>
        <v>0</v>
      </c>
      <c r="AF11" s="13">
        <f>_xll.BDH("AMZN US Equity","IS_OTHER_OPER_INC","FQ2 2016","FQ2 2016","Currency=USD","Period=FQ","BEST_FPERIOD_OVERRIDE=FQ","FILING_STATUS=MR","SCALING_FORMAT=MLN","FA_ADJUSTED=Adjusted","Sort=A","Dates=H","DateFormat=P","Fill=—","Direction=H","UseDPDF=Y")</f>
        <v>0</v>
      </c>
      <c r="AG11" s="13">
        <f>_xll.BDH("AMZN US Equity","IS_OTHER_OPER_INC","FQ3 2016","FQ3 2016","Currency=USD","Period=FQ","BEST_FPERIOD_OVERRIDE=FQ","FILING_STATUS=MR","SCALING_FORMAT=MLN","FA_ADJUSTED=Adjusted","Sort=A","Dates=H","DateFormat=P","Fill=—","Direction=H","UseDPDF=Y")</f>
        <v>0</v>
      </c>
      <c r="AH11" s="13">
        <f>_xll.BDH("AMZN US Equity","IS_OTHER_OPER_INC","FQ4 2016","FQ4 2016","Currency=USD","Period=FQ","BEST_FPERIOD_OVERRIDE=FQ","FILING_STATUS=MR","SCALING_FORMAT=MLN","FA_ADJUSTED=Adjusted","Sort=A","Dates=H","DateFormat=P","Fill=—","Direction=H","UseDPDF=Y")</f>
        <v>0</v>
      </c>
      <c r="AI11" s="13">
        <f>_xll.BDH("AMZN US Equity","IS_OTHER_OPER_INC","FQ1 2017","FQ1 2017","Currency=USD","Period=FQ","BEST_FPERIOD_OVERRIDE=FQ","FILING_STATUS=MR","SCALING_FORMAT=MLN","FA_ADJUSTED=Adjusted","Sort=A","Dates=H","DateFormat=P","Fill=—","Direction=H","UseDPDF=Y")</f>
        <v>0</v>
      </c>
      <c r="AJ11" s="13">
        <f>_xll.BDH("AMZN US Equity","IS_OTHER_OPER_INC","FQ2 2017","FQ2 2017","Currency=USD","Period=FQ","BEST_FPERIOD_OVERRIDE=FQ","FILING_STATUS=MR","SCALING_FORMAT=MLN","FA_ADJUSTED=Adjusted","Sort=A","Dates=H","DateFormat=P","Fill=—","Direction=H","UseDPDF=Y")</f>
        <v>0</v>
      </c>
      <c r="AK11" s="13">
        <f>_xll.BDH("AMZN US Equity","IS_OTHER_OPER_INC","FQ3 2017","FQ3 2017","Currency=USD","Period=FQ","BEST_FPERIOD_OVERRIDE=FQ","FILING_STATUS=MR","SCALING_FORMAT=MLN","FA_ADJUSTED=Adjusted","Sort=A","Dates=H","DateFormat=P","Fill=—","Direction=H","UseDPDF=Y")</f>
        <v>0</v>
      </c>
      <c r="AL11" s="13">
        <f>_xll.BDH("AMZN US Equity","IS_OTHER_OPER_INC","FQ4 2017","FQ4 2017","Currency=USD","Period=FQ","BEST_FPERIOD_OVERRIDE=FQ","FILING_STATUS=MR","SCALING_FORMAT=MLN","FA_ADJUSTED=Adjusted","Sort=A","Dates=H","DateFormat=P","Fill=—","Direction=H","UseDPDF=Y")</f>
        <v>0</v>
      </c>
      <c r="AM11" s="13">
        <f>_xll.BDH("AMZN US Equity","IS_OTHER_OPER_INC","FQ1 2018","FQ1 2018","Currency=USD","Period=FQ","BEST_FPERIOD_OVERRIDE=FQ","FILING_STATUS=MR","SCALING_FORMAT=MLN","FA_ADJUSTED=Adjusted","Sort=A","Dates=H","DateFormat=P","Fill=—","Direction=H","UseDPDF=Y")</f>
        <v>0</v>
      </c>
      <c r="AN11" s="13">
        <f>_xll.BDH("AMZN US Equity","IS_OTHER_OPER_INC","FQ2 2018","FQ2 2018","Currency=USD","Period=FQ","BEST_FPERIOD_OVERRIDE=FQ","FILING_STATUS=MR","SCALING_FORMAT=MLN","FA_ADJUSTED=Adjusted","Sort=A","Dates=H","DateFormat=P","Fill=—","Direction=H","UseDPDF=Y")</f>
        <v>0</v>
      </c>
      <c r="AO11" s="13"/>
      <c r="AP11" s="13"/>
    </row>
    <row r="12" spans="1:42" x14ac:dyDescent="0.25">
      <c r="A12" s="10" t="s">
        <v>98</v>
      </c>
      <c r="B12" s="10" t="s">
        <v>99</v>
      </c>
      <c r="C12" s="13">
        <f>_xll.BDH("AMZN US Equity","IS_OPERATING_EXPN","FQ1 2009","FQ1 2009","Currency=USD","Period=FQ","BEST_FPERIOD_OVERRIDE=FQ","FILING_STATUS=MR","SCALING_FORMAT=MLN","FA_ADJUSTED=Adjusted","Sort=A","Dates=H","DateFormat=P","Fill=—","Direction=H","UseDPDF=Y")</f>
        <v>904</v>
      </c>
      <c r="D12" s="13">
        <f>_xll.BDH("AMZN US Equity","IS_OPERATING_EXPN","FQ2 2009","FQ2 2009","Currency=USD","Period=FQ","BEST_FPERIOD_OVERRIDE=FQ","FILING_STATUS=MR","SCALING_FORMAT=MLN","FA_ADJUSTED=Adjusted","Sort=A","Dates=H","DateFormat=P","Fill=—","Direction=H","UseDPDF=Y")</f>
        <v>923</v>
      </c>
      <c r="E12" s="13">
        <f>_xll.BDH("AMZN US Equity","IS_OPERATING_EXPN","FQ3 2009","FQ3 2009","Currency=USD","Period=FQ","BEST_FPERIOD_OVERRIDE=FQ","FILING_STATUS=MR","SCALING_FORMAT=MLN","FA_ADJUSTED=Adjusted","Sort=A","Dates=H","DateFormat=P","Fill=—","Direction=H","UseDPDF=Y")</f>
        <v>1022</v>
      </c>
      <c r="F12" s="13">
        <f>_xll.BDH("AMZN US Equity","IS_OPERATING_EXPN","FQ4 2009","FQ4 2009","Currency=USD","Period=FQ","BEST_FPERIOD_OVERRIDE=FQ","FILING_STATUS=MR","SCALING_FORMAT=MLN","FA_ADJUSTED=Adjusted","Sort=A","Dates=H","DateFormat=P","Fill=—","Direction=H","UseDPDF=Y")</f>
        <v>1500</v>
      </c>
      <c r="G12" s="13">
        <f>_xll.BDH("AMZN US Equity","IS_OPERATING_EXPN","FQ1 2010","FQ1 2010","Currency=USD","Period=FQ","BEST_FPERIOD_OVERRIDE=FQ","FILING_STATUS=MR","SCALING_FORMAT=MLN","FA_ADJUSTED=Adjusted","Sort=A","Dates=H","DateFormat=P","Fill=—","Direction=H","UseDPDF=Y")</f>
        <v>1236</v>
      </c>
      <c r="H12" s="13">
        <f>_xll.BDH("AMZN US Equity","IS_OPERATING_EXPN","FQ2 2010","FQ2 2010","Currency=USD","Period=FQ","BEST_FPERIOD_OVERRIDE=FQ","FILING_STATUS=MR","SCALING_FORMAT=MLN","FA_ADJUSTED=Adjusted","Sort=A","Dates=H","DateFormat=P","Fill=—","Direction=H","UseDPDF=Y")</f>
        <v>1339</v>
      </c>
      <c r="I12" s="13">
        <f>_xll.BDH("AMZN US Equity","IS_OPERATING_EXPN","FQ3 2010","FQ3 2010","Currency=USD","Period=FQ","BEST_FPERIOD_OVERRIDE=FQ","FILING_STATUS=MR","SCALING_FORMAT=MLN","FA_ADJUSTED=Adjusted","Sort=A","Dates=H","DateFormat=P","Fill=—","Direction=H","UseDPDF=Y")</f>
        <v>1506</v>
      </c>
      <c r="J12" s="13">
        <f>_xll.BDH("AMZN US Equity","IS_OPERATING_EXPN","FQ4 2010","FQ4 2010","Currency=USD","Period=FQ","BEST_FPERIOD_OVERRIDE=FQ","FILING_STATUS=MR","SCALING_FORMAT=MLN","FA_ADJUSTED=Adjusted","Sort=A","Dates=H","DateFormat=P","Fill=—","Direction=H","UseDPDF=Y")</f>
        <v>2157</v>
      </c>
      <c r="K12" s="13">
        <f>_xll.BDH("AMZN US Equity","IS_OPERATING_EXPN","FQ1 2011","FQ1 2011","Currency=USD","Period=FQ","BEST_FPERIOD_OVERRIDE=FQ","FILING_STATUS=MR","SCALING_FORMAT=MLN","FA_ADJUSTED=Adjusted","Sort=A","Dates=H","DateFormat=P","Fill=—","Direction=H","UseDPDF=Y")</f>
        <v>1927</v>
      </c>
      <c r="L12" s="13">
        <f>_xll.BDH("AMZN US Equity","IS_OPERATING_EXPN","FQ2 2011","FQ2 2011","Currency=USD","Period=FQ","BEST_FPERIOD_OVERRIDE=FQ","FILING_STATUS=MR","SCALING_FORMAT=MLN","FA_ADJUSTED=Adjusted","Sort=A","Dates=H","DateFormat=P","Fill=—","Direction=H","UseDPDF=Y")</f>
        <v>2187</v>
      </c>
      <c r="M12" s="13">
        <f>_xll.BDH("AMZN US Equity","IS_OPERATING_EXPN","FQ3 2011","FQ3 2011","Currency=USD","Period=FQ","BEST_FPERIOD_OVERRIDE=FQ","FILING_STATUS=MR","SCALING_FORMAT=MLN","FA_ADJUSTED=Adjusted","Sort=A","Dates=H","DateFormat=P","Fill=—","Direction=H","UseDPDF=Y")</f>
        <v>2472</v>
      </c>
      <c r="N12" s="13">
        <f>_xll.BDH("AMZN US Equity","IS_OPERATING_EXPN","FQ4 2011","FQ4 2011","Currency=USD","Period=FQ","BEST_FPERIOD_OVERRIDE=FQ","FILING_STATUS=MR","SCALING_FORMAT=MLN","FA_ADJUSTED=Adjusted","Sort=A","Dates=H","DateFormat=P","Fill=—","Direction=H","UseDPDF=Y")</f>
        <v>3341</v>
      </c>
      <c r="O12" s="13">
        <f>_xll.BDH("AMZN US Equity","IS_OPERATING_EXPN","FQ1 2012","FQ1 2012","Currency=USD","Period=FQ","BEST_FPERIOD_OVERRIDE=FQ","FILING_STATUS=MR","SCALING_FORMAT=MLN","FA_ADJUSTED=Adjusted","Sort=A","Dates=H","DateFormat=P","Fill=—","Direction=H","UseDPDF=Y")</f>
        <v>2966</v>
      </c>
      <c r="P12" s="13">
        <f>_xll.BDH("AMZN US Equity","IS_OPERATING_EXPN","FQ2 2012","FQ2 2012","Currency=USD","Period=FQ","BEST_FPERIOD_OVERRIDE=FQ","FILING_STATUS=MR","SCALING_FORMAT=MLN","FA_ADJUSTED=Adjusted","Sort=A","Dates=H","DateFormat=P","Fill=—","Direction=H","UseDPDF=Y")</f>
        <v>3139</v>
      </c>
      <c r="Q12" s="13">
        <f>_xll.BDH("AMZN US Equity","IS_OPERATING_EXPN","FQ3 2012","FQ3 2012","Currency=USD","Period=FQ","BEST_FPERIOD_OVERRIDE=FQ","FILING_STATUS=MR","SCALING_FORMAT=MLN","FA_ADJUSTED=Adjusted","Sort=A","Dates=H","DateFormat=P","Fill=—","Direction=H","UseDPDF=Y")</f>
        <v>3515</v>
      </c>
      <c r="R12" s="13">
        <f>_xll.BDH("AMZN US Equity","IS_OPERATING_EXPN","FQ4 2012","FQ4 2012","Currency=USD","Period=FQ","BEST_FPERIOD_OVERRIDE=FQ","FILING_STATUS=MR","SCALING_FORMAT=MLN","FA_ADJUSTED=Adjusted","Sort=A","Dates=H","DateFormat=P","Fill=—","Direction=H","UseDPDF=Y")</f>
        <v>4727</v>
      </c>
      <c r="S12" s="13">
        <f>_xll.BDH("AMZN US Equity","IS_OPERATING_EXPN","FQ1 2013","FQ1 2013","Currency=USD","Period=FQ","BEST_FPERIOD_OVERRIDE=FQ","FILING_STATUS=MR","SCALING_FORMAT=MLN","FA_ADJUSTED=Adjusted","Sort=A","Dates=H","DateFormat=P","Fill=—","Direction=H","UseDPDF=Y")</f>
        <v>4088</v>
      </c>
      <c r="T12" s="13">
        <f>_xll.BDH("AMZN US Equity","IS_OPERATING_EXPN","FQ2 2013","FQ2 2013","Currency=USD","Period=FQ","BEST_FPERIOD_OVERRIDE=FQ","FILING_STATUS=MR","SCALING_FORMAT=MLN","FA_ADJUSTED=Adjusted","Sort=A","Dates=H","DateFormat=P","Fill=—","Direction=H","UseDPDF=Y")</f>
        <v>4416</v>
      </c>
      <c r="U12" s="13">
        <f>_xll.BDH("AMZN US Equity","IS_OPERATING_EXPN","FQ3 2013","FQ3 2013","Currency=USD","Period=FQ","BEST_FPERIOD_OVERRIDE=FQ","FILING_STATUS=MR","SCALING_FORMAT=MLN","FA_ADJUSTED=Adjusted","Sort=A","Dates=H","DateFormat=P","Fill=—","Direction=H","UseDPDF=Y")</f>
        <v>4751</v>
      </c>
      <c r="V12" s="13">
        <f>_xll.BDH("AMZN US Equity","IS_OPERATING_EXPN","FQ4 2013","FQ4 2013","Currency=USD","Period=FQ","BEST_FPERIOD_OVERRIDE=FQ","FILING_STATUS=MR","SCALING_FORMAT=MLN","FA_ADJUSTED=Adjusted","Sort=A","Dates=H","DateFormat=P","Fill=—","Direction=H","UseDPDF=Y")</f>
        <v>6271</v>
      </c>
      <c r="W12" s="13">
        <f>_xll.BDH("AMZN US Equity","IS_OPERATING_EXPN","FQ1 2014","FQ1 2014","Currency=USD","Period=FQ","BEST_FPERIOD_OVERRIDE=FQ","FILING_STATUS=MR","SCALING_FORMAT=MLN","FA_ADJUSTED=Adjusted","Sort=A","Dates=H","DateFormat=P","Fill=—","Direction=H","UseDPDF=Y")</f>
        <v>5540</v>
      </c>
      <c r="X12" s="13">
        <f>_xll.BDH("AMZN US Equity","IS_OPERATING_EXPN","FQ2 2014","FQ2 2014","Currency=USD","Period=FQ","BEST_FPERIOD_OVERRIDE=FQ","FILING_STATUS=MR","SCALING_FORMAT=MLN","FA_ADJUSTED=Adjusted","Sort=A","Dates=H","DateFormat=P","Fill=—","Direction=H","UseDPDF=Y")</f>
        <v>5956</v>
      </c>
      <c r="Y12" s="13">
        <f>_xll.BDH("AMZN US Equity","IS_OPERATING_EXPN","FQ3 2014","FQ3 2014","Currency=USD","Period=FQ","BEST_FPERIOD_OVERRIDE=FQ","FILING_STATUS=MR","SCALING_FORMAT=MLN","FA_ADJUSTED=Adjusted","Sort=A","Dates=H","DateFormat=P","Fill=—","Direction=H","UseDPDF=Y")</f>
        <v>6496</v>
      </c>
      <c r="Z12" s="13">
        <f>_xll.BDH("AMZN US Equity","IS_OPERATING_EXPN","FQ4 2014","FQ4 2014","Currency=USD","Period=FQ","BEST_FPERIOD_OVERRIDE=FQ","FILING_STATUS=MR","SCALING_FORMAT=MLN","FA_ADJUSTED=Adjusted","Sort=A","Dates=H","DateFormat=P","Fill=—","Direction=H","UseDPDF=Y")</f>
        <v>8066</v>
      </c>
      <c r="AA12" s="13">
        <f>_xll.BDH("AMZN US Equity","IS_OPERATING_EXPN","FQ1 2015","FQ1 2015","Currency=USD","Period=FQ","BEST_FPERIOD_OVERRIDE=FQ","FILING_STATUS=MR","SCALING_FORMAT=MLN","FA_ADJUSTED=Adjusted","Sort=A","Dates=H","DateFormat=P","Fill=—","Direction=H","UseDPDF=Y")</f>
        <v>7067</v>
      </c>
      <c r="AB12" s="13">
        <f>_xll.BDH("AMZN US Equity","IS_OPERATING_EXPN","FQ2 2015","FQ2 2015","Currency=USD","Period=FQ","BEST_FPERIOD_OVERRIDE=FQ","FILING_STATUS=MR","SCALING_FORMAT=MLN","FA_ADJUSTED=Adjusted","Sort=A","Dates=H","DateFormat=P","Fill=—","Direction=H","UseDPDF=Y")</f>
        <v>7561</v>
      </c>
      <c r="AC12" s="13">
        <f>_xll.BDH("AMZN US Equity","IS_OPERATING_EXPN","FQ3 2015","FQ3 2015","Currency=USD","Period=FQ","BEST_FPERIOD_OVERRIDE=FQ","FILING_STATUS=MR","SCALING_FORMAT=MLN","FA_ADJUSTED=Adjusted","Sort=A","Dates=H","DateFormat=P","Fill=—","Direction=H","UseDPDF=Y")</f>
        <v>8197</v>
      </c>
      <c r="AD12" s="13">
        <f>_xll.BDH("AMZN US Equity","IS_OPERATING_EXPN","FQ4 2015","FQ4 2015","Currency=USD","Period=FQ","BEST_FPERIOD_OVERRIDE=FQ","FILING_STATUS=MR","SCALING_FORMAT=MLN","FA_ADJUSTED=Adjusted","Sort=A","Dates=H","DateFormat=P","Fill=—","Direction=H","UseDPDF=Y")</f>
        <v>10298</v>
      </c>
      <c r="AE12" s="13">
        <f>_xll.BDH("AMZN US Equity","IS_OPERATING_EXPN","FQ1 2016","FQ1 2016","Currency=USD","Period=FQ","BEST_FPERIOD_OVERRIDE=FQ","FILING_STATUS=MR","SCALING_FORMAT=MLN","FA_ADJUSTED=Adjusted","Sort=A","Dates=H","DateFormat=P","Fill=—","Direction=H","UseDPDF=Y")</f>
        <v>9191</v>
      </c>
      <c r="AF12" s="13">
        <f>_xll.BDH("AMZN US Equity","IS_OPERATING_EXPN","FQ2 2016","FQ2 2016","Currency=USD","Period=FQ","BEST_FPERIOD_OVERRIDE=FQ","FILING_STATUS=MR","SCALING_FORMAT=MLN","FA_ADJUSTED=Adjusted","Sort=A","Dates=H","DateFormat=P","Fill=—","Direction=H","UseDPDF=Y")</f>
        <v>9939</v>
      </c>
      <c r="AG12" s="13">
        <f>_xll.BDH("AMZN US Equity","IS_OPERATING_EXPN","FQ3 2016","FQ3 2016","Currency=USD","Period=FQ","BEST_FPERIOD_OVERRIDE=FQ","FILING_STATUS=MR","SCALING_FORMAT=MLN","FA_ADJUSTED=Adjusted","Sort=A","Dates=H","DateFormat=P","Fill=—","Direction=H","UseDPDF=Y")</f>
        <v>10879</v>
      </c>
      <c r="AH12" s="13">
        <f>_xll.BDH("AMZN US Equity","IS_OPERATING_EXPN","FQ4 2016","FQ4 2016","Currency=USD","Period=FQ","BEST_FPERIOD_OVERRIDE=FQ","FILING_STATUS=MR","SCALING_FORMAT=MLN","FA_ADJUSTED=Adjusted","Sort=A","Dates=H","DateFormat=P","Fill=—","Direction=H","UseDPDF=Y")</f>
        <v>13528</v>
      </c>
      <c r="AI12" s="13">
        <f>_xll.BDH("AMZN US Equity","IS_OPERATING_EXPN","FQ1 2017","FQ1 2017","Currency=USD","Period=FQ","BEST_FPERIOD_OVERRIDE=FQ","FILING_STATUS=MR","SCALING_FORMAT=MLN","FA_ADJUSTED=Adjusted","Sort=A","Dates=H","DateFormat=P","Fill=—","Direction=H","UseDPDF=Y")</f>
        <v>12269</v>
      </c>
      <c r="AJ12" s="13">
        <f>_xll.BDH("AMZN US Equity","IS_OPERATING_EXPN","FQ2 2017","FQ2 2017","Currency=USD","Period=FQ","BEST_FPERIOD_OVERRIDE=FQ","FILING_STATUS=MR","SCALING_FORMAT=MLN","FA_ADJUSTED=Adjusted","Sort=A","Dates=H","DateFormat=P","Fill=—","Direction=H","UseDPDF=Y")</f>
        <v>13876</v>
      </c>
      <c r="AK12" s="13">
        <f>_xll.BDH("AMZN US Equity","IS_OPERATING_EXPN","FQ3 2017","FQ3 2017","Currency=USD","Period=FQ","BEST_FPERIOD_OVERRIDE=FQ","FILING_STATUS=MR","SCALING_FORMAT=MLN","FA_ADJUSTED=Adjusted","Sort=A","Dates=H","DateFormat=P","Fill=—","Direction=H","UseDPDF=Y")</f>
        <v>15848</v>
      </c>
      <c r="AL12" s="13">
        <f>_xll.BDH("AMZN US Equity","IS_OPERATING_EXPN","FQ4 2017","FQ4 2017","Currency=USD","Period=FQ","BEST_FPERIOD_OVERRIDE=FQ","FILING_STATUS=MR","SCALING_FORMAT=MLN","FA_ADJUSTED=Adjusted","Sort=A","Dates=H","DateFormat=P","Fill=—","Direction=H","UseDPDF=Y")</f>
        <v>19832</v>
      </c>
      <c r="AM12" s="13">
        <f>_xll.BDH("AMZN US Equity","IS_OPERATING_EXPN","FQ1 2018","FQ1 2018","Currency=USD","Period=FQ","BEST_FPERIOD_OVERRIDE=FQ","FILING_STATUS=MR","SCALING_FORMAT=MLN","FA_ADJUSTED=Adjusted","Sort=A","Dates=H","DateFormat=P","Fill=—","Direction=H","UseDPDF=Y")</f>
        <v>18380</v>
      </c>
      <c r="AN12" s="13">
        <f>_xll.BDH("AMZN US Equity","IS_OPERATING_EXPN","FQ2 2018","FQ2 2018","Currency=USD","Period=FQ","BEST_FPERIOD_OVERRIDE=FQ","FILING_STATUS=MR","SCALING_FORMAT=MLN","FA_ADJUSTED=Adjusted","Sort=A","Dates=H","DateFormat=P","Fill=—","Direction=H","UseDPDF=Y")</f>
        <v>19271</v>
      </c>
      <c r="AO12" s="13"/>
      <c r="AP12" s="13"/>
    </row>
    <row r="13" spans="1:42" x14ac:dyDescent="0.25">
      <c r="A13" s="10" t="s">
        <v>100</v>
      </c>
      <c r="B13" s="10" t="s">
        <v>101</v>
      </c>
      <c r="C13" s="13">
        <f>_xll.BDH("AMZN US Equity","IS_SG&amp;A_EXPENSE","FQ1 2009","FQ1 2009","Currency=USD","Period=FQ","BEST_FPERIOD_OVERRIDE=FQ","FILING_STATUS=MR","SCALING_FORMAT=MLN","FA_ADJUSTED=Adjusted","Sort=A","Dates=H","DateFormat=P","Fill=—","Direction=H","UseDPDF=Y")</f>
        <v>196</v>
      </c>
      <c r="D13" s="13">
        <f>_xll.BDH("AMZN US Equity","IS_SG&amp;A_EXPENSE","FQ2 2009","FQ2 2009","Currency=USD","Period=FQ","BEST_FPERIOD_OVERRIDE=FQ","FILING_STATUS=MR","SCALING_FORMAT=MLN","FA_ADJUSTED=Adjusted","Sort=A","Dates=H","DateFormat=P","Fill=—","Direction=H","UseDPDF=Y")</f>
        <v>206</v>
      </c>
      <c r="E13" s="13">
        <f>_xll.BDH("AMZN US Equity","IS_SG&amp;A_EXPENSE","FQ3 2009","FQ3 2009","Currency=USD","Period=FQ","BEST_FPERIOD_OVERRIDE=FQ","FILING_STATUS=MR","SCALING_FORMAT=MLN","FA_ADJUSTED=Adjusted","Sort=A","Dates=H","DateFormat=P","Fill=—","Direction=H","UseDPDF=Y")</f>
        <v>232</v>
      </c>
      <c r="F13" s="13">
        <f>_xll.BDH("AMZN US Equity","IS_SG&amp;A_EXPENSE","FQ4 2009","FQ4 2009","Currency=USD","Period=FQ","BEST_FPERIOD_OVERRIDE=FQ","FILING_STATUS=MR","SCALING_FORMAT=MLN","FA_ADJUSTED=Adjusted","Sort=A","Dates=H","DateFormat=P","Fill=—","Direction=H","UseDPDF=Y")</f>
        <v>374</v>
      </c>
      <c r="G13" s="13">
        <f>_xll.BDH("AMZN US Equity","IS_SG&amp;A_EXPENSE","FQ1 2010","FQ1 2010","Currency=USD","Period=FQ","BEST_FPERIOD_OVERRIDE=FQ","FILING_STATUS=MR","SCALING_FORMAT=MLN","FA_ADJUSTED=Adjusted","Sort=A","Dates=H","DateFormat=P","Fill=—","Direction=H","UseDPDF=Y")</f>
        <v>298</v>
      </c>
      <c r="H13" s="13">
        <f>_xll.BDH("AMZN US Equity","IS_SG&amp;A_EXPENSE","FQ2 2010","FQ2 2010","Currency=USD","Period=FQ","BEST_FPERIOD_OVERRIDE=FQ","FILING_STATUS=MR","SCALING_FORMAT=MLN","FA_ADJUSTED=Adjusted","Sort=A","Dates=H","DateFormat=P","Fill=—","Direction=H","UseDPDF=Y")</f>
        <v>324</v>
      </c>
      <c r="I13" s="13">
        <f>_xll.BDH("AMZN US Equity","IS_SG&amp;A_EXPENSE","FQ3 2010","FQ3 2010","Currency=USD","Period=FQ","BEST_FPERIOD_OVERRIDE=FQ","FILING_STATUS=MR","SCALING_FORMAT=MLN","FA_ADJUSTED=Adjusted","Sort=A","Dates=H","DateFormat=P","Fill=—","Direction=H","UseDPDF=Y")</f>
        <v>358</v>
      </c>
      <c r="J13" s="13">
        <f>_xll.BDH("AMZN US Equity","IS_SG&amp;A_EXPENSE","FQ4 2010","FQ4 2010","Currency=USD","Period=FQ","BEST_FPERIOD_OVERRIDE=FQ","FILING_STATUS=MR","SCALING_FORMAT=MLN","FA_ADJUSTED=Adjusted","Sort=A","Dates=H","DateFormat=P","Fill=—","Direction=H","UseDPDF=Y")</f>
        <v>519</v>
      </c>
      <c r="K13" s="13">
        <f>_xll.BDH("AMZN US Equity","IS_SG&amp;A_EXPENSE","FQ1 2011","FQ1 2011","Currency=USD","Period=FQ","BEST_FPERIOD_OVERRIDE=FQ","FILING_STATUS=MR","SCALING_FORMAT=MLN","FA_ADJUSTED=Adjusted","Sort=A","Dates=H","DateFormat=P","Fill=—","Direction=H","UseDPDF=Y")</f>
        <v>460</v>
      </c>
      <c r="L13" s="13">
        <f>_xll.BDH("AMZN US Equity","IS_SG&amp;A_EXPENSE","FQ2 2011","FQ2 2011","Currency=USD","Period=FQ","BEST_FPERIOD_OVERRIDE=FQ","FILING_STATUS=MR","SCALING_FORMAT=MLN","FA_ADJUSTED=Adjusted","Sort=A","Dates=H","DateFormat=P","Fill=—","Direction=H","UseDPDF=Y")</f>
        <v>507</v>
      </c>
      <c r="M13" s="13">
        <f>_xll.BDH("AMZN US Equity","IS_SG&amp;A_EXPENSE","FQ3 2011","FQ3 2011","Currency=USD","Period=FQ","BEST_FPERIOD_OVERRIDE=FQ","FILING_STATUS=MR","SCALING_FORMAT=MLN","FA_ADJUSTED=Adjusted","Sort=A","Dates=H","DateFormat=P","Fill=—","Direction=H","UseDPDF=Y")</f>
        <v>545</v>
      </c>
      <c r="N13" s="13">
        <f>_xll.BDH("AMZN US Equity","IS_SG&amp;A_EXPENSE","FQ4 2011","FQ4 2011","Currency=USD","Period=FQ","BEST_FPERIOD_OVERRIDE=FQ","FILING_STATUS=MR","SCALING_FORMAT=MLN","FA_ADJUSTED=Adjusted","Sort=A","Dates=H","DateFormat=P","Fill=—","Direction=H","UseDPDF=Y")</f>
        <v>777</v>
      </c>
      <c r="O13" s="13">
        <f>_xll.BDH("AMZN US Equity","IS_SG&amp;A_EXPENSE","FQ1 2012","FQ1 2012","Currency=USD","Period=FQ","BEST_FPERIOD_OVERRIDE=FQ","FILING_STATUS=MR","SCALING_FORMAT=MLN","FA_ADJUSTED=Adjusted","Sort=A","Dates=H","DateFormat=P","Fill=—","Direction=H","UseDPDF=Y")</f>
        <v>680</v>
      </c>
      <c r="P13" s="13">
        <f>_xll.BDH("AMZN US Equity","IS_SG&amp;A_EXPENSE","FQ2 2012","FQ2 2012","Currency=USD","Period=FQ","BEST_FPERIOD_OVERRIDE=FQ","FILING_STATUS=MR","SCALING_FORMAT=MLN","FA_ADJUSTED=Adjusted","Sort=A","Dates=H","DateFormat=P","Fill=—","Direction=H","UseDPDF=Y")</f>
        <v>769</v>
      </c>
      <c r="Q13" s="13">
        <f>_xll.BDH("AMZN US Equity","IS_SG&amp;A_EXPENSE","FQ3 2012","FQ3 2012","Currency=USD","Period=FQ","BEST_FPERIOD_OVERRIDE=FQ","FILING_STATUS=MR","SCALING_FORMAT=MLN","FA_ADJUSTED=Adjusted","Sort=A","Dates=H","DateFormat=P","Fill=—","Direction=H","UseDPDF=Y")</f>
        <v>770</v>
      </c>
      <c r="R13" s="13">
        <f>_xll.BDH("AMZN US Equity","IS_SG&amp;A_EXPENSE","FQ4 2012","FQ4 2012","Currency=USD","Period=FQ","BEST_FPERIOD_OVERRIDE=FQ","FILING_STATUS=MR","SCALING_FORMAT=MLN","FA_ADJUSTED=Adjusted","Sort=A","Dates=H","DateFormat=P","Fill=—","Direction=H","UseDPDF=Y")</f>
        <v>1086</v>
      </c>
      <c r="S13" s="13">
        <f>_xll.BDH("AMZN US Equity","IS_SG&amp;A_EXPENSE","FQ1 2013","FQ1 2013","Currency=USD","Period=FQ","BEST_FPERIOD_OVERRIDE=FQ","FILING_STATUS=MR","SCALING_FORMAT=MLN","FA_ADJUSTED=Adjusted","Sort=A","Dates=H","DateFormat=P","Fill=—","Direction=H","UseDPDF=Y")</f>
        <v>878</v>
      </c>
      <c r="T13" s="13">
        <f>_xll.BDH("AMZN US Equity","IS_SG&amp;A_EXPENSE","FQ2 2013","FQ2 2013","Currency=USD","Period=FQ","BEST_FPERIOD_OVERRIDE=FQ","FILING_STATUS=MR","SCALING_FORMAT=MLN","FA_ADJUSTED=Adjusted","Sort=A","Dates=H","DateFormat=P","Fill=—","Direction=H","UseDPDF=Y")</f>
        <v>961</v>
      </c>
      <c r="U13" s="13">
        <f>_xll.BDH("AMZN US Equity","IS_SG&amp;A_EXPENSE","FQ3 2013","FQ3 2013","Currency=USD","Period=FQ","BEST_FPERIOD_OVERRIDE=FQ","FILING_STATUS=MR","SCALING_FORMAT=MLN","FA_ADJUSTED=Adjusted","Sort=A","Dates=H","DateFormat=P","Fill=—","Direction=H","UseDPDF=Y")</f>
        <v>972</v>
      </c>
      <c r="V13" s="13">
        <f>_xll.BDH("AMZN US Equity","IS_SG&amp;A_EXPENSE","FQ4 2013","FQ4 2013","Currency=USD","Period=FQ","BEST_FPERIOD_OVERRIDE=FQ","FILING_STATUS=MR","SCALING_FORMAT=MLN","FA_ADJUSTED=Adjusted","Sort=A","Dates=H","DateFormat=P","Fill=—","Direction=H","UseDPDF=Y")</f>
        <v>1451</v>
      </c>
      <c r="W13" s="13">
        <f>_xll.BDH("AMZN US Equity","IS_SG&amp;A_EXPENSE","FQ1 2014","FQ1 2014","Currency=USD","Period=FQ","BEST_FPERIOD_OVERRIDE=FQ","FILING_STATUS=MR","SCALING_FORMAT=MLN","FA_ADJUSTED=Adjusted","Sort=A","Dates=H","DateFormat=P","Fill=—","Direction=H","UseDPDF=Y")</f>
        <v>1197</v>
      </c>
      <c r="X13" s="13">
        <f>_xll.BDH("AMZN US Equity","IS_SG&amp;A_EXPENSE","FQ2 2014","FQ2 2014","Currency=USD","Period=FQ","BEST_FPERIOD_OVERRIDE=FQ","FILING_STATUS=MR","SCALING_FORMAT=MLN","FA_ADJUSTED=Adjusted","Sort=A","Dates=H","DateFormat=P","Fill=—","Direction=H","UseDPDF=Y")</f>
        <v>1320</v>
      </c>
      <c r="Y13" s="13">
        <f>_xll.BDH("AMZN US Equity","IS_SG&amp;A_EXPENSE","FQ3 2014","FQ3 2014","Currency=USD","Period=FQ","BEST_FPERIOD_OVERRIDE=FQ","FILING_STATUS=MR","SCALING_FORMAT=MLN","FA_ADJUSTED=Adjusted","Sort=A","Dates=H","DateFormat=P","Fill=—","Direction=H","UseDPDF=Y")</f>
        <v>1399</v>
      </c>
      <c r="Z13" s="13">
        <f>_xll.BDH("AMZN US Equity","IS_SG&amp;A_EXPENSE","FQ4 2014","FQ4 2014","Currency=USD","Period=FQ","BEST_FPERIOD_OVERRIDE=FQ","FILING_STATUS=MR","SCALING_FORMAT=MLN","FA_ADJUSTED=Adjusted","Sort=A","Dates=H","DateFormat=P","Fill=—","Direction=H","UseDPDF=Y")</f>
        <v>1968</v>
      </c>
      <c r="AA13" s="13">
        <f>_xll.BDH("AMZN US Equity","IS_SG&amp;A_EXPENSE","FQ1 2015","FQ1 2015","Currency=USD","Period=FQ","BEST_FPERIOD_OVERRIDE=FQ","FILING_STATUS=MR","SCALING_FORMAT=MLN","FA_ADJUSTED=Adjusted","Sort=A","Dates=H","DateFormat=P","Fill=—","Direction=H","UseDPDF=Y")</f>
        <v>1510</v>
      </c>
      <c r="AB13" s="13">
        <f>_xll.BDH("AMZN US Equity","IS_SG&amp;A_EXPENSE","FQ2 2015","FQ2 2015","Currency=USD","Period=FQ","BEST_FPERIOD_OVERRIDE=FQ","FILING_STATUS=MR","SCALING_FORMAT=MLN","FA_ADJUSTED=Adjusted","Sort=A","Dates=H","DateFormat=P","Fill=—","Direction=H","UseDPDF=Y")</f>
        <v>1617</v>
      </c>
      <c r="AC13" s="13">
        <f>_xll.BDH("AMZN US Equity","IS_SG&amp;A_EXPENSE","FQ3 2015","FQ3 2015","Currency=USD","Period=FQ","BEST_FPERIOD_OVERRIDE=FQ","FILING_STATUS=MR","SCALING_FORMAT=MLN","FA_ADJUSTED=Adjusted","Sort=A","Dates=H","DateFormat=P","Fill=—","Direction=H","UseDPDF=Y")</f>
        <v>1727</v>
      </c>
      <c r="AD13" s="13">
        <f>_xll.BDH("AMZN US Equity","IS_SG&amp;A_EXPENSE","FQ4 2015","FQ4 2015","Currency=USD","Period=FQ","BEST_FPERIOD_OVERRIDE=FQ","FILING_STATUS=MR","SCALING_FORMAT=MLN","FA_ADJUSTED=Adjusted","Sort=A","Dates=H","DateFormat=P","Fill=—","Direction=H","UseDPDF=Y")</f>
        <v>2145</v>
      </c>
      <c r="AE13" s="13">
        <f>_xll.BDH("AMZN US Equity","IS_SG&amp;A_EXPENSE","FQ1 2016","FQ1 2016","Currency=USD","Period=FQ","BEST_FPERIOD_OVERRIDE=FQ","FILING_STATUS=MR","SCALING_FORMAT=MLN","FA_ADJUSTED=Adjusted","Sort=A","Dates=H","DateFormat=P","Fill=—","Direction=H","UseDPDF=Y")</f>
        <v>1933</v>
      </c>
      <c r="AF13" s="13">
        <f>_xll.BDH("AMZN US Equity","IS_SG&amp;A_EXPENSE","FQ2 2016","FQ2 2016","Currency=USD","Period=FQ","BEST_FPERIOD_OVERRIDE=FQ","FILING_STATUS=MR","SCALING_FORMAT=MLN","FA_ADJUSTED=Adjusted","Sort=A","Dates=H","DateFormat=P","Fill=—","Direction=H","UseDPDF=Y")</f>
        <v>2126</v>
      </c>
      <c r="AG13" s="13">
        <f>_xll.BDH("AMZN US Equity","IS_SG&amp;A_EXPENSE","FQ3 2016","FQ3 2016","Currency=USD","Period=FQ","BEST_FPERIOD_OVERRIDE=FQ","FILING_STATUS=MR","SCALING_FORMAT=MLN","FA_ADJUSTED=Adjusted","Sort=A","Dates=H","DateFormat=P","Fill=—","Direction=H","UseDPDF=Y")</f>
        <v>2377</v>
      </c>
      <c r="AH13" s="13">
        <f>_xll.BDH("AMZN US Equity","IS_SG&amp;A_EXPENSE","FQ4 2016","FQ4 2016","Currency=USD","Period=FQ","BEST_FPERIOD_OVERRIDE=FQ","FILING_STATUS=MR","SCALING_FORMAT=MLN","FA_ADJUSTED=Adjusted","Sort=A","Dates=H","DateFormat=P","Fill=—","Direction=H","UseDPDF=Y")</f>
        <v>3230</v>
      </c>
      <c r="AI13" s="13">
        <f>_xll.BDH("AMZN US Equity","IS_SG&amp;A_EXPENSE","FQ1 2017","FQ1 2017","Currency=USD","Period=FQ","BEST_FPERIOD_OVERRIDE=FQ","FILING_STATUS=MR","SCALING_FORMAT=MLN","FA_ADJUSTED=Adjusted","Sort=A","Dates=H","DateFormat=P","Fill=—","Direction=H","UseDPDF=Y")</f>
        <v>2715</v>
      </c>
      <c r="AJ13" s="13">
        <f>_xll.BDH("AMZN US Equity","IS_SG&amp;A_EXPENSE","FQ2 2017","FQ2 2017","Currency=USD","Period=FQ","BEST_FPERIOD_OVERRIDE=FQ","FILING_STATUS=MR","SCALING_FORMAT=MLN","FA_ADJUSTED=Adjusted","Sort=A","Dates=H","DateFormat=P","Fill=—","Direction=H","UseDPDF=Y")</f>
        <v>3103</v>
      </c>
      <c r="AK13" s="13">
        <f>_xll.BDH("AMZN US Equity","IS_SG&amp;A_EXPENSE","FQ3 2017","FQ3 2017","Currency=USD","Period=FQ","BEST_FPERIOD_OVERRIDE=FQ","FILING_STATUS=MR","SCALING_FORMAT=MLN","FA_ADJUSTED=Adjusted","Sort=A","Dates=H","DateFormat=P","Fill=—","Direction=H","UseDPDF=Y")</f>
        <v>3439</v>
      </c>
      <c r="AL13" s="13">
        <f>_xll.BDH("AMZN US Equity","IS_SG&amp;A_EXPENSE","FQ4 2017","FQ4 2017","Currency=USD","Period=FQ","BEST_FPERIOD_OVERRIDE=FQ","FILING_STATUS=MR","SCALING_FORMAT=MLN","FA_ADJUSTED=Adjusted","Sort=A","Dates=H","DateFormat=P","Fill=—","Direction=H","UseDPDF=Y")</f>
        <v>4484</v>
      </c>
      <c r="AM13" s="13">
        <f>_xll.BDH("AMZN US Equity","IS_SG&amp;A_EXPENSE","FQ1 2018","FQ1 2018","Currency=USD","Period=FQ","BEST_FPERIOD_OVERRIDE=FQ","FILING_STATUS=MR","SCALING_FORMAT=MLN","FA_ADJUSTED=Adjusted","Sort=A","Dates=H","DateFormat=P","Fill=—","Direction=H","UseDPDF=Y")</f>
        <v>3766</v>
      </c>
      <c r="AN13" s="13">
        <f>_xll.BDH("AMZN US Equity","IS_SG&amp;A_EXPENSE","FQ2 2018","FQ2 2018","Currency=USD","Period=FQ","BEST_FPERIOD_OVERRIDE=FQ","FILING_STATUS=MR","SCALING_FORMAT=MLN","FA_ADJUSTED=Adjusted","Sort=A","Dates=H","DateFormat=P","Fill=—","Direction=H","UseDPDF=Y")</f>
        <v>4012</v>
      </c>
      <c r="AO13" s="13"/>
      <c r="AP13" s="13"/>
    </row>
    <row r="14" spans="1:42" x14ac:dyDescent="0.25">
      <c r="A14" s="11" t="s">
        <v>102</v>
      </c>
      <c r="B14" s="11" t="s">
        <v>103</v>
      </c>
      <c r="C14" s="22">
        <f>_xll.BDH("AMZN US Equity","IS_SELLING_EXPENSES","FQ1 2009","FQ1 2009","Currency=USD","Period=FQ","BEST_FPERIOD_OVERRIDE=FQ","FILING_STATUS=MR","SCALING_FORMAT=MLN","FA_ADJUSTED=Adjusted","Sort=A","Dates=H","DateFormat=P","Fill=—","Direction=H","UseDPDF=Y")</f>
        <v>128</v>
      </c>
      <c r="D14" s="22">
        <f>_xll.BDH("AMZN US Equity","IS_SELLING_EXPENSES","FQ2 2009","FQ2 2009","Currency=USD","Period=FQ","BEST_FPERIOD_OVERRIDE=FQ","FILING_STATUS=MR","SCALING_FORMAT=MLN","FA_ADJUSTED=Adjusted","Sort=A","Dates=H","DateFormat=P","Fill=—","Direction=H","UseDPDF=Y")</f>
        <v>129</v>
      </c>
      <c r="E14" s="22">
        <f>_xll.BDH("AMZN US Equity","IS_SELLING_EXPENSES","FQ3 2009","FQ3 2009","Currency=USD","Period=FQ","BEST_FPERIOD_OVERRIDE=FQ","FILING_STATUS=MR","SCALING_FORMAT=MLN","FA_ADJUSTED=Adjusted","Sort=A","Dates=H","DateFormat=P","Fill=—","Direction=H","UseDPDF=Y")</f>
        <v>149</v>
      </c>
      <c r="F14" s="22">
        <f>_xll.BDH("AMZN US Equity","IS_SELLING_EXPENSES","FQ4 2009","FQ4 2009","Currency=USD","Period=FQ","BEST_FPERIOD_OVERRIDE=FQ","FILING_STATUS=MR","SCALING_FORMAT=MLN","FA_ADJUSTED=Adjusted","Sort=A","Dates=H","DateFormat=P","Fill=—","Direction=H","UseDPDF=Y")</f>
        <v>274</v>
      </c>
      <c r="G14" s="22">
        <f>_xll.BDH("AMZN US Equity","IS_SELLING_EXPENSES","FQ1 2010","FQ1 2010","Currency=USD","Period=FQ","BEST_FPERIOD_OVERRIDE=FQ","FILING_STATUS=MR","SCALING_FORMAT=MLN","FA_ADJUSTED=Adjusted","Sort=A","Dates=H","DateFormat=P","Fill=—","Direction=H","UseDPDF=Y")</f>
        <v>201</v>
      </c>
      <c r="H14" s="22">
        <f>_xll.BDH("AMZN US Equity","IS_SELLING_EXPENSES","FQ2 2010","FQ2 2010","Currency=USD","Period=FQ","BEST_FPERIOD_OVERRIDE=FQ","FILING_STATUS=MR","SCALING_FORMAT=MLN","FA_ADJUSTED=Adjusted","Sort=A","Dates=H","DateFormat=P","Fill=—","Direction=H","UseDPDF=Y")</f>
        <v>211</v>
      </c>
      <c r="I14" s="22">
        <f>_xll.BDH("AMZN US Equity","IS_SELLING_EXPENSES","FQ3 2010","FQ3 2010","Currency=USD","Period=FQ","BEST_FPERIOD_OVERRIDE=FQ","FILING_STATUS=MR","SCALING_FORMAT=MLN","FA_ADJUSTED=Adjusted","Sort=A","Dates=H","DateFormat=P","Fill=—","Direction=H","UseDPDF=Y")</f>
        <v>241</v>
      </c>
      <c r="J14" s="22">
        <f>_xll.BDH("AMZN US Equity","IS_SELLING_EXPENSES","FQ4 2010","FQ4 2010","Currency=USD","Period=FQ","BEST_FPERIOD_OVERRIDE=FQ","FILING_STATUS=MR","SCALING_FORMAT=MLN","FA_ADJUSTED=Adjusted","Sort=A","Dates=H","DateFormat=P","Fill=—","Direction=H","UseDPDF=Y")</f>
        <v>376</v>
      </c>
      <c r="K14" s="22">
        <f>_xll.BDH("AMZN US Equity","IS_SELLING_EXPENSES","FQ1 2011","FQ1 2011","Currency=USD","Period=FQ","BEST_FPERIOD_OVERRIDE=FQ","FILING_STATUS=MR","SCALING_FORMAT=MLN","FA_ADJUSTED=Adjusted","Sort=A","Dates=H","DateFormat=P","Fill=—","Direction=H","UseDPDF=Y")</f>
        <v>327</v>
      </c>
      <c r="L14" s="22">
        <f>_xll.BDH("AMZN US Equity","IS_SELLING_EXPENSES","FQ2 2011","FQ2 2011","Currency=USD","Period=FQ","BEST_FPERIOD_OVERRIDE=FQ","FILING_STATUS=MR","SCALING_FORMAT=MLN","FA_ADJUSTED=Adjusted","Sort=A","Dates=H","DateFormat=P","Fill=—","Direction=H","UseDPDF=Y")</f>
        <v>341</v>
      </c>
      <c r="M14" s="22">
        <f>_xll.BDH("AMZN US Equity","IS_SELLING_EXPENSES","FQ3 2011","FQ3 2011","Currency=USD","Period=FQ","BEST_FPERIOD_OVERRIDE=FQ","FILING_STATUS=MR","SCALING_FORMAT=MLN","FA_ADJUSTED=Adjusted","Sort=A","Dates=H","DateFormat=P","Fill=—","Direction=H","UseDPDF=Y")</f>
        <v>370</v>
      </c>
      <c r="N14" s="22">
        <f>_xll.BDH("AMZN US Equity","IS_SELLING_EXPENSES","FQ4 2011","FQ4 2011","Currency=USD","Period=FQ","BEST_FPERIOD_OVERRIDE=FQ","FILING_STATUS=MR","SCALING_FORMAT=MLN","FA_ADJUSTED=Adjusted","Sort=A","Dates=H","DateFormat=P","Fill=—","Direction=H","UseDPDF=Y")</f>
        <v>593</v>
      </c>
      <c r="O14" s="22">
        <f>_xll.BDH("AMZN US Equity","IS_SELLING_EXPENSES","FQ1 2012","FQ1 2012","Currency=USD","Period=FQ","BEST_FPERIOD_OVERRIDE=FQ","FILING_STATUS=MR","SCALING_FORMAT=MLN","FA_ADJUSTED=Adjusted","Sort=A","Dates=H","DateFormat=P","Fill=—","Direction=H","UseDPDF=Y")</f>
        <v>480</v>
      </c>
      <c r="P14" s="22">
        <f>_xll.BDH("AMZN US Equity","IS_SELLING_EXPENSES","FQ2 2012","FQ2 2012","Currency=USD","Period=FQ","BEST_FPERIOD_OVERRIDE=FQ","FILING_STATUS=MR","SCALING_FORMAT=MLN","FA_ADJUSTED=Adjusted","Sort=A","Dates=H","DateFormat=P","Fill=—","Direction=H","UseDPDF=Y")</f>
        <v>537</v>
      </c>
      <c r="Q14" s="22">
        <f>_xll.BDH("AMZN US Equity","IS_SELLING_EXPENSES","FQ3 2012","FQ3 2012","Currency=USD","Period=FQ","BEST_FPERIOD_OVERRIDE=FQ","FILING_STATUS=MR","SCALING_FORMAT=MLN","FA_ADJUSTED=Adjusted","Sort=A","Dates=H","DateFormat=P","Fill=—","Direction=H","UseDPDF=Y")</f>
        <v>540</v>
      </c>
      <c r="R14" s="22">
        <f>_xll.BDH("AMZN US Equity","IS_SELLING_EXPENSES","FQ4 2012","FQ4 2012","Currency=USD","Period=FQ","BEST_FPERIOD_OVERRIDE=FQ","FILING_STATUS=MR","SCALING_FORMAT=MLN","FA_ADJUSTED=Adjusted","Sort=A","Dates=H","DateFormat=P","Fill=—","Direction=H","UseDPDF=Y")</f>
        <v>851</v>
      </c>
      <c r="S14" s="22">
        <f>_xll.BDH("AMZN US Equity","IS_SELLING_EXPENSES","FQ1 2013","FQ1 2013","Currency=USD","Period=FQ","BEST_FPERIOD_OVERRIDE=FQ","FILING_STATUS=MR","SCALING_FORMAT=MLN","FA_ADJUSTED=Adjusted","Sort=A","Dates=H","DateFormat=P","Fill=—","Direction=H","UseDPDF=Y")</f>
        <v>632</v>
      </c>
      <c r="T14" s="22">
        <f>_xll.BDH("AMZN US Equity","IS_SELLING_EXPENSES","FQ2 2013","FQ2 2013","Currency=USD","Period=FQ","BEST_FPERIOD_OVERRIDE=FQ","FILING_STATUS=MR","SCALING_FORMAT=MLN","FA_ADJUSTED=Adjusted","Sort=A","Dates=H","DateFormat=P","Fill=—","Direction=H","UseDPDF=Y")</f>
        <v>675</v>
      </c>
      <c r="U14" s="22">
        <f>_xll.BDH("AMZN US Equity","IS_SELLING_EXPENSES","FQ3 2013","FQ3 2013","Currency=USD","Period=FQ","BEST_FPERIOD_OVERRIDE=FQ","FILING_STATUS=MR","SCALING_FORMAT=MLN","FA_ADJUSTED=Adjusted","Sort=A","Dates=H","DateFormat=P","Fill=—","Direction=H","UseDPDF=Y")</f>
        <v>694</v>
      </c>
      <c r="V14" s="22">
        <f>_xll.BDH("AMZN US Equity","IS_SELLING_EXPENSES","FQ4 2013","FQ4 2013","Currency=USD","Period=FQ","BEST_FPERIOD_OVERRIDE=FQ","FILING_STATUS=MR","SCALING_FORMAT=MLN","FA_ADJUSTED=Adjusted","Sort=A","Dates=H","DateFormat=P","Fill=—","Direction=H","UseDPDF=Y")</f>
        <v>1133</v>
      </c>
      <c r="W14" s="22">
        <f>_xll.BDH("AMZN US Equity","IS_SELLING_EXPENSES","FQ1 2014","FQ1 2014","Currency=USD","Period=FQ","BEST_FPERIOD_OVERRIDE=FQ","FILING_STATUS=MR","SCALING_FORMAT=MLN","FA_ADJUSTED=Adjusted","Sort=A","Dates=H","DateFormat=P","Fill=—","Direction=H","UseDPDF=Y")</f>
        <v>870</v>
      </c>
      <c r="X14" s="22">
        <f>_xll.BDH("AMZN US Equity","IS_SELLING_EXPENSES","FQ2 2014","FQ2 2014","Currency=USD","Period=FQ","BEST_FPERIOD_OVERRIDE=FQ","FILING_STATUS=MR","SCALING_FORMAT=MLN","FA_ADJUSTED=Adjusted","Sort=A","Dates=H","DateFormat=P","Fill=—","Direction=H","UseDPDF=Y")</f>
        <v>943</v>
      </c>
      <c r="Y14" s="22">
        <f>_xll.BDH("AMZN US Equity","IS_SELLING_EXPENSES","FQ3 2014","FQ3 2014","Currency=USD","Period=FQ","BEST_FPERIOD_OVERRIDE=FQ","FILING_STATUS=MR","SCALING_FORMAT=MLN","FA_ADJUSTED=Adjusted","Sort=A","Dates=H","DateFormat=P","Fill=—","Direction=H","UseDPDF=Y")</f>
        <v>993</v>
      </c>
      <c r="Z14" s="22">
        <f>_xll.BDH("AMZN US Equity","IS_SELLING_EXPENSES","FQ4 2014","FQ4 2014","Currency=USD","Period=FQ","BEST_FPERIOD_OVERRIDE=FQ","FILING_STATUS=MR","SCALING_FORMAT=MLN","FA_ADJUSTED=Adjusted","Sort=A","Dates=H","DateFormat=P","Fill=—","Direction=H","UseDPDF=Y")</f>
        <v>1526</v>
      </c>
      <c r="AA14" s="22">
        <f>_xll.BDH("AMZN US Equity","IS_SELLING_EXPENSES","FQ1 2015","FQ1 2015","Currency=USD","Period=FQ","BEST_FPERIOD_OVERRIDE=FQ","FILING_STATUS=MR","SCALING_FORMAT=MLN","FA_ADJUSTED=Adjusted","Sort=A","Dates=H","DateFormat=P","Fill=—","Direction=H","UseDPDF=Y")</f>
        <v>1083</v>
      </c>
      <c r="AB14" s="22">
        <f>_xll.BDH("AMZN US Equity","IS_SELLING_EXPENSES","FQ2 2015","FQ2 2015","Currency=USD","Period=FQ","BEST_FPERIOD_OVERRIDE=FQ","FILING_STATUS=MR","SCALING_FORMAT=MLN","FA_ADJUSTED=Adjusted","Sort=A","Dates=H","DateFormat=P","Fill=—","Direction=H","UseDPDF=Y")</f>
        <v>1150</v>
      </c>
      <c r="AC14" s="22">
        <f>_xll.BDH("AMZN US Equity","IS_SELLING_EXPENSES","FQ3 2015","FQ3 2015","Currency=USD","Period=FQ","BEST_FPERIOD_OVERRIDE=FQ","FILING_STATUS=MR","SCALING_FORMAT=MLN","FA_ADJUSTED=Adjusted","Sort=A","Dates=H","DateFormat=P","Fill=—","Direction=H","UseDPDF=Y")</f>
        <v>1264</v>
      </c>
      <c r="AD14" s="22">
        <f>_xll.BDH("AMZN US Equity","IS_SELLING_EXPENSES","FQ4 2015","FQ4 2015","Currency=USD","Period=FQ","BEST_FPERIOD_OVERRIDE=FQ","FILING_STATUS=MR","SCALING_FORMAT=MLN","FA_ADJUSTED=Adjusted","Sort=A","Dates=H","DateFormat=P","Fill=—","Direction=H","UseDPDF=Y")</f>
        <v>1755</v>
      </c>
      <c r="AE14" s="22">
        <f>_xll.BDH("AMZN US Equity","IS_SELLING_EXPENSES","FQ1 2016","FQ1 2016","Currency=USD","Period=FQ","BEST_FPERIOD_OVERRIDE=FQ","FILING_STATUS=MR","SCALING_FORMAT=MLN","FA_ADJUSTED=Adjusted","Sort=A","Dates=H","DateFormat=P","Fill=—","Direction=H","UseDPDF=Y")</f>
        <v>1436</v>
      </c>
      <c r="AF14" s="22">
        <f>_xll.BDH("AMZN US Equity","IS_SELLING_EXPENSES","FQ2 2016","FQ2 2016","Currency=USD","Period=FQ","BEST_FPERIOD_OVERRIDE=FQ","FILING_STATUS=MR","SCALING_FORMAT=MLN","FA_ADJUSTED=Adjusted","Sort=A","Dates=H","DateFormat=P","Fill=—","Direction=H","UseDPDF=Y")</f>
        <v>1546</v>
      </c>
      <c r="AG14" s="22">
        <f>_xll.BDH("AMZN US Equity","IS_SELLING_EXPENSES","FQ3 2016","FQ3 2016","Currency=USD","Period=FQ","BEST_FPERIOD_OVERRIDE=FQ","FILING_STATUS=MR","SCALING_FORMAT=MLN","FA_ADJUSTED=Adjusted","Sort=A","Dates=H","DateFormat=P","Fill=—","Direction=H","UseDPDF=Y")</f>
        <v>1738</v>
      </c>
      <c r="AH14" s="22">
        <f>_xll.BDH("AMZN US Equity","IS_SELLING_EXPENSES","FQ4 2016","FQ4 2016","Currency=USD","Period=FQ","BEST_FPERIOD_OVERRIDE=FQ","FILING_STATUS=MR","SCALING_FORMAT=MLN","FA_ADJUSTED=Adjusted","Sort=A","Dates=H","DateFormat=P","Fill=—","Direction=H","UseDPDF=Y")</f>
        <v>2513</v>
      </c>
      <c r="AI14" s="22">
        <f>_xll.BDH("AMZN US Equity","IS_SELLING_EXPENSES","FQ1 2017","FQ1 2017","Currency=USD","Period=FQ","BEST_FPERIOD_OVERRIDE=FQ","FILING_STATUS=MR","SCALING_FORMAT=MLN","FA_ADJUSTED=Adjusted","Sort=A","Dates=H","DateFormat=P","Fill=—","Direction=H","UseDPDF=Y")</f>
        <v>1920</v>
      </c>
      <c r="AJ14" s="22">
        <f>_xll.BDH("AMZN US Equity","IS_SELLING_EXPENSES","FQ2 2017","FQ2 2017","Currency=USD","Period=FQ","BEST_FPERIOD_OVERRIDE=FQ","FILING_STATUS=MR","SCALING_FORMAT=MLN","FA_ADJUSTED=Adjusted","Sort=A","Dates=H","DateFormat=P","Fill=—","Direction=H","UseDPDF=Y")</f>
        <v>2229</v>
      </c>
      <c r="AK14" s="22">
        <f>_xll.BDH("AMZN US Equity","IS_SELLING_EXPENSES","FQ3 2017","FQ3 2017","Currency=USD","Period=FQ","BEST_FPERIOD_OVERRIDE=FQ","FILING_STATUS=MR","SCALING_FORMAT=MLN","FA_ADJUSTED=Adjusted","Sort=A","Dates=H","DateFormat=P","Fill=—","Direction=H","UseDPDF=Y")</f>
        <v>2479</v>
      </c>
      <c r="AL14" s="22">
        <f>_xll.BDH("AMZN US Equity","IS_SELLING_EXPENSES","FQ4 2017","FQ4 2017","Currency=USD","Period=FQ","BEST_FPERIOD_OVERRIDE=FQ","FILING_STATUS=MR","SCALING_FORMAT=MLN","FA_ADJUSTED=Adjusted","Sort=A","Dates=H","DateFormat=P","Fill=—","Direction=H","UseDPDF=Y")</f>
        <v>3440</v>
      </c>
      <c r="AM14" s="22">
        <f>_xll.BDH("AMZN US Equity","IS_SELLING_EXPENSES","FQ1 2018","FQ1 2018","Currency=USD","Period=FQ","BEST_FPERIOD_OVERRIDE=FQ","FILING_STATUS=MR","SCALING_FORMAT=MLN","FA_ADJUSTED=Adjusted","Sort=A","Dates=H","DateFormat=P","Fill=—","Direction=H","UseDPDF=Y")</f>
        <v>2699</v>
      </c>
      <c r="AN14" s="22">
        <f>_xll.BDH("AMZN US Equity","IS_SELLING_EXPENSES","FQ2 2018","FQ2 2018","Currency=USD","Period=FQ","BEST_FPERIOD_OVERRIDE=FQ","FILING_STATUS=MR","SCALING_FORMAT=MLN","FA_ADJUSTED=Adjusted","Sort=A","Dates=H","DateFormat=P","Fill=—","Direction=H","UseDPDF=Y")</f>
        <v>2901</v>
      </c>
      <c r="AO14" s="22"/>
      <c r="AP14" s="22"/>
    </row>
    <row r="15" spans="1:42" x14ac:dyDescent="0.25">
      <c r="A15" s="11" t="s">
        <v>104</v>
      </c>
      <c r="B15" s="11" t="s">
        <v>105</v>
      </c>
      <c r="C15" s="22">
        <f>_xll.BDH("AMZN US Equity","IS_GENERAL_AND_ADMINISTRATIVE","FQ1 2009","FQ1 2009","Currency=USD","Period=FQ","BEST_FPERIOD_OVERRIDE=FQ","FILING_STATUS=MR","SCALING_FORMAT=MLN","FA_ADJUSTED=Adjusted","Sort=A","Dates=H","DateFormat=P","Fill=—","Direction=H","UseDPDF=Y")</f>
        <v>68</v>
      </c>
      <c r="D15" s="22">
        <f>_xll.BDH("AMZN US Equity","IS_GENERAL_AND_ADMINISTRATIVE","FQ2 2009","FQ2 2009","Currency=USD","Period=FQ","BEST_FPERIOD_OVERRIDE=FQ","FILING_STATUS=MR","SCALING_FORMAT=MLN","FA_ADJUSTED=Adjusted","Sort=A","Dates=H","DateFormat=P","Fill=—","Direction=H","UseDPDF=Y")</f>
        <v>77</v>
      </c>
      <c r="E15" s="22">
        <f>_xll.BDH("AMZN US Equity","IS_GENERAL_AND_ADMINISTRATIVE","FQ3 2009","FQ3 2009","Currency=USD","Period=FQ","BEST_FPERIOD_OVERRIDE=FQ","FILING_STATUS=MR","SCALING_FORMAT=MLN","FA_ADJUSTED=Adjusted","Sort=A","Dates=H","DateFormat=P","Fill=—","Direction=H","UseDPDF=Y")</f>
        <v>83</v>
      </c>
      <c r="F15" s="22">
        <f>_xll.BDH("AMZN US Equity","IS_GENERAL_AND_ADMINISTRATIVE","FQ4 2009","FQ4 2009","Currency=USD","Period=FQ","BEST_FPERIOD_OVERRIDE=FQ","FILING_STATUS=MR","SCALING_FORMAT=MLN","FA_ADJUSTED=Adjusted","Sort=A","Dates=H","DateFormat=P","Fill=—","Direction=H","UseDPDF=Y")</f>
        <v>100</v>
      </c>
      <c r="G15" s="22">
        <f>_xll.BDH("AMZN US Equity","IS_GENERAL_AND_ADMINISTRATIVE","FQ1 2010","FQ1 2010","Currency=USD","Period=FQ","BEST_FPERIOD_OVERRIDE=FQ","FILING_STATUS=MR","SCALING_FORMAT=MLN","FA_ADJUSTED=Adjusted","Sort=A","Dates=H","DateFormat=P","Fill=—","Direction=H","UseDPDF=Y")</f>
        <v>97</v>
      </c>
      <c r="H15" s="22">
        <f>_xll.BDH("AMZN US Equity","IS_GENERAL_AND_ADMINISTRATIVE","FQ2 2010","FQ2 2010","Currency=USD","Period=FQ","BEST_FPERIOD_OVERRIDE=FQ","FILING_STATUS=MR","SCALING_FORMAT=MLN","FA_ADJUSTED=Adjusted","Sort=A","Dates=H","DateFormat=P","Fill=—","Direction=H","UseDPDF=Y")</f>
        <v>113</v>
      </c>
      <c r="I15" s="22">
        <f>_xll.BDH("AMZN US Equity","IS_GENERAL_AND_ADMINISTRATIVE","FQ3 2010","FQ3 2010","Currency=USD","Period=FQ","BEST_FPERIOD_OVERRIDE=FQ","FILING_STATUS=MR","SCALING_FORMAT=MLN","FA_ADJUSTED=Adjusted","Sort=A","Dates=H","DateFormat=P","Fill=—","Direction=H","UseDPDF=Y")</f>
        <v>117</v>
      </c>
      <c r="J15" s="22">
        <f>_xll.BDH("AMZN US Equity","IS_GENERAL_AND_ADMINISTRATIVE","FQ4 2010","FQ4 2010","Currency=USD","Period=FQ","BEST_FPERIOD_OVERRIDE=FQ","FILING_STATUS=MR","SCALING_FORMAT=MLN","FA_ADJUSTED=Adjusted","Sort=A","Dates=H","DateFormat=P","Fill=—","Direction=H","UseDPDF=Y")</f>
        <v>143</v>
      </c>
      <c r="K15" s="22">
        <f>_xll.BDH("AMZN US Equity","IS_GENERAL_AND_ADMINISTRATIVE","FQ1 2011","FQ1 2011","Currency=USD","Period=FQ","BEST_FPERIOD_OVERRIDE=FQ","FILING_STATUS=MR","SCALING_FORMAT=MLN","FA_ADJUSTED=Adjusted","Sort=A","Dates=H","DateFormat=P","Fill=—","Direction=H","UseDPDF=Y")</f>
        <v>133</v>
      </c>
      <c r="L15" s="22">
        <f>_xll.BDH("AMZN US Equity","IS_GENERAL_AND_ADMINISTRATIVE","FQ2 2011","FQ2 2011","Currency=USD","Period=FQ","BEST_FPERIOD_OVERRIDE=FQ","FILING_STATUS=MR","SCALING_FORMAT=MLN","FA_ADJUSTED=Adjusted","Sort=A","Dates=H","DateFormat=P","Fill=—","Direction=H","UseDPDF=Y")</f>
        <v>166</v>
      </c>
      <c r="M15" s="22">
        <f>_xll.BDH("AMZN US Equity","IS_GENERAL_AND_ADMINISTRATIVE","FQ3 2011","FQ3 2011","Currency=USD","Period=FQ","BEST_FPERIOD_OVERRIDE=FQ","FILING_STATUS=MR","SCALING_FORMAT=MLN","FA_ADJUSTED=Adjusted","Sort=A","Dates=H","DateFormat=P","Fill=—","Direction=H","UseDPDF=Y")</f>
        <v>175</v>
      </c>
      <c r="N15" s="22">
        <f>_xll.BDH("AMZN US Equity","IS_GENERAL_AND_ADMINISTRATIVE","FQ4 2011","FQ4 2011","Currency=USD","Period=FQ","BEST_FPERIOD_OVERRIDE=FQ","FILING_STATUS=MR","SCALING_FORMAT=MLN","FA_ADJUSTED=Adjusted","Sort=A","Dates=H","DateFormat=P","Fill=—","Direction=H","UseDPDF=Y")</f>
        <v>184</v>
      </c>
      <c r="O15" s="22">
        <f>_xll.BDH("AMZN US Equity","IS_GENERAL_AND_ADMINISTRATIVE","FQ1 2012","FQ1 2012","Currency=USD","Period=FQ","BEST_FPERIOD_OVERRIDE=FQ","FILING_STATUS=MR","SCALING_FORMAT=MLN","FA_ADJUSTED=Adjusted","Sort=A","Dates=H","DateFormat=P","Fill=—","Direction=H","UseDPDF=Y")</f>
        <v>200</v>
      </c>
      <c r="P15" s="22">
        <f>_xll.BDH("AMZN US Equity","IS_GENERAL_AND_ADMINISTRATIVE","FQ2 2012","FQ2 2012","Currency=USD","Period=FQ","BEST_FPERIOD_OVERRIDE=FQ","FILING_STATUS=MR","SCALING_FORMAT=MLN","FA_ADJUSTED=Adjusted","Sort=A","Dates=H","DateFormat=P","Fill=—","Direction=H","UseDPDF=Y")</f>
        <v>232</v>
      </c>
      <c r="Q15" s="22">
        <f>_xll.BDH("AMZN US Equity","IS_GENERAL_AND_ADMINISTRATIVE","FQ3 2012","FQ3 2012","Currency=USD","Period=FQ","BEST_FPERIOD_OVERRIDE=FQ","FILING_STATUS=MR","SCALING_FORMAT=MLN","FA_ADJUSTED=Adjusted","Sort=A","Dates=H","DateFormat=P","Fill=—","Direction=H","UseDPDF=Y")</f>
        <v>230</v>
      </c>
      <c r="R15" s="22">
        <f>_xll.BDH("AMZN US Equity","IS_GENERAL_AND_ADMINISTRATIVE","FQ4 2012","FQ4 2012","Currency=USD","Period=FQ","BEST_FPERIOD_OVERRIDE=FQ","FILING_STATUS=MR","SCALING_FORMAT=MLN","FA_ADJUSTED=Adjusted","Sort=A","Dates=H","DateFormat=P","Fill=—","Direction=H","UseDPDF=Y")</f>
        <v>235</v>
      </c>
      <c r="S15" s="22">
        <f>_xll.BDH("AMZN US Equity","IS_GENERAL_AND_ADMINISTRATIVE","FQ1 2013","FQ1 2013","Currency=USD","Period=FQ","BEST_FPERIOD_OVERRIDE=FQ","FILING_STATUS=MR","SCALING_FORMAT=MLN","FA_ADJUSTED=Adjusted","Sort=A","Dates=H","DateFormat=P","Fill=—","Direction=H","UseDPDF=Y")</f>
        <v>246</v>
      </c>
      <c r="T15" s="22">
        <f>_xll.BDH("AMZN US Equity","IS_GENERAL_AND_ADMINISTRATIVE","FQ2 2013","FQ2 2013","Currency=USD","Period=FQ","BEST_FPERIOD_OVERRIDE=FQ","FILING_STATUS=MR","SCALING_FORMAT=MLN","FA_ADJUSTED=Adjusted","Sort=A","Dates=H","DateFormat=P","Fill=—","Direction=H","UseDPDF=Y")</f>
        <v>286</v>
      </c>
      <c r="U15" s="22">
        <f>_xll.BDH("AMZN US Equity","IS_GENERAL_AND_ADMINISTRATIVE","FQ3 2013","FQ3 2013","Currency=USD","Period=FQ","BEST_FPERIOD_OVERRIDE=FQ","FILING_STATUS=MR","SCALING_FORMAT=MLN","FA_ADJUSTED=Adjusted","Sort=A","Dates=H","DateFormat=P","Fill=—","Direction=H","UseDPDF=Y")</f>
        <v>278</v>
      </c>
      <c r="V15" s="22">
        <f>_xll.BDH("AMZN US Equity","IS_GENERAL_AND_ADMINISTRATIVE","FQ4 2013","FQ4 2013","Currency=USD","Period=FQ","BEST_FPERIOD_OVERRIDE=FQ","FILING_STATUS=MR","SCALING_FORMAT=MLN","FA_ADJUSTED=Adjusted","Sort=A","Dates=H","DateFormat=P","Fill=—","Direction=H","UseDPDF=Y")</f>
        <v>318</v>
      </c>
      <c r="W15" s="22">
        <f>_xll.BDH("AMZN US Equity","IS_GENERAL_AND_ADMINISTRATIVE","FQ1 2014","FQ1 2014","Currency=USD","Period=FQ","BEST_FPERIOD_OVERRIDE=FQ","FILING_STATUS=MR","SCALING_FORMAT=MLN","FA_ADJUSTED=Adjusted","Sort=A","Dates=H","DateFormat=P","Fill=—","Direction=H","UseDPDF=Y")</f>
        <v>327</v>
      </c>
      <c r="X15" s="22">
        <f>_xll.BDH("AMZN US Equity","IS_GENERAL_AND_ADMINISTRATIVE","FQ2 2014","FQ2 2014","Currency=USD","Period=FQ","BEST_FPERIOD_OVERRIDE=FQ","FILING_STATUS=MR","SCALING_FORMAT=MLN","FA_ADJUSTED=Adjusted","Sort=A","Dates=H","DateFormat=P","Fill=—","Direction=H","UseDPDF=Y")</f>
        <v>377</v>
      </c>
      <c r="Y15" s="22">
        <f>_xll.BDH("AMZN US Equity","IS_GENERAL_AND_ADMINISTRATIVE","FQ3 2014","FQ3 2014","Currency=USD","Period=FQ","BEST_FPERIOD_OVERRIDE=FQ","FILING_STATUS=MR","SCALING_FORMAT=MLN","FA_ADJUSTED=Adjusted","Sort=A","Dates=H","DateFormat=P","Fill=—","Direction=H","UseDPDF=Y")</f>
        <v>406</v>
      </c>
      <c r="Z15" s="22">
        <f>_xll.BDH("AMZN US Equity","IS_GENERAL_AND_ADMINISTRATIVE","FQ4 2014","FQ4 2014","Currency=USD","Period=FQ","BEST_FPERIOD_OVERRIDE=FQ","FILING_STATUS=MR","SCALING_FORMAT=MLN","FA_ADJUSTED=Adjusted","Sort=A","Dates=H","DateFormat=P","Fill=—","Direction=H","UseDPDF=Y")</f>
        <v>442</v>
      </c>
      <c r="AA15" s="22">
        <f>_xll.BDH("AMZN US Equity","IS_GENERAL_AND_ADMINISTRATIVE","FQ1 2015","FQ1 2015","Currency=USD","Period=FQ","BEST_FPERIOD_OVERRIDE=FQ","FILING_STATUS=MR","SCALING_FORMAT=MLN","FA_ADJUSTED=Adjusted","Sort=A","Dates=H","DateFormat=P","Fill=—","Direction=H","UseDPDF=Y")</f>
        <v>427</v>
      </c>
      <c r="AB15" s="22">
        <f>_xll.BDH("AMZN US Equity","IS_GENERAL_AND_ADMINISTRATIVE","FQ2 2015","FQ2 2015","Currency=USD","Period=FQ","BEST_FPERIOD_OVERRIDE=FQ","FILING_STATUS=MR","SCALING_FORMAT=MLN","FA_ADJUSTED=Adjusted","Sort=A","Dates=H","DateFormat=P","Fill=—","Direction=H","UseDPDF=Y")</f>
        <v>467</v>
      </c>
      <c r="AC15" s="22">
        <f>_xll.BDH("AMZN US Equity","IS_GENERAL_AND_ADMINISTRATIVE","FQ3 2015","FQ3 2015","Currency=USD","Period=FQ","BEST_FPERIOD_OVERRIDE=FQ","FILING_STATUS=MR","SCALING_FORMAT=MLN","FA_ADJUSTED=Adjusted","Sort=A","Dates=H","DateFormat=P","Fill=—","Direction=H","UseDPDF=Y")</f>
        <v>463</v>
      </c>
      <c r="AD15" s="22">
        <f>_xll.BDH("AMZN US Equity","IS_GENERAL_AND_ADMINISTRATIVE","FQ4 2015","FQ4 2015","Currency=USD","Period=FQ","BEST_FPERIOD_OVERRIDE=FQ","FILING_STATUS=MR","SCALING_FORMAT=MLN","FA_ADJUSTED=Adjusted","Sort=A","Dates=H","DateFormat=P","Fill=—","Direction=H","UseDPDF=Y")</f>
        <v>390</v>
      </c>
      <c r="AE15" s="22">
        <f>_xll.BDH("AMZN US Equity","IS_GENERAL_AND_ADMINISTRATIVE","FQ1 2016","FQ1 2016","Currency=USD","Period=FQ","BEST_FPERIOD_OVERRIDE=FQ","FILING_STATUS=MR","SCALING_FORMAT=MLN","FA_ADJUSTED=Adjusted","Sort=A","Dates=H","DateFormat=P","Fill=—","Direction=H","UseDPDF=Y")</f>
        <v>497</v>
      </c>
      <c r="AF15" s="22">
        <f>_xll.BDH("AMZN US Equity","IS_GENERAL_AND_ADMINISTRATIVE","FQ2 2016","FQ2 2016","Currency=USD","Period=FQ","BEST_FPERIOD_OVERRIDE=FQ","FILING_STATUS=MR","SCALING_FORMAT=MLN","FA_ADJUSTED=Adjusted","Sort=A","Dates=H","DateFormat=P","Fill=—","Direction=H","UseDPDF=Y")</f>
        <v>580</v>
      </c>
      <c r="AG15" s="22">
        <f>_xll.BDH("AMZN US Equity","IS_GENERAL_AND_ADMINISTRATIVE","FQ3 2016","FQ3 2016","Currency=USD","Period=FQ","BEST_FPERIOD_OVERRIDE=FQ","FILING_STATUS=MR","SCALING_FORMAT=MLN","FA_ADJUSTED=Adjusted","Sort=A","Dates=H","DateFormat=P","Fill=—","Direction=H","UseDPDF=Y")</f>
        <v>639</v>
      </c>
      <c r="AH15" s="22">
        <f>_xll.BDH("AMZN US Equity","IS_GENERAL_AND_ADMINISTRATIVE","FQ4 2016","FQ4 2016","Currency=USD","Period=FQ","BEST_FPERIOD_OVERRIDE=FQ","FILING_STATUS=MR","SCALING_FORMAT=MLN","FA_ADJUSTED=Adjusted","Sort=A","Dates=H","DateFormat=P","Fill=—","Direction=H","UseDPDF=Y")</f>
        <v>717</v>
      </c>
      <c r="AI15" s="22">
        <f>_xll.BDH("AMZN US Equity","IS_GENERAL_AND_ADMINISTRATIVE","FQ1 2017","FQ1 2017","Currency=USD","Period=FQ","BEST_FPERIOD_OVERRIDE=FQ","FILING_STATUS=MR","SCALING_FORMAT=MLN","FA_ADJUSTED=Adjusted","Sort=A","Dates=H","DateFormat=P","Fill=—","Direction=H","UseDPDF=Y")</f>
        <v>795</v>
      </c>
      <c r="AJ15" s="22">
        <f>_xll.BDH("AMZN US Equity","IS_GENERAL_AND_ADMINISTRATIVE","FQ2 2017","FQ2 2017","Currency=USD","Period=FQ","BEST_FPERIOD_OVERRIDE=FQ","FILING_STATUS=MR","SCALING_FORMAT=MLN","FA_ADJUSTED=Adjusted","Sort=A","Dates=H","DateFormat=P","Fill=—","Direction=H","UseDPDF=Y")</f>
        <v>874</v>
      </c>
      <c r="AK15" s="22">
        <f>_xll.BDH("AMZN US Equity","IS_GENERAL_AND_ADMINISTRATIVE","FQ3 2017","FQ3 2017","Currency=USD","Period=FQ","BEST_FPERIOD_OVERRIDE=FQ","FILING_STATUS=MR","SCALING_FORMAT=MLN","FA_ADJUSTED=Adjusted","Sort=A","Dates=H","DateFormat=P","Fill=—","Direction=H","UseDPDF=Y")</f>
        <v>960</v>
      </c>
      <c r="AL15" s="22">
        <f>_xll.BDH("AMZN US Equity","IS_GENERAL_AND_ADMINISTRATIVE","FQ4 2017","FQ4 2017","Currency=USD","Period=FQ","BEST_FPERIOD_OVERRIDE=FQ","FILING_STATUS=MR","SCALING_FORMAT=MLN","FA_ADJUSTED=Adjusted","Sort=A","Dates=H","DateFormat=P","Fill=—","Direction=H","UseDPDF=Y")</f>
        <v>1044</v>
      </c>
      <c r="AM15" s="22">
        <f>_xll.BDH("AMZN US Equity","IS_GENERAL_AND_ADMINISTRATIVE","FQ1 2018","FQ1 2018","Currency=USD","Period=FQ","BEST_FPERIOD_OVERRIDE=FQ","FILING_STATUS=MR","SCALING_FORMAT=MLN","FA_ADJUSTED=Adjusted","Sort=A","Dates=H","DateFormat=P","Fill=—","Direction=H","UseDPDF=Y")</f>
        <v>1067</v>
      </c>
      <c r="AN15" s="22">
        <f>_xll.BDH("AMZN US Equity","IS_GENERAL_AND_ADMINISTRATIVE","FQ2 2018","FQ2 2018","Currency=USD","Period=FQ","BEST_FPERIOD_OVERRIDE=FQ","FILING_STATUS=MR","SCALING_FORMAT=MLN","FA_ADJUSTED=Adjusted","Sort=A","Dates=H","DateFormat=P","Fill=—","Direction=H","UseDPDF=Y")</f>
        <v>1111</v>
      </c>
      <c r="AO15" s="22"/>
      <c r="AP15" s="22"/>
    </row>
    <row r="16" spans="1:42" x14ac:dyDescent="0.25">
      <c r="A16" s="10" t="s">
        <v>106</v>
      </c>
      <c r="B16" s="10" t="s">
        <v>107</v>
      </c>
      <c r="C16" s="13">
        <f>_xll.BDH("AMZN US Equity","IS_OPEX_R&amp;D","FQ1 2009","FQ1 2009","Currency=USD","Period=FQ","BEST_FPERIOD_OVERRIDE=FQ","FILING_STATUS=MR","SCALING_FORMAT=MLN","Sort=A","Dates=H","DateFormat=P","Fill=—","Direction=H","UseDPDF=Y")</f>
        <v>275</v>
      </c>
      <c r="D16" s="13">
        <f>_xll.BDH("AMZN US Equity","IS_OPEX_R&amp;D","FQ2 2009","FQ2 2009","Currency=USD","Period=FQ","BEST_FPERIOD_OVERRIDE=FQ","FILING_STATUS=MR","SCALING_FORMAT=MLN","Sort=A","Dates=H","DateFormat=P","Fill=—","Direction=H","UseDPDF=Y")</f>
        <v>299</v>
      </c>
      <c r="E16" s="13">
        <f>_xll.BDH("AMZN US Equity","IS_OPEX_R&amp;D","FQ3 2009","FQ3 2009","Currency=USD","Period=FQ","BEST_FPERIOD_OVERRIDE=FQ","FILING_STATUS=MR","SCALING_FORMAT=MLN","Sort=A","Dates=H","DateFormat=P","Fill=—","Direction=H","UseDPDF=Y")</f>
        <v>315</v>
      </c>
      <c r="F16" s="13">
        <f>_xll.BDH("AMZN US Equity","IS_OPEX_R&amp;D","FQ4 2009","FQ4 2009","Currency=USD","Period=FQ","BEST_FPERIOD_OVERRIDE=FQ","FILING_STATUS=MR","SCALING_FORMAT=MLN","Sort=A","Dates=H","DateFormat=P","Fill=—","Direction=H","UseDPDF=Y")</f>
        <v>350</v>
      </c>
      <c r="G16" s="13">
        <f>_xll.BDH("AMZN US Equity","IS_OPEX_R&amp;D","FQ1 2010","FQ1 2010","Currency=USD","Period=FQ","BEST_FPERIOD_OVERRIDE=FQ","FILING_STATUS=MR","SCALING_FORMAT=MLN","Sort=A","Dates=H","DateFormat=P","Fill=—","Direction=H","UseDPDF=Y")</f>
        <v>366</v>
      </c>
      <c r="H16" s="13">
        <f>_xll.BDH("AMZN US Equity","IS_OPEX_R&amp;D","FQ2 2010","FQ2 2010","Currency=USD","Period=FQ","BEST_FPERIOD_OVERRIDE=FQ","FILING_STATUS=MR","SCALING_FORMAT=MLN","Sort=A","Dates=H","DateFormat=P","Fill=—","Direction=H","UseDPDF=Y")</f>
        <v>408</v>
      </c>
      <c r="I16" s="13">
        <f>_xll.BDH("AMZN US Equity","IS_OPEX_R&amp;D","FQ3 2010","FQ3 2010","Currency=USD","Period=FQ","BEST_FPERIOD_OVERRIDE=FQ","FILING_STATUS=MR","SCALING_FORMAT=MLN","Sort=A","Dates=H","DateFormat=P","Fill=—","Direction=H","UseDPDF=Y")</f>
        <v>442</v>
      </c>
      <c r="J16" s="13">
        <f>_xll.BDH("AMZN US Equity","IS_OPEX_R&amp;D","FQ4 2010","FQ4 2010","Currency=USD","Period=FQ","BEST_FPERIOD_OVERRIDE=FQ","FILING_STATUS=MR","SCALING_FORMAT=MLN","Sort=A","Dates=H","DateFormat=P","Fill=—","Direction=H","UseDPDF=Y")</f>
        <v>519</v>
      </c>
      <c r="K16" s="13">
        <f>_xll.BDH("AMZN US Equity","IS_OPEX_R&amp;D","FQ1 2011","FQ1 2011","Currency=USD","Period=FQ","BEST_FPERIOD_OVERRIDE=FQ","FILING_STATUS=MR","SCALING_FORMAT=MLN","Sort=A","Dates=H","DateFormat=P","Fill=—","Direction=H","UseDPDF=Y")</f>
        <v>579</v>
      </c>
      <c r="L16" s="13">
        <f>_xll.BDH("AMZN US Equity","IS_OPEX_R&amp;D","FQ2 2011","FQ2 2011","Currency=USD","Period=FQ","BEST_FPERIOD_OVERRIDE=FQ","FILING_STATUS=MR","SCALING_FORMAT=MLN","Sort=A","Dates=H","DateFormat=P","Fill=—","Direction=H","UseDPDF=Y")</f>
        <v>698</v>
      </c>
      <c r="M16" s="13">
        <f>_xll.BDH("AMZN US Equity","IS_OPEX_R&amp;D","FQ3 2011","FQ3 2011","Currency=USD","Period=FQ","BEST_FPERIOD_OVERRIDE=FQ","FILING_STATUS=MR","SCALING_FORMAT=MLN","Sort=A","Dates=H","DateFormat=P","Fill=—","Direction=H","UseDPDF=Y")</f>
        <v>769</v>
      </c>
      <c r="N16" s="13">
        <f>_xll.BDH("AMZN US Equity","IS_OPEX_R&amp;D","FQ4 2011","FQ4 2011","Currency=USD","Period=FQ","BEST_FPERIOD_OVERRIDE=FQ","FILING_STATUS=MR","SCALING_FORMAT=MLN","Sort=A","Dates=H","DateFormat=P","Fill=—","Direction=H","UseDPDF=Y")</f>
        <v>862</v>
      </c>
      <c r="O16" s="13">
        <f>_xll.BDH("AMZN US Equity","IS_OPEX_R&amp;D","FQ1 2012","FQ1 2012","Currency=USD","Period=FQ","BEST_FPERIOD_OVERRIDE=FQ","FILING_STATUS=MR","SCALING_FORMAT=MLN","Sort=A","Dates=H","DateFormat=P","Fill=—","Direction=H","UseDPDF=Y")</f>
        <v>945</v>
      </c>
      <c r="P16" s="13">
        <f>_xll.BDH("AMZN US Equity","IS_OPEX_R&amp;D","FQ2 2012","FQ2 2012","Currency=USD","Period=FQ","BEST_FPERIOD_OVERRIDE=FQ","FILING_STATUS=MR","SCALING_FORMAT=MLN","Sort=A","Dates=H","DateFormat=P","Fill=—","Direction=H","UseDPDF=Y")</f>
        <v>1082</v>
      </c>
      <c r="Q16" s="13">
        <f>_xll.BDH("AMZN US Equity","IS_OPEX_R&amp;D","FQ3 2012","FQ3 2012","Currency=USD","Period=FQ","BEST_FPERIOD_OVERRIDE=FQ","FILING_STATUS=MR","SCALING_FORMAT=MLN","Sort=A","Dates=H","DateFormat=P","Fill=—","Direction=H","UseDPDF=Y")</f>
        <v>1192</v>
      </c>
      <c r="R16" s="13">
        <f>_xll.BDH("AMZN US Equity","IS_OPEX_R&amp;D","FQ4 2012","FQ4 2012","Currency=USD","Period=FQ","BEST_FPERIOD_OVERRIDE=FQ","FILING_STATUS=MR","SCALING_FORMAT=MLN","Sort=A","Dates=H","DateFormat=P","Fill=—","Direction=H","UseDPDF=Y")</f>
        <v>1345</v>
      </c>
      <c r="S16" s="13">
        <f>_xll.BDH("AMZN US Equity","IS_OPEX_R&amp;D","FQ1 2013","FQ1 2013","Currency=USD","Period=FQ","BEST_FPERIOD_OVERRIDE=FQ","FILING_STATUS=MR","SCALING_FORMAT=MLN","Sort=A","Dates=H","DateFormat=P","Fill=—","Direction=H","UseDPDF=Y")</f>
        <v>1383</v>
      </c>
      <c r="T16" s="13">
        <f>_xll.BDH("AMZN US Equity","IS_OPEX_R&amp;D","FQ2 2013","FQ2 2013","Currency=USD","Period=FQ","BEST_FPERIOD_OVERRIDE=FQ","FILING_STATUS=MR","SCALING_FORMAT=MLN","Sort=A","Dates=H","DateFormat=P","Fill=—","Direction=H","UseDPDF=Y")</f>
        <v>1586</v>
      </c>
      <c r="U16" s="13">
        <f>_xll.BDH("AMZN US Equity","IS_OPEX_R&amp;D","FQ3 2013","FQ3 2013","Currency=USD","Period=FQ","BEST_FPERIOD_OVERRIDE=FQ","FILING_STATUS=MR","SCALING_FORMAT=MLN","Sort=A","Dates=H","DateFormat=P","Fill=—","Direction=H","UseDPDF=Y")</f>
        <v>1734</v>
      </c>
      <c r="V16" s="13">
        <f>_xll.BDH("AMZN US Equity","IS_OPEX_R&amp;D","FQ4 2013","FQ4 2013","Currency=USD","Period=FQ","BEST_FPERIOD_OVERRIDE=FQ","FILING_STATUS=MR","SCALING_FORMAT=MLN","Sort=A","Dates=H","DateFormat=P","Fill=—","Direction=H","UseDPDF=Y")</f>
        <v>1862</v>
      </c>
      <c r="W16" s="13">
        <f>_xll.BDH("AMZN US Equity","IS_OPEX_R&amp;D","FQ1 2014","FQ1 2014","Currency=USD","Period=FQ","BEST_FPERIOD_OVERRIDE=FQ","FILING_STATUS=MR","SCALING_FORMAT=MLN","Sort=A","Dates=H","DateFormat=P","Fill=—","Direction=H","UseDPDF=Y")</f>
        <v>1991</v>
      </c>
      <c r="X16" s="13">
        <f>_xll.BDH("AMZN US Equity","IS_OPEX_R&amp;D","FQ2 2014","FQ2 2014","Currency=USD","Period=FQ","BEST_FPERIOD_OVERRIDE=FQ","FILING_STATUS=MR","SCALING_FORMAT=MLN","Sort=A","Dates=H","DateFormat=P","Fill=—","Direction=H","UseDPDF=Y")</f>
        <v>2226</v>
      </c>
      <c r="Y16" s="13">
        <f>_xll.BDH("AMZN US Equity","IS_OPEX_R&amp;D","FQ3 2014","FQ3 2014","Currency=USD","Period=FQ","BEST_FPERIOD_OVERRIDE=FQ","FILING_STATUS=MR","SCALING_FORMAT=MLN","Sort=A","Dates=H","DateFormat=P","Fill=—","Direction=H","UseDPDF=Y")</f>
        <v>2423</v>
      </c>
      <c r="Z16" s="13">
        <f>_xll.BDH("AMZN US Equity","IS_OPEX_R&amp;D","FQ4 2014","FQ4 2014","Currency=USD","Period=FQ","BEST_FPERIOD_OVERRIDE=FQ","FILING_STATUS=MR","SCALING_FORMAT=MLN","Sort=A","Dates=H","DateFormat=P","Fill=—","Direction=H","UseDPDF=Y")</f>
        <v>2635</v>
      </c>
      <c r="AA16" s="13">
        <f>_xll.BDH("AMZN US Equity","IS_OPEX_R&amp;D","FQ1 2015","FQ1 2015","Currency=USD","Period=FQ","BEST_FPERIOD_OVERRIDE=FQ","FILING_STATUS=MR","SCALING_FORMAT=MLN","Sort=A","Dates=H","DateFormat=P","Fill=—","Direction=H","UseDPDF=Y")</f>
        <v>2754</v>
      </c>
      <c r="AB16" s="13">
        <f>_xll.BDH("AMZN US Equity","IS_OPEX_R&amp;D","FQ2 2015","FQ2 2015","Currency=USD","Period=FQ","BEST_FPERIOD_OVERRIDE=FQ","FILING_STATUS=MR","SCALING_FORMAT=MLN","Sort=A","Dates=H","DateFormat=P","Fill=—","Direction=H","UseDPDF=Y")</f>
        <v>3020</v>
      </c>
      <c r="AC16" s="13">
        <f>_xll.BDH("AMZN US Equity","IS_OPEX_R&amp;D","FQ3 2015","FQ3 2015","Currency=USD","Period=FQ","BEST_FPERIOD_OVERRIDE=FQ","FILING_STATUS=MR","SCALING_FORMAT=MLN","Sort=A","Dates=H","DateFormat=P","Fill=—","Direction=H","UseDPDF=Y")</f>
        <v>3197</v>
      </c>
      <c r="AD16" s="13">
        <f>_xll.BDH("AMZN US Equity","IS_OPEX_R&amp;D","FQ4 2015","FQ4 2015","Currency=USD","Period=FQ","BEST_FPERIOD_OVERRIDE=FQ","FILING_STATUS=MR","SCALING_FORMAT=MLN","Sort=A","Dates=H","DateFormat=P","Fill=—","Direction=H","UseDPDF=Y")</f>
        <v>3571</v>
      </c>
      <c r="AE16" s="13">
        <f>_xll.BDH("AMZN US Equity","IS_OPEX_R&amp;D","FQ1 2016","FQ1 2016","Currency=USD","Period=FQ","BEST_FPERIOD_OVERRIDE=FQ","FILING_STATUS=MR","SCALING_FORMAT=MLN","Sort=A","Dates=H","DateFormat=P","Fill=—","Direction=H","UseDPDF=Y")</f>
        <v>3526</v>
      </c>
      <c r="AF16" s="13">
        <f>_xll.BDH("AMZN US Equity","IS_OPEX_R&amp;D","FQ2 2016","FQ2 2016","Currency=USD","Period=FQ","BEST_FPERIOD_OVERRIDE=FQ","FILING_STATUS=MR","SCALING_FORMAT=MLN","Sort=A","Dates=H","DateFormat=P","Fill=—","Direction=H","UseDPDF=Y")</f>
        <v>3880</v>
      </c>
      <c r="AG16" s="13">
        <f>_xll.BDH("AMZN US Equity","IS_OPEX_R&amp;D","FQ3 2016","FQ3 2016","Currency=USD","Period=FQ","BEST_FPERIOD_OVERRIDE=FQ","FILING_STATUS=MR","SCALING_FORMAT=MLN","Sort=A","Dates=H","DateFormat=P","Fill=—","Direction=H","UseDPDF=Y")</f>
        <v>4135</v>
      </c>
      <c r="AH16" s="13">
        <f>_xll.BDH("AMZN US Equity","IS_OPEX_R&amp;D","FQ4 2016","FQ4 2016","Currency=USD","Period=FQ","BEST_FPERIOD_OVERRIDE=FQ","FILING_STATUS=MR","SCALING_FORMAT=MLN","Sort=A","Dates=H","DateFormat=P","Fill=—","Direction=H","UseDPDF=Y")</f>
        <v>4545</v>
      </c>
      <c r="AI16" s="13">
        <f>_xll.BDH("AMZN US Equity","IS_OPEX_R&amp;D","FQ1 2017","FQ1 2017","Currency=USD","Period=FQ","BEST_FPERIOD_OVERRIDE=FQ","FILING_STATUS=MR","SCALING_FORMAT=MLN","Sort=A","Dates=H","DateFormat=P","Fill=—","Direction=H","UseDPDF=Y")</f>
        <v>4813</v>
      </c>
      <c r="AJ16" s="13">
        <f>_xll.BDH("AMZN US Equity","IS_OPEX_R&amp;D","FQ2 2017","FQ2 2017","Currency=USD","Period=FQ","BEST_FPERIOD_OVERRIDE=FQ","FILING_STATUS=MR","SCALING_FORMAT=MLN","Sort=A","Dates=H","DateFormat=P","Fill=—","Direction=H","UseDPDF=Y")</f>
        <v>5549</v>
      </c>
      <c r="AK16" s="13">
        <f>_xll.BDH("AMZN US Equity","IS_OPEX_R&amp;D","FQ3 2017","FQ3 2017","Currency=USD","Period=FQ","BEST_FPERIOD_OVERRIDE=FQ","FILING_STATUS=MR","SCALING_FORMAT=MLN","Sort=A","Dates=H","DateFormat=P","Fill=—","Direction=H","UseDPDF=Y")</f>
        <v>5944</v>
      </c>
      <c r="AL16" s="13">
        <f>_xll.BDH("AMZN US Equity","IS_OPEX_R&amp;D","FQ4 2017","FQ4 2017","Currency=USD","Period=FQ","BEST_FPERIOD_OVERRIDE=FQ","FILING_STATUS=MR","SCALING_FORMAT=MLN","Sort=A","Dates=H","DateFormat=P","Fill=—","Direction=H","UseDPDF=Y")</f>
        <v>6314</v>
      </c>
      <c r="AM16" s="13">
        <f>_xll.BDH("AMZN US Equity","IS_OPEX_R&amp;D","FQ1 2018","FQ1 2018","Currency=USD","Period=FQ","BEST_FPERIOD_OVERRIDE=FQ","FILING_STATUS=MR","SCALING_FORMAT=MLN","Sort=A","Dates=H","DateFormat=P","Fill=—","Direction=H","UseDPDF=Y")</f>
        <v>6759</v>
      </c>
      <c r="AN16" s="13">
        <f>_xll.BDH("AMZN US Equity","IS_OPEX_R&amp;D","FQ2 2018","FQ2 2018","Currency=USD","Period=FQ","BEST_FPERIOD_OVERRIDE=FQ","FILING_STATUS=MR","SCALING_FORMAT=MLN","Sort=A","Dates=H","DateFormat=P","Fill=—","Direction=H","UseDPDF=Y")</f>
        <v>7247</v>
      </c>
      <c r="AO16" s="13"/>
      <c r="AP16" s="13"/>
    </row>
    <row r="17" spans="1:42" x14ac:dyDescent="0.25">
      <c r="A17" s="10" t="s">
        <v>108</v>
      </c>
      <c r="B17" s="10" t="s">
        <v>109</v>
      </c>
      <c r="C17" s="13">
        <f>_xll.BDH("AMZN US Equity","IS_OTHER_OPERATING_EXPENSES","FQ1 2009","FQ1 2009","Currency=USD","Period=FQ","BEST_FPERIOD_OVERRIDE=FQ","FILING_STATUS=MR","SCALING_FORMAT=MLN","FA_ADJUSTED=Adjusted","Sort=A","Dates=H","DateFormat=P","Fill=—","Direction=H","UseDPDF=Y")</f>
        <v>433</v>
      </c>
      <c r="D17" s="13">
        <f>_xll.BDH("AMZN US Equity","IS_OTHER_OPERATING_EXPENSES","FQ2 2009","FQ2 2009","Currency=USD","Period=FQ","BEST_FPERIOD_OVERRIDE=FQ","FILING_STATUS=MR","SCALING_FORMAT=MLN","FA_ADJUSTED=Adjusted","Sort=A","Dates=H","DateFormat=P","Fill=—","Direction=H","UseDPDF=Y")</f>
        <v>418</v>
      </c>
      <c r="E17" s="13">
        <f>_xll.BDH("AMZN US Equity","IS_OTHER_OPERATING_EXPENSES","FQ3 2009","FQ3 2009","Currency=USD","Period=FQ","BEST_FPERIOD_OVERRIDE=FQ","FILING_STATUS=MR","SCALING_FORMAT=MLN","FA_ADJUSTED=Adjusted","Sort=A","Dates=H","DateFormat=P","Fill=—","Direction=H","UseDPDF=Y")</f>
        <v>475</v>
      </c>
      <c r="F17" s="13">
        <f>_xll.BDH("AMZN US Equity","IS_OTHER_OPERATING_EXPENSES","FQ4 2009","FQ4 2009","Currency=USD","Period=FQ","BEST_FPERIOD_OVERRIDE=FQ","FILING_STATUS=MR","SCALING_FORMAT=MLN","FA_ADJUSTED=Adjusted","Sort=A","Dates=H","DateFormat=P","Fill=—","Direction=H","UseDPDF=Y")</f>
        <v>776</v>
      </c>
      <c r="G17" s="13">
        <f>_xll.BDH("AMZN US Equity","IS_OTHER_OPERATING_EXPENSES","FQ1 2010","FQ1 2010","Currency=USD","Period=FQ","BEST_FPERIOD_OVERRIDE=FQ","FILING_STATUS=MR","SCALING_FORMAT=MLN","FA_ADJUSTED=Adjusted","Sort=A","Dates=H","DateFormat=P","Fill=—","Direction=H","UseDPDF=Y")</f>
        <v>572</v>
      </c>
      <c r="H17" s="13">
        <f>_xll.BDH("AMZN US Equity","IS_OTHER_OPERATING_EXPENSES","FQ2 2010","FQ2 2010","Currency=USD","Period=FQ","BEST_FPERIOD_OVERRIDE=FQ","FILING_STATUS=MR","SCALING_FORMAT=MLN","FA_ADJUSTED=Adjusted","Sort=A","Dates=H","DateFormat=P","Fill=—","Direction=H","UseDPDF=Y")</f>
        <v>607</v>
      </c>
      <c r="I17" s="13">
        <f>_xll.BDH("AMZN US Equity","IS_OTHER_OPERATING_EXPENSES","FQ3 2010","FQ3 2010","Currency=USD","Period=FQ","BEST_FPERIOD_OVERRIDE=FQ","FILING_STATUS=MR","SCALING_FORMAT=MLN","FA_ADJUSTED=Adjusted","Sort=A","Dates=H","DateFormat=P","Fill=—","Direction=H","UseDPDF=Y")</f>
        <v>706</v>
      </c>
      <c r="J17" s="13">
        <f>_xll.BDH("AMZN US Equity","IS_OTHER_OPERATING_EXPENSES","FQ4 2010","FQ4 2010","Currency=USD","Period=FQ","BEST_FPERIOD_OVERRIDE=FQ","FILING_STATUS=MR","SCALING_FORMAT=MLN","FA_ADJUSTED=Adjusted","Sort=A","Dates=H","DateFormat=P","Fill=—","Direction=H","UseDPDF=Y")</f>
        <v>1119</v>
      </c>
      <c r="K17" s="13">
        <f>_xll.BDH("AMZN US Equity","IS_OTHER_OPERATING_EXPENSES","FQ1 2011","FQ1 2011","Currency=USD","Period=FQ","BEST_FPERIOD_OVERRIDE=FQ","FILING_STATUS=MR","SCALING_FORMAT=MLN","FA_ADJUSTED=Adjusted","Sort=A","Dates=H","DateFormat=P","Fill=—","Direction=H","UseDPDF=Y")</f>
        <v>888</v>
      </c>
      <c r="L17" s="13">
        <f>_xll.BDH("AMZN US Equity","IS_OTHER_OPERATING_EXPENSES","FQ2 2011","FQ2 2011","Currency=USD","Period=FQ","BEST_FPERIOD_OVERRIDE=FQ","FILING_STATUS=MR","SCALING_FORMAT=MLN","FA_ADJUSTED=Adjusted","Sort=A","Dates=H","DateFormat=P","Fill=—","Direction=H","UseDPDF=Y")</f>
        <v>982</v>
      </c>
      <c r="M17" s="13">
        <f>_xll.BDH("AMZN US Equity","IS_OTHER_OPERATING_EXPENSES","FQ3 2011","FQ3 2011","Currency=USD","Period=FQ","BEST_FPERIOD_OVERRIDE=FQ","FILING_STATUS=MR","SCALING_FORMAT=MLN","FA_ADJUSTED=Adjusted","Sort=A","Dates=H","DateFormat=P","Fill=—","Direction=H","UseDPDF=Y")</f>
        <v>1158</v>
      </c>
      <c r="N17" s="13">
        <f>_xll.BDH("AMZN US Equity","IS_OTHER_OPERATING_EXPENSES","FQ4 2011","FQ4 2011","Currency=USD","Period=FQ","BEST_FPERIOD_OVERRIDE=FQ","FILING_STATUS=MR","SCALING_FORMAT=MLN","FA_ADJUSTED=Adjusted","Sort=A","Dates=H","DateFormat=P","Fill=—","Direction=H","UseDPDF=Y")</f>
        <v>1702</v>
      </c>
      <c r="O17" s="13">
        <f>_xll.BDH("AMZN US Equity","IS_OTHER_OPERATING_EXPENSES","FQ1 2012","FQ1 2012","Currency=USD","Period=FQ","BEST_FPERIOD_OVERRIDE=FQ","FILING_STATUS=MR","SCALING_FORMAT=MLN","FA_ADJUSTED=Adjusted","Sort=A","Dates=H","DateFormat=P","Fill=—","Direction=H","UseDPDF=Y")</f>
        <v>1341</v>
      </c>
      <c r="P17" s="13">
        <f>_xll.BDH("AMZN US Equity","IS_OTHER_OPERATING_EXPENSES","FQ2 2012","FQ2 2012","Currency=USD","Period=FQ","BEST_FPERIOD_OVERRIDE=FQ","FILING_STATUS=MR","SCALING_FORMAT=MLN","FA_ADJUSTED=Adjusted","Sort=A","Dates=H","DateFormat=P","Fill=—","Direction=H","UseDPDF=Y")</f>
        <v>1288</v>
      </c>
      <c r="Q17" s="13">
        <f>_xll.BDH("AMZN US Equity","IS_OTHER_OPERATING_EXPENSES","FQ3 2012","FQ3 2012","Currency=USD","Period=FQ","BEST_FPERIOD_OVERRIDE=FQ","FILING_STATUS=MR","SCALING_FORMAT=MLN","FA_ADJUSTED=Adjusted","Sort=A","Dates=H","DateFormat=P","Fill=—","Direction=H","UseDPDF=Y")</f>
        <v>1553</v>
      </c>
      <c r="R17" s="13">
        <f>_xll.BDH("AMZN US Equity","IS_OTHER_OPERATING_EXPENSES","FQ4 2012","FQ4 2012","Currency=USD","Period=FQ","BEST_FPERIOD_OVERRIDE=FQ","FILING_STATUS=MR","SCALING_FORMAT=MLN","FA_ADJUSTED=Adjusted","Sort=A","Dates=H","DateFormat=P","Fill=—","Direction=H","UseDPDF=Y")</f>
        <v>2296</v>
      </c>
      <c r="S17" s="13">
        <f>_xll.BDH("AMZN US Equity","IS_OTHER_OPERATING_EXPENSES","FQ1 2013","FQ1 2013","Currency=USD","Period=FQ","BEST_FPERIOD_OVERRIDE=FQ","FILING_STATUS=MR","SCALING_FORMAT=MLN","FA_ADJUSTED=Adjusted","Sort=A","Dates=H","DateFormat=P","Fill=—","Direction=H","UseDPDF=Y")</f>
        <v>1827</v>
      </c>
      <c r="T17" s="13">
        <f>_xll.BDH("AMZN US Equity","IS_OTHER_OPERATING_EXPENSES","FQ2 2013","FQ2 2013","Currency=USD","Period=FQ","BEST_FPERIOD_OVERRIDE=FQ","FILING_STATUS=MR","SCALING_FORMAT=MLN","FA_ADJUSTED=Adjusted","Sort=A","Dates=H","DateFormat=P","Fill=—","Direction=H","UseDPDF=Y")</f>
        <v>1869</v>
      </c>
      <c r="U17" s="13">
        <f>_xll.BDH("AMZN US Equity","IS_OTHER_OPERATING_EXPENSES","FQ3 2013","FQ3 2013","Currency=USD","Period=FQ","BEST_FPERIOD_OVERRIDE=FQ","FILING_STATUS=MR","SCALING_FORMAT=MLN","FA_ADJUSTED=Adjusted","Sort=A","Dates=H","DateFormat=P","Fill=—","Direction=H","UseDPDF=Y")</f>
        <v>2045</v>
      </c>
      <c r="V17" s="13">
        <f>_xll.BDH("AMZN US Equity","IS_OTHER_OPERATING_EXPENSES","FQ4 2013","FQ4 2013","Currency=USD","Period=FQ","BEST_FPERIOD_OVERRIDE=FQ","FILING_STATUS=MR","SCALING_FORMAT=MLN","FA_ADJUSTED=Adjusted","Sort=A","Dates=H","DateFormat=P","Fill=—","Direction=H","UseDPDF=Y")</f>
        <v>2958</v>
      </c>
      <c r="W17" s="13">
        <f>_xll.BDH("AMZN US Equity","IS_OTHER_OPERATING_EXPENSES","FQ1 2014","FQ1 2014","Currency=USD","Period=FQ","BEST_FPERIOD_OVERRIDE=FQ","FILING_STATUS=MR","SCALING_FORMAT=MLN","FA_ADJUSTED=Adjusted","Sort=A","Dates=H","DateFormat=P","Fill=—","Direction=H","UseDPDF=Y")</f>
        <v>2352</v>
      </c>
      <c r="X17" s="13">
        <f>_xll.BDH("AMZN US Equity","IS_OTHER_OPERATING_EXPENSES","FQ2 2014","FQ2 2014","Currency=USD","Period=FQ","BEST_FPERIOD_OVERRIDE=FQ","FILING_STATUS=MR","SCALING_FORMAT=MLN","FA_ADJUSTED=Adjusted","Sort=A","Dates=H","DateFormat=P","Fill=—","Direction=H","UseDPDF=Y")</f>
        <v>2410</v>
      </c>
      <c r="Y17" s="13">
        <f>_xll.BDH("AMZN US Equity","IS_OTHER_OPERATING_EXPENSES","FQ3 2014","FQ3 2014","Currency=USD","Period=FQ","BEST_FPERIOD_OVERRIDE=FQ","FILING_STATUS=MR","SCALING_FORMAT=MLN","FA_ADJUSTED=Adjusted","Sort=A","Dates=H","DateFormat=P","Fill=—","Direction=H","UseDPDF=Y")</f>
        <v>2674</v>
      </c>
      <c r="Z17" s="13">
        <f>_xll.BDH("AMZN US Equity","IS_OTHER_OPERATING_EXPENSES","FQ4 2014","FQ4 2014","Currency=USD","Period=FQ","BEST_FPERIOD_OVERRIDE=FQ","FILING_STATUS=MR","SCALING_FORMAT=MLN","FA_ADJUSTED=Adjusted","Sort=A","Dates=H","DateFormat=P","Fill=—","Direction=H","UseDPDF=Y")</f>
        <v>3463</v>
      </c>
      <c r="AA17" s="13">
        <f>_xll.BDH("AMZN US Equity","IS_OTHER_OPERATING_EXPENSES","FQ1 2015","FQ1 2015","Currency=USD","Period=FQ","BEST_FPERIOD_OVERRIDE=FQ","FILING_STATUS=MR","SCALING_FORMAT=MLN","FA_ADJUSTED=Adjusted","Sort=A","Dates=H","DateFormat=P","Fill=—","Direction=H","UseDPDF=Y")</f>
        <v>2803</v>
      </c>
      <c r="AB17" s="13">
        <f>_xll.BDH("AMZN US Equity","IS_OTHER_OPERATING_EXPENSES","FQ2 2015","FQ2 2015","Currency=USD","Period=FQ","BEST_FPERIOD_OVERRIDE=FQ","FILING_STATUS=MR","SCALING_FORMAT=MLN","FA_ADJUSTED=Adjusted","Sort=A","Dates=H","DateFormat=P","Fill=—","Direction=H","UseDPDF=Y")</f>
        <v>2924</v>
      </c>
      <c r="AC17" s="13">
        <f>_xll.BDH("AMZN US Equity","IS_OTHER_OPERATING_EXPENSES","FQ3 2015","FQ3 2015","Currency=USD","Period=FQ","BEST_FPERIOD_OVERRIDE=FQ","FILING_STATUS=MR","SCALING_FORMAT=MLN","FA_ADJUSTED=Adjusted","Sort=A","Dates=H","DateFormat=P","Fill=—","Direction=H","UseDPDF=Y")</f>
        <v>3273</v>
      </c>
      <c r="AD17" s="13">
        <f>_xll.BDH("AMZN US Equity","IS_OTHER_OPERATING_EXPENSES","FQ4 2015","FQ4 2015","Currency=USD","Period=FQ","BEST_FPERIOD_OVERRIDE=FQ","FILING_STATUS=MR","SCALING_FORMAT=MLN","FA_ADJUSTED=Adjusted","Sort=A","Dates=H","DateFormat=P","Fill=—","Direction=H","UseDPDF=Y")</f>
        <v>4582</v>
      </c>
      <c r="AE17" s="13">
        <f>_xll.BDH("AMZN US Equity","IS_OTHER_OPERATING_EXPENSES","FQ1 2016","FQ1 2016","Currency=USD","Period=FQ","BEST_FPERIOD_OVERRIDE=FQ","FILING_STATUS=MR","SCALING_FORMAT=MLN","FA_ADJUSTED=Adjusted","Sort=A","Dates=H","DateFormat=P","Fill=—","Direction=H","UseDPDF=Y")</f>
        <v>3732</v>
      </c>
      <c r="AF17" s="13">
        <f>_xll.BDH("AMZN US Equity","IS_OTHER_OPERATING_EXPENSES","FQ2 2016","FQ2 2016","Currency=USD","Period=FQ","BEST_FPERIOD_OVERRIDE=FQ","FILING_STATUS=MR","SCALING_FORMAT=MLN","FA_ADJUSTED=Adjusted","Sort=A","Dates=H","DateFormat=P","Fill=—","Direction=H","UseDPDF=Y")</f>
        <v>3933</v>
      </c>
      <c r="AG17" s="13">
        <f>_xll.BDH("AMZN US Equity","IS_OTHER_OPERATING_EXPENSES","FQ3 2016","FQ3 2016","Currency=USD","Period=FQ","BEST_FPERIOD_OVERRIDE=FQ","FILING_STATUS=MR","SCALING_FORMAT=MLN","FA_ADJUSTED=Adjusted","Sort=A","Dates=H","DateFormat=P","Fill=—","Direction=H","UseDPDF=Y")</f>
        <v>4367</v>
      </c>
      <c r="AH17" s="13">
        <f>_xll.BDH("AMZN US Equity","IS_OTHER_OPERATING_EXPENSES","FQ4 2016","FQ4 2016","Currency=USD","Period=FQ","BEST_FPERIOD_OVERRIDE=FQ","FILING_STATUS=MR","SCALING_FORMAT=MLN","FA_ADJUSTED=Adjusted","Sort=A","Dates=H","DateFormat=P","Fill=—","Direction=H","UseDPDF=Y")</f>
        <v>5753</v>
      </c>
      <c r="AI17" s="13">
        <f>_xll.BDH("AMZN US Equity","IS_OTHER_OPERATING_EXPENSES","FQ1 2017","FQ1 2017","Currency=USD","Period=FQ","BEST_FPERIOD_OVERRIDE=FQ","FILING_STATUS=MR","SCALING_FORMAT=MLN","FA_ADJUSTED=Adjusted","Sort=A","Dates=H","DateFormat=P","Fill=—","Direction=H","UseDPDF=Y")</f>
        <v>4741</v>
      </c>
      <c r="AJ17" s="13">
        <f>_xll.BDH("AMZN US Equity","IS_OTHER_OPERATING_EXPENSES","FQ2 2017","FQ2 2017","Currency=USD","Period=FQ","BEST_FPERIOD_OVERRIDE=FQ","FILING_STATUS=MR","SCALING_FORMAT=MLN","FA_ADJUSTED=Adjusted","Sort=A","Dates=H","DateFormat=P","Fill=—","Direction=H","UseDPDF=Y")</f>
        <v>5224</v>
      </c>
      <c r="AK17" s="13">
        <f>_xll.BDH("AMZN US Equity","IS_OTHER_OPERATING_EXPENSES","FQ3 2017","FQ3 2017","Currency=USD","Period=FQ","BEST_FPERIOD_OVERRIDE=FQ","FILING_STATUS=MR","SCALING_FORMAT=MLN","FA_ADJUSTED=Adjusted","Sort=A","Dates=H","DateFormat=P","Fill=—","Direction=H","UseDPDF=Y")</f>
        <v>6465</v>
      </c>
      <c r="AL17" s="13">
        <f>_xll.BDH("AMZN US Equity","IS_OTHER_OPERATING_EXPENSES","FQ4 2017","FQ4 2017","Currency=USD","Period=FQ","BEST_FPERIOD_OVERRIDE=FQ","FILING_STATUS=MR","SCALING_FORMAT=MLN","FA_ADJUSTED=Adjusted","Sort=A","Dates=H","DateFormat=P","Fill=—","Direction=H","UseDPDF=Y")</f>
        <v>9034</v>
      </c>
      <c r="AM17" s="13">
        <f>_xll.BDH("AMZN US Equity","IS_OTHER_OPERATING_EXPENSES","FQ1 2018","FQ1 2018","Currency=USD","Period=FQ","BEST_FPERIOD_OVERRIDE=FQ","FILING_STATUS=MR","SCALING_FORMAT=MLN","FA_ADJUSTED=Adjusted","Sort=A","Dates=H","DateFormat=P","Fill=—","Direction=H","UseDPDF=Y")</f>
        <v>7855</v>
      </c>
      <c r="AN17" s="13">
        <f>_xll.BDH("AMZN US Equity","IS_OTHER_OPERATING_EXPENSES","FQ2 2018","FQ2 2018","Currency=USD","Period=FQ","BEST_FPERIOD_OVERRIDE=FQ","FILING_STATUS=MR","SCALING_FORMAT=MLN","FA_ADJUSTED=Adjusted","Sort=A","Dates=H","DateFormat=P","Fill=—","Direction=H","UseDPDF=Y")</f>
        <v>8012</v>
      </c>
      <c r="AO17" s="13"/>
      <c r="AP17" s="13"/>
    </row>
    <row r="18" spans="1:42" x14ac:dyDescent="0.25">
      <c r="A18" s="6" t="s">
        <v>110</v>
      </c>
      <c r="B18" s="6" t="s">
        <v>111</v>
      </c>
      <c r="C18" s="17">
        <f>_xll.BDH("AMZN US Equity","IS_OPER_INC","FQ1 2009","FQ1 2009","Currency=USD","Period=FQ","BEST_FPERIOD_OVERRIDE=FQ","FILING_STATUS=MR","SCALING_FORMAT=MLN","FA_ADJUSTED=Adjusted","Sort=A","Dates=H","DateFormat=P","Fill=—","Direction=H","UseDPDF=Y")</f>
        <v>244</v>
      </c>
      <c r="D18" s="17">
        <f>_xll.BDH("AMZN US Equity","IS_OPER_INC","FQ2 2009","FQ2 2009","Currency=USD","Period=FQ","BEST_FPERIOD_OVERRIDE=FQ","FILING_STATUS=MR","SCALING_FORMAT=MLN","FA_ADJUSTED=Adjusted","Sort=A","Dates=H","DateFormat=P","Fill=—","Direction=H","UseDPDF=Y")</f>
        <v>210</v>
      </c>
      <c r="E18" s="17">
        <f>_xll.BDH("AMZN US Equity","IS_OPER_INC","FQ3 2009","FQ3 2009","Currency=USD","Period=FQ","BEST_FPERIOD_OVERRIDE=FQ","FILING_STATUS=MR","SCALING_FORMAT=MLN","FA_ADJUSTED=Adjusted","Sort=A","Dates=H","DateFormat=P","Fill=—","Direction=H","UseDPDF=Y")</f>
        <v>251</v>
      </c>
      <c r="F18" s="17">
        <f>_xll.BDH("AMZN US Equity","IS_OPER_INC","FQ4 2009","FQ4 2009","Currency=USD","Period=FQ","BEST_FPERIOD_OVERRIDE=FQ","FILING_STATUS=MR","SCALING_FORMAT=MLN","FA_ADJUSTED=Adjusted","Sort=A","Dates=H","DateFormat=P","Fill=—","Direction=H","UseDPDF=Y")</f>
        <v>476</v>
      </c>
      <c r="G18" s="17">
        <f>_xll.BDH("AMZN US Equity","IS_OPER_INC","FQ1 2010","FQ1 2010","Currency=USD","Period=FQ","BEST_FPERIOD_OVERRIDE=FQ","FILING_STATUS=MR","SCALING_FORMAT=MLN","FA_ADJUSTED=Adjusted","Sort=A","Dates=H","DateFormat=P","Fill=—","Direction=H","UseDPDF=Y")</f>
        <v>394</v>
      </c>
      <c r="H18" s="17">
        <f>_xll.BDH("AMZN US Equity","IS_OPER_INC","FQ2 2010","FQ2 2010","Currency=USD","Period=FQ","BEST_FPERIOD_OVERRIDE=FQ","FILING_STATUS=MR","SCALING_FORMAT=MLN","FA_ADJUSTED=Adjusted","Sort=A","Dates=H","DateFormat=P","Fill=—","Direction=H","UseDPDF=Y")</f>
        <v>270</v>
      </c>
      <c r="I18" s="17">
        <f>_xll.BDH("AMZN US Equity","IS_OPER_INC","FQ3 2010","FQ3 2010","Currency=USD","Period=FQ","BEST_FPERIOD_OVERRIDE=FQ","FILING_STATUS=MR","SCALING_FORMAT=MLN","FA_ADJUSTED=Adjusted","Sort=A","Dates=H","DateFormat=P","Fill=—","Direction=H","UseDPDF=Y")</f>
        <v>268</v>
      </c>
      <c r="J18" s="17">
        <f>_xll.BDH("AMZN US Equity","IS_OPER_INC","FQ4 2010","FQ4 2010","Currency=USD","Period=FQ","BEST_FPERIOD_OVERRIDE=FQ","FILING_STATUS=MR","SCALING_FORMAT=MLN","FA_ADJUSTED=Adjusted","Sort=A","Dates=H","DateFormat=P","Fill=—","Direction=H","UseDPDF=Y")</f>
        <v>474</v>
      </c>
      <c r="K18" s="17">
        <f>_xll.BDH("AMZN US Equity","IS_OPER_INC","FQ1 2011","FQ1 2011","Currency=USD","Period=FQ","BEST_FPERIOD_OVERRIDE=FQ","FILING_STATUS=MR","SCALING_FORMAT=MLN","FA_ADJUSTED=Adjusted","Sort=A","Dates=H","DateFormat=P","Fill=—","Direction=H","UseDPDF=Y")</f>
        <v>322</v>
      </c>
      <c r="L18" s="17">
        <f>_xll.BDH("AMZN US Equity","IS_OPER_INC","FQ2 2011","FQ2 2011","Currency=USD","Period=FQ","BEST_FPERIOD_OVERRIDE=FQ","FILING_STATUS=MR","SCALING_FORMAT=MLN","FA_ADJUSTED=Adjusted","Sort=A","Dates=H","DateFormat=P","Fill=—","Direction=H","UseDPDF=Y")</f>
        <v>201</v>
      </c>
      <c r="M18" s="17">
        <f>_xll.BDH("AMZN US Equity","IS_OPER_INC","FQ3 2011","FQ3 2011","Currency=USD","Period=FQ","BEST_FPERIOD_OVERRIDE=FQ","FILING_STATUS=MR","SCALING_FORMAT=MLN","FA_ADJUSTED=Adjusted","Sort=A","Dates=H","DateFormat=P","Fill=—","Direction=H","UseDPDF=Y")</f>
        <v>79</v>
      </c>
      <c r="N18" s="17">
        <f>_xll.BDH("AMZN US Equity","IS_OPER_INC","FQ4 2011","FQ4 2011","Currency=USD","Period=FQ","BEST_FPERIOD_OVERRIDE=FQ","FILING_STATUS=MR","SCALING_FORMAT=MLN","FA_ADJUSTED=Adjusted","Sort=A","Dates=H","DateFormat=P","Fill=—","Direction=H","UseDPDF=Y")</f>
        <v>260</v>
      </c>
      <c r="O18" s="17">
        <f>_xll.BDH("AMZN US Equity","IS_OPER_INC","FQ1 2012","FQ1 2012","Currency=USD","Period=FQ","BEST_FPERIOD_OVERRIDE=FQ","FILING_STATUS=MR","SCALING_FORMAT=MLN","FA_ADJUSTED=Adjusted","Sort=A","Dates=H","DateFormat=P","Fill=—","Direction=H","UseDPDF=Y")</f>
        <v>192</v>
      </c>
      <c r="P18" s="17">
        <f>_xll.BDH("AMZN US Equity","IS_OPER_INC","FQ2 2012","FQ2 2012","Currency=USD","Period=FQ","BEST_FPERIOD_OVERRIDE=FQ","FILING_STATUS=MR","SCALING_FORMAT=MLN","FA_ADJUSTED=Adjusted","Sort=A","Dates=H","DateFormat=P","Fill=—","Direction=H","UseDPDF=Y")</f>
        <v>207</v>
      </c>
      <c r="Q18" s="17">
        <f>_xll.BDH("AMZN US Equity","IS_OPER_INC","FQ3 2012","FQ3 2012","Currency=USD","Period=FQ","BEST_FPERIOD_OVERRIDE=FQ","FILING_STATUS=MR","SCALING_FORMAT=MLN","FA_ADJUSTED=Adjusted","Sort=A","Dates=H","DateFormat=P","Fill=—","Direction=H","UseDPDF=Y")</f>
        <v>-28</v>
      </c>
      <c r="R18" s="17">
        <f>_xll.BDH("AMZN US Equity","IS_OPER_INC","FQ4 2012","FQ4 2012","Currency=USD","Period=FQ","BEST_FPERIOD_OVERRIDE=FQ","FILING_STATUS=MR","SCALING_FORMAT=MLN","FA_ADJUSTED=Adjusted","Sort=A","Dates=H","DateFormat=P","Fill=—","Direction=H","UseDPDF=Y")</f>
        <v>405</v>
      </c>
      <c r="S18" s="17">
        <f>_xll.BDH("AMZN US Equity","IS_OPER_INC","FQ1 2013","FQ1 2013","Currency=USD","Period=FQ","BEST_FPERIOD_OVERRIDE=FQ","FILING_STATUS=MR","SCALING_FORMAT=MLN","FA_ADJUSTED=Adjusted","Sort=A","Dates=H","DateFormat=P","Fill=—","Direction=H","UseDPDF=Y")</f>
        <v>181</v>
      </c>
      <c r="T18" s="17">
        <f>_xll.BDH("AMZN US Equity","IS_OPER_INC","FQ2 2013","FQ2 2013","Currency=USD","Period=FQ","BEST_FPERIOD_OVERRIDE=FQ","FILING_STATUS=MR","SCALING_FORMAT=MLN","FA_ADJUSTED=Adjusted","Sort=A","Dates=H","DateFormat=P","Fill=—","Direction=H","UseDPDF=Y")</f>
        <v>79</v>
      </c>
      <c r="U18" s="17">
        <f>_xll.BDH("AMZN US Equity","IS_OPER_INC","FQ3 2013","FQ3 2013","Currency=USD","Period=FQ","BEST_FPERIOD_OVERRIDE=FQ","FILING_STATUS=MR","SCALING_FORMAT=MLN","FA_ADJUSTED=Adjusted","Sort=A","Dates=H","DateFormat=P","Fill=—","Direction=H","UseDPDF=Y")</f>
        <v>-25</v>
      </c>
      <c r="V18" s="17">
        <f>_xll.BDH("AMZN US Equity","IS_OPER_INC","FQ4 2013","FQ4 2013","Currency=USD","Period=FQ","BEST_FPERIOD_OVERRIDE=FQ","FILING_STATUS=MR","SCALING_FORMAT=MLN","FA_ADJUSTED=Adjusted","Sort=A","Dates=H","DateFormat=P","Fill=—","Direction=H","UseDPDF=Y")</f>
        <v>510</v>
      </c>
      <c r="W18" s="17">
        <f>_xll.BDH("AMZN US Equity","IS_OPER_INC","FQ1 2014","FQ1 2014","Currency=USD","Period=FQ","BEST_FPERIOD_OVERRIDE=FQ","FILING_STATUS=MR","SCALING_FORMAT=MLN","FA_ADJUSTED=Adjusted","Sort=A","Dates=H","DateFormat=P","Fill=—","Direction=H","UseDPDF=Y")</f>
        <v>146</v>
      </c>
      <c r="X18" s="17">
        <f>_xll.BDH("AMZN US Equity","IS_OPER_INC","FQ2 2014","FQ2 2014","Currency=USD","Period=FQ","BEST_FPERIOD_OVERRIDE=FQ","FILING_STATUS=MR","SCALING_FORMAT=MLN","FA_ADJUSTED=Adjusted","Sort=A","Dates=H","DateFormat=P","Fill=—","Direction=H","UseDPDF=Y")</f>
        <v>-15</v>
      </c>
      <c r="Y18" s="17">
        <f>_xll.BDH("AMZN US Equity","IS_OPER_INC","FQ3 2014","FQ3 2014","Currency=USD","Period=FQ","BEST_FPERIOD_OVERRIDE=FQ","FILING_STATUS=MR","SCALING_FORMAT=MLN","FA_ADJUSTED=Adjusted","Sort=A","Dates=H","DateFormat=P","Fill=—","Direction=H","UseDPDF=Y")</f>
        <v>-374</v>
      </c>
      <c r="Z18" s="17">
        <f>_xll.BDH("AMZN US Equity","IS_OPER_INC","FQ4 2014","FQ4 2014","Currency=USD","Period=FQ","BEST_FPERIOD_OVERRIDE=FQ","FILING_STATUS=MR","SCALING_FORMAT=MLN","FA_ADJUSTED=Adjusted","Sort=A","Dates=H","DateFormat=P","Fill=—","Direction=H","UseDPDF=Y")</f>
        <v>591</v>
      </c>
      <c r="AA18" s="17">
        <f>_xll.BDH("AMZN US Equity","IS_OPER_INC","FQ1 2015","FQ1 2015","Currency=USD","Period=FQ","BEST_FPERIOD_OVERRIDE=FQ","FILING_STATUS=MR","SCALING_FORMAT=MLN","FA_ADJUSTED=Adjusted","Sort=A","Dates=H","DateFormat=P","Fill=—","Direction=H","UseDPDF=Y")</f>
        <v>255</v>
      </c>
      <c r="AB18" s="17">
        <f>_xll.BDH("AMZN US Equity","IS_OPER_INC","FQ2 2015","FQ2 2015","Currency=USD","Period=FQ","BEST_FPERIOD_OVERRIDE=FQ","FILING_STATUS=MR","SCALING_FORMAT=MLN","FA_ADJUSTED=Adjusted","Sort=A","Dates=H","DateFormat=P","Fill=—","Direction=H","UseDPDF=Y")</f>
        <v>464</v>
      </c>
      <c r="AC18" s="17">
        <f>_xll.BDH("AMZN US Equity","IS_OPER_INC","FQ3 2015","FQ3 2015","Currency=USD","Period=FQ","BEST_FPERIOD_OVERRIDE=FQ","FILING_STATUS=MR","SCALING_FORMAT=MLN","FA_ADJUSTED=Adjusted","Sort=A","Dates=H","DateFormat=P","Fill=—","Direction=H","UseDPDF=Y")</f>
        <v>406</v>
      </c>
      <c r="AD18" s="17">
        <f>_xll.BDH("AMZN US Equity","IS_OPER_INC","FQ4 2015","FQ4 2015","Currency=USD","Period=FQ","BEST_FPERIOD_OVERRIDE=FQ","FILING_STATUS=MR","SCALING_FORMAT=MLN","FA_ADJUSTED=Adjusted","Sort=A","Dates=H","DateFormat=P","Fill=—","Direction=H","UseDPDF=Y")</f>
        <v>1108</v>
      </c>
      <c r="AE18" s="17">
        <f>_xll.BDH("AMZN US Equity","IS_OPER_INC","FQ1 2016","FQ1 2016","Currency=USD","Period=FQ","BEST_FPERIOD_OVERRIDE=FQ","FILING_STATUS=MR","SCALING_FORMAT=MLN","FA_ADJUSTED=Adjusted","Sort=A","Dates=H","DateFormat=P","Fill=—","Direction=H","UseDPDF=Y")</f>
        <v>1071</v>
      </c>
      <c r="AF18" s="17">
        <f>_xll.BDH("AMZN US Equity","IS_OPER_INC","FQ2 2016","FQ2 2016","Currency=USD","Period=FQ","BEST_FPERIOD_OVERRIDE=FQ","FILING_STATUS=MR","SCALING_FORMAT=MLN","FA_ADJUSTED=Adjusted","Sort=A","Dates=H","DateFormat=P","Fill=—","Direction=H","UseDPDF=Y")</f>
        <v>1285</v>
      </c>
      <c r="AG18" s="17">
        <f>_xll.BDH("AMZN US Equity","IS_OPER_INC","FQ3 2016","FQ3 2016","Currency=USD","Period=FQ","BEST_FPERIOD_OVERRIDE=FQ","FILING_STATUS=MR","SCALING_FORMAT=MLN","FA_ADJUSTED=Adjusted","Sort=A","Dates=H","DateFormat=P","Fill=—","Direction=H","UseDPDF=Y")</f>
        <v>575</v>
      </c>
      <c r="AH18" s="17">
        <f>_xll.BDH("AMZN US Equity","IS_OPER_INC","FQ4 2016","FQ4 2016","Currency=USD","Period=FQ","BEST_FPERIOD_OVERRIDE=FQ","FILING_STATUS=MR","SCALING_FORMAT=MLN","FA_ADJUSTED=Adjusted","Sort=A","Dates=H","DateFormat=P","Fill=—","Direction=H","UseDPDF=Y")</f>
        <v>1255</v>
      </c>
      <c r="AI18" s="17">
        <f>_xll.BDH("AMZN US Equity","IS_OPER_INC","FQ1 2017","FQ1 2017","Currency=USD","Period=FQ","BEST_FPERIOD_OVERRIDE=FQ","FILING_STATUS=MR","SCALING_FORMAT=MLN","FA_ADJUSTED=Adjusted","Sort=A","Dates=H","DateFormat=P","Fill=—","Direction=H","UseDPDF=Y")</f>
        <v>1005</v>
      </c>
      <c r="AJ18" s="17">
        <f>_xll.BDH("AMZN US Equity","IS_OPER_INC","FQ2 2017","FQ2 2017","Currency=USD","Period=FQ","BEST_FPERIOD_OVERRIDE=FQ","FILING_STATUS=MR","SCALING_FORMAT=MLN","FA_ADJUSTED=Adjusted","Sort=A","Dates=H","DateFormat=P","Fill=—","Direction=H","UseDPDF=Y")</f>
        <v>628</v>
      </c>
      <c r="AK18" s="17">
        <f>_xll.BDH("AMZN US Equity","IS_OPER_INC","FQ3 2017","FQ3 2017","Currency=USD","Period=FQ","BEST_FPERIOD_OVERRIDE=FQ","FILING_STATUS=MR","SCALING_FORMAT=MLN","FA_ADJUSTED=Adjusted","Sort=A","Dates=H","DateFormat=P","Fill=—","Direction=H","UseDPDF=Y")</f>
        <v>347</v>
      </c>
      <c r="AL18" s="17">
        <f>_xll.BDH("AMZN US Equity","IS_OPER_INC","FQ4 2017","FQ4 2017","Currency=USD","Period=FQ","BEST_FPERIOD_OVERRIDE=FQ","FILING_STATUS=MR","SCALING_FORMAT=MLN","FA_ADJUSTED=Adjusted","Sort=A","Dates=H","DateFormat=P","Fill=—","Direction=H","UseDPDF=Y")</f>
        <v>2127</v>
      </c>
      <c r="AM18" s="17">
        <f>_xll.BDH("AMZN US Equity","IS_OPER_INC","FQ1 2018","FQ1 2018","Currency=USD","Period=FQ","BEST_FPERIOD_OVERRIDE=FQ","FILING_STATUS=MR","SCALING_FORMAT=MLN","FA_ADJUSTED=Adjusted","Sort=A","Dates=H","DateFormat=P","Fill=—","Direction=H","UseDPDF=Y")</f>
        <v>1927</v>
      </c>
      <c r="AN18" s="17">
        <f>_xll.BDH("AMZN US Equity","IS_OPER_INC","FQ2 2018","FQ2 2018","Currency=USD","Period=FQ","BEST_FPERIOD_OVERRIDE=FQ","FILING_STATUS=MR","SCALING_FORMAT=MLN","FA_ADJUSTED=Adjusted","Sort=A","Dates=H","DateFormat=P","Fill=—","Direction=H","UseDPDF=Y")</f>
        <v>2983</v>
      </c>
      <c r="AO18" s="17">
        <v>2131.6190000000001</v>
      </c>
      <c r="AP18" s="17">
        <v>3986.9090000000001</v>
      </c>
    </row>
    <row r="19" spans="1:42" x14ac:dyDescent="0.25">
      <c r="A19" s="10" t="s">
        <v>112</v>
      </c>
      <c r="B19" s="10" t="s">
        <v>113</v>
      </c>
      <c r="C19" s="13">
        <f>_xll.BDH("AMZN US Equity","IS_NONOP_INCOME_LOSS","FQ1 2009","FQ1 2009","Currency=USD","Period=FQ","BEST_FPERIOD_OVERRIDE=FQ","FILING_STATUS=MR","SCALING_FORMAT=MLN","FA_ADJUSTED=Adjusted","Sort=A","Dates=H","DateFormat=P","Fill=—","Direction=H","UseDPDF=Y")</f>
        <v>-2</v>
      </c>
      <c r="D19" s="13">
        <f>_xll.BDH("AMZN US Equity","IS_NONOP_INCOME_LOSS","FQ2 2009","FQ2 2009","Currency=USD","Period=FQ","BEST_FPERIOD_OVERRIDE=FQ","FILING_STATUS=MR","SCALING_FORMAT=MLN","FA_ADJUSTED=Adjusted","Sort=A","Dates=H","DateFormat=P","Fill=—","Direction=H","UseDPDF=Y")</f>
        <v>-18</v>
      </c>
      <c r="E19" s="13">
        <f>_xll.BDH("AMZN US Equity","IS_NONOP_INCOME_LOSS","FQ3 2009","FQ3 2009","Currency=USD","Period=FQ","BEST_FPERIOD_OVERRIDE=FQ","FILING_STATUS=MR","SCALING_FORMAT=MLN","FA_ADJUSTED=Adjusted","Sort=A","Dates=H","DateFormat=P","Fill=—","Direction=H","UseDPDF=Y")</f>
        <v>-10</v>
      </c>
      <c r="F19" s="13">
        <f>_xll.BDH("AMZN US Equity","IS_NONOP_INCOME_LOSS","FQ4 2009","FQ4 2009","Currency=USD","Period=FQ","BEST_FPERIOD_OVERRIDE=FQ","FILING_STATUS=MR","SCALING_FORMAT=MLN","FA_ADJUSTED=Adjusted","Sort=A","Dates=H","DateFormat=P","Fill=—","Direction=H","UseDPDF=Y")</f>
        <v>4</v>
      </c>
      <c r="G19" s="13">
        <f>_xll.BDH("AMZN US Equity","IS_NONOP_INCOME_LOSS","FQ1 2010","FQ1 2010","Currency=USD","Period=FQ","BEST_FPERIOD_OVERRIDE=FQ","FILING_STATUS=MR","SCALING_FORMAT=MLN","FA_ADJUSTED=Adjusted","Sort=A","Dates=H","DateFormat=P","Fill=—","Direction=H","UseDPDF=Y")</f>
        <v>-7</v>
      </c>
      <c r="H19" s="13">
        <f>_xll.BDH("AMZN US Equity","IS_NONOP_INCOME_LOSS","FQ2 2010","FQ2 2010","Currency=USD","Period=FQ","BEST_FPERIOD_OVERRIDE=FQ","FILING_STATUS=MR","SCALING_FORMAT=MLN","FA_ADJUSTED=Adjusted","Sort=A","Dates=H","DateFormat=P","Fill=—","Direction=H","UseDPDF=Y")</f>
        <v>-27</v>
      </c>
      <c r="I19" s="13">
        <f>_xll.BDH("AMZN US Equity","IS_NONOP_INCOME_LOSS","FQ3 2010","FQ3 2010","Currency=USD","Period=FQ","BEST_FPERIOD_OVERRIDE=FQ","FILING_STATUS=MR","SCALING_FORMAT=MLN","FA_ADJUSTED=Adjusted","Sort=A","Dates=H","DateFormat=P","Fill=—","Direction=H","UseDPDF=Y")</f>
        <v>-24</v>
      </c>
      <c r="J19" s="13">
        <f>_xll.BDH("AMZN US Equity","IS_NONOP_INCOME_LOSS","FQ4 2010","FQ4 2010","Currency=USD","Period=FQ","BEST_FPERIOD_OVERRIDE=FQ","FILING_STATUS=MR","SCALING_FORMAT=MLN","FA_ADJUSTED=Adjusted","Sort=A","Dates=H","DateFormat=P","Fill=—","Direction=H","UseDPDF=Y")</f>
        <v>-32</v>
      </c>
      <c r="K19" s="13">
        <f>_xll.BDH("AMZN US Equity","IS_NONOP_INCOME_LOSS","FQ1 2011","FQ1 2011","Currency=USD","Period=FQ","BEST_FPERIOD_OVERRIDE=FQ","FILING_STATUS=MR","SCALING_FORMAT=MLN","FA_ADJUSTED=Adjusted","Sort=A","Dates=H","DateFormat=P","Fill=—","Direction=H","UseDPDF=Y")</f>
        <v>15</v>
      </c>
      <c r="L19" s="13">
        <f>_xll.BDH("AMZN US Equity","IS_NONOP_INCOME_LOSS","FQ2 2011","FQ2 2011","Currency=USD","Period=FQ","BEST_FPERIOD_OVERRIDE=FQ","FILING_STATUS=MR","SCALING_FORMAT=MLN","FA_ADJUSTED=Adjusted","Sort=A","Dates=H","DateFormat=P","Fill=—","Direction=H","UseDPDF=Y")</f>
        <v>-24</v>
      </c>
      <c r="M19" s="13">
        <f>_xll.BDH("AMZN US Equity","IS_NONOP_INCOME_LOSS","FQ3 2011","FQ3 2011","Currency=USD","Period=FQ","BEST_FPERIOD_OVERRIDE=FQ","FILING_STATUS=MR","SCALING_FORMAT=MLN","FA_ADJUSTED=Adjusted","Sort=A","Dates=H","DateFormat=P","Fill=—","Direction=H","UseDPDF=Y")</f>
        <v>-51</v>
      </c>
      <c r="N19" s="13">
        <f>_xll.BDH("AMZN US Equity","IS_NONOP_INCOME_LOSS","FQ4 2011","FQ4 2011","Currency=USD","Period=FQ","BEST_FPERIOD_OVERRIDE=FQ","FILING_STATUS=MR","SCALING_FORMAT=MLN","FA_ADJUSTED=Adjusted","Sort=A","Dates=H","DateFormat=P","Fill=—","Direction=H","UseDPDF=Y")</f>
        <v>-13</v>
      </c>
      <c r="O19" s="13">
        <f>_xll.BDH("AMZN US Equity","IS_NONOP_INCOME_LOSS","FQ1 2012","FQ1 2012","Currency=USD","Period=FQ","BEST_FPERIOD_OVERRIDE=FQ","FILING_STATUS=MR","SCALING_FORMAT=MLN","FA_ADJUSTED=Adjusted","Sort=A","Dates=H","DateFormat=P","Fill=—","Direction=H","UseDPDF=Y")</f>
        <v>108</v>
      </c>
      <c r="P19" s="13">
        <f>_xll.BDH("AMZN US Equity","IS_NONOP_INCOME_LOSS","FQ2 2012","FQ2 2012","Currency=USD","Period=FQ","BEST_FPERIOD_OVERRIDE=FQ","FILING_STATUS=MR","SCALING_FORMAT=MLN","FA_ADJUSTED=Adjusted","Sort=A","Dates=H","DateFormat=P","Fill=—","Direction=H","UseDPDF=Y")</f>
        <v>-39</v>
      </c>
      <c r="Q19" s="13">
        <f>_xll.BDH("AMZN US Equity","IS_NONOP_INCOME_LOSS","FQ3 2012","FQ3 2012","Currency=USD","Period=FQ","BEST_FPERIOD_OVERRIDE=FQ","FILING_STATUS=MR","SCALING_FORMAT=MLN","FA_ADJUSTED=Adjusted","Sort=A","Dates=H","DateFormat=P","Fill=—","Direction=H","UseDPDF=Y")</f>
        <v>-151</v>
      </c>
      <c r="R19" s="13">
        <f>_xll.BDH("AMZN US Equity","IS_NONOP_INCOME_LOSS","FQ4 2012","FQ4 2012","Currency=USD","Period=FQ","BEST_FPERIOD_OVERRIDE=FQ","FILING_STATUS=MR","SCALING_FORMAT=MLN","FA_ADJUSTED=Adjusted","Sort=A","Dates=H","DateFormat=P","Fill=—","Direction=H","UseDPDF=Y")</f>
        <v>43</v>
      </c>
      <c r="S19" s="13">
        <f>_xll.BDH("AMZN US Equity","IS_NONOP_INCOME_LOSS","FQ1 2013","FQ1 2013","Currency=USD","Period=FQ","BEST_FPERIOD_OVERRIDE=FQ","FILING_STATUS=MR","SCALING_FORMAT=MLN","FA_ADJUSTED=Adjusted","Sort=A","Dates=H","DateFormat=P","Fill=—","Direction=H","UseDPDF=Y")</f>
        <v>100</v>
      </c>
      <c r="T19" s="13">
        <f>_xll.BDH("AMZN US Equity","IS_NONOP_INCOME_LOSS","FQ2 2013","FQ2 2013","Currency=USD","Period=FQ","BEST_FPERIOD_OVERRIDE=FQ","FILING_STATUS=MR","SCALING_FORMAT=MLN","FA_ADJUSTED=Adjusted","Sort=A","Dates=H","DateFormat=P","Fill=—","Direction=H","UseDPDF=Y")</f>
        <v>62</v>
      </c>
      <c r="U19" s="13">
        <f>_xll.BDH("AMZN US Equity","IS_NONOP_INCOME_LOSS","FQ3 2013","FQ3 2013","Currency=USD","Period=FQ","BEST_FPERIOD_OVERRIDE=FQ","FILING_STATUS=MR","SCALING_FORMAT=MLN","FA_ADJUSTED=Adjusted","Sort=A","Dates=H","DateFormat=P","Fill=—","Direction=H","UseDPDF=Y")</f>
        <v>18</v>
      </c>
      <c r="V19" s="13">
        <f>_xll.BDH("AMZN US Equity","IS_NONOP_INCOME_LOSS","FQ4 2013","FQ4 2013","Currency=USD","Period=FQ","BEST_FPERIOD_OVERRIDE=FQ","FILING_STATUS=MR","SCALING_FORMAT=MLN","FA_ADJUSTED=Adjusted","Sort=A","Dates=H","DateFormat=P","Fill=—","Direction=H","UseDPDF=Y")</f>
        <v>59</v>
      </c>
      <c r="W19" s="13">
        <f>_xll.BDH("AMZN US Equity","IS_NONOP_INCOME_LOSS","FQ1 2014","FQ1 2014","Currency=USD","Period=FQ","BEST_FPERIOD_OVERRIDE=FQ","FILING_STATUS=MR","SCALING_FORMAT=MLN","FA_ADJUSTED=Adjusted","Sort=A","Dates=H","DateFormat=P","Fill=—","Direction=H","UseDPDF=Y")</f>
        <v>26</v>
      </c>
      <c r="X19" s="13">
        <f>_xll.BDH("AMZN US Equity","IS_NONOP_INCOME_LOSS","FQ2 2014","FQ2 2014","Currency=USD","Period=FQ","BEST_FPERIOD_OVERRIDE=FQ","FILING_STATUS=MR","SCALING_FORMAT=MLN","FA_ADJUSTED=Adjusted","Sort=A","Dates=H","DateFormat=P","Fill=—","Direction=H","UseDPDF=Y")</f>
        <v>12</v>
      </c>
      <c r="Y19" s="13">
        <f>_xll.BDH("AMZN US Equity","IS_NONOP_INCOME_LOSS","FQ3 2014","FQ3 2014","Currency=USD","Period=FQ","BEST_FPERIOD_OVERRIDE=FQ","FILING_STATUS=MR","SCALING_FORMAT=MLN","FA_ADJUSTED=Adjusted","Sort=A","Dates=H","DateFormat=P","Fill=—","Direction=H","UseDPDF=Y")</f>
        <v>90</v>
      </c>
      <c r="Z19" s="13">
        <f>_xll.BDH("AMZN US Equity","IS_NONOP_INCOME_LOSS","FQ4 2014","FQ4 2014","Currency=USD","Period=FQ","BEST_FPERIOD_OVERRIDE=FQ","FILING_STATUS=MR","SCALING_FORMAT=MLN","FA_ADJUSTED=Adjusted","Sort=A","Dates=H","DateFormat=P","Fill=—","Direction=H","UseDPDF=Y")</f>
        <v>162</v>
      </c>
      <c r="AA19" s="13">
        <f>_xll.BDH("AMZN US Equity","IS_NONOP_INCOME_LOSS","FQ1 2015","FQ1 2015","Currency=USD","Period=FQ","BEST_FPERIOD_OVERRIDE=FQ","FILING_STATUS=MR","SCALING_FORMAT=MLN","FA_ADJUSTED=Adjusted","Sort=A","Dates=H","DateFormat=P","Fill=—","Direction=H","UseDPDF=Y")</f>
        <v>233</v>
      </c>
      <c r="AB19" s="13">
        <f>_xll.BDH("AMZN US Equity","IS_NONOP_INCOME_LOSS","FQ2 2015","FQ2 2015","Currency=USD","Period=FQ","BEST_FPERIOD_OVERRIDE=FQ","FILING_STATUS=MR","SCALING_FORMAT=MLN","FA_ADJUSTED=Adjusted","Sort=A","Dates=H","DateFormat=P","Fill=—","Direction=H","UseDPDF=Y")</f>
        <v>101</v>
      </c>
      <c r="AC19" s="13">
        <f>_xll.BDH("AMZN US Equity","IS_NONOP_INCOME_LOSS","FQ3 2015","FQ3 2015","Currency=USD","Period=FQ","BEST_FPERIOD_OVERRIDE=FQ","FILING_STATUS=MR","SCALING_FORMAT=MLN","FA_ADJUSTED=Adjusted","Sort=A","Dates=H","DateFormat=P","Fill=—","Direction=H","UseDPDF=Y")</f>
        <v>159</v>
      </c>
      <c r="AD19" s="13">
        <f>_xll.BDH("AMZN US Equity","IS_NONOP_INCOME_LOSS","FQ4 2015","FQ4 2015","Currency=USD","Period=FQ","BEST_FPERIOD_OVERRIDE=FQ","FILING_STATUS=MR","SCALING_FORMAT=MLN","FA_ADJUSTED=Adjusted","Sort=A","Dates=H","DateFormat=P","Fill=—","Direction=H","UseDPDF=Y")</f>
        <v>167</v>
      </c>
      <c r="AE19" s="13">
        <f>_xll.BDH("AMZN US Equity","IS_NONOP_INCOME_LOSS","FQ1 2016","FQ1 2016","Currency=USD","Period=FQ","BEST_FPERIOD_OVERRIDE=FQ","FILING_STATUS=MR","SCALING_FORMAT=MLN","FA_ADJUSTED=Adjusted","Sort=A","Dates=H","DateFormat=P","Fill=—","Direction=H","UseDPDF=Y")</f>
        <v>15</v>
      </c>
      <c r="AF19" s="13">
        <f>_xll.BDH("AMZN US Equity","IS_NONOP_INCOME_LOSS","FQ2 2016","FQ2 2016","Currency=USD","Period=FQ","BEST_FPERIOD_OVERRIDE=FQ","FILING_STATUS=MR","SCALING_FORMAT=MLN","FA_ADJUSTED=Adjusted","Sort=A","Dates=H","DateFormat=P","Fill=—","Direction=H","UseDPDF=Y")</f>
        <v>106</v>
      </c>
      <c r="AG19" s="13">
        <f>_xll.BDH("AMZN US Equity","IS_NONOP_INCOME_LOSS","FQ3 2016","FQ3 2016","Currency=USD","Period=FQ","BEST_FPERIOD_OVERRIDE=FQ","FILING_STATUS=MR","SCALING_FORMAT=MLN","FA_ADJUSTED=Adjusted","Sort=A","Dates=H","DateFormat=P","Fill=—","Direction=H","UseDPDF=Y")</f>
        <v>84</v>
      </c>
      <c r="AH19" s="13">
        <f>_xll.BDH("AMZN US Equity","IS_NONOP_INCOME_LOSS","FQ4 2016","FQ4 2016","Currency=USD","Period=FQ","BEST_FPERIOD_OVERRIDE=FQ","FILING_STATUS=MR","SCALING_FORMAT=MLN","FA_ADJUSTED=Adjusted","Sort=A","Dates=H","DateFormat=P","Fill=—","Direction=H","UseDPDF=Y")</f>
        <v>84</v>
      </c>
      <c r="AI19" s="13">
        <f>_xll.BDH("AMZN US Equity","IS_NONOP_INCOME_LOSS","FQ1 2017","FQ1 2017","Currency=USD","Period=FQ","BEST_FPERIOD_OVERRIDE=FQ","FILING_STATUS=MR","SCALING_FORMAT=MLN","FA_ADJUSTED=Adjusted","Sort=A","Dates=H","DateFormat=P","Fill=—","Direction=H","UseDPDF=Y")</f>
        <v>52</v>
      </c>
      <c r="AJ19" s="13">
        <f>_xll.BDH("AMZN US Equity","IS_NONOP_INCOME_LOSS","FQ2 2017","FQ2 2017","Currency=USD","Period=FQ","BEST_FPERIOD_OVERRIDE=FQ","FILING_STATUS=MR","SCALING_FORMAT=MLN","FA_ADJUSTED=Adjusted","Sort=A","Dates=H","DateFormat=P","Fill=—","Direction=H","UseDPDF=Y")</f>
        <v>-38</v>
      </c>
      <c r="AK19" s="13">
        <f>_xll.BDH("AMZN US Equity","IS_NONOP_INCOME_LOSS","FQ3 2017","FQ3 2017","Currency=USD","Period=FQ","BEST_FPERIOD_OVERRIDE=FQ","FILING_STATUS=MR","SCALING_FORMAT=MLN","FA_ADJUSTED=Adjusted","Sort=A","Dates=H","DateFormat=P","Fill=—","Direction=H","UseDPDF=Y")</f>
        <v>31</v>
      </c>
      <c r="AL19" s="13">
        <f>_xll.BDH("AMZN US Equity","IS_NONOP_INCOME_LOSS","FQ4 2017","FQ4 2017","Currency=USD","Period=FQ","BEST_FPERIOD_OVERRIDE=FQ","FILING_STATUS=MR","SCALING_FORMAT=MLN","FA_ADJUSTED=Adjusted","Sort=A","Dates=H","DateFormat=P","Fill=—","Direction=H","UseDPDF=Y")</f>
        <v>255</v>
      </c>
      <c r="AM19" s="13">
        <f>_xll.BDH("AMZN US Equity","IS_NONOP_INCOME_LOSS","FQ1 2018","FQ1 2018","Currency=USD","Period=FQ","BEST_FPERIOD_OVERRIDE=FQ","FILING_STATUS=MR","SCALING_FORMAT=MLN","FA_ADJUSTED=Adjusted","Sort=A","Dates=H","DateFormat=P","Fill=—","Direction=H","UseDPDF=Y")</f>
        <v>11</v>
      </c>
      <c r="AN19" s="13">
        <f>_xll.BDH("AMZN US Equity","IS_NONOP_INCOME_LOSS","FQ2 2018","FQ2 2018","Currency=USD","Period=FQ","BEST_FPERIOD_OVERRIDE=FQ","FILING_STATUS=MR","SCALING_FORMAT=MLN","FA_ADJUSTED=Adjusted","Sort=A","Dates=H","DateFormat=P","Fill=—","Direction=H","UseDPDF=Y")</f>
        <v>378</v>
      </c>
      <c r="AO19" s="13"/>
      <c r="AP19" s="13"/>
    </row>
    <row r="20" spans="1:42" x14ac:dyDescent="0.25">
      <c r="A20" s="10" t="s">
        <v>114</v>
      </c>
      <c r="B20" s="10" t="s">
        <v>115</v>
      </c>
      <c r="C20" s="13">
        <f>_xll.BDH("AMZN US Equity","IS_NET_INTEREST_EXPENSE","FQ1 2009","FQ1 2009","Currency=USD","Period=FQ","BEST_FPERIOD_OVERRIDE=FQ","FILING_STATUS=MR","SCALING_FORMAT=MLN","FA_ADJUSTED=Adjusted","Sort=A","Dates=H","DateFormat=P","Fill=—","Direction=H","UseDPDF=Y")</f>
        <v>0</v>
      </c>
      <c r="D20" s="13">
        <f>_xll.BDH("AMZN US Equity","IS_NET_INTEREST_EXPENSE","FQ2 2009","FQ2 2009","Currency=USD","Period=FQ","BEST_FPERIOD_OVERRIDE=FQ","FILING_STATUS=MR","SCALING_FORMAT=MLN","FA_ADJUSTED=Adjusted","Sort=A","Dates=H","DateFormat=P","Fill=—","Direction=H","UseDPDF=Y")</f>
        <v>-1</v>
      </c>
      <c r="E20" s="13">
        <f>_xll.BDH("AMZN US Equity","IS_NET_INTEREST_EXPENSE","FQ3 2009","FQ3 2009","Currency=USD","Period=FQ","BEST_FPERIOD_OVERRIDE=FQ","FILING_STATUS=MR","SCALING_FORMAT=MLN","FA_ADJUSTED=Adjusted","Sort=A","Dates=H","DateFormat=P","Fill=—","Direction=H","UseDPDF=Y")</f>
        <v>0</v>
      </c>
      <c r="F20" s="13">
        <f>_xll.BDH("AMZN US Equity","IS_NET_INTEREST_EXPENSE","FQ4 2009","FQ4 2009","Currency=USD","Period=FQ","BEST_FPERIOD_OVERRIDE=FQ","FILING_STATUS=MR","SCALING_FORMAT=MLN","FA_ADJUSTED=Adjusted","Sort=A","Dates=H","DateFormat=P","Fill=—","Direction=H","UseDPDF=Y")</f>
        <v>-1</v>
      </c>
      <c r="G20" s="13">
        <f>_xll.BDH("AMZN US Equity","IS_NET_INTEREST_EXPENSE","FQ1 2010","FQ1 2010","Currency=USD","Period=FQ","BEST_FPERIOD_OVERRIDE=FQ","FILING_STATUS=MR","SCALING_FORMAT=MLN","FA_ADJUSTED=Adjusted","Sort=A","Dates=H","DateFormat=P","Fill=—","Direction=H","UseDPDF=Y")</f>
        <v>-4</v>
      </c>
      <c r="H20" s="13">
        <f>_xll.BDH("AMZN US Equity","IS_NET_INTEREST_EXPENSE","FQ2 2010","FQ2 2010","Currency=USD","Period=FQ","BEST_FPERIOD_OVERRIDE=FQ","FILING_STATUS=MR","SCALING_FORMAT=MLN","FA_ADJUSTED=Adjusted","Sort=A","Dates=H","DateFormat=P","Fill=—","Direction=H","UseDPDF=Y")</f>
        <v>-3</v>
      </c>
      <c r="I20" s="13">
        <f>_xll.BDH("AMZN US Equity","IS_NET_INTEREST_EXPENSE","FQ3 2010","FQ3 2010","Currency=USD","Period=FQ","BEST_FPERIOD_OVERRIDE=FQ","FILING_STATUS=MR","SCALING_FORMAT=MLN","FA_ADJUSTED=Adjusted","Sort=A","Dates=H","DateFormat=P","Fill=—","Direction=H","UseDPDF=Y")</f>
        <v>-2</v>
      </c>
      <c r="J20" s="13">
        <f>_xll.BDH("AMZN US Equity","IS_NET_INTEREST_EXPENSE","FQ4 2010","FQ4 2010","Currency=USD","Period=FQ","BEST_FPERIOD_OVERRIDE=FQ","FILING_STATUS=MR","SCALING_FORMAT=MLN","FA_ADJUSTED=Adjusted","Sort=A","Dates=H","DateFormat=P","Fill=—","Direction=H","UseDPDF=Y")</f>
        <v>-3</v>
      </c>
      <c r="K20" s="13">
        <f>_xll.BDH("AMZN US Equity","IS_NET_INTEREST_EXPENSE","FQ1 2011","FQ1 2011","Currency=USD","Period=FQ","BEST_FPERIOD_OVERRIDE=FQ","FILING_STATUS=MR","SCALING_FORMAT=MLN","FA_ADJUSTED=Adjusted","Sort=A","Dates=H","DateFormat=P","Fill=—","Direction=H","UseDPDF=Y")</f>
        <v>-3</v>
      </c>
      <c r="L20" s="13">
        <f>_xll.BDH("AMZN US Equity","IS_NET_INTEREST_EXPENSE","FQ2 2011","FQ2 2011","Currency=USD","Period=FQ","BEST_FPERIOD_OVERRIDE=FQ","FILING_STATUS=MR","SCALING_FORMAT=MLN","FA_ADJUSTED=Adjusted","Sort=A","Dates=H","DateFormat=P","Fill=—","Direction=H","UseDPDF=Y")</f>
        <v>-1</v>
      </c>
      <c r="M20" s="13">
        <f>_xll.BDH("AMZN US Equity","IS_NET_INTEREST_EXPENSE","FQ3 2011","FQ3 2011","Currency=USD","Period=FQ","BEST_FPERIOD_OVERRIDE=FQ","FILING_STATUS=MR","SCALING_FORMAT=MLN","FA_ADJUSTED=Adjusted","Sort=A","Dates=H","DateFormat=P","Fill=—","Direction=H","UseDPDF=Y")</f>
        <v>1</v>
      </c>
      <c r="N20" s="13">
        <f>_xll.BDH("AMZN US Equity","IS_NET_INTEREST_EXPENSE","FQ4 2011","FQ4 2011","Currency=USD","Period=FQ","BEST_FPERIOD_OVERRIDE=FQ","FILING_STATUS=MR","SCALING_FORMAT=MLN","FA_ADJUSTED=Adjusted","Sort=A","Dates=H","DateFormat=P","Fill=—","Direction=H","UseDPDF=Y")</f>
        <v>6</v>
      </c>
      <c r="O20" s="13">
        <f>_xll.BDH("AMZN US Equity","IS_NET_INTEREST_EXPENSE","FQ1 2012","FQ1 2012","Currency=USD","Period=FQ","BEST_FPERIOD_OVERRIDE=FQ","FILING_STATUS=MR","SCALING_FORMAT=MLN","FA_ADJUSTED=Adjusted","Sort=A","Dates=H","DateFormat=P","Fill=—","Direction=H","UseDPDF=Y")</f>
        <v>9</v>
      </c>
      <c r="P20" s="13">
        <f>_xll.BDH("AMZN US Equity","IS_NET_INTEREST_EXPENSE","FQ2 2012","FQ2 2012","Currency=USD","Period=FQ","BEST_FPERIOD_OVERRIDE=FQ","FILING_STATUS=MR","SCALING_FORMAT=MLN","FA_ADJUSTED=Adjusted","Sort=A","Dates=H","DateFormat=P","Fill=—","Direction=H","UseDPDF=Y")</f>
        <v>11</v>
      </c>
      <c r="Q20" s="13">
        <f>_xll.BDH("AMZN US Equity","IS_NET_INTEREST_EXPENSE","FQ3 2012","FQ3 2012","Currency=USD","Period=FQ","BEST_FPERIOD_OVERRIDE=FQ","FILING_STATUS=MR","SCALING_FORMAT=MLN","FA_ADJUSTED=Adjusted","Sort=A","Dates=H","DateFormat=P","Fill=—","Direction=H","UseDPDF=Y")</f>
        <v>12</v>
      </c>
      <c r="R20" s="13">
        <f>_xll.BDH("AMZN US Equity","IS_NET_INTEREST_EXPENSE","FQ4 2012","FQ4 2012","Currency=USD","Period=FQ","BEST_FPERIOD_OVERRIDE=FQ","FILING_STATUS=MR","SCALING_FORMAT=MLN","FA_ADJUSTED=Adjusted","Sort=A","Dates=H","DateFormat=P","Fill=—","Direction=H","UseDPDF=Y")</f>
        <v>19</v>
      </c>
      <c r="S20" s="13">
        <f>_xll.BDH("AMZN US Equity","IS_NET_INTEREST_EXPENSE","FQ1 2013","FQ1 2013","Currency=USD","Period=FQ","BEST_FPERIOD_OVERRIDE=FQ","FILING_STATUS=MR","SCALING_FORMAT=MLN","FA_ADJUSTED=Adjusted","Sort=A","Dates=H","DateFormat=P","Fill=—","Direction=H","UseDPDF=Y")</f>
        <v>23</v>
      </c>
      <c r="T20" s="13">
        <f>_xll.BDH("AMZN US Equity","IS_NET_INTEREST_EXPENSE","FQ2 2013","FQ2 2013","Currency=USD","Period=FQ","BEST_FPERIOD_OVERRIDE=FQ","FILING_STATUS=MR","SCALING_FORMAT=MLN","FA_ADJUSTED=Adjusted","Sort=A","Dates=H","DateFormat=P","Fill=—","Direction=H","UseDPDF=Y")</f>
        <v>24</v>
      </c>
      <c r="U20" s="13">
        <f>_xll.BDH("AMZN US Equity","IS_NET_INTEREST_EXPENSE","FQ3 2013","FQ3 2013","Currency=USD","Period=FQ","BEST_FPERIOD_OVERRIDE=FQ","FILING_STATUS=MR","SCALING_FORMAT=MLN","FA_ADJUSTED=Adjusted","Sort=A","Dates=H","DateFormat=P","Fill=—","Direction=H","UseDPDF=Y")</f>
        <v>27</v>
      </c>
      <c r="V20" s="13">
        <f>_xll.BDH("AMZN US Equity","IS_NET_INTEREST_EXPENSE","FQ4 2013","FQ4 2013","Currency=USD","Period=FQ","BEST_FPERIOD_OVERRIDE=FQ","FILING_STATUS=MR","SCALING_FORMAT=MLN","FA_ADJUSTED=Adjusted","Sort=A","Dates=H","DateFormat=P","Fill=—","Direction=H","UseDPDF=Y")</f>
        <v>29</v>
      </c>
      <c r="W20" s="13">
        <f>_xll.BDH("AMZN US Equity","IS_NET_INTEREST_EXPENSE","FQ1 2014","FQ1 2014","Currency=USD","Period=FQ","BEST_FPERIOD_OVERRIDE=FQ","FILING_STATUS=MR","SCALING_FORMAT=MLN","FA_ADJUSTED=Adjusted","Sort=A","Dates=H","DateFormat=P","Fill=—","Direction=H","UseDPDF=Y")</f>
        <v>31</v>
      </c>
      <c r="X20" s="13">
        <f>_xll.BDH("AMZN US Equity","IS_NET_INTEREST_EXPENSE","FQ2 2014","FQ2 2014","Currency=USD","Period=FQ","BEST_FPERIOD_OVERRIDE=FQ","FILING_STATUS=MR","SCALING_FORMAT=MLN","FA_ADJUSTED=Adjusted","Sort=A","Dates=H","DateFormat=P","Fill=—","Direction=H","UseDPDF=Y")</f>
        <v>34</v>
      </c>
      <c r="Y20" s="13">
        <f>_xll.BDH("AMZN US Equity","IS_NET_INTEREST_EXPENSE","FQ3 2014","FQ3 2014","Currency=USD","Period=FQ","BEST_FPERIOD_OVERRIDE=FQ","FILING_STATUS=MR","SCALING_FORMAT=MLN","FA_ADJUSTED=Adjusted","Sort=A","Dates=H","DateFormat=P","Fill=—","Direction=H","UseDPDF=Y")</f>
        <v>40</v>
      </c>
      <c r="Z20" s="13">
        <f>_xll.BDH("AMZN US Equity","IS_NET_INTEREST_EXPENSE","FQ4 2014","FQ4 2014","Currency=USD","Period=FQ","BEST_FPERIOD_OVERRIDE=FQ","FILING_STATUS=MR","SCALING_FORMAT=MLN","FA_ADJUSTED=Adjusted","Sort=A","Dates=H","DateFormat=P","Fill=—","Direction=H","UseDPDF=Y")</f>
        <v>66</v>
      </c>
      <c r="AA20" s="13">
        <f>_xll.BDH("AMZN US Equity","IS_NET_INTEREST_EXPENSE","FQ1 2015","FQ1 2015","Currency=USD","Period=FQ","BEST_FPERIOD_OVERRIDE=FQ","FILING_STATUS=MR","SCALING_FORMAT=MLN","FA_ADJUSTED=Adjusted","Sort=A","Dates=H","DateFormat=P","Fill=—","Direction=H","UseDPDF=Y")</f>
        <v>104</v>
      </c>
      <c r="AB20" s="13">
        <f>_xll.BDH("AMZN US Equity","IS_NET_INTEREST_EXPENSE","FQ2 2015","FQ2 2015","Currency=USD","Period=FQ","BEST_FPERIOD_OVERRIDE=FQ","FILING_STATUS=MR","SCALING_FORMAT=MLN","FA_ADJUSTED=Adjusted","Sort=A","Dates=H","DateFormat=P","Fill=—","Direction=H","UseDPDF=Y")</f>
        <v>102</v>
      </c>
      <c r="AC20" s="13">
        <f>_xll.BDH("AMZN US Equity","IS_NET_INTEREST_EXPENSE","FQ3 2015","FQ3 2015","Currency=USD","Period=FQ","BEST_FPERIOD_OVERRIDE=FQ","FILING_STATUS=MR","SCALING_FORMAT=MLN","FA_ADJUSTED=Adjusted","Sort=A","Dates=H","DateFormat=P","Fill=—","Direction=H","UseDPDF=Y")</f>
        <v>103</v>
      </c>
      <c r="AD20" s="13">
        <f>_xll.BDH("AMZN US Equity","IS_NET_INTEREST_EXPENSE","FQ4 2015","FQ4 2015","Currency=USD","Period=FQ","BEST_FPERIOD_OVERRIDE=FQ","FILING_STATUS=MR","SCALING_FORMAT=MLN","FA_ADJUSTED=Adjusted","Sort=A","Dates=H","DateFormat=P","Fill=—","Direction=H","UseDPDF=Y")</f>
        <v>102</v>
      </c>
      <c r="AE20" s="13">
        <f>_xll.BDH("AMZN US Equity","IS_NET_INTEREST_EXPENSE","FQ1 2016","FQ1 2016","Currency=USD","Period=FQ","BEST_FPERIOD_OVERRIDE=FQ","FILING_STATUS=MR","SCALING_FORMAT=MLN","FA_ADJUSTED=Adjusted","Sort=A","Dates=H","DateFormat=P","Fill=—","Direction=H","UseDPDF=Y")</f>
        <v>96</v>
      </c>
      <c r="AF20" s="13">
        <f>_xll.BDH("AMZN US Equity","IS_NET_INTEREST_EXPENSE","FQ2 2016","FQ2 2016","Currency=USD","Period=FQ","BEST_FPERIOD_OVERRIDE=FQ","FILING_STATUS=MR","SCALING_FORMAT=MLN","FA_ADJUSTED=Adjusted","Sort=A","Dates=H","DateFormat=P","Fill=—","Direction=H","UseDPDF=Y")</f>
        <v>92</v>
      </c>
      <c r="AG20" s="13">
        <f>_xll.BDH("AMZN US Equity","IS_NET_INTEREST_EXPENSE","FQ3 2016","FQ3 2016","Currency=USD","Period=FQ","BEST_FPERIOD_OVERRIDE=FQ","FILING_STATUS=MR","SCALING_FORMAT=MLN","FA_ADJUSTED=Adjusted","Sort=A","Dates=H","DateFormat=P","Fill=—","Direction=H","UseDPDF=Y")</f>
        <v>92</v>
      </c>
      <c r="AH20" s="13">
        <f>_xll.BDH("AMZN US Equity","IS_NET_INTEREST_EXPENSE","FQ4 2016","FQ4 2016","Currency=USD","Period=FQ","BEST_FPERIOD_OVERRIDE=FQ","FILING_STATUS=MR","SCALING_FORMAT=MLN","FA_ADJUSTED=Adjusted","Sort=A","Dates=H","DateFormat=P","Fill=—","Direction=H","UseDPDF=Y")</f>
        <v>103</v>
      </c>
      <c r="AI20" s="13">
        <f>_xll.BDH("AMZN US Equity","IS_NET_INTEREST_EXPENSE","FQ1 2017","FQ1 2017","Currency=USD","Period=FQ","BEST_FPERIOD_OVERRIDE=FQ","FILING_STATUS=MR","SCALING_FORMAT=MLN","FA_ADJUSTED=Adjusted","Sort=A","Dates=H","DateFormat=P","Fill=—","Direction=H","UseDPDF=Y")</f>
        <v>100</v>
      </c>
      <c r="AJ20" s="13">
        <f>_xll.BDH("AMZN US Equity","IS_NET_INTEREST_EXPENSE","FQ2 2017","FQ2 2017","Currency=USD","Period=FQ","BEST_FPERIOD_OVERRIDE=FQ","FILING_STATUS=MR","SCALING_FORMAT=MLN","FA_ADJUSTED=Adjusted","Sort=A","Dates=H","DateFormat=P","Fill=—","Direction=H","UseDPDF=Y")</f>
        <v>99</v>
      </c>
      <c r="AK20" s="13">
        <f>_xll.BDH("AMZN US Equity","IS_NET_INTEREST_EXPENSE","FQ3 2017","FQ3 2017","Currency=USD","Period=FQ","BEST_FPERIOD_OVERRIDE=FQ","FILING_STATUS=MR","SCALING_FORMAT=MLN","FA_ADJUSTED=Adjusted","Sort=A","Dates=H","DateFormat=P","Fill=—","Direction=H","UseDPDF=Y")</f>
        <v>174</v>
      </c>
      <c r="AL20" s="13">
        <f>_xll.BDH("AMZN US Equity","IS_NET_INTEREST_EXPENSE","FQ4 2017","FQ4 2017","Currency=USD","Period=FQ","BEST_FPERIOD_OVERRIDE=FQ","FILING_STATUS=MR","SCALING_FORMAT=MLN","FA_ADJUSTED=Adjusted","Sort=A","Dates=H","DateFormat=P","Fill=—","Direction=H","UseDPDF=Y")</f>
        <v>273</v>
      </c>
      <c r="AM20" s="13">
        <f>_xll.BDH("AMZN US Equity","IS_NET_INTEREST_EXPENSE","FQ1 2018","FQ1 2018","Currency=USD","Period=FQ","BEST_FPERIOD_OVERRIDE=FQ","FILING_STATUS=MR","SCALING_FORMAT=MLN","FA_ADJUSTED=Adjusted","Sort=A","Dates=H","DateFormat=P","Fill=—","Direction=H","UseDPDF=Y")</f>
        <v>250</v>
      </c>
      <c r="AN20" s="13">
        <f>_xll.BDH("AMZN US Equity","IS_NET_INTEREST_EXPENSE","FQ2 2018","FQ2 2018","Currency=USD","Period=FQ","BEST_FPERIOD_OVERRIDE=FQ","FILING_STATUS=MR","SCALING_FORMAT=MLN","FA_ADJUSTED=Adjusted","Sort=A","Dates=H","DateFormat=P","Fill=—","Direction=H","UseDPDF=Y")</f>
        <v>249</v>
      </c>
      <c r="AO20" s="13"/>
      <c r="AP20" s="13"/>
    </row>
    <row r="21" spans="1:42" x14ac:dyDescent="0.25">
      <c r="A21" s="11" t="s">
        <v>116</v>
      </c>
      <c r="B21" s="11" t="s">
        <v>117</v>
      </c>
      <c r="C21" s="22">
        <f>_xll.BDH("AMZN US Equity","IS_INT_EXPENSE","FQ1 2009","FQ1 2009","Currency=USD","Period=FQ","BEST_FPERIOD_OVERRIDE=FQ","FILING_STATUS=MR","SCALING_FORMAT=MLN","FA_ADJUSTED=Adjusted","Sort=A","Dates=H","DateFormat=P","Fill=—","Direction=H","UseDPDF=Y")</f>
        <v>12</v>
      </c>
      <c r="D21" s="22">
        <f>_xll.BDH("AMZN US Equity","IS_INT_EXPENSE","FQ2 2009","FQ2 2009","Currency=USD","Period=FQ","BEST_FPERIOD_OVERRIDE=FQ","FILING_STATUS=MR","SCALING_FORMAT=MLN","FA_ADJUSTED=Adjusted","Sort=A","Dates=H","DateFormat=P","Fill=—","Direction=H","UseDPDF=Y")</f>
        <v>7</v>
      </c>
      <c r="E21" s="22">
        <f>_xll.BDH("AMZN US Equity","IS_INT_EXPENSE","FQ3 2009","FQ3 2009","Currency=USD","Period=FQ","BEST_FPERIOD_OVERRIDE=FQ","FILING_STATUS=MR","SCALING_FORMAT=MLN","FA_ADJUSTED=Adjusted","Sort=A","Dates=H","DateFormat=P","Fill=—","Direction=H","UseDPDF=Y")</f>
        <v>7</v>
      </c>
      <c r="F21" s="22">
        <f>_xll.BDH("AMZN US Equity","IS_INT_EXPENSE","FQ4 2009","FQ4 2009","Currency=USD","Period=FQ","BEST_FPERIOD_OVERRIDE=FQ","FILING_STATUS=MR","SCALING_FORMAT=MLN","FA_ADJUSTED=Adjusted","Sort=A","Dates=H","DateFormat=P","Fill=—","Direction=H","UseDPDF=Y")</f>
        <v>8</v>
      </c>
      <c r="G21" s="22">
        <f>_xll.BDH("AMZN US Equity","IS_INT_EXPENSE","FQ1 2010","FQ1 2010","Currency=USD","Period=FQ","BEST_FPERIOD_OVERRIDE=FQ","FILING_STATUS=MR","SCALING_FORMAT=MLN","FA_ADJUSTED=Adjusted","Sort=A","Dates=H","DateFormat=P","Fill=—","Direction=H","UseDPDF=Y")</f>
        <v>7</v>
      </c>
      <c r="H21" s="22">
        <f>_xll.BDH("AMZN US Equity","IS_INT_EXPENSE","FQ2 2010","FQ2 2010","Currency=USD","Period=FQ","BEST_FPERIOD_OVERRIDE=FQ","FILING_STATUS=MR","SCALING_FORMAT=MLN","FA_ADJUSTED=Adjusted","Sort=A","Dates=H","DateFormat=P","Fill=—","Direction=H","UseDPDF=Y")</f>
        <v>9</v>
      </c>
      <c r="I21" s="22">
        <f>_xll.BDH("AMZN US Equity","IS_INT_EXPENSE","FQ3 2010","FQ3 2010","Currency=USD","Period=FQ","BEST_FPERIOD_OVERRIDE=FQ","FILING_STATUS=MR","SCALING_FORMAT=MLN","FA_ADJUSTED=Adjusted","Sort=A","Dates=H","DateFormat=P","Fill=—","Direction=H","UseDPDF=Y")</f>
        <v>11</v>
      </c>
      <c r="J21" s="22">
        <f>_xll.BDH("AMZN US Equity","IS_INT_EXPENSE","FQ4 2010","FQ4 2010","Currency=USD","Period=FQ","BEST_FPERIOD_OVERRIDE=FQ","FILING_STATUS=MR","SCALING_FORMAT=MLN","FA_ADJUSTED=Adjusted","Sort=A","Dates=H","DateFormat=P","Fill=—","Direction=H","UseDPDF=Y")</f>
        <v>11</v>
      </c>
      <c r="K21" s="22">
        <f>_xll.BDH("AMZN US Equity","IS_INT_EXPENSE","FQ1 2011","FQ1 2011","Currency=USD","Period=FQ","BEST_FPERIOD_OVERRIDE=FQ","FILING_STATUS=MR","SCALING_FORMAT=MLN","FA_ADJUSTED=Adjusted","Sort=A","Dates=H","DateFormat=P","Fill=—","Direction=H","UseDPDF=Y")</f>
        <v>12</v>
      </c>
      <c r="L21" s="22">
        <f>_xll.BDH("AMZN US Equity","IS_INT_EXPENSE","FQ2 2011","FQ2 2011","Currency=USD","Period=FQ","BEST_FPERIOD_OVERRIDE=FQ","FILING_STATUS=MR","SCALING_FORMAT=MLN","FA_ADJUSTED=Adjusted","Sort=A","Dates=H","DateFormat=P","Fill=—","Direction=H","UseDPDF=Y")</f>
        <v>15</v>
      </c>
      <c r="M21" s="22">
        <f>_xll.BDH("AMZN US Equity","IS_INT_EXPENSE","FQ3 2011","FQ3 2011","Currency=USD","Period=FQ","BEST_FPERIOD_OVERRIDE=FQ","FILING_STATUS=MR","SCALING_FORMAT=MLN","FA_ADJUSTED=Adjusted","Sort=A","Dates=H","DateFormat=P","Fill=—","Direction=H","UseDPDF=Y")</f>
        <v>17</v>
      </c>
      <c r="N21" s="22">
        <f>_xll.BDH("AMZN US Equity","IS_INT_EXPENSE","FQ4 2011","FQ4 2011","Currency=USD","Period=FQ","BEST_FPERIOD_OVERRIDE=FQ","FILING_STATUS=MR","SCALING_FORMAT=MLN","FA_ADJUSTED=Adjusted","Sort=A","Dates=H","DateFormat=P","Fill=—","Direction=H","UseDPDF=Y")</f>
        <v>20</v>
      </c>
      <c r="O21" s="22">
        <f>_xll.BDH("AMZN US Equity","IS_INT_EXPENSE","FQ1 2012","FQ1 2012","Currency=USD","Period=FQ","BEST_FPERIOD_OVERRIDE=FQ","FILING_STATUS=MR","SCALING_FORMAT=MLN","FA_ADJUSTED=Adjusted","Sort=A","Dates=H","DateFormat=P","Fill=—","Direction=H","UseDPDF=Y")</f>
        <v>21</v>
      </c>
      <c r="P21" s="22">
        <f>_xll.BDH("AMZN US Equity","IS_INT_EXPENSE","FQ2 2012","FQ2 2012","Currency=USD","Period=FQ","BEST_FPERIOD_OVERRIDE=FQ","FILING_STATUS=MR","SCALING_FORMAT=MLN","FA_ADJUSTED=Adjusted","Sort=A","Dates=H","DateFormat=P","Fill=—","Direction=H","UseDPDF=Y")</f>
        <v>21</v>
      </c>
      <c r="Q21" s="22">
        <f>_xll.BDH("AMZN US Equity","IS_INT_EXPENSE","FQ3 2012","FQ3 2012","Currency=USD","Period=FQ","BEST_FPERIOD_OVERRIDE=FQ","FILING_STATUS=MR","SCALING_FORMAT=MLN","FA_ADJUSTED=Adjusted","Sort=A","Dates=H","DateFormat=P","Fill=—","Direction=H","UseDPDF=Y")</f>
        <v>22</v>
      </c>
      <c r="R21" s="22">
        <f>_xll.BDH("AMZN US Equity","IS_INT_EXPENSE","FQ4 2012","FQ4 2012","Currency=USD","Period=FQ","BEST_FPERIOD_OVERRIDE=FQ","FILING_STATUS=MR","SCALING_FORMAT=MLN","FA_ADJUSTED=Adjusted","Sort=A","Dates=H","DateFormat=P","Fill=—","Direction=H","UseDPDF=Y")</f>
        <v>28</v>
      </c>
      <c r="S21" s="22">
        <f>_xll.BDH("AMZN US Equity","IS_INT_EXPENSE","FQ1 2013","FQ1 2013","Currency=USD","Period=FQ","BEST_FPERIOD_OVERRIDE=FQ","FILING_STATUS=MR","SCALING_FORMAT=MLN","FA_ADJUSTED=Adjusted","Sort=A","Dates=H","DateFormat=P","Fill=—","Direction=H","UseDPDF=Y")</f>
        <v>33</v>
      </c>
      <c r="T21" s="22">
        <f>_xll.BDH("AMZN US Equity","IS_INT_EXPENSE","FQ2 2013","FQ2 2013","Currency=USD","Period=FQ","BEST_FPERIOD_OVERRIDE=FQ","FILING_STATUS=MR","SCALING_FORMAT=MLN","FA_ADJUSTED=Adjusted","Sort=A","Dates=H","DateFormat=P","Fill=—","Direction=H","UseDPDF=Y")</f>
        <v>33</v>
      </c>
      <c r="U21" s="22">
        <f>_xll.BDH("AMZN US Equity","IS_INT_EXPENSE","FQ3 2013","FQ3 2013","Currency=USD","Period=FQ","BEST_FPERIOD_OVERRIDE=FQ","FILING_STATUS=MR","SCALING_FORMAT=MLN","FA_ADJUSTED=Adjusted","Sort=A","Dates=H","DateFormat=P","Fill=—","Direction=H","UseDPDF=Y")</f>
        <v>36</v>
      </c>
      <c r="V21" s="22">
        <f>_xll.BDH("AMZN US Equity","IS_INT_EXPENSE","FQ4 2013","FQ4 2013","Currency=USD","Period=FQ","BEST_FPERIOD_OVERRIDE=FQ","FILING_STATUS=MR","SCALING_FORMAT=MLN","FA_ADJUSTED=Adjusted","Sort=A","Dates=H","DateFormat=P","Fill=—","Direction=H","UseDPDF=Y")</f>
        <v>39</v>
      </c>
      <c r="W21" s="22">
        <f>_xll.BDH("AMZN US Equity","IS_INT_EXPENSE","FQ1 2014","FQ1 2014","Currency=USD","Period=FQ","BEST_FPERIOD_OVERRIDE=FQ","FILING_STATUS=MR","SCALING_FORMAT=MLN","FA_ADJUSTED=Adjusted","Sort=A","Dates=H","DateFormat=P","Fill=—","Direction=H","UseDPDF=Y")</f>
        <v>42</v>
      </c>
      <c r="X21" s="22">
        <f>_xll.BDH("AMZN US Equity","IS_INT_EXPENSE","FQ2 2014","FQ2 2014","Currency=USD","Period=FQ","BEST_FPERIOD_OVERRIDE=FQ","FILING_STATUS=MR","SCALING_FORMAT=MLN","FA_ADJUSTED=Adjusted","Sort=A","Dates=H","DateFormat=P","Fill=—","Direction=H","UseDPDF=Y")</f>
        <v>45</v>
      </c>
      <c r="Y21" s="22">
        <f>_xll.BDH("AMZN US Equity","IS_INT_EXPENSE","FQ3 2014","FQ3 2014","Currency=USD","Period=FQ","BEST_FPERIOD_OVERRIDE=FQ","FILING_STATUS=MR","SCALING_FORMAT=MLN","FA_ADJUSTED=Adjusted","Sort=A","Dates=H","DateFormat=P","Fill=—","Direction=H","UseDPDF=Y")</f>
        <v>49</v>
      </c>
      <c r="Z21" s="22">
        <f>_xll.BDH("AMZN US Equity","IS_INT_EXPENSE","FQ4 2014","FQ4 2014","Currency=USD","Period=FQ","BEST_FPERIOD_OVERRIDE=FQ","FILING_STATUS=MR","SCALING_FORMAT=MLN","FA_ADJUSTED=Adjusted","Sort=A","Dates=H","DateFormat=P","Fill=—","Direction=H","UseDPDF=Y")</f>
        <v>74</v>
      </c>
      <c r="AA21" s="22">
        <f>_xll.BDH("AMZN US Equity","IS_INT_EXPENSE","FQ1 2015","FQ1 2015","Currency=USD","Period=FQ","BEST_FPERIOD_OVERRIDE=FQ","FILING_STATUS=MR","SCALING_FORMAT=MLN","FA_ADJUSTED=Adjusted","Sort=A","Dates=H","DateFormat=P","Fill=—","Direction=H","UseDPDF=Y")</f>
        <v>115</v>
      </c>
      <c r="AB21" s="22">
        <f>_xll.BDH("AMZN US Equity","IS_INT_EXPENSE","FQ2 2015","FQ2 2015","Currency=USD","Period=FQ","BEST_FPERIOD_OVERRIDE=FQ","FILING_STATUS=MR","SCALING_FORMAT=MLN","FA_ADJUSTED=Adjusted","Sort=A","Dates=H","DateFormat=P","Fill=—","Direction=H","UseDPDF=Y")</f>
        <v>114</v>
      </c>
      <c r="AC21" s="22">
        <f>_xll.BDH("AMZN US Equity","IS_INT_EXPENSE","FQ3 2015","FQ3 2015","Currency=USD","Period=FQ","BEST_FPERIOD_OVERRIDE=FQ","FILING_STATUS=MR","SCALING_FORMAT=MLN","FA_ADJUSTED=Adjusted","Sort=A","Dates=H","DateFormat=P","Fill=—","Direction=H","UseDPDF=Y")</f>
        <v>116</v>
      </c>
      <c r="AD21" s="22">
        <f>_xll.BDH("AMZN US Equity","IS_INT_EXPENSE","FQ4 2015","FQ4 2015","Currency=USD","Period=FQ","BEST_FPERIOD_OVERRIDE=FQ","FILING_STATUS=MR","SCALING_FORMAT=MLN","FA_ADJUSTED=Adjusted","Sort=A","Dates=H","DateFormat=P","Fill=—","Direction=H","UseDPDF=Y")</f>
        <v>115</v>
      </c>
      <c r="AE21" s="22">
        <f>_xll.BDH("AMZN US Equity","IS_INT_EXPENSE","FQ1 2016","FQ1 2016","Currency=USD","Period=FQ","BEST_FPERIOD_OVERRIDE=FQ","FILING_STATUS=MR","SCALING_FORMAT=MLN","FA_ADJUSTED=Adjusted","Sort=A","Dates=H","DateFormat=P","Fill=—","Direction=H","UseDPDF=Y")</f>
        <v>117</v>
      </c>
      <c r="AF21" s="22">
        <f>_xll.BDH("AMZN US Equity","IS_INT_EXPENSE","FQ2 2016","FQ2 2016","Currency=USD","Period=FQ","BEST_FPERIOD_OVERRIDE=FQ","FILING_STATUS=MR","SCALING_FORMAT=MLN","FA_ADJUSTED=Adjusted","Sort=A","Dates=H","DateFormat=P","Fill=—","Direction=H","UseDPDF=Y")</f>
        <v>116</v>
      </c>
      <c r="AG21" s="22">
        <f>_xll.BDH("AMZN US Equity","IS_INT_EXPENSE","FQ3 2016","FQ3 2016","Currency=USD","Period=FQ","BEST_FPERIOD_OVERRIDE=FQ","FILING_STATUS=MR","SCALING_FORMAT=MLN","FA_ADJUSTED=Adjusted","Sort=A","Dates=H","DateFormat=P","Fill=—","Direction=H","UseDPDF=Y")</f>
        <v>118</v>
      </c>
      <c r="AH21" s="22">
        <f>_xll.BDH("AMZN US Equity","IS_INT_EXPENSE","FQ4 2016","FQ4 2016","Currency=USD","Period=FQ","BEST_FPERIOD_OVERRIDE=FQ","FILING_STATUS=MR","SCALING_FORMAT=MLN","FA_ADJUSTED=Adjusted","Sort=A","Dates=H","DateFormat=P","Fill=—","Direction=H","UseDPDF=Y")</f>
        <v>133</v>
      </c>
      <c r="AI21" s="22">
        <f>_xll.BDH("AMZN US Equity","IS_INT_EXPENSE","FQ1 2017","FQ1 2017","Currency=USD","Period=FQ","BEST_FPERIOD_OVERRIDE=FQ","FILING_STATUS=MR","SCALING_FORMAT=MLN","FA_ADJUSTED=Adjusted","Sort=A","Dates=H","DateFormat=P","Fill=—","Direction=H","UseDPDF=Y")</f>
        <v>139</v>
      </c>
      <c r="AJ21" s="22">
        <f>_xll.BDH("AMZN US Equity","IS_INT_EXPENSE","FQ2 2017","FQ2 2017","Currency=USD","Period=FQ","BEST_FPERIOD_OVERRIDE=FQ","FILING_STATUS=MR","SCALING_FORMAT=MLN","FA_ADJUSTED=Adjusted","Sort=A","Dates=H","DateFormat=P","Fill=—","Direction=H","UseDPDF=Y")</f>
        <v>143</v>
      </c>
      <c r="AK21" s="22">
        <f>_xll.BDH("AMZN US Equity","IS_INT_EXPENSE","FQ3 2017","FQ3 2017","Currency=USD","Period=FQ","BEST_FPERIOD_OVERRIDE=FQ","FILING_STATUS=MR","SCALING_FORMAT=MLN","FA_ADJUSTED=Adjusted","Sort=A","Dates=H","DateFormat=P","Fill=—","Direction=H","UseDPDF=Y")</f>
        <v>228</v>
      </c>
      <c r="AL21" s="22">
        <f>_xll.BDH("AMZN US Equity","IS_INT_EXPENSE","FQ4 2017","FQ4 2017","Currency=USD","Period=FQ","BEST_FPERIOD_OVERRIDE=FQ","FILING_STATUS=MR","SCALING_FORMAT=MLN","FA_ADJUSTED=Adjusted","Sort=A","Dates=H","DateFormat=P","Fill=—","Direction=H","UseDPDF=Y")</f>
        <v>339</v>
      </c>
      <c r="AM21" s="22">
        <f>_xll.BDH("AMZN US Equity","IS_INT_EXPENSE","FQ1 2018","FQ1 2018","Currency=USD","Period=FQ","BEST_FPERIOD_OVERRIDE=FQ","FILING_STATUS=MR","SCALING_FORMAT=MLN","FA_ADJUSTED=Adjusted","Sort=A","Dates=H","DateFormat=P","Fill=—","Direction=H","UseDPDF=Y")</f>
        <v>330</v>
      </c>
      <c r="AN21" s="22">
        <f>_xll.BDH("AMZN US Equity","IS_INT_EXPENSE","FQ2 2018","FQ2 2018","Currency=USD","Period=FQ","BEST_FPERIOD_OVERRIDE=FQ","FILING_STATUS=MR","SCALING_FORMAT=MLN","FA_ADJUSTED=Adjusted","Sort=A","Dates=H","DateFormat=P","Fill=—","Direction=H","UseDPDF=Y")</f>
        <v>343</v>
      </c>
      <c r="AO21" s="22"/>
      <c r="AP21" s="22"/>
    </row>
    <row r="22" spans="1:42" x14ac:dyDescent="0.25">
      <c r="A22" s="11" t="s">
        <v>118</v>
      </c>
      <c r="B22" s="11" t="s">
        <v>119</v>
      </c>
      <c r="C22" s="22">
        <f>_xll.BDH("AMZN US Equity","IS_INT_INC","FQ1 2009","FQ1 2009","Currency=USD","Period=FQ","BEST_FPERIOD_OVERRIDE=FQ","FILING_STATUS=MR","SCALING_FORMAT=MLN","FA_ADJUSTED=Adjusted","Sort=A","Dates=H","DateFormat=P","Fill=—","Direction=H","UseDPDF=Y")</f>
        <v>12</v>
      </c>
      <c r="D22" s="22">
        <f>_xll.BDH("AMZN US Equity","IS_INT_INC","FQ2 2009","FQ2 2009","Currency=USD","Period=FQ","BEST_FPERIOD_OVERRIDE=FQ","FILING_STATUS=MR","SCALING_FORMAT=MLN","FA_ADJUSTED=Adjusted","Sort=A","Dates=H","DateFormat=P","Fill=—","Direction=H","UseDPDF=Y")</f>
        <v>8</v>
      </c>
      <c r="E22" s="22">
        <f>_xll.BDH("AMZN US Equity","IS_INT_INC","FQ3 2009","FQ3 2009","Currency=USD","Period=FQ","BEST_FPERIOD_OVERRIDE=FQ","FILING_STATUS=MR","SCALING_FORMAT=MLN","FA_ADJUSTED=Adjusted","Sort=A","Dates=H","DateFormat=P","Fill=—","Direction=H","UseDPDF=Y")</f>
        <v>7</v>
      </c>
      <c r="F22" s="22">
        <f>_xll.BDH("AMZN US Equity","IS_INT_INC","FQ4 2009","FQ4 2009","Currency=USD","Period=FQ","BEST_FPERIOD_OVERRIDE=FQ","FILING_STATUS=MR","SCALING_FORMAT=MLN","FA_ADJUSTED=Adjusted","Sort=A","Dates=H","DateFormat=P","Fill=—","Direction=H","UseDPDF=Y")</f>
        <v>9</v>
      </c>
      <c r="G22" s="22">
        <f>_xll.BDH("AMZN US Equity","IS_INT_INC","FQ1 2010","FQ1 2010","Currency=USD","Period=FQ","BEST_FPERIOD_OVERRIDE=FQ","FILING_STATUS=MR","SCALING_FORMAT=MLN","FA_ADJUSTED=Adjusted","Sort=A","Dates=H","DateFormat=P","Fill=—","Direction=H","UseDPDF=Y")</f>
        <v>11</v>
      </c>
      <c r="H22" s="22">
        <f>_xll.BDH("AMZN US Equity","IS_INT_INC","FQ2 2010","FQ2 2010","Currency=USD","Period=FQ","BEST_FPERIOD_OVERRIDE=FQ","FILING_STATUS=MR","SCALING_FORMAT=MLN","FA_ADJUSTED=Adjusted","Sort=A","Dates=H","DateFormat=P","Fill=—","Direction=H","UseDPDF=Y")</f>
        <v>12</v>
      </c>
      <c r="I22" s="22">
        <f>_xll.BDH("AMZN US Equity","IS_INT_INC","FQ3 2010","FQ3 2010","Currency=USD","Period=FQ","BEST_FPERIOD_OVERRIDE=FQ","FILING_STATUS=MR","SCALING_FORMAT=MLN","FA_ADJUSTED=Adjusted","Sort=A","Dates=H","DateFormat=P","Fill=—","Direction=H","UseDPDF=Y")</f>
        <v>13</v>
      </c>
      <c r="J22" s="22">
        <f>_xll.BDH("AMZN US Equity","IS_INT_INC","FQ4 2010","FQ4 2010","Currency=USD","Period=FQ","BEST_FPERIOD_OVERRIDE=FQ","FILING_STATUS=MR","SCALING_FORMAT=MLN","FA_ADJUSTED=Adjusted","Sort=A","Dates=H","DateFormat=P","Fill=—","Direction=H","UseDPDF=Y")</f>
        <v>14</v>
      </c>
      <c r="K22" s="22">
        <f>_xll.BDH("AMZN US Equity","IS_INT_INC","FQ1 2011","FQ1 2011","Currency=USD","Period=FQ","BEST_FPERIOD_OVERRIDE=FQ","FILING_STATUS=MR","SCALING_FORMAT=MLN","FA_ADJUSTED=Adjusted","Sort=A","Dates=H","DateFormat=P","Fill=—","Direction=H","UseDPDF=Y")</f>
        <v>15</v>
      </c>
      <c r="L22" s="22">
        <f>_xll.BDH("AMZN US Equity","IS_INT_INC","FQ2 2011","FQ2 2011","Currency=USD","Period=FQ","BEST_FPERIOD_OVERRIDE=FQ","FILING_STATUS=MR","SCALING_FORMAT=MLN","FA_ADJUSTED=Adjusted","Sort=A","Dates=H","DateFormat=P","Fill=—","Direction=H","UseDPDF=Y")</f>
        <v>16</v>
      </c>
      <c r="M22" s="22">
        <f>_xll.BDH("AMZN US Equity","IS_INT_INC","FQ3 2011","FQ3 2011","Currency=USD","Period=FQ","BEST_FPERIOD_OVERRIDE=FQ","FILING_STATUS=MR","SCALING_FORMAT=MLN","FA_ADJUSTED=Adjusted","Sort=A","Dates=H","DateFormat=P","Fill=—","Direction=H","UseDPDF=Y")</f>
        <v>16</v>
      </c>
      <c r="N22" s="22">
        <f>_xll.BDH("AMZN US Equity","IS_INT_INC","FQ4 2011","FQ4 2011","Currency=USD","Period=FQ","BEST_FPERIOD_OVERRIDE=FQ","FILING_STATUS=MR","SCALING_FORMAT=MLN","FA_ADJUSTED=Adjusted","Sort=A","Dates=H","DateFormat=P","Fill=—","Direction=H","UseDPDF=Y")</f>
        <v>14</v>
      </c>
      <c r="O22" s="22">
        <f>_xll.BDH("AMZN US Equity","IS_INT_INC","FQ1 2012","FQ1 2012","Currency=USD","Period=FQ","BEST_FPERIOD_OVERRIDE=FQ","FILING_STATUS=MR","SCALING_FORMAT=MLN","FA_ADJUSTED=Adjusted","Sort=A","Dates=H","DateFormat=P","Fill=—","Direction=H","UseDPDF=Y")</f>
        <v>12</v>
      </c>
      <c r="P22" s="22">
        <f>_xll.BDH("AMZN US Equity","IS_INT_INC","FQ2 2012","FQ2 2012","Currency=USD","Period=FQ","BEST_FPERIOD_OVERRIDE=FQ","FILING_STATUS=MR","SCALING_FORMAT=MLN","FA_ADJUSTED=Adjusted","Sort=A","Dates=H","DateFormat=P","Fill=—","Direction=H","UseDPDF=Y")</f>
        <v>10</v>
      </c>
      <c r="Q22" s="22">
        <f>_xll.BDH("AMZN US Equity","IS_INT_INC","FQ3 2012","FQ3 2012","Currency=USD","Period=FQ","BEST_FPERIOD_OVERRIDE=FQ","FILING_STATUS=MR","SCALING_FORMAT=MLN","FA_ADJUSTED=Adjusted","Sort=A","Dates=H","DateFormat=P","Fill=—","Direction=H","UseDPDF=Y")</f>
        <v>10</v>
      </c>
      <c r="R22" s="22">
        <f>_xll.BDH("AMZN US Equity","IS_INT_INC","FQ4 2012","FQ4 2012","Currency=USD","Period=FQ","BEST_FPERIOD_OVERRIDE=FQ","FILING_STATUS=MR","SCALING_FORMAT=MLN","FA_ADJUSTED=Adjusted","Sort=A","Dates=H","DateFormat=P","Fill=—","Direction=H","UseDPDF=Y")</f>
        <v>9</v>
      </c>
      <c r="S22" s="22">
        <f>_xll.BDH("AMZN US Equity","IS_INT_INC","FQ1 2013","FQ1 2013","Currency=USD","Period=FQ","BEST_FPERIOD_OVERRIDE=FQ","FILING_STATUS=MR","SCALING_FORMAT=MLN","FA_ADJUSTED=Adjusted","Sort=A","Dates=H","DateFormat=P","Fill=—","Direction=H","UseDPDF=Y")</f>
        <v>10</v>
      </c>
      <c r="T22" s="22">
        <f>_xll.BDH("AMZN US Equity","IS_INT_INC","FQ2 2013","FQ2 2013","Currency=USD","Period=FQ","BEST_FPERIOD_OVERRIDE=FQ","FILING_STATUS=MR","SCALING_FORMAT=MLN","FA_ADJUSTED=Adjusted","Sort=A","Dates=H","DateFormat=P","Fill=—","Direction=H","UseDPDF=Y")</f>
        <v>9</v>
      </c>
      <c r="U22" s="22">
        <f>_xll.BDH("AMZN US Equity","IS_INT_INC","FQ3 2013","FQ3 2013","Currency=USD","Period=FQ","BEST_FPERIOD_OVERRIDE=FQ","FILING_STATUS=MR","SCALING_FORMAT=MLN","FA_ADJUSTED=Adjusted","Sort=A","Dates=H","DateFormat=P","Fill=—","Direction=H","UseDPDF=Y")</f>
        <v>9</v>
      </c>
      <c r="V22" s="22">
        <f>_xll.BDH("AMZN US Equity","IS_INT_INC","FQ4 2013","FQ4 2013","Currency=USD","Period=FQ","BEST_FPERIOD_OVERRIDE=FQ","FILING_STATUS=MR","SCALING_FORMAT=MLN","FA_ADJUSTED=Adjusted","Sort=A","Dates=H","DateFormat=P","Fill=—","Direction=H","UseDPDF=Y")</f>
        <v>10</v>
      </c>
      <c r="W22" s="22">
        <f>_xll.BDH("AMZN US Equity","IS_INT_INC","FQ1 2014","FQ1 2014","Currency=USD","Period=FQ","BEST_FPERIOD_OVERRIDE=FQ","FILING_STATUS=MR","SCALING_FORMAT=MLN","FA_ADJUSTED=Adjusted","Sort=A","Dates=H","DateFormat=P","Fill=—","Direction=H","UseDPDF=Y")</f>
        <v>11</v>
      </c>
      <c r="X22" s="22">
        <f>_xll.BDH("AMZN US Equity","IS_INT_INC","FQ2 2014","FQ2 2014","Currency=USD","Period=FQ","BEST_FPERIOD_OVERRIDE=FQ","FILING_STATUS=MR","SCALING_FORMAT=MLN","FA_ADJUSTED=Adjusted","Sort=A","Dates=H","DateFormat=P","Fill=—","Direction=H","UseDPDF=Y")</f>
        <v>11</v>
      </c>
      <c r="Y22" s="22">
        <f>_xll.BDH("AMZN US Equity","IS_INT_INC","FQ3 2014","FQ3 2014","Currency=USD","Period=FQ","BEST_FPERIOD_OVERRIDE=FQ","FILING_STATUS=MR","SCALING_FORMAT=MLN","FA_ADJUSTED=Adjusted","Sort=A","Dates=H","DateFormat=P","Fill=—","Direction=H","UseDPDF=Y")</f>
        <v>9</v>
      </c>
      <c r="Z22" s="22">
        <f>_xll.BDH("AMZN US Equity","IS_INT_INC","FQ4 2014","FQ4 2014","Currency=USD","Period=FQ","BEST_FPERIOD_OVERRIDE=FQ","FILING_STATUS=MR","SCALING_FORMAT=MLN","FA_ADJUSTED=Adjusted","Sort=A","Dates=H","DateFormat=P","Fill=—","Direction=H","UseDPDF=Y")</f>
        <v>8</v>
      </c>
      <c r="AA22" s="22">
        <f>_xll.BDH("AMZN US Equity","IS_INT_INC","FQ1 2015","FQ1 2015","Currency=USD","Period=FQ","BEST_FPERIOD_OVERRIDE=FQ","FILING_STATUS=MR","SCALING_FORMAT=MLN","FA_ADJUSTED=Adjusted","Sort=A","Dates=H","DateFormat=P","Fill=—","Direction=H","UseDPDF=Y")</f>
        <v>11</v>
      </c>
      <c r="AB22" s="22">
        <f>_xll.BDH("AMZN US Equity","IS_INT_INC","FQ2 2015","FQ2 2015","Currency=USD","Period=FQ","BEST_FPERIOD_OVERRIDE=FQ","FILING_STATUS=MR","SCALING_FORMAT=MLN","FA_ADJUSTED=Adjusted","Sort=A","Dates=H","DateFormat=P","Fill=—","Direction=H","UseDPDF=Y")</f>
        <v>12</v>
      </c>
      <c r="AC22" s="22">
        <f>_xll.BDH("AMZN US Equity","IS_INT_INC","FQ3 2015","FQ3 2015","Currency=USD","Period=FQ","BEST_FPERIOD_OVERRIDE=FQ","FILING_STATUS=MR","SCALING_FORMAT=MLN","FA_ADJUSTED=Adjusted","Sort=A","Dates=H","DateFormat=P","Fill=—","Direction=H","UseDPDF=Y")</f>
        <v>13</v>
      </c>
      <c r="AD22" s="22">
        <f>_xll.BDH("AMZN US Equity","IS_INT_INC","FQ4 2015","FQ4 2015","Currency=USD","Period=FQ","BEST_FPERIOD_OVERRIDE=FQ","FILING_STATUS=MR","SCALING_FORMAT=MLN","FA_ADJUSTED=Adjusted","Sort=A","Dates=H","DateFormat=P","Fill=—","Direction=H","UseDPDF=Y")</f>
        <v>13</v>
      </c>
      <c r="AE22" s="22">
        <f>_xll.BDH("AMZN US Equity","IS_INT_INC","FQ1 2016","FQ1 2016","Currency=USD","Period=FQ","BEST_FPERIOD_OVERRIDE=FQ","FILING_STATUS=MR","SCALING_FORMAT=MLN","FA_ADJUSTED=Adjusted","Sort=A","Dates=H","DateFormat=P","Fill=—","Direction=H","UseDPDF=Y")</f>
        <v>21</v>
      </c>
      <c r="AF22" s="22">
        <f>_xll.BDH("AMZN US Equity","IS_INT_INC","FQ2 2016","FQ2 2016","Currency=USD","Period=FQ","BEST_FPERIOD_OVERRIDE=FQ","FILING_STATUS=MR","SCALING_FORMAT=MLN","FA_ADJUSTED=Adjusted","Sort=A","Dates=H","DateFormat=P","Fill=—","Direction=H","UseDPDF=Y")</f>
        <v>24</v>
      </c>
      <c r="AG22" s="22">
        <f>_xll.BDH("AMZN US Equity","IS_INT_INC","FQ3 2016","FQ3 2016","Currency=USD","Period=FQ","BEST_FPERIOD_OVERRIDE=FQ","FILING_STATUS=MR","SCALING_FORMAT=MLN","FA_ADJUSTED=Adjusted","Sort=A","Dates=H","DateFormat=P","Fill=—","Direction=H","UseDPDF=Y")</f>
        <v>26</v>
      </c>
      <c r="AH22" s="22">
        <f>_xll.BDH("AMZN US Equity","IS_INT_INC","FQ4 2016","FQ4 2016","Currency=USD","Period=FQ","BEST_FPERIOD_OVERRIDE=FQ","FILING_STATUS=MR","SCALING_FORMAT=MLN","FA_ADJUSTED=Adjusted","Sort=A","Dates=H","DateFormat=P","Fill=—","Direction=H","UseDPDF=Y")</f>
        <v>30</v>
      </c>
      <c r="AI22" s="22">
        <f>_xll.BDH("AMZN US Equity","IS_INT_INC","FQ1 2017","FQ1 2017","Currency=USD","Period=FQ","BEST_FPERIOD_OVERRIDE=FQ","FILING_STATUS=MR","SCALING_FORMAT=MLN","FA_ADJUSTED=Adjusted","Sort=A","Dates=H","DateFormat=P","Fill=—","Direction=H","UseDPDF=Y")</f>
        <v>39</v>
      </c>
      <c r="AJ22" s="22">
        <f>_xll.BDH("AMZN US Equity","IS_INT_INC","FQ2 2017","FQ2 2017","Currency=USD","Period=FQ","BEST_FPERIOD_OVERRIDE=FQ","FILING_STATUS=MR","SCALING_FORMAT=MLN","FA_ADJUSTED=Adjusted","Sort=A","Dates=H","DateFormat=P","Fill=—","Direction=H","UseDPDF=Y")</f>
        <v>44</v>
      </c>
      <c r="AK22" s="22">
        <f>_xll.BDH("AMZN US Equity","IS_INT_INC","FQ3 2017","FQ3 2017","Currency=USD","Period=FQ","BEST_FPERIOD_OVERRIDE=FQ","FILING_STATUS=MR","SCALING_FORMAT=MLN","FA_ADJUSTED=Adjusted","Sort=A","Dates=H","DateFormat=P","Fill=—","Direction=H","UseDPDF=Y")</f>
        <v>54</v>
      </c>
      <c r="AL22" s="22">
        <f>_xll.BDH("AMZN US Equity","IS_INT_INC","FQ4 2017","FQ4 2017","Currency=USD","Period=FQ","BEST_FPERIOD_OVERRIDE=FQ","FILING_STATUS=MR","SCALING_FORMAT=MLN","FA_ADJUSTED=Adjusted","Sort=A","Dates=H","DateFormat=P","Fill=—","Direction=H","UseDPDF=Y")</f>
        <v>66</v>
      </c>
      <c r="AM22" s="22">
        <f>_xll.BDH("AMZN US Equity","IS_INT_INC","FQ1 2018","FQ1 2018","Currency=USD","Period=FQ","BEST_FPERIOD_OVERRIDE=FQ","FILING_STATUS=MR","SCALING_FORMAT=MLN","FA_ADJUSTED=Adjusted","Sort=A","Dates=H","DateFormat=P","Fill=—","Direction=H","UseDPDF=Y")</f>
        <v>80</v>
      </c>
      <c r="AN22" s="22">
        <f>_xll.BDH("AMZN US Equity","IS_INT_INC","FQ2 2018","FQ2 2018","Currency=USD","Period=FQ","BEST_FPERIOD_OVERRIDE=FQ","FILING_STATUS=MR","SCALING_FORMAT=MLN","FA_ADJUSTED=Adjusted","Sort=A","Dates=H","DateFormat=P","Fill=—","Direction=H","UseDPDF=Y")</f>
        <v>94</v>
      </c>
      <c r="AO22" s="22"/>
      <c r="AP22" s="22"/>
    </row>
    <row r="23" spans="1:42" x14ac:dyDescent="0.25">
      <c r="A23" s="10" t="s">
        <v>120</v>
      </c>
      <c r="B23" s="10" t="s">
        <v>121</v>
      </c>
      <c r="C23" s="13" t="str">
        <f>_xll.BDH("AMZN US Equity","IS_FOREIGN_EXCH_LOSS","FQ1 2009","FQ1 2009","Currency=USD","Period=FQ","BEST_FPERIOD_OVERRIDE=FQ","FILING_STATUS=MR","SCALING_FORMAT=MLN","FA_ADJUSTED=Adjusted","Sort=A","Dates=H","DateFormat=P","Fill=—","Direction=H","UseDPDF=Y")</f>
        <v>—</v>
      </c>
      <c r="D23" s="13" t="str">
        <f>_xll.BDH("AMZN US Equity","IS_FOREIGN_EXCH_LOSS","FQ2 2009","FQ2 2009","Currency=USD","Period=FQ","BEST_FPERIOD_OVERRIDE=FQ","FILING_STATUS=MR","SCALING_FORMAT=MLN","FA_ADJUSTED=Adjusted","Sort=A","Dates=H","DateFormat=P","Fill=—","Direction=H","UseDPDF=Y")</f>
        <v>—</v>
      </c>
      <c r="E23" s="13" t="str">
        <f>_xll.BDH("AMZN US Equity","IS_FOREIGN_EXCH_LOSS","FQ3 2009","FQ3 2009","Currency=USD","Period=FQ","BEST_FPERIOD_OVERRIDE=FQ","FILING_STATUS=MR","SCALING_FORMAT=MLN","FA_ADJUSTED=Adjusted","Sort=A","Dates=H","DateFormat=P","Fill=—","Direction=H","UseDPDF=Y")</f>
        <v>—</v>
      </c>
      <c r="F23" s="13" t="str">
        <f>_xll.BDH("AMZN US Equity","IS_FOREIGN_EXCH_LOSS","FQ4 2009","FQ4 2009","Currency=USD","Period=FQ","BEST_FPERIOD_OVERRIDE=FQ","FILING_STATUS=MR","SCALING_FORMAT=MLN","FA_ADJUSTED=Adjusted","Sort=A","Dates=H","DateFormat=P","Fill=—","Direction=H","UseDPDF=Y")</f>
        <v>—</v>
      </c>
      <c r="G23" s="13" t="str">
        <f>_xll.BDH("AMZN US Equity","IS_FOREIGN_EXCH_LOSS","FQ1 2010","FQ1 2010","Currency=USD","Period=FQ","BEST_FPERIOD_OVERRIDE=FQ","FILING_STATUS=MR","SCALING_FORMAT=MLN","FA_ADJUSTED=Adjusted","Sort=A","Dates=H","DateFormat=P","Fill=—","Direction=H","UseDPDF=Y")</f>
        <v>—</v>
      </c>
      <c r="H23" s="13" t="str">
        <f>_xll.BDH("AMZN US Equity","IS_FOREIGN_EXCH_LOSS","FQ2 2010","FQ2 2010","Currency=USD","Period=FQ","BEST_FPERIOD_OVERRIDE=FQ","FILING_STATUS=MR","SCALING_FORMAT=MLN","FA_ADJUSTED=Adjusted","Sort=A","Dates=H","DateFormat=P","Fill=—","Direction=H","UseDPDF=Y")</f>
        <v>—</v>
      </c>
      <c r="I23" s="13" t="str">
        <f>_xll.BDH("AMZN US Equity","IS_FOREIGN_EXCH_LOSS","FQ3 2010","FQ3 2010","Currency=USD","Period=FQ","BEST_FPERIOD_OVERRIDE=FQ","FILING_STATUS=MR","SCALING_FORMAT=MLN","FA_ADJUSTED=Adjusted","Sort=A","Dates=H","DateFormat=P","Fill=—","Direction=H","UseDPDF=Y")</f>
        <v>—</v>
      </c>
      <c r="J23" s="13" t="str">
        <f>_xll.BDH("AMZN US Equity","IS_FOREIGN_EXCH_LOSS","FQ4 2010","FQ4 2010","Currency=USD","Period=FQ","BEST_FPERIOD_OVERRIDE=FQ","FILING_STATUS=MR","SCALING_FORMAT=MLN","FA_ADJUSTED=Adjusted","Sort=A","Dates=H","DateFormat=P","Fill=—","Direction=H","UseDPDF=Y")</f>
        <v>—</v>
      </c>
      <c r="K23" s="13" t="str">
        <f>_xll.BDH("AMZN US Equity","IS_FOREIGN_EXCH_LOSS","FQ1 2011","FQ1 2011","Currency=USD","Period=FQ","BEST_FPERIOD_OVERRIDE=FQ","FILING_STATUS=MR","SCALING_FORMAT=MLN","FA_ADJUSTED=Adjusted","Sort=A","Dates=H","DateFormat=P","Fill=—","Direction=H","UseDPDF=Y")</f>
        <v>—</v>
      </c>
      <c r="L23" s="13" t="str">
        <f>_xll.BDH("AMZN US Equity","IS_FOREIGN_EXCH_LOSS","FQ2 2011","FQ2 2011","Currency=USD","Period=FQ","BEST_FPERIOD_OVERRIDE=FQ","FILING_STATUS=MR","SCALING_FORMAT=MLN","FA_ADJUSTED=Adjusted","Sort=A","Dates=H","DateFormat=P","Fill=—","Direction=H","UseDPDF=Y")</f>
        <v>—</v>
      </c>
      <c r="M23" s="13" t="str">
        <f>_xll.BDH("AMZN US Equity","IS_FOREIGN_EXCH_LOSS","FQ3 2011","FQ3 2011","Currency=USD","Period=FQ","BEST_FPERIOD_OVERRIDE=FQ","FILING_STATUS=MR","SCALING_FORMAT=MLN","FA_ADJUSTED=Adjusted","Sort=A","Dates=H","DateFormat=P","Fill=—","Direction=H","UseDPDF=Y")</f>
        <v>—</v>
      </c>
      <c r="N23" s="13" t="str">
        <f>_xll.BDH("AMZN US Equity","IS_FOREIGN_EXCH_LOSS","FQ4 2011","FQ4 2011","Currency=USD","Period=FQ","BEST_FPERIOD_OVERRIDE=FQ","FILING_STATUS=MR","SCALING_FORMAT=MLN","FA_ADJUSTED=Adjusted","Sort=A","Dates=H","DateFormat=P","Fill=—","Direction=H","UseDPDF=Y")</f>
        <v>—</v>
      </c>
      <c r="O23" s="13" t="str">
        <f>_xll.BDH("AMZN US Equity","IS_FOREIGN_EXCH_LOSS","FQ1 2012","FQ1 2012","Currency=USD","Period=FQ","BEST_FPERIOD_OVERRIDE=FQ","FILING_STATUS=MR","SCALING_FORMAT=MLN","FA_ADJUSTED=Adjusted","Sort=A","Dates=H","DateFormat=P","Fill=—","Direction=H","UseDPDF=Y")</f>
        <v>—</v>
      </c>
      <c r="P23" s="13" t="str">
        <f>_xll.BDH("AMZN US Equity","IS_FOREIGN_EXCH_LOSS","FQ2 2012","FQ2 2012","Currency=USD","Period=FQ","BEST_FPERIOD_OVERRIDE=FQ","FILING_STATUS=MR","SCALING_FORMAT=MLN","FA_ADJUSTED=Adjusted","Sort=A","Dates=H","DateFormat=P","Fill=—","Direction=H","UseDPDF=Y")</f>
        <v>—</v>
      </c>
      <c r="Q23" s="13" t="str">
        <f>_xll.BDH("AMZN US Equity","IS_FOREIGN_EXCH_LOSS","FQ3 2012","FQ3 2012","Currency=USD","Period=FQ","BEST_FPERIOD_OVERRIDE=FQ","FILING_STATUS=MR","SCALING_FORMAT=MLN","FA_ADJUSTED=Adjusted","Sort=A","Dates=H","DateFormat=P","Fill=—","Direction=H","UseDPDF=Y")</f>
        <v>—</v>
      </c>
      <c r="R23" s="13" t="str">
        <f>_xll.BDH("AMZN US Equity","IS_FOREIGN_EXCH_LOSS","FQ4 2012","FQ4 2012","Currency=USD","Period=FQ","BEST_FPERIOD_OVERRIDE=FQ","FILING_STATUS=MR","SCALING_FORMAT=MLN","FA_ADJUSTED=Adjusted","Sort=A","Dates=H","DateFormat=P","Fill=—","Direction=H","UseDPDF=Y")</f>
        <v>—</v>
      </c>
      <c r="S23" s="13" t="str">
        <f>_xll.BDH("AMZN US Equity","IS_FOREIGN_EXCH_LOSS","FQ1 2013","FQ1 2013","Currency=USD","Period=FQ","BEST_FPERIOD_OVERRIDE=FQ","FILING_STATUS=MR","SCALING_FORMAT=MLN","FA_ADJUSTED=Adjusted","Sort=A","Dates=H","DateFormat=P","Fill=—","Direction=H","UseDPDF=Y")</f>
        <v>—</v>
      </c>
      <c r="T23" s="13" t="str">
        <f>_xll.BDH("AMZN US Equity","IS_FOREIGN_EXCH_LOSS","FQ2 2013","FQ2 2013","Currency=USD","Period=FQ","BEST_FPERIOD_OVERRIDE=FQ","FILING_STATUS=MR","SCALING_FORMAT=MLN","FA_ADJUSTED=Adjusted","Sort=A","Dates=H","DateFormat=P","Fill=—","Direction=H","UseDPDF=Y")</f>
        <v>—</v>
      </c>
      <c r="U23" s="13" t="str">
        <f>_xll.BDH("AMZN US Equity","IS_FOREIGN_EXCH_LOSS","FQ3 2013","FQ3 2013","Currency=USD","Period=FQ","BEST_FPERIOD_OVERRIDE=FQ","FILING_STATUS=MR","SCALING_FORMAT=MLN","FA_ADJUSTED=Adjusted","Sort=A","Dates=H","DateFormat=P","Fill=—","Direction=H","UseDPDF=Y")</f>
        <v>—</v>
      </c>
      <c r="V23" s="13" t="str">
        <f>_xll.BDH("AMZN US Equity","IS_FOREIGN_EXCH_LOSS","FQ4 2013","FQ4 2013","Currency=USD","Period=FQ","BEST_FPERIOD_OVERRIDE=FQ","FILING_STATUS=MR","SCALING_FORMAT=MLN","FA_ADJUSTED=Adjusted","Sort=A","Dates=H","DateFormat=P","Fill=—","Direction=H","UseDPDF=Y")</f>
        <v>—</v>
      </c>
      <c r="W23" s="13" t="str">
        <f>_xll.BDH("AMZN US Equity","IS_FOREIGN_EXCH_LOSS","FQ1 2014","FQ1 2014","Currency=USD","Period=FQ","BEST_FPERIOD_OVERRIDE=FQ","FILING_STATUS=MR","SCALING_FORMAT=MLN","FA_ADJUSTED=Adjusted","Sort=A","Dates=H","DateFormat=P","Fill=—","Direction=H","UseDPDF=Y")</f>
        <v>—</v>
      </c>
      <c r="X23" s="13" t="str">
        <f>_xll.BDH("AMZN US Equity","IS_FOREIGN_EXCH_LOSS","FQ2 2014","FQ2 2014","Currency=USD","Period=FQ","BEST_FPERIOD_OVERRIDE=FQ","FILING_STATUS=MR","SCALING_FORMAT=MLN","FA_ADJUSTED=Adjusted","Sort=A","Dates=H","DateFormat=P","Fill=—","Direction=H","UseDPDF=Y")</f>
        <v>—</v>
      </c>
      <c r="Y23" s="13" t="str">
        <f>_xll.BDH("AMZN US Equity","IS_FOREIGN_EXCH_LOSS","FQ3 2014","FQ3 2014","Currency=USD","Period=FQ","BEST_FPERIOD_OVERRIDE=FQ","FILING_STATUS=MR","SCALING_FORMAT=MLN","FA_ADJUSTED=Adjusted","Sort=A","Dates=H","DateFormat=P","Fill=—","Direction=H","UseDPDF=Y")</f>
        <v>—</v>
      </c>
      <c r="Z23" s="13" t="str">
        <f>_xll.BDH("AMZN US Equity","IS_FOREIGN_EXCH_LOSS","FQ4 2014","FQ4 2014","Currency=USD","Period=FQ","BEST_FPERIOD_OVERRIDE=FQ","FILING_STATUS=MR","SCALING_FORMAT=MLN","FA_ADJUSTED=Adjusted","Sort=A","Dates=H","DateFormat=P","Fill=—","Direction=H","UseDPDF=Y")</f>
        <v>—</v>
      </c>
      <c r="AA23" s="13" t="str">
        <f>_xll.BDH("AMZN US Equity","IS_FOREIGN_EXCH_LOSS","FQ1 2015","FQ1 2015","Currency=USD","Period=FQ","BEST_FPERIOD_OVERRIDE=FQ","FILING_STATUS=MR","SCALING_FORMAT=MLN","FA_ADJUSTED=Adjusted","Sort=A","Dates=H","DateFormat=P","Fill=—","Direction=H","UseDPDF=Y")</f>
        <v>—</v>
      </c>
      <c r="AB23" s="13" t="str">
        <f>_xll.BDH("AMZN US Equity","IS_FOREIGN_EXCH_LOSS","FQ2 2015","FQ2 2015","Currency=USD","Period=FQ","BEST_FPERIOD_OVERRIDE=FQ","FILING_STATUS=MR","SCALING_FORMAT=MLN","FA_ADJUSTED=Adjusted","Sort=A","Dates=H","DateFormat=P","Fill=—","Direction=H","UseDPDF=Y")</f>
        <v>—</v>
      </c>
      <c r="AC23" s="13" t="str">
        <f>_xll.BDH("AMZN US Equity","IS_FOREIGN_EXCH_LOSS","FQ3 2015","FQ3 2015","Currency=USD","Period=FQ","BEST_FPERIOD_OVERRIDE=FQ","FILING_STATUS=MR","SCALING_FORMAT=MLN","FA_ADJUSTED=Adjusted","Sort=A","Dates=H","DateFormat=P","Fill=—","Direction=H","UseDPDF=Y")</f>
        <v>—</v>
      </c>
      <c r="AD23" s="13" t="str">
        <f>_xll.BDH("AMZN US Equity","IS_FOREIGN_EXCH_LOSS","FQ4 2015","FQ4 2015","Currency=USD","Period=FQ","BEST_FPERIOD_OVERRIDE=FQ","FILING_STATUS=MR","SCALING_FORMAT=MLN","FA_ADJUSTED=Adjusted","Sort=A","Dates=H","DateFormat=P","Fill=—","Direction=H","UseDPDF=Y")</f>
        <v>—</v>
      </c>
      <c r="AE23" s="13" t="str">
        <f>_xll.BDH("AMZN US Equity","IS_FOREIGN_EXCH_LOSS","FQ1 2016","FQ1 2016","Currency=USD","Period=FQ","BEST_FPERIOD_OVERRIDE=FQ","FILING_STATUS=MR","SCALING_FORMAT=MLN","FA_ADJUSTED=Adjusted","Sort=A","Dates=H","DateFormat=P","Fill=—","Direction=H","UseDPDF=Y")</f>
        <v>—</v>
      </c>
      <c r="AF23" s="13" t="str">
        <f>_xll.BDH("AMZN US Equity","IS_FOREIGN_EXCH_LOSS","FQ2 2016","FQ2 2016","Currency=USD","Period=FQ","BEST_FPERIOD_OVERRIDE=FQ","FILING_STATUS=MR","SCALING_FORMAT=MLN","FA_ADJUSTED=Adjusted","Sort=A","Dates=H","DateFormat=P","Fill=—","Direction=H","UseDPDF=Y")</f>
        <v>—</v>
      </c>
      <c r="AG23" s="13" t="str">
        <f>_xll.BDH("AMZN US Equity","IS_FOREIGN_EXCH_LOSS","FQ3 2016","FQ3 2016","Currency=USD","Period=FQ","BEST_FPERIOD_OVERRIDE=FQ","FILING_STATUS=MR","SCALING_FORMAT=MLN","FA_ADJUSTED=Adjusted","Sort=A","Dates=H","DateFormat=P","Fill=—","Direction=H","UseDPDF=Y")</f>
        <v>—</v>
      </c>
      <c r="AH23" s="13" t="str">
        <f>_xll.BDH("AMZN US Equity","IS_FOREIGN_EXCH_LOSS","FQ4 2016","FQ4 2016","Currency=USD","Period=FQ","BEST_FPERIOD_OVERRIDE=FQ","FILING_STATUS=MR","SCALING_FORMAT=MLN","FA_ADJUSTED=Adjusted","Sort=A","Dates=H","DateFormat=P","Fill=—","Direction=H","UseDPDF=Y")</f>
        <v>—</v>
      </c>
      <c r="AI23" s="13" t="str">
        <f>_xll.BDH("AMZN US Equity","IS_FOREIGN_EXCH_LOSS","FQ1 2017","FQ1 2017","Currency=USD","Period=FQ","BEST_FPERIOD_OVERRIDE=FQ","FILING_STATUS=MR","SCALING_FORMAT=MLN","FA_ADJUSTED=Adjusted","Sort=A","Dates=H","DateFormat=P","Fill=—","Direction=H","UseDPDF=Y")</f>
        <v>—</v>
      </c>
      <c r="AJ23" s="13" t="str">
        <f>_xll.BDH("AMZN US Equity","IS_FOREIGN_EXCH_LOSS","FQ2 2017","FQ2 2017","Currency=USD","Period=FQ","BEST_FPERIOD_OVERRIDE=FQ","FILING_STATUS=MR","SCALING_FORMAT=MLN","FA_ADJUSTED=Adjusted","Sort=A","Dates=H","DateFormat=P","Fill=—","Direction=H","UseDPDF=Y")</f>
        <v>—</v>
      </c>
      <c r="AK23" s="13" t="str">
        <f>_xll.BDH("AMZN US Equity","IS_FOREIGN_EXCH_LOSS","FQ3 2017","FQ3 2017","Currency=USD","Period=FQ","BEST_FPERIOD_OVERRIDE=FQ","FILING_STATUS=MR","SCALING_FORMAT=MLN","FA_ADJUSTED=Adjusted","Sort=A","Dates=H","DateFormat=P","Fill=—","Direction=H","UseDPDF=Y")</f>
        <v>—</v>
      </c>
      <c r="AL23" s="13" t="str">
        <f>_xll.BDH("AMZN US Equity","IS_FOREIGN_EXCH_LOSS","FQ4 2017","FQ4 2017","Currency=USD","Period=FQ","BEST_FPERIOD_OVERRIDE=FQ","FILING_STATUS=MR","SCALING_FORMAT=MLN","FA_ADJUSTED=Adjusted","Sort=A","Dates=H","DateFormat=P","Fill=—","Direction=H","UseDPDF=Y")</f>
        <v>—</v>
      </c>
      <c r="AM23" s="13" t="str">
        <f>_xll.BDH("AMZN US Equity","IS_FOREIGN_EXCH_LOSS","FQ1 2018","FQ1 2018","Currency=USD","Period=FQ","BEST_FPERIOD_OVERRIDE=FQ","FILING_STATUS=MR","SCALING_FORMAT=MLN","FA_ADJUSTED=Adjusted","Sort=A","Dates=H","DateFormat=P","Fill=—","Direction=H","UseDPDF=Y")</f>
        <v>—</v>
      </c>
      <c r="AN23" s="13" t="str">
        <f>_xll.BDH("AMZN US Equity","IS_FOREIGN_EXCH_LOSS","FQ2 2018","FQ2 2018","Currency=USD","Period=FQ","BEST_FPERIOD_OVERRIDE=FQ","FILING_STATUS=MR","SCALING_FORMAT=MLN","FA_ADJUSTED=Adjusted","Sort=A","Dates=H","DateFormat=P","Fill=—","Direction=H","UseDPDF=Y")</f>
        <v>—</v>
      </c>
      <c r="AO23" s="13"/>
      <c r="AP23" s="13"/>
    </row>
    <row r="24" spans="1:42" x14ac:dyDescent="0.25">
      <c r="A24" s="10" t="s">
        <v>122</v>
      </c>
      <c r="B24" s="10" t="s">
        <v>123</v>
      </c>
      <c r="C24" s="13">
        <f>_xll.BDH("AMZN US Equity","IS_OTHER_NON_OPERATING_INC_LOSS","FQ1 2009","FQ1 2009","Currency=USD","Period=FQ","BEST_FPERIOD_OVERRIDE=FQ","FILING_STATUS=MR","SCALING_FORMAT=MLN","FA_ADJUSTED=Adjusted","Sort=A","Dates=H","DateFormat=P","Fill=—","Direction=H","UseDPDF=Y")</f>
        <v>-2</v>
      </c>
      <c r="D24" s="13">
        <f>_xll.BDH("AMZN US Equity","IS_OTHER_NON_OPERATING_INC_LOSS","FQ2 2009","FQ2 2009","Currency=USD","Period=FQ","BEST_FPERIOD_OVERRIDE=FQ","FILING_STATUS=MR","SCALING_FORMAT=MLN","FA_ADJUSTED=Adjusted","Sort=A","Dates=H","DateFormat=P","Fill=—","Direction=H","UseDPDF=Y")</f>
        <v>-17</v>
      </c>
      <c r="E24" s="13">
        <f>_xll.BDH("AMZN US Equity","IS_OTHER_NON_OPERATING_INC_LOSS","FQ3 2009","FQ3 2009","Currency=USD","Period=FQ","BEST_FPERIOD_OVERRIDE=FQ","FILING_STATUS=MR","SCALING_FORMAT=MLN","FA_ADJUSTED=Adjusted","Sort=A","Dates=H","DateFormat=P","Fill=—","Direction=H","UseDPDF=Y")</f>
        <v>-10</v>
      </c>
      <c r="F24" s="13">
        <f>_xll.BDH("AMZN US Equity","IS_OTHER_NON_OPERATING_INC_LOSS","FQ4 2009","FQ4 2009","Currency=USD","Period=FQ","BEST_FPERIOD_OVERRIDE=FQ","FILING_STATUS=MR","SCALING_FORMAT=MLN","FA_ADJUSTED=Adjusted","Sort=A","Dates=H","DateFormat=P","Fill=—","Direction=H","UseDPDF=Y")</f>
        <v>5</v>
      </c>
      <c r="G24" s="13">
        <f>_xll.BDH("AMZN US Equity","IS_OTHER_NON_OPERATING_INC_LOSS","FQ1 2010","FQ1 2010","Currency=USD","Period=FQ","BEST_FPERIOD_OVERRIDE=FQ","FILING_STATUS=MR","SCALING_FORMAT=MLN","FA_ADJUSTED=Adjusted","Sort=A","Dates=H","DateFormat=P","Fill=—","Direction=H","UseDPDF=Y")</f>
        <v>-3</v>
      </c>
      <c r="H24" s="13">
        <f>_xll.BDH("AMZN US Equity","IS_OTHER_NON_OPERATING_INC_LOSS","FQ2 2010","FQ2 2010","Currency=USD","Period=FQ","BEST_FPERIOD_OVERRIDE=FQ","FILING_STATUS=MR","SCALING_FORMAT=MLN","FA_ADJUSTED=Adjusted","Sort=A","Dates=H","DateFormat=P","Fill=—","Direction=H","UseDPDF=Y")</f>
        <v>-24</v>
      </c>
      <c r="I24" s="13">
        <f>_xll.BDH("AMZN US Equity","IS_OTHER_NON_OPERATING_INC_LOSS","FQ3 2010","FQ3 2010","Currency=USD","Period=FQ","BEST_FPERIOD_OVERRIDE=FQ","FILING_STATUS=MR","SCALING_FORMAT=MLN","FA_ADJUSTED=Adjusted","Sort=A","Dates=H","DateFormat=P","Fill=—","Direction=H","UseDPDF=Y")</f>
        <v>-22</v>
      </c>
      <c r="J24" s="13">
        <f>_xll.BDH("AMZN US Equity","IS_OTHER_NON_OPERATING_INC_LOSS","FQ4 2010","FQ4 2010","Currency=USD","Period=FQ","BEST_FPERIOD_OVERRIDE=FQ","FILING_STATUS=MR","SCALING_FORMAT=MLN","FA_ADJUSTED=Adjusted","Sort=A","Dates=H","DateFormat=P","Fill=—","Direction=H","UseDPDF=Y")</f>
        <v>-29</v>
      </c>
      <c r="K24" s="13">
        <f>_xll.BDH("AMZN US Equity","IS_OTHER_NON_OPERATING_INC_LOSS","FQ1 2011","FQ1 2011","Currency=USD","Period=FQ","BEST_FPERIOD_OVERRIDE=FQ","FILING_STATUS=MR","SCALING_FORMAT=MLN","FA_ADJUSTED=Adjusted","Sort=A","Dates=H","DateFormat=P","Fill=—","Direction=H","UseDPDF=Y")</f>
        <v>18</v>
      </c>
      <c r="L24" s="13">
        <f>_xll.BDH("AMZN US Equity","IS_OTHER_NON_OPERATING_INC_LOSS","FQ2 2011","FQ2 2011","Currency=USD","Period=FQ","BEST_FPERIOD_OVERRIDE=FQ","FILING_STATUS=MR","SCALING_FORMAT=MLN","FA_ADJUSTED=Adjusted","Sort=A","Dates=H","DateFormat=P","Fill=—","Direction=H","UseDPDF=Y")</f>
        <v>-23</v>
      </c>
      <c r="M24" s="13">
        <f>_xll.BDH("AMZN US Equity","IS_OTHER_NON_OPERATING_INC_LOSS","FQ3 2011","FQ3 2011","Currency=USD","Period=FQ","BEST_FPERIOD_OVERRIDE=FQ","FILING_STATUS=MR","SCALING_FORMAT=MLN","FA_ADJUSTED=Adjusted","Sort=A","Dates=H","DateFormat=P","Fill=—","Direction=H","UseDPDF=Y")</f>
        <v>-52</v>
      </c>
      <c r="N24" s="13">
        <f>_xll.BDH("AMZN US Equity","IS_OTHER_NON_OPERATING_INC_LOSS","FQ4 2011","FQ4 2011","Currency=USD","Period=FQ","BEST_FPERIOD_OVERRIDE=FQ","FILING_STATUS=MR","SCALING_FORMAT=MLN","FA_ADJUSTED=Adjusted","Sort=A","Dates=H","DateFormat=P","Fill=—","Direction=H","UseDPDF=Y")</f>
        <v>-19</v>
      </c>
      <c r="O24" s="13">
        <f>_xll.BDH("AMZN US Equity","IS_OTHER_NON_OPERATING_INC_LOSS","FQ1 2012","FQ1 2012","Currency=USD","Period=FQ","BEST_FPERIOD_OVERRIDE=FQ","FILING_STATUS=MR","SCALING_FORMAT=MLN","FA_ADJUSTED=Adjusted","Sort=A","Dates=H","DateFormat=P","Fill=—","Direction=H","UseDPDF=Y")</f>
        <v>99</v>
      </c>
      <c r="P24" s="13">
        <f>_xll.BDH("AMZN US Equity","IS_OTHER_NON_OPERATING_INC_LOSS","FQ2 2012","FQ2 2012","Currency=USD","Period=FQ","BEST_FPERIOD_OVERRIDE=FQ","FILING_STATUS=MR","SCALING_FORMAT=MLN","FA_ADJUSTED=Adjusted","Sort=A","Dates=H","DateFormat=P","Fill=—","Direction=H","UseDPDF=Y")</f>
        <v>-50</v>
      </c>
      <c r="Q24" s="13">
        <f>_xll.BDH("AMZN US Equity","IS_OTHER_NON_OPERATING_INC_LOSS","FQ3 2012","FQ3 2012","Currency=USD","Period=FQ","BEST_FPERIOD_OVERRIDE=FQ","FILING_STATUS=MR","SCALING_FORMAT=MLN","FA_ADJUSTED=Adjusted","Sort=A","Dates=H","DateFormat=P","Fill=—","Direction=H","UseDPDF=Y")</f>
        <v>-163</v>
      </c>
      <c r="R24" s="13">
        <f>_xll.BDH("AMZN US Equity","IS_OTHER_NON_OPERATING_INC_LOSS","FQ4 2012","FQ4 2012","Currency=USD","Period=FQ","BEST_FPERIOD_OVERRIDE=FQ","FILING_STATUS=MR","SCALING_FORMAT=MLN","FA_ADJUSTED=Adjusted","Sort=A","Dates=H","DateFormat=P","Fill=—","Direction=H","UseDPDF=Y")</f>
        <v>24</v>
      </c>
      <c r="S24" s="13">
        <f>_xll.BDH("AMZN US Equity","IS_OTHER_NON_OPERATING_INC_LOSS","FQ1 2013","FQ1 2013","Currency=USD","Period=FQ","BEST_FPERIOD_OVERRIDE=FQ","FILING_STATUS=MR","SCALING_FORMAT=MLN","FA_ADJUSTED=Adjusted","Sort=A","Dates=H","DateFormat=P","Fill=—","Direction=H","UseDPDF=Y")</f>
        <v>77</v>
      </c>
      <c r="T24" s="13">
        <f>_xll.BDH("AMZN US Equity","IS_OTHER_NON_OPERATING_INC_LOSS","FQ2 2013","FQ2 2013","Currency=USD","Period=FQ","BEST_FPERIOD_OVERRIDE=FQ","FILING_STATUS=MR","SCALING_FORMAT=MLN","FA_ADJUSTED=Adjusted","Sort=A","Dates=H","DateFormat=P","Fill=—","Direction=H","UseDPDF=Y")</f>
        <v>38</v>
      </c>
      <c r="U24" s="13">
        <f>_xll.BDH("AMZN US Equity","IS_OTHER_NON_OPERATING_INC_LOSS","FQ3 2013","FQ3 2013","Currency=USD","Period=FQ","BEST_FPERIOD_OVERRIDE=FQ","FILING_STATUS=MR","SCALING_FORMAT=MLN","FA_ADJUSTED=Adjusted","Sort=A","Dates=H","DateFormat=P","Fill=—","Direction=H","UseDPDF=Y")</f>
        <v>-9</v>
      </c>
      <c r="V24" s="13">
        <f>_xll.BDH("AMZN US Equity","IS_OTHER_NON_OPERATING_INC_LOSS","FQ4 2013","FQ4 2013","Currency=USD","Period=FQ","BEST_FPERIOD_OVERRIDE=FQ","FILING_STATUS=MR","SCALING_FORMAT=MLN","FA_ADJUSTED=Adjusted","Sort=A","Dates=H","DateFormat=P","Fill=—","Direction=H","UseDPDF=Y")</f>
        <v>30</v>
      </c>
      <c r="W24" s="13">
        <f>_xll.BDH("AMZN US Equity","IS_OTHER_NON_OPERATING_INC_LOSS","FQ1 2014","FQ1 2014","Currency=USD","Period=FQ","BEST_FPERIOD_OVERRIDE=FQ","FILING_STATUS=MR","SCALING_FORMAT=MLN","FA_ADJUSTED=Adjusted","Sort=A","Dates=H","DateFormat=P","Fill=—","Direction=H","UseDPDF=Y")</f>
        <v>-5</v>
      </c>
      <c r="X24" s="13">
        <f>_xll.BDH("AMZN US Equity","IS_OTHER_NON_OPERATING_INC_LOSS","FQ2 2014","FQ2 2014","Currency=USD","Period=FQ","BEST_FPERIOD_OVERRIDE=FQ","FILING_STATUS=MR","SCALING_FORMAT=MLN","FA_ADJUSTED=Adjusted","Sort=A","Dates=H","DateFormat=P","Fill=—","Direction=H","UseDPDF=Y")</f>
        <v>-22</v>
      </c>
      <c r="Y24" s="13">
        <f>_xll.BDH("AMZN US Equity","IS_OTHER_NON_OPERATING_INC_LOSS","FQ3 2014","FQ3 2014","Currency=USD","Period=FQ","BEST_FPERIOD_OVERRIDE=FQ","FILING_STATUS=MR","SCALING_FORMAT=MLN","FA_ADJUSTED=Adjusted","Sort=A","Dates=H","DateFormat=P","Fill=—","Direction=H","UseDPDF=Y")</f>
        <v>50</v>
      </c>
      <c r="Z24" s="13">
        <f>_xll.BDH("AMZN US Equity","IS_OTHER_NON_OPERATING_INC_LOSS","FQ4 2014","FQ4 2014","Currency=USD","Period=FQ","BEST_FPERIOD_OVERRIDE=FQ","FILING_STATUS=MR","SCALING_FORMAT=MLN","FA_ADJUSTED=Adjusted","Sort=A","Dates=H","DateFormat=P","Fill=—","Direction=H","UseDPDF=Y")</f>
        <v>96</v>
      </c>
      <c r="AA24" s="13">
        <f>_xll.BDH("AMZN US Equity","IS_OTHER_NON_OPERATING_INC_LOSS","FQ1 2015","FQ1 2015","Currency=USD","Period=FQ","BEST_FPERIOD_OVERRIDE=FQ","FILING_STATUS=MR","SCALING_FORMAT=MLN","FA_ADJUSTED=Adjusted","Sort=A","Dates=H","DateFormat=P","Fill=—","Direction=H","UseDPDF=Y")</f>
        <v>129</v>
      </c>
      <c r="AB24" s="13">
        <f>_xll.BDH("AMZN US Equity","IS_OTHER_NON_OPERATING_INC_LOSS","FQ2 2015","FQ2 2015","Currency=USD","Period=FQ","BEST_FPERIOD_OVERRIDE=FQ","FILING_STATUS=MR","SCALING_FORMAT=MLN","FA_ADJUSTED=Adjusted","Sort=A","Dates=H","DateFormat=P","Fill=—","Direction=H","UseDPDF=Y")</f>
        <v>-1</v>
      </c>
      <c r="AC24" s="13">
        <f>_xll.BDH("AMZN US Equity","IS_OTHER_NON_OPERATING_INC_LOSS","FQ3 2015","FQ3 2015","Currency=USD","Period=FQ","BEST_FPERIOD_OVERRIDE=FQ","FILING_STATUS=MR","SCALING_FORMAT=MLN","FA_ADJUSTED=Adjusted","Sort=A","Dates=H","DateFormat=P","Fill=—","Direction=H","UseDPDF=Y")</f>
        <v>56</v>
      </c>
      <c r="AD24" s="13">
        <f>_xll.BDH("AMZN US Equity","IS_OTHER_NON_OPERATING_INC_LOSS","FQ4 2015","FQ4 2015","Currency=USD","Period=FQ","BEST_FPERIOD_OVERRIDE=FQ","FILING_STATUS=MR","SCALING_FORMAT=MLN","FA_ADJUSTED=Adjusted","Sort=A","Dates=H","DateFormat=P","Fill=—","Direction=H","UseDPDF=Y")</f>
        <v>65</v>
      </c>
      <c r="AE24" s="13">
        <f>_xll.BDH("AMZN US Equity","IS_OTHER_NON_OPERATING_INC_LOSS","FQ1 2016","FQ1 2016","Currency=USD","Period=FQ","BEST_FPERIOD_OVERRIDE=FQ","FILING_STATUS=MR","SCALING_FORMAT=MLN","FA_ADJUSTED=Adjusted","Sort=A","Dates=H","DateFormat=P","Fill=—","Direction=H","UseDPDF=Y")</f>
        <v>-81</v>
      </c>
      <c r="AF24" s="13">
        <f>_xll.BDH("AMZN US Equity","IS_OTHER_NON_OPERATING_INC_LOSS","FQ2 2016","FQ2 2016","Currency=USD","Period=FQ","BEST_FPERIOD_OVERRIDE=FQ","FILING_STATUS=MR","SCALING_FORMAT=MLN","FA_ADJUSTED=Adjusted","Sort=A","Dates=H","DateFormat=P","Fill=—","Direction=H","UseDPDF=Y")</f>
        <v>14</v>
      </c>
      <c r="AG24" s="13">
        <f>_xll.BDH("AMZN US Equity","IS_OTHER_NON_OPERATING_INC_LOSS","FQ3 2016","FQ3 2016","Currency=USD","Period=FQ","BEST_FPERIOD_OVERRIDE=FQ","FILING_STATUS=MR","SCALING_FORMAT=MLN","FA_ADJUSTED=Adjusted","Sort=A","Dates=H","DateFormat=P","Fill=—","Direction=H","UseDPDF=Y")</f>
        <v>-8</v>
      </c>
      <c r="AH24" s="13">
        <f>_xll.BDH("AMZN US Equity","IS_OTHER_NON_OPERATING_INC_LOSS","FQ4 2016","FQ4 2016","Currency=USD","Period=FQ","BEST_FPERIOD_OVERRIDE=FQ","FILING_STATUS=MR","SCALING_FORMAT=MLN","FA_ADJUSTED=Adjusted","Sort=A","Dates=H","DateFormat=P","Fill=—","Direction=H","UseDPDF=Y")</f>
        <v>-19</v>
      </c>
      <c r="AI24" s="13">
        <f>_xll.BDH("AMZN US Equity","IS_OTHER_NON_OPERATING_INC_LOSS","FQ1 2017","FQ1 2017","Currency=USD","Period=FQ","BEST_FPERIOD_OVERRIDE=FQ","FILING_STATUS=MR","SCALING_FORMAT=MLN","FA_ADJUSTED=Adjusted","Sort=A","Dates=H","DateFormat=P","Fill=—","Direction=H","UseDPDF=Y")</f>
        <v>-48</v>
      </c>
      <c r="AJ24" s="13">
        <f>_xll.BDH("AMZN US Equity","IS_OTHER_NON_OPERATING_INC_LOSS","FQ2 2017","FQ2 2017","Currency=USD","Period=FQ","BEST_FPERIOD_OVERRIDE=FQ","FILING_STATUS=MR","SCALING_FORMAT=MLN","FA_ADJUSTED=Adjusted","Sort=A","Dates=H","DateFormat=P","Fill=—","Direction=H","UseDPDF=Y")</f>
        <v>-137</v>
      </c>
      <c r="AK24" s="13">
        <f>_xll.BDH("AMZN US Equity","IS_OTHER_NON_OPERATING_INC_LOSS","FQ3 2017","FQ3 2017","Currency=USD","Period=FQ","BEST_FPERIOD_OVERRIDE=FQ","FILING_STATUS=MR","SCALING_FORMAT=MLN","FA_ADJUSTED=Adjusted","Sort=A","Dates=H","DateFormat=P","Fill=—","Direction=H","UseDPDF=Y")</f>
        <v>-143</v>
      </c>
      <c r="AL24" s="13">
        <f>_xll.BDH("AMZN US Equity","IS_OTHER_NON_OPERATING_INC_LOSS","FQ4 2017","FQ4 2017","Currency=USD","Period=FQ","BEST_FPERIOD_OVERRIDE=FQ","FILING_STATUS=MR","SCALING_FORMAT=MLN","FA_ADJUSTED=Adjusted","Sort=A","Dates=H","DateFormat=P","Fill=—","Direction=H","UseDPDF=Y")</f>
        <v>-18</v>
      </c>
      <c r="AM24" s="13">
        <f>_xll.BDH("AMZN US Equity","IS_OTHER_NON_OPERATING_INC_LOSS","FQ1 2018","FQ1 2018","Currency=USD","Period=FQ","BEST_FPERIOD_OVERRIDE=FQ","FILING_STATUS=MR","SCALING_FORMAT=MLN","FA_ADJUSTED=Adjusted","Sort=A","Dates=H","DateFormat=P","Fill=—","Direction=H","UseDPDF=Y")</f>
        <v>-239</v>
      </c>
      <c r="AN24" s="13">
        <f>_xll.BDH("AMZN US Equity","IS_OTHER_NON_OPERATING_INC_LOSS","FQ2 2018","FQ2 2018","Currency=USD","Period=FQ","BEST_FPERIOD_OVERRIDE=FQ","FILING_STATUS=MR","SCALING_FORMAT=MLN","FA_ADJUSTED=Adjusted","Sort=A","Dates=H","DateFormat=P","Fill=—","Direction=H","UseDPDF=Y")</f>
        <v>129</v>
      </c>
      <c r="AO24" s="13"/>
      <c r="AP24" s="13"/>
    </row>
    <row r="25" spans="1:42" x14ac:dyDescent="0.25">
      <c r="A25" s="6" t="s">
        <v>124</v>
      </c>
      <c r="B25" s="6" t="s">
        <v>125</v>
      </c>
      <c r="C25" s="17">
        <f>_xll.BDH("AMZN US Equity","PRETAX_INC","FQ1 2009","FQ1 2009","Currency=USD","Period=FQ","BEST_FPERIOD_OVERRIDE=FQ","FILING_STATUS=MR","SCALING_FORMAT=MLN","FA_ADJUSTED=Adjusted","Sort=A","Dates=H","DateFormat=P","Fill=—","Direction=H","UseDPDF=Y")</f>
        <v>246</v>
      </c>
      <c r="D25" s="17">
        <f>_xll.BDH("AMZN US Equity","PRETAX_INC","FQ2 2009","FQ2 2009","Currency=USD","Period=FQ","BEST_FPERIOD_OVERRIDE=FQ","FILING_STATUS=MR","SCALING_FORMAT=MLN","FA_ADJUSTED=Adjusted","Sort=A","Dates=H","DateFormat=P","Fill=—","Direction=H","UseDPDF=Y")</f>
        <v>228</v>
      </c>
      <c r="E25" s="17">
        <f>_xll.BDH("AMZN US Equity","PRETAX_INC","FQ3 2009","FQ3 2009","Currency=USD","Period=FQ","BEST_FPERIOD_OVERRIDE=FQ","FILING_STATUS=MR","SCALING_FORMAT=MLN","FA_ADJUSTED=Adjusted","Sort=A","Dates=H","DateFormat=P","Fill=—","Direction=H","UseDPDF=Y")</f>
        <v>261</v>
      </c>
      <c r="F25" s="17">
        <f>_xll.BDH("AMZN US Equity","PRETAX_INC","FQ4 2009","FQ4 2009","Currency=USD","Period=FQ","BEST_FPERIOD_OVERRIDE=FQ","FILING_STATUS=MR","SCALING_FORMAT=MLN","FA_ADJUSTED=Adjusted","Sort=A","Dates=H","DateFormat=P","Fill=—","Direction=H","UseDPDF=Y")</f>
        <v>472</v>
      </c>
      <c r="G25" s="17">
        <f>_xll.BDH("AMZN US Equity","PRETAX_INC","FQ1 2010","FQ1 2010","Currency=USD","Period=FQ","BEST_FPERIOD_OVERRIDE=FQ","FILING_STATUS=MR","SCALING_FORMAT=MLN","FA_ADJUSTED=Adjusted","Sort=A","Dates=H","DateFormat=P","Fill=—","Direction=H","UseDPDF=Y")</f>
        <v>401</v>
      </c>
      <c r="H25" s="17">
        <f>_xll.BDH("AMZN US Equity","PRETAX_INC","FQ2 2010","FQ2 2010","Currency=USD","Period=FQ","BEST_FPERIOD_OVERRIDE=FQ","FILING_STATUS=MR","SCALING_FORMAT=MLN","FA_ADJUSTED=Adjusted","Sort=A","Dates=H","DateFormat=P","Fill=—","Direction=H","UseDPDF=Y")</f>
        <v>297</v>
      </c>
      <c r="I25" s="17">
        <f>_xll.BDH("AMZN US Equity","PRETAX_INC","FQ3 2010","FQ3 2010","Currency=USD","Period=FQ","BEST_FPERIOD_OVERRIDE=FQ","FILING_STATUS=MR","SCALING_FORMAT=MLN","FA_ADJUSTED=Adjusted","Sort=A","Dates=H","DateFormat=P","Fill=—","Direction=H","UseDPDF=Y")</f>
        <v>292</v>
      </c>
      <c r="J25" s="17">
        <f>_xll.BDH("AMZN US Equity","PRETAX_INC","FQ4 2010","FQ4 2010","Currency=USD","Period=FQ","BEST_FPERIOD_OVERRIDE=FQ","FILING_STATUS=MR","SCALING_FORMAT=MLN","FA_ADJUSTED=Adjusted","Sort=A","Dates=H","DateFormat=P","Fill=—","Direction=H","UseDPDF=Y")</f>
        <v>506</v>
      </c>
      <c r="K25" s="17">
        <f>_xll.BDH("AMZN US Equity","PRETAX_INC","FQ1 2011","FQ1 2011","Currency=USD","Period=FQ","BEST_FPERIOD_OVERRIDE=FQ","FILING_STATUS=MR","SCALING_FORMAT=MLN","FA_ADJUSTED=Adjusted","Sort=A","Dates=H","DateFormat=P","Fill=—","Direction=H","UseDPDF=Y")</f>
        <v>307</v>
      </c>
      <c r="L25" s="17">
        <f>_xll.BDH("AMZN US Equity","PRETAX_INC","FQ2 2011","FQ2 2011","Currency=USD","Period=FQ","BEST_FPERIOD_OVERRIDE=FQ","FILING_STATUS=MR","SCALING_FORMAT=MLN","FA_ADJUSTED=Adjusted","Sort=A","Dates=H","DateFormat=P","Fill=—","Direction=H","UseDPDF=Y")</f>
        <v>225</v>
      </c>
      <c r="M25" s="17">
        <f>_xll.BDH("AMZN US Equity","PRETAX_INC","FQ3 2011","FQ3 2011","Currency=USD","Period=FQ","BEST_FPERIOD_OVERRIDE=FQ","FILING_STATUS=MR","SCALING_FORMAT=MLN","FA_ADJUSTED=Adjusted","Sort=A","Dates=H","DateFormat=P","Fill=—","Direction=H","UseDPDF=Y")</f>
        <v>130</v>
      </c>
      <c r="N25" s="17">
        <f>_xll.BDH("AMZN US Equity","PRETAX_INC","FQ4 2011","FQ4 2011","Currency=USD","Period=FQ","BEST_FPERIOD_OVERRIDE=FQ","FILING_STATUS=MR","SCALING_FORMAT=MLN","FA_ADJUSTED=Adjusted","Sort=A","Dates=H","DateFormat=P","Fill=—","Direction=H","UseDPDF=Y")</f>
        <v>273</v>
      </c>
      <c r="O25" s="17">
        <f>_xll.BDH("AMZN US Equity","PRETAX_INC","FQ1 2012","FQ1 2012","Currency=USD","Period=FQ","BEST_FPERIOD_OVERRIDE=FQ","FILING_STATUS=MR","SCALING_FORMAT=MLN","FA_ADJUSTED=Adjusted","Sort=A","Dates=H","DateFormat=P","Fill=—","Direction=H","UseDPDF=Y")</f>
        <v>84</v>
      </c>
      <c r="P25" s="17">
        <f>_xll.BDH("AMZN US Equity","PRETAX_INC","FQ2 2012","FQ2 2012","Currency=USD","Period=FQ","BEST_FPERIOD_OVERRIDE=FQ","FILING_STATUS=MR","SCALING_FORMAT=MLN","FA_ADJUSTED=Adjusted","Sort=A","Dates=H","DateFormat=P","Fill=—","Direction=H","UseDPDF=Y")</f>
        <v>246</v>
      </c>
      <c r="Q25" s="17">
        <f>_xll.BDH("AMZN US Equity","PRETAX_INC","FQ3 2012","FQ3 2012","Currency=USD","Period=FQ","BEST_FPERIOD_OVERRIDE=FQ","FILING_STATUS=MR","SCALING_FORMAT=MLN","FA_ADJUSTED=Adjusted","Sort=A","Dates=H","DateFormat=P","Fill=—","Direction=H","UseDPDF=Y")</f>
        <v>123</v>
      </c>
      <c r="R25" s="17">
        <f>_xll.BDH("AMZN US Equity","PRETAX_INC","FQ4 2012","FQ4 2012","Currency=USD","Period=FQ","BEST_FPERIOD_OVERRIDE=FQ","FILING_STATUS=MR","SCALING_FORMAT=MLN","FA_ADJUSTED=Adjusted","Sort=A","Dates=H","DateFormat=P","Fill=—","Direction=H","UseDPDF=Y")</f>
        <v>362</v>
      </c>
      <c r="S25" s="17">
        <f>_xll.BDH("AMZN US Equity","PRETAX_INC","FQ1 2013","FQ1 2013","Currency=USD","Period=FQ","BEST_FPERIOD_OVERRIDE=FQ","FILING_STATUS=MR","SCALING_FORMAT=MLN","FA_ADJUSTED=Adjusted","Sort=A","Dates=H","DateFormat=P","Fill=—","Direction=H","UseDPDF=Y")</f>
        <v>81</v>
      </c>
      <c r="T25" s="17">
        <f>_xll.BDH("AMZN US Equity","PRETAX_INC","FQ2 2013","FQ2 2013","Currency=USD","Period=FQ","BEST_FPERIOD_OVERRIDE=FQ","FILING_STATUS=MR","SCALING_FORMAT=MLN","FA_ADJUSTED=Adjusted","Sort=A","Dates=H","DateFormat=P","Fill=—","Direction=H","UseDPDF=Y")</f>
        <v>17</v>
      </c>
      <c r="U25" s="17">
        <f>_xll.BDH("AMZN US Equity","PRETAX_INC","FQ3 2013","FQ3 2013","Currency=USD","Period=FQ","BEST_FPERIOD_OVERRIDE=FQ","FILING_STATUS=MR","SCALING_FORMAT=MLN","FA_ADJUSTED=Adjusted","Sort=A","Dates=H","DateFormat=P","Fill=—","Direction=H","UseDPDF=Y")</f>
        <v>-43</v>
      </c>
      <c r="V25" s="17">
        <f>_xll.BDH("AMZN US Equity","PRETAX_INC","FQ4 2013","FQ4 2013","Currency=USD","Period=FQ","BEST_FPERIOD_OVERRIDE=FQ","FILING_STATUS=MR","SCALING_FORMAT=MLN","FA_ADJUSTED=Adjusted","Sort=A","Dates=H","DateFormat=P","Fill=—","Direction=H","UseDPDF=Y")</f>
        <v>451</v>
      </c>
      <c r="W25" s="17">
        <f>_xll.BDH("AMZN US Equity","PRETAX_INC","FQ1 2014","FQ1 2014","Currency=USD","Period=FQ","BEST_FPERIOD_OVERRIDE=FQ","FILING_STATUS=MR","SCALING_FORMAT=MLN","FA_ADJUSTED=Adjusted","Sort=A","Dates=H","DateFormat=P","Fill=—","Direction=H","UseDPDF=Y")</f>
        <v>120</v>
      </c>
      <c r="X25" s="17">
        <f>_xll.BDH("AMZN US Equity","PRETAX_INC","FQ2 2014","FQ2 2014","Currency=USD","Period=FQ","BEST_FPERIOD_OVERRIDE=FQ","FILING_STATUS=MR","SCALING_FORMAT=MLN","FA_ADJUSTED=Adjusted","Sort=A","Dates=H","DateFormat=P","Fill=—","Direction=H","UseDPDF=Y")</f>
        <v>-27</v>
      </c>
      <c r="Y25" s="17">
        <f>_xll.BDH("AMZN US Equity","PRETAX_INC","FQ3 2014","FQ3 2014","Currency=USD","Period=FQ","BEST_FPERIOD_OVERRIDE=FQ","FILING_STATUS=MR","SCALING_FORMAT=MLN","FA_ADJUSTED=Adjusted","Sort=A","Dates=H","DateFormat=P","Fill=—","Direction=H","UseDPDF=Y")</f>
        <v>-464</v>
      </c>
      <c r="Z25" s="17">
        <f>_xll.BDH("AMZN US Equity","PRETAX_INC","FQ4 2014","FQ4 2014","Currency=USD","Period=FQ","BEST_FPERIOD_OVERRIDE=FQ","FILING_STATUS=MR","SCALING_FORMAT=MLN","FA_ADJUSTED=Adjusted","Sort=A","Dates=H","DateFormat=P","Fill=—","Direction=H","UseDPDF=Y")</f>
        <v>429</v>
      </c>
      <c r="AA25" s="17">
        <f>_xll.BDH("AMZN US Equity","PRETAX_INC","FQ1 2015","FQ1 2015","Currency=USD","Period=FQ","BEST_FPERIOD_OVERRIDE=FQ","FILING_STATUS=MR","SCALING_FORMAT=MLN","FA_ADJUSTED=Adjusted","Sort=A","Dates=H","DateFormat=P","Fill=—","Direction=H","UseDPDF=Y")</f>
        <v>22</v>
      </c>
      <c r="AB25" s="17">
        <f>_xll.BDH("AMZN US Equity","PRETAX_INC","FQ2 2015","FQ2 2015","Currency=USD","Period=FQ","BEST_FPERIOD_OVERRIDE=FQ","FILING_STATUS=MR","SCALING_FORMAT=MLN","FA_ADJUSTED=Adjusted","Sort=A","Dates=H","DateFormat=P","Fill=—","Direction=H","UseDPDF=Y")</f>
        <v>363</v>
      </c>
      <c r="AC25" s="17">
        <f>_xll.BDH("AMZN US Equity","PRETAX_INC","FQ3 2015","FQ3 2015","Currency=USD","Period=FQ","BEST_FPERIOD_OVERRIDE=FQ","FILING_STATUS=MR","SCALING_FORMAT=MLN","FA_ADJUSTED=Adjusted","Sort=A","Dates=H","DateFormat=P","Fill=—","Direction=H","UseDPDF=Y")</f>
        <v>247</v>
      </c>
      <c r="AD25" s="17">
        <f>_xll.BDH("AMZN US Equity","PRETAX_INC","FQ4 2015","FQ4 2015","Currency=USD","Period=FQ","BEST_FPERIOD_OVERRIDE=FQ","FILING_STATUS=MR","SCALING_FORMAT=MLN","FA_ADJUSTED=Adjusted","Sort=A","Dates=H","DateFormat=P","Fill=—","Direction=H","UseDPDF=Y")</f>
        <v>941</v>
      </c>
      <c r="AE25" s="17">
        <f>_xll.BDH("AMZN US Equity","PRETAX_INC","FQ1 2016","FQ1 2016","Currency=USD","Period=FQ","BEST_FPERIOD_OVERRIDE=FQ","FILING_STATUS=MR","SCALING_FORMAT=MLN","FA_ADJUSTED=Adjusted","Sort=A","Dates=H","DateFormat=P","Fill=—","Direction=H","UseDPDF=Y")</f>
        <v>1056</v>
      </c>
      <c r="AF25" s="17">
        <f>_xll.BDH("AMZN US Equity","PRETAX_INC","FQ2 2016","FQ2 2016","Currency=USD","Period=FQ","BEST_FPERIOD_OVERRIDE=FQ","FILING_STATUS=MR","SCALING_FORMAT=MLN","FA_ADJUSTED=Adjusted","Sort=A","Dates=H","DateFormat=P","Fill=—","Direction=H","UseDPDF=Y")</f>
        <v>1179</v>
      </c>
      <c r="AG25" s="17">
        <f>_xll.BDH("AMZN US Equity","PRETAX_INC","FQ3 2016","FQ3 2016","Currency=USD","Period=FQ","BEST_FPERIOD_OVERRIDE=FQ","FILING_STATUS=MR","SCALING_FORMAT=MLN","FA_ADJUSTED=Adjusted","Sort=A","Dates=H","DateFormat=P","Fill=—","Direction=H","UseDPDF=Y")</f>
        <v>491</v>
      </c>
      <c r="AH25" s="17">
        <f>_xll.BDH("AMZN US Equity","PRETAX_INC","FQ4 2016","FQ4 2016","Currency=USD","Period=FQ","BEST_FPERIOD_OVERRIDE=FQ","FILING_STATUS=MR","SCALING_FORMAT=MLN","FA_ADJUSTED=Adjusted","Sort=A","Dates=H","DateFormat=P","Fill=—","Direction=H","UseDPDF=Y")</f>
        <v>1171</v>
      </c>
      <c r="AI25" s="17">
        <f>_xll.BDH("AMZN US Equity","PRETAX_INC","FQ1 2017","FQ1 2017","Currency=USD","Period=FQ","BEST_FPERIOD_OVERRIDE=FQ","FILING_STATUS=MR","SCALING_FORMAT=MLN","FA_ADJUSTED=Adjusted","Sort=A","Dates=H","DateFormat=P","Fill=—","Direction=H","UseDPDF=Y")</f>
        <v>953</v>
      </c>
      <c r="AJ25" s="17">
        <f>_xll.BDH("AMZN US Equity","PRETAX_INC","FQ2 2017","FQ2 2017","Currency=USD","Period=FQ","BEST_FPERIOD_OVERRIDE=FQ","FILING_STATUS=MR","SCALING_FORMAT=MLN","FA_ADJUSTED=Adjusted","Sort=A","Dates=H","DateFormat=P","Fill=—","Direction=H","UseDPDF=Y")</f>
        <v>666</v>
      </c>
      <c r="AK25" s="17">
        <f>_xll.BDH("AMZN US Equity","PRETAX_INC","FQ3 2017","FQ3 2017","Currency=USD","Period=FQ","BEST_FPERIOD_OVERRIDE=FQ","FILING_STATUS=MR","SCALING_FORMAT=MLN","FA_ADJUSTED=Adjusted","Sort=A","Dates=H","DateFormat=P","Fill=—","Direction=H","UseDPDF=Y")</f>
        <v>316</v>
      </c>
      <c r="AL25" s="17">
        <f>_xll.BDH("AMZN US Equity","PRETAX_INC","FQ4 2017","FQ4 2017","Currency=USD","Period=FQ","BEST_FPERIOD_OVERRIDE=FQ","FILING_STATUS=MR","SCALING_FORMAT=MLN","FA_ADJUSTED=Adjusted","Sort=A","Dates=H","DateFormat=P","Fill=—","Direction=H","UseDPDF=Y")</f>
        <v>1872</v>
      </c>
      <c r="AM25" s="17">
        <f>_xll.BDH("AMZN US Equity","PRETAX_INC","FQ1 2018","FQ1 2018","Currency=USD","Period=FQ","BEST_FPERIOD_OVERRIDE=FQ","FILING_STATUS=MR","SCALING_FORMAT=MLN","FA_ADJUSTED=Adjusted","Sort=A","Dates=H","DateFormat=P","Fill=—","Direction=H","UseDPDF=Y")</f>
        <v>1916</v>
      </c>
      <c r="AN25" s="17">
        <f>_xll.BDH("AMZN US Equity","PRETAX_INC","FQ2 2018","FQ2 2018","Currency=USD","Period=FQ","BEST_FPERIOD_OVERRIDE=FQ","FILING_STATUS=MR","SCALING_FORMAT=MLN","FA_ADJUSTED=Adjusted","Sort=A","Dates=H","DateFormat=P","Fill=—","Direction=H","UseDPDF=Y")</f>
        <v>2605</v>
      </c>
      <c r="AO25" s="17">
        <v>1918.192</v>
      </c>
      <c r="AP25" s="17">
        <v>3630.346</v>
      </c>
    </row>
    <row r="26" spans="1:42" x14ac:dyDescent="0.25">
      <c r="A26" s="10" t="s">
        <v>126</v>
      </c>
      <c r="B26" s="10" t="s">
        <v>127</v>
      </c>
      <c r="C26" s="13">
        <f>_xll.BDH("AMZN US Equity","IS_ABNORMAL_ITEM","FQ1 2009","FQ1 2009","Currency=USD","Period=FQ","BEST_FPERIOD_OVERRIDE=FQ","FILING_STATUS=MR","SCALING_FORMAT=MLN","Sort=A","Dates=H","DateFormat=P","Fill=—","Direction=H","UseDPDF=Y")</f>
        <v>-2</v>
      </c>
      <c r="D26" s="13">
        <f>_xll.BDH("AMZN US Equity","IS_ABNORMAL_ITEM","FQ2 2009","FQ2 2009","Currency=USD","Period=FQ","BEST_FPERIOD_OVERRIDE=FQ","FILING_STATUS=MR","SCALING_FORMAT=MLN","Sort=A","Dates=H","DateFormat=P","Fill=—","Direction=H","UseDPDF=Y")</f>
        <v>49</v>
      </c>
      <c r="E26" s="13">
        <f>_xll.BDH("AMZN US Equity","IS_ABNORMAL_ITEM","FQ3 2009","FQ3 2009","Currency=USD","Period=FQ","BEST_FPERIOD_OVERRIDE=FQ","FILING_STATUS=MR","SCALING_FORMAT=MLN","Sort=A","Dates=H","DateFormat=P","Fill=—","Direction=H","UseDPDF=Y")</f>
        <v>-1</v>
      </c>
      <c r="F26" s="13">
        <f>_xll.BDH("AMZN US Equity","IS_ABNORMAL_ITEM","FQ4 2009","FQ4 2009","Currency=USD","Period=FQ","BEST_FPERIOD_OVERRIDE=FQ","FILING_STATUS=MR","SCALING_FORMAT=MLN","Sort=A","Dates=H","DateFormat=P","Fill=—","Direction=H","UseDPDF=Y")</f>
        <v>1</v>
      </c>
      <c r="G26" s="13">
        <f>_xll.BDH("AMZN US Equity","IS_ABNORMAL_ITEM","FQ1 2010","FQ1 2010","Currency=USD","Period=FQ","BEST_FPERIOD_OVERRIDE=FQ","FILING_STATUS=MR","SCALING_FORMAT=MLN","Sort=A","Dates=H","DateFormat=P","Fill=—","Direction=H","UseDPDF=Y")</f>
        <v>0</v>
      </c>
      <c r="H26" s="13">
        <f>_xll.BDH("AMZN US Equity","IS_ABNORMAL_ITEM","FQ2 2010","FQ2 2010","Currency=USD","Period=FQ","BEST_FPERIOD_OVERRIDE=FQ","FILING_STATUS=MR","SCALING_FORMAT=MLN","Sort=A","Dates=H","DateFormat=P","Fill=—","Direction=H","UseDPDF=Y")</f>
        <v>0</v>
      </c>
      <c r="I26" s="13">
        <f>_xll.BDH("AMZN US Equity","IS_ABNORMAL_ITEM","FQ3 2010","FQ3 2010","Currency=USD","Period=FQ","BEST_FPERIOD_OVERRIDE=FQ","FILING_STATUS=MR","SCALING_FORMAT=MLN","Sort=A","Dates=H","DateFormat=P","Fill=—","Direction=H","UseDPDF=Y")</f>
        <v>0</v>
      </c>
      <c r="J26" s="13">
        <f>_xll.BDH("AMZN US Equity","IS_ABNORMAL_ITEM","FQ4 2010","FQ4 2010","Currency=USD","Period=FQ","BEST_FPERIOD_OVERRIDE=FQ","FILING_STATUS=MR","SCALING_FORMAT=MLN","Sort=A","Dates=H","DateFormat=P","Fill=—","Direction=H","UseDPDF=Y")</f>
        <v>0</v>
      </c>
      <c r="K26" s="13">
        <f>_xll.BDH("AMZN US Equity","IS_ABNORMAL_ITEM","FQ1 2011","FQ1 2011","Currency=USD","Period=FQ","BEST_FPERIOD_OVERRIDE=FQ","FILING_STATUS=MR","SCALING_FORMAT=MLN","Sort=A","Dates=H","DateFormat=P","Fill=—","Direction=H","UseDPDF=Y")</f>
        <v>0</v>
      </c>
      <c r="L26" s="13">
        <f>_xll.BDH("AMZN US Equity","IS_ABNORMAL_ITEM","FQ2 2011","FQ2 2011","Currency=USD","Period=FQ","BEST_FPERIOD_OVERRIDE=FQ","FILING_STATUS=MR","SCALING_FORMAT=MLN","Sort=A","Dates=H","DateFormat=P","Fill=—","Direction=H","UseDPDF=Y")</f>
        <v>0</v>
      </c>
      <c r="M26" s="13">
        <f>_xll.BDH("AMZN US Equity","IS_ABNORMAL_ITEM","FQ3 2011","FQ3 2011","Currency=USD","Period=FQ","BEST_FPERIOD_OVERRIDE=FQ","FILING_STATUS=MR","SCALING_FORMAT=MLN","Sort=A","Dates=H","DateFormat=P","Fill=—","Direction=H","UseDPDF=Y")</f>
        <v>0</v>
      </c>
      <c r="N26" s="13">
        <f>_xll.BDH("AMZN US Equity","IS_ABNORMAL_ITEM","FQ4 2011","FQ4 2011","Currency=USD","Period=FQ","BEST_FPERIOD_OVERRIDE=FQ","FILING_STATUS=MR","SCALING_FORMAT=MLN","Sort=A","Dates=H","DateFormat=P","Fill=—","Direction=H","UseDPDF=Y")</f>
        <v>0</v>
      </c>
      <c r="O26" s="13">
        <f>_xll.BDH("AMZN US Equity","IS_ABNORMAL_ITEM","FQ1 2012","FQ1 2012","Currency=USD","Period=FQ","BEST_FPERIOD_OVERRIDE=FQ","FILING_STATUS=MR","SCALING_FORMAT=MLN","Sort=A","Dates=H","DateFormat=P","Fill=—","Direction=H","UseDPDF=Y")</f>
        <v>0</v>
      </c>
      <c r="P26" s="13">
        <f>_xll.BDH("AMZN US Equity","IS_ABNORMAL_ITEM","FQ2 2012","FQ2 2012","Currency=USD","Period=FQ","BEST_FPERIOD_OVERRIDE=FQ","FILING_STATUS=MR","SCALING_FORMAT=MLN","Sort=A","Dates=H","DateFormat=P","Fill=—","Direction=H","UseDPDF=Y")</f>
        <v>100</v>
      </c>
      <c r="Q26" s="13">
        <f>_xll.BDH("AMZN US Equity","IS_ABNORMAL_ITEM","FQ3 2012","FQ3 2012","Currency=USD","Period=FQ","BEST_FPERIOD_OVERRIDE=FQ","FILING_STATUS=MR","SCALING_FORMAT=MLN","Sort=A","Dates=H","DateFormat=P","Fill=—","Direction=H","UseDPDF=Y")</f>
        <v>145</v>
      </c>
      <c r="R26" s="13">
        <f>_xll.BDH("AMZN US Equity","IS_ABNORMAL_ITEM","FQ4 2012","FQ4 2012","Currency=USD","Period=FQ","BEST_FPERIOD_OVERRIDE=FQ","FILING_STATUS=MR","SCALING_FORMAT=MLN","Sort=A","Dates=H","DateFormat=P","Fill=—","Direction=H","UseDPDF=Y")</f>
        <v>25</v>
      </c>
      <c r="S26" s="13">
        <f>_xll.BDH("AMZN US Equity","IS_ABNORMAL_ITEM","FQ1 2013","FQ1 2013","Currency=USD","Period=FQ","BEST_FPERIOD_OVERRIDE=FQ","FILING_STATUS=MR","SCALING_FORMAT=MLN","Sort=A","Dates=H","DateFormat=P","Fill=—","Direction=H","UseDPDF=Y")</f>
        <v>0</v>
      </c>
      <c r="T26" s="13">
        <f>_xll.BDH("AMZN US Equity","IS_ABNORMAL_ITEM","FQ2 2013","FQ2 2013","Currency=USD","Period=FQ","BEST_FPERIOD_OVERRIDE=FQ","FILING_STATUS=MR","SCALING_FORMAT=MLN","Sort=A","Dates=H","DateFormat=P","Fill=—","Direction=H","UseDPDF=Y")</f>
        <v>0</v>
      </c>
      <c r="U26" s="13">
        <f>_xll.BDH("AMZN US Equity","IS_ABNORMAL_ITEM","FQ3 2013","FQ3 2013","Currency=USD","Period=FQ","BEST_FPERIOD_OVERRIDE=FQ","FILING_STATUS=MR","SCALING_FORMAT=MLN","Sort=A","Dates=H","DateFormat=P","Fill=—","Direction=H","UseDPDF=Y")</f>
        <v>0</v>
      </c>
      <c r="V26" s="13">
        <f>_xll.BDH("AMZN US Equity","IS_ABNORMAL_ITEM","FQ4 2013","FQ4 2013","Currency=USD","Period=FQ","BEST_FPERIOD_OVERRIDE=FQ","FILING_STATUS=MR","SCALING_FORMAT=MLN","Sort=A","Dates=H","DateFormat=P","Fill=—","Direction=H","UseDPDF=Y")</f>
        <v>0</v>
      </c>
      <c r="W26" s="13">
        <f>_xll.BDH("AMZN US Equity","IS_ABNORMAL_ITEM","FQ1 2014","FQ1 2014","Currency=USD","Period=FQ","BEST_FPERIOD_OVERRIDE=FQ","FILING_STATUS=MR","SCALING_FORMAT=MLN","Sort=A","Dates=H","DateFormat=P","Fill=—","Direction=H","UseDPDF=Y")</f>
        <v>0</v>
      </c>
      <c r="X26" s="13">
        <f>_xll.BDH("AMZN US Equity","IS_ABNORMAL_ITEM","FQ2 2014","FQ2 2014","Currency=USD","Period=FQ","BEST_FPERIOD_OVERRIDE=FQ","FILING_STATUS=MR","SCALING_FORMAT=MLN","Sort=A","Dates=H","DateFormat=P","Fill=—","Direction=H","UseDPDF=Y")</f>
        <v>0</v>
      </c>
      <c r="Y26" s="13">
        <f>_xll.BDH("AMZN US Equity","IS_ABNORMAL_ITEM","FQ3 2014","FQ3 2014","Currency=USD","Period=FQ","BEST_FPERIOD_OVERRIDE=FQ","FILING_STATUS=MR","SCALING_FORMAT=MLN","Sort=A","Dates=H","DateFormat=P","Fill=—","Direction=H","UseDPDF=Y")</f>
        <v>170</v>
      </c>
      <c r="Z26" s="13">
        <f>_xll.BDH("AMZN US Equity","IS_ABNORMAL_ITEM","FQ4 2014","FQ4 2014","Currency=USD","Period=FQ","BEST_FPERIOD_OVERRIDE=FQ","FILING_STATUS=MR","SCALING_FORMAT=MLN","Sort=A","Dates=H","DateFormat=P","Fill=—","Direction=H","UseDPDF=Y")</f>
        <v>0</v>
      </c>
      <c r="AA26" s="13">
        <f>_xll.BDH("AMZN US Equity","IS_ABNORMAL_ITEM","FQ1 2015","FQ1 2015","Currency=USD","Period=FQ","BEST_FPERIOD_OVERRIDE=FQ","FILING_STATUS=MR","SCALING_FORMAT=MLN","Sort=A","Dates=H","DateFormat=P","Fill=—","Direction=H","UseDPDF=Y")</f>
        <v>1</v>
      </c>
      <c r="AB26" s="13">
        <f>_xll.BDH("AMZN US Equity","IS_ABNORMAL_ITEM","FQ2 2015","FQ2 2015","Currency=USD","Period=FQ","BEST_FPERIOD_OVERRIDE=FQ","FILING_STATUS=MR","SCALING_FORMAT=MLN","Sort=A","Dates=H","DateFormat=P","Fill=—","Direction=H","UseDPDF=Y")</f>
        <v>1</v>
      </c>
      <c r="AC26" s="13">
        <f>_xll.BDH("AMZN US Equity","IS_ABNORMAL_ITEM","FQ3 2015","FQ3 2015","Currency=USD","Period=FQ","BEST_FPERIOD_OVERRIDE=FQ","FILING_STATUS=MR","SCALING_FORMAT=MLN","Sort=A","Dates=H","DateFormat=P","Fill=—","Direction=H","UseDPDF=Y")</f>
        <v>0</v>
      </c>
      <c r="AD26" s="13">
        <f>_xll.BDH("AMZN US Equity","IS_ABNORMAL_ITEM","FQ4 2015","FQ4 2015","Currency=USD","Period=FQ","BEST_FPERIOD_OVERRIDE=FQ","FILING_STATUS=MR","SCALING_FORMAT=MLN","Sort=A","Dates=H","DateFormat=P","Fill=—","Direction=H","UseDPDF=Y")</f>
        <v>3</v>
      </c>
      <c r="AE26" s="13">
        <f>_xll.BDH("AMZN US Equity","IS_ABNORMAL_ITEM","FQ1 2016","FQ1 2016","Currency=USD","Period=FQ","BEST_FPERIOD_OVERRIDE=FQ","FILING_STATUS=MR","SCALING_FORMAT=MLN","Sort=A","Dates=H","DateFormat=P","Fill=—","Direction=H","UseDPDF=Y")</f>
        <v>0</v>
      </c>
      <c r="AF26" s="13">
        <f>_xll.BDH("AMZN US Equity","IS_ABNORMAL_ITEM","FQ2 2016","FQ2 2016","Currency=USD","Period=FQ","BEST_FPERIOD_OVERRIDE=FQ","FILING_STATUS=MR","SCALING_FORMAT=MLN","Sort=A","Dates=H","DateFormat=P","Fill=—","Direction=H","UseDPDF=Y")</f>
        <v>0</v>
      </c>
      <c r="AG26" s="13">
        <f>_xll.BDH("AMZN US Equity","IS_ABNORMAL_ITEM","FQ3 2016","FQ3 2016","Currency=USD","Period=FQ","BEST_FPERIOD_OVERRIDE=FQ","FILING_STATUS=MR","SCALING_FORMAT=MLN","Sort=A","Dates=H","DateFormat=P","Fill=—","Direction=H","UseDPDF=Y")</f>
        <v>0</v>
      </c>
      <c r="AH26" s="13">
        <f>_xll.BDH("AMZN US Equity","IS_ABNORMAL_ITEM","FQ4 2016","FQ4 2016","Currency=USD","Period=FQ","BEST_FPERIOD_OVERRIDE=FQ","FILING_STATUS=MR","SCALING_FORMAT=MLN","Sort=A","Dates=H","DateFormat=P","Fill=—","Direction=H","UseDPDF=Y")</f>
        <v>5</v>
      </c>
      <c r="AI26" s="13">
        <f>_xll.BDH("AMZN US Equity","IS_ABNORMAL_ITEM","FQ1 2017","FQ1 2017","Currency=USD","Period=FQ","BEST_FPERIOD_OVERRIDE=FQ","FILING_STATUS=MR","SCALING_FORMAT=MLN","Sort=A","Dates=H","DateFormat=P","Fill=—","Direction=H","UseDPDF=Y")</f>
        <v>0</v>
      </c>
      <c r="AJ26" s="13">
        <f>_xll.BDH("AMZN US Equity","IS_ABNORMAL_ITEM","FQ2 2017","FQ2 2017","Currency=USD","Period=FQ","BEST_FPERIOD_OVERRIDE=FQ","FILING_STATUS=MR","SCALING_FORMAT=MLN","Sort=A","Dates=H","DateFormat=P","Fill=—","Direction=H","UseDPDF=Y")</f>
        <v>0</v>
      </c>
      <c r="AK26" s="13">
        <f>_xll.BDH("AMZN US Equity","IS_ABNORMAL_ITEM","FQ3 2017","FQ3 2017","Currency=USD","Period=FQ","BEST_FPERIOD_OVERRIDE=FQ","FILING_STATUS=MR","SCALING_FORMAT=MLN","Sort=A","Dates=H","DateFormat=P","Fill=—","Direction=H","UseDPDF=Y")</f>
        <v>0</v>
      </c>
      <c r="AL26" s="13">
        <f>_xll.BDH("AMZN US Equity","IS_ABNORMAL_ITEM","FQ4 2017","FQ4 2017","Currency=USD","Period=FQ","BEST_FPERIOD_OVERRIDE=FQ","FILING_STATUS=MR","SCALING_FORMAT=MLN","Sort=A","Dates=H","DateFormat=P","Fill=—","Direction=H","UseDPDF=Y")</f>
        <v>0</v>
      </c>
      <c r="AM26" s="13">
        <f>_xll.BDH("AMZN US Equity","IS_ABNORMAL_ITEM","FQ1 2018","FQ1 2018","Currency=USD","Period=FQ","BEST_FPERIOD_OVERRIDE=FQ","FILING_STATUS=MR","SCALING_FORMAT=MLN","Sort=A","Dates=H","DateFormat=P","Fill=—","Direction=H","UseDPDF=Y")</f>
        <v>0</v>
      </c>
      <c r="AN26" s="13">
        <f>_xll.BDH("AMZN US Equity","IS_ABNORMAL_ITEM","FQ2 2018","FQ2 2018","Currency=USD","Period=FQ","BEST_FPERIOD_OVERRIDE=FQ","FILING_STATUS=MR","SCALING_FORMAT=MLN","Sort=A","Dates=H","DateFormat=P","Fill=—","Direction=H","UseDPDF=Y")</f>
        <v>0</v>
      </c>
      <c r="AO26" s="13"/>
      <c r="AP26" s="13"/>
    </row>
    <row r="27" spans="1:42" x14ac:dyDescent="0.25">
      <c r="A27" s="10" t="s">
        <v>128</v>
      </c>
      <c r="B27" s="10" t="s">
        <v>129</v>
      </c>
      <c r="C27" s="13" t="str">
        <f>_xll.BDH("AMZN US Equity","IS_MERGER_ACQUISITION_EXPENSE","FQ1 2009","FQ1 2009","Currency=USD","Period=FQ","BEST_FPERIOD_OVERRIDE=FQ","FILING_STATUS=MR","SCALING_FORMAT=MLN","Sort=A","Dates=H","DateFormat=P","Fill=—","Direction=H","UseDPDF=Y")</f>
        <v>—</v>
      </c>
      <c r="D27" s="13" t="str">
        <f>_xll.BDH("AMZN US Equity","IS_MERGER_ACQUISITION_EXPENSE","FQ2 2009","FQ2 2009","Currency=USD","Period=FQ","BEST_FPERIOD_OVERRIDE=FQ","FILING_STATUS=MR","SCALING_FORMAT=MLN","Sort=A","Dates=H","DateFormat=P","Fill=—","Direction=H","UseDPDF=Y")</f>
        <v>—</v>
      </c>
      <c r="E27" s="13" t="str">
        <f>_xll.BDH("AMZN US Equity","IS_MERGER_ACQUISITION_EXPENSE","FQ3 2009","FQ3 2009","Currency=USD","Period=FQ","BEST_FPERIOD_OVERRIDE=FQ","FILING_STATUS=MR","SCALING_FORMAT=MLN","Sort=A","Dates=H","DateFormat=P","Fill=—","Direction=H","UseDPDF=Y")</f>
        <v>—</v>
      </c>
      <c r="F27" s="13" t="str">
        <f>_xll.BDH("AMZN US Equity","IS_MERGER_ACQUISITION_EXPENSE","FQ4 2009","FQ4 2009","Currency=USD","Period=FQ","BEST_FPERIOD_OVERRIDE=FQ","FILING_STATUS=MR","SCALING_FORMAT=MLN","Sort=A","Dates=H","DateFormat=P","Fill=—","Direction=H","UseDPDF=Y")</f>
        <v>—</v>
      </c>
      <c r="G27" s="13" t="str">
        <f>_xll.BDH("AMZN US Equity","IS_MERGER_ACQUISITION_EXPENSE","FQ1 2010","FQ1 2010","Currency=USD","Period=FQ","BEST_FPERIOD_OVERRIDE=FQ","FILING_STATUS=MR","SCALING_FORMAT=MLN","Sort=A","Dates=H","DateFormat=P","Fill=—","Direction=H","UseDPDF=Y")</f>
        <v>—</v>
      </c>
      <c r="H27" s="13" t="str">
        <f>_xll.BDH("AMZN US Equity","IS_MERGER_ACQUISITION_EXPENSE","FQ2 2010","FQ2 2010","Currency=USD","Period=FQ","BEST_FPERIOD_OVERRIDE=FQ","FILING_STATUS=MR","SCALING_FORMAT=MLN","Sort=A","Dates=H","DateFormat=P","Fill=—","Direction=H","UseDPDF=Y")</f>
        <v>—</v>
      </c>
      <c r="I27" s="13" t="str">
        <f>_xll.BDH("AMZN US Equity","IS_MERGER_ACQUISITION_EXPENSE","FQ3 2010","FQ3 2010","Currency=USD","Period=FQ","BEST_FPERIOD_OVERRIDE=FQ","FILING_STATUS=MR","SCALING_FORMAT=MLN","Sort=A","Dates=H","DateFormat=P","Fill=—","Direction=H","UseDPDF=Y")</f>
        <v>—</v>
      </c>
      <c r="J27" s="13" t="str">
        <f>_xll.BDH("AMZN US Equity","IS_MERGER_ACQUISITION_EXPENSE","FQ4 2010","FQ4 2010","Currency=USD","Period=FQ","BEST_FPERIOD_OVERRIDE=FQ","FILING_STATUS=MR","SCALING_FORMAT=MLN","Sort=A","Dates=H","DateFormat=P","Fill=—","Direction=H","UseDPDF=Y")</f>
        <v>—</v>
      </c>
      <c r="K27" s="13" t="str">
        <f>_xll.BDH("AMZN US Equity","IS_MERGER_ACQUISITION_EXPENSE","FQ1 2011","FQ1 2011","Currency=USD","Period=FQ","BEST_FPERIOD_OVERRIDE=FQ","FILING_STATUS=MR","SCALING_FORMAT=MLN","Sort=A","Dates=H","DateFormat=P","Fill=—","Direction=H","UseDPDF=Y")</f>
        <v>—</v>
      </c>
      <c r="L27" s="13" t="str">
        <f>_xll.BDH("AMZN US Equity","IS_MERGER_ACQUISITION_EXPENSE","FQ2 2011","FQ2 2011","Currency=USD","Period=FQ","BEST_FPERIOD_OVERRIDE=FQ","FILING_STATUS=MR","SCALING_FORMAT=MLN","Sort=A","Dates=H","DateFormat=P","Fill=—","Direction=H","UseDPDF=Y")</f>
        <v>—</v>
      </c>
      <c r="M27" s="13" t="str">
        <f>_xll.BDH("AMZN US Equity","IS_MERGER_ACQUISITION_EXPENSE","FQ3 2011","FQ3 2011","Currency=USD","Period=FQ","BEST_FPERIOD_OVERRIDE=FQ","FILING_STATUS=MR","SCALING_FORMAT=MLN","Sort=A","Dates=H","DateFormat=P","Fill=—","Direction=H","UseDPDF=Y")</f>
        <v>—</v>
      </c>
      <c r="N27" s="13" t="str">
        <f>_xll.BDH("AMZN US Equity","IS_MERGER_ACQUISITION_EXPENSE","FQ4 2011","FQ4 2011","Currency=USD","Period=FQ","BEST_FPERIOD_OVERRIDE=FQ","FILING_STATUS=MR","SCALING_FORMAT=MLN","Sort=A","Dates=H","DateFormat=P","Fill=—","Direction=H","UseDPDF=Y")</f>
        <v>—</v>
      </c>
      <c r="O27" s="13" t="str">
        <f>_xll.BDH("AMZN US Equity","IS_MERGER_ACQUISITION_EXPENSE","FQ1 2012","FQ1 2012","Currency=USD","Period=FQ","BEST_FPERIOD_OVERRIDE=FQ","FILING_STATUS=MR","SCALING_FORMAT=MLN","Sort=A","Dates=H","DateFormat=P","Fill=—","Direction=H","UseDPDF=Y")</f>
        <v>—</v>
      </c>
      <c r="P27" s="13">
        <f>_xll.BDH("AMZN US Equity","IS_MERGER_ACQUISITION_EXPENSE","FQ2 2012","FQ2 2012","Currency=USD","Period=FQ","BEST_FPERIOD_OVERRIDE=FQ","FILING_STATUS=MR","SCALING_FORMAT=MLN","Sort=A","Dates=H","DateFormat=P","Fill=—","Direction=H","UseDPDF=Y")</f>
        <v>100</v>
      </c>
      <c r="Q27" s="13" t="str">
        <f>_xll.BDH("AMZN US Equity","IS_MERGER_ACQUISITION_EXPENSE","FQ3 2012","FQ3 2012","Currency=USD","Period=FQ","BEST_FPERIOD_OVERRIDE=FQ","FILING_STATUS=MR","SCALING_FORMAT=MLN","Sort=A","Dates=H","DateFormat=P","Fill=—","Direction=H","UseDPDF=Y")</f>
        <v>—</v>
      </c>
      <c r="R27" s="13" t="str">
        <f>_xll.BDH("AMZN US Equity","IS_MERGER_ACQUISITION_EXPENSE","FQ4 2012","FQ4 2012","Currency=USD","Period=FQ","BEST_FPERIOD_OVERRIDE=FQ","FILING_STATUS=MR","SCALING_FORMAT=MLN","Sort=A","Dates=H","DateFormat=P","Fill=—","Direction=H","UseDPDF=Y")</f>
        <v>—</v>
      </c>
      <c r="S27" s="13" t="str">
        <f>_xll.BDH("AMZN US Equity","IS_MERGER_ACQUISITION_EXPENSE","FQ1 2013","FQ1 2013","Currency=USD","Period=FQ","BEST_FPERIOD_OVERRIDE=FQ","FILING_STATUS=MR","SCALING_FORMAT=MLN","Sort=A","Dates=H","DateFormat=P","Fill=—","Direction=H","UseDPDF=Y")</f>
        <v>—</v>
      </c>
      <c r="T27" s="13" t="str">
        <f>_xll.BDH("AMZN US Equity","IS_MERGER_ACQUISITION_EXPENSE","FQ2 2013","FQ2 2013","Currency=USD","Period=FQ","BEST_FPERIOD_OVERRIDE=FQ","FILING_STATUS=MR","SCALING_FORMAT=MLN","Sort=A","Dates=H","DateFormat=P","Fill=—","Direction=H","UseDPDF=Y")</f>
        <v>—</v>
      </c>
      <c r="U27" s="13" t="str">
        <f>_xll.BDH("AMZN US Equity","IS_MERGER_ACQUISITION_EXPENSE","FQ3 2013","FQ3 2013","Currency=USD","Period=FQ","BEST_FPERIOD_OVERRIDE=FQ","FILING_STATUS=MR","SCALING_FORMAT=MLN","Sort=A","Dates=H","DateFormat=P","Fill=—","Direction=H","UseDPDF=Y")</f>
        <v>—</v>
      </c>
      <c r="V27" s="13" t="str">
        <f>_xll.BDH("AMZN US Equity","IS_MERGER_ACQUISITION_EXPENSE","FQ4 2013","FQ4 2013","Currency=USD","Period=FQ","BEST_FPERIOD_OVERRIDE=FQ","FILING_STATUS=MR","SCALING_FORMAT=MLN","Sort=A","Dates=H","DateFormat=P","Fill=—","Direction=H","UseDPDF=Y")</f>
        <v>—</v>
      </c>
      <c r="W27" s="13" t="str">
        <f>_xll.BDH("AMZN US Equity","IS_MERGER_ACQUISITION_EXPENSE","FQ1 2014","FQ1 2014","Currency=USD","Period=FQ","BEST_FPERIOD_OVERRIDE=FQ","FILING_STATUS=MR","SCALING_FORMAT=MLN","Sort=A","Dates=H","DateFormat=P","Fill=—","Direction=H","UseDPDF=Y")</f>
        <v>—</v>
      </c>
      <c r="X27" s="13" t="str">
        <f>_xll.BDH("AMZN US Equity","IS_MERGER_ACQUISITION_EXPENSE","FQ2 2014","FQ2 2014","Currency=USD","Period=FQ","BEST_FPERIOD_OVERRIDE=FQ","FILING_STATUS=MR","SCALING_FORMAT=MLN","Sort=A","Dates=H","DateFormat=P","Fill=—","Direction=H","UseDPDF=Y")</f>
        <v>—</v>
      </c>
      <c r="Y27" s="13" t="str">
        <f>_xll.BDH("AMZN US Equity","IS_MERGER_ACQUISITION_EXPENSE","FQ3 2014","FQ3 2014","Currency=USD","Period=FQ","BEST_FPERIOD_OVERRIDE=FQ","FILING_STATUS=MR","SCALING_FORMAT=MLN","Sort=A","Dates=H","DateFormat=P","Fill=—","Direction=H","UseDPDF=Y")</f>
        <v>—</v>
      </c>
      <c r="Z27" s="13" t="str">
        <f>_xll.BDH("AMZN US Equity","IS_MERGER_ACQUISITION_EXPENSE","FQ4 2014","FQ4 2014","Currency=USD","Period=FQ","BEST_FPERIOD_OVERRIDE=FQ","FILING_STATUS=MR","SCALING_FORMAT=MLN","Sort=A","Dates=H","DateFormat=P","Fill=—","Direction=H","UseDPDF=Y")</f>
        <v>—</v>
      </c>
      <c r="AA27" s="13" t="str">
        <f>_xll.BDH("AMZN US Equity","IS_MERGER_ACQUISITION_EXPENSE","FQ1 2015","FQ1 2015","Currency=USD","Period=FQ","BEST_FPERIOD_OVERRIDE=FQ","FILING_STATUS=MR","SCALING_FORMAT=MLN","Sort=A","Dates=H","DateFormat=P","Fill=—","Direction=H","UseDPDF=Y")</f>
        <v>—</v>
      </c>
      <c r="AB27" s="13" t="str">
        <f>_xll.BDH("AMZN US Equity","IS_MERGER_ACQUISITION_EXPENSE","FQ2 2015","FQ2 2015","Currency=USD","Period=FQ","BEST_FPERIOD_OVERRIDE=FQ","FILING_STATUS=MR","SCALING_FORMAT=MLN","Sort=A","Dates=H","DateFormat=P","Fill=—","Direction=H","UseDPDF=Y")</f>
        <v>—</v>
      </c>
      <c r="AC27" s="13" t="str">
        <f>_xll.BDH("AMZN US Equity","IS_MERGER_ACQUISITION_EXPENSE","FQ3 2015","FQ3 2015","Currency=USD","Period=FQ","BEST_FPERIOD_OVERRIDE=FQ","FILING_STATUS=MR","SCALING_FORMAT=MLN","Sort=A","Dates=H","DateFormat=P","Fill=—","Direction=H","UseDPDF=Y")</f>
        <v>—</v>
      </c>
      <c r="AD27" s="13" t="str">
        <f>_xll.BDH("AMZN US Equity","IS_MERGER_ACQUISITION_EXPENSE","FQ4 2015","FQ4 2015","Currency=USD","Period=FQ","BEST_FPERIOD_OVERRIDE=FQ","FILING_STATUS=MR","SCALING_FORMAT=MLN","Sort=A","Dates=H","DateFormat=P","Fill=—","Direction=H","UseDPDF=Y")</f>
        <v>—</v>
      </c>
      <c r="AE27" s="13" t="str">
        <f>_xll.BDH("AMZN US Equity","IS_MERGER_ACQUISITION_EXPENSE","FQ1 2016","FQ1 2016","Currency=USD","Period=FQ","BEST_FPERIOD_OVERRIDE=FQ","FILING_STATUS=MR","SCALING_FORMAT=MLN","Sort=A","Dates=H","DateFormat=P","Fill=—","Direction=H","UseDPDF=Y")</f>
        <v>—</v>
      </c>
      <c r="AF27" s="13" t="str">
        <f>_xll.BDH("AMZN US Equity","IS_MERGER_ACQUISITION_EXPENSE","FQ2 2016","FQ2 2016","Currency=USD","Period=FQ","BEST_FPERIOD_OVERRIDE=FQ","FILING_STATUS=MR","SCALING_FORMAT=MLN","Sort=A","Dates=H","DateFormat=P","Fill=—","Direction=H","UseDPDF=Y")</f>
        <v>—</v>
      </c>
      <c r="AG27" s="13" t="str">
        <f>_xll.BDH("AMZN US Equity","IS_MERGER_ACQUISITION_EXPENSE","FQ3 2016","FQ3 2016","Currency=USD","Period=FQ","BEST_FPERIOD_OVERRIDE=FQ","FILING_STATUS=MR","SCALING_FORMAT=MLN","Sort=A","Dates=H","DateFormat=P","Fill=—","Direction=H","UseDPDF=Y")</f>
        <v>—</v>
      </c>
      <c r="AH27" s="13" t="str">
        <f>_xll.BDH("AMZN US Equity","IS_MERGER_ACQUISITION_EXPENSE","FQ4 2016","FQ4 2016","Currency=USD","Period=FQ","BEST_FPERIOD_OVERRIDE=FQ","FILING_STATUS=MR","SCALING_FORMAT=MLN","Sort=A","Dates=H","DateFormat=P","Fill=—","Direction=H","UseDPDF=Y")</f>
        <v>—</v>
      </c>
      <c r="AI27" s="13" t="str">
        <f>_xll.BDH("AMZN US Equity","IS_MERGER_ACQUISITION_EXPENSE","FQ1 2017","FQ1 2017","Currency=USD","Period=FQ","BEST_FPERIOD_OVERRIDE=FQ","FILING_STATUS=MR","SCALING_FORMAT=MLN","Sort=A","Dates=H","DateFormat=P","Fill=—","Direction=H","UseDPDF=Y")</f>
        <v>—</v>
      </c>
      <c r="AJ27" s="13" t="str">
        <f>_xll.BDH("AMZN US Equity","IS_MERGER_ACQUISITION_EXPENSE","FQ2 2017","FQ2 2017","Currency=USD","Period=FQ","BEST_FPERIOD_OVERRIDE=FQ","FILING_STATUS=MR","SCALING_FORMAT=MLN","Sort=A","Dates=H","DateFormat=P","Fill=—","Direction=H","UseDPDF=Y")</f>
        <v>—</v>
      </c>
      <c r="AK27" s="13" t="str">
        <f>_xll.BDH("AMZN US Equity","IS_MERGER_ACQUISITION_EXPENSE","FQ3 2017","FQ3 2017","Currency=USD","Period=FQ","BEST_FPERIOD_OVERRIDE=FQ","FILING_STATUS=MR","SCALING_FORMAT=MLN","Sort=A","Dates=H","DateFormat=P","Fill=—","Direction=H","UseDPDF=Y")</f>
        <v>—</v>
      </c>
      <c r="AL27" s="13" t="str">
        <f>_xll.BDH("AMZN US Equity","IS_MERGER_ACQUISITION_EXPENSE","FQ4 2017","FQ4 2017","Currency=USD","Period=FQ","BEST_FPERIOD_OVERRIDE=FQ","FILING_STATUS=MR","SCALING_FORMAT=MLN","Sort=A","Dates=H","DateFormat=P","Fill=—","Direction=H","UseDPDF=Y")</f>
        <v>—</v>
      </c>
      <c r="AM27" s="13" t="str">
        <f>_xll.BDH("AMZN US Equity","IS_MERGER_ACQUISITION_EXPENSE","FQ1 2018","FQ1 2018","Currency=USD","Period=FQ","BEST_FPERIOD_OVERRIDE=FQ","FILING_STATUS=MR","SCALING_FORMAT=MLN","Sort=A","Dates=H","DateFormat=P","Fill=—","Direction=H","UseDPDF=Y")</f>
        <v>—</v>
      </c>
      <c r="AN27" s="13" t="str">
        <f>_xll.BDH("AMZN US Equity","IS_MERGER_ACQUISITION_EXPENSE","FQ2 2018","FQ2 2018","Currency=USD","Period=FQ","BEST_FPERIOD_OVERRIDE=FQ","FILING_STATUS=MR","SCALING_FORMAT=MLN","Sort=A","Dates=H","DateFormat=P","Fill=—","Direction=H","UseDPDF=Y")</f>
        <v>—</v>
      </c>
      <c r="AO27" s="13"/>
      <c r="AP27" s="13"/>
    </row>
    <row r="28" spans="1:42" x14ac:dyDescent="0.25">
      <c r="A28" s="10" t="s">
        <v>130</v>
      </c>
      <c r="B28" s="10" t="s">
        <v>131</v>
      </c>
      <c r="C28" s="13" t="str">
        <f>_xll.BDH("AMZN US Equity","IS_LEGAL_LITIGATION_SETTLEMENT","FQ1 2009","FQ1 2009","Currency=USD","Period=FQ","BEST_FPERIOD_OVERRIDE=FQ","FILING_STATUS=MR","SCALING_FORMAT=MLN","Sort=A","Dates=H","DateFormat=P","Fill=—","Direction=H","UseDPDF=Y")</f>
        <v>—</v>
      </c>
      <c r="D28" s="13">
        <f>_xll.BDH("AMZN US Equity","IS_LEGAL_LITIGATION_SETTLEMENT","FQ2 2009","FQ2 2009","Currency=USD","Period=FQ","BEST_FPERIOD_OVERRIDE=FQ","FILING_STATUS=MR","SCALING_FORMAT=MLN","Sort=A","Dates=H","DateFormat=P","Fill=—","Direction=H","UseDPDF=Y")</f>
        <v>51</v>
      </c>
      <c r="E28" s="13" t="str">
        <f>_xll.BDH("AMZN US Equity","IS_LEGAL_LITIGATION_SETTLEMENT","FQ3 2009","FQ3 2009","Currency=USD","Period=FQ","BEST_FPERIOD_OVERRIDE=FQ","FILING_STATUS=MR","SCALING_FORMAT=MLN","Sort=A","Dates=H","DateFormat=P","Fill=—","Direction=H","UseDPDF=Y")</f>
        <v>—</v>
      </c>
      <c r="F28" s="13" t="str">
        <f>_xll.BDH("AMZN US Equity","IS_LEGAL_LITIGATION_SETTLEMENT","FQ4 2009","FQ4 2009","Currency=USD","Period=FQ","BEST_FPERIOD_OVERRIDE=FQ","FILING_STATUS=MR","SCALING_FORMAT=MLN","Sort=A","Dates=H","DateFormat=P","Fill=—","Direction=H","UseDPDF=Y")</f>
        <v>—</v>
      </c>
      <c r="G28" s="13" t="str">
        <f>_xll.BDH("AMZN US Equity","IS_LEGAL_LITIGATION_SETTLEMENT","FQ1 2010","FQ1 2010","Currency=USD","Period=FQ","BEST_FPERIOD_OVERRIDE=FQ","FILING_STATUS=MR","SCALING_FORMAT=MLN","Sort=A","Dates=H","DateFormat=P","Fill=—","Direction=H","UseDPDF=Y")</f>
        <v>—</v>
      </c>
      <c r="H28" s="13" t="str">
        <f>_xll.BDH("AMZN US Equity","IS_LEGAL_LITIGATION_SETTLEMENT","FQ2 2010","FQ2 2010","Currency=USD","Period=FQ","BEST_FPERIOD_OVERRIDE=FQ","FILING_STATUS=MR","SCALING_FORMAT=MLN","Sort=A","Dates=H","DateFormat=P","Fill=—","Direction=H","UseDPDF=Y")</f>
        <v>—</v>
      </c>
      <c r="I28" s="13" t="str">
        <f>_xll.BDH("AMZN US Equity","IS_LEGAL_LITIGATION_SETTLEMENT","FQ3 2010","FQ3 2010","Currency=USD","Period=FQ","BEST_FPERIOD_OVERRIDE=FQ","FILING_STATUS=MR","SCALING_FORMAT=MLN","Sort=A","Dates=H","DateFormat=P","Fill=—","Direction=H","UseDPDF=Y")</f>
        <v>—</v>
      </c>
      <c r="J28" s="13" t="str">
        <f>_xll.BDH("AMZN US Equity","IS_LEGAL_LITIGATION_SETTLEMENT","FQ4 2010","FQ4 2010","Currency=USD","Period=FQ","BEST_FPERIOD_OVERRIDE=FQ","FILING_STATUS=MR","SCALING_FORMAT=MLN","Sort=A","Dates=H","DateFormat=P","Fill=—","Direction=H","UseDPDF=Y")</f>
        <v>—</v>
      </c>
      <c r="K28" s="13" t="str">
        <f>_xll.BDH("AMZN US Equity","IS_LEGAL_LITIGATION_SETTLEMENT","FQ1 2011","FQ1 2011","Currency=USD","Period=FQ","BEST_FPERIOD_OVERRIDE=FQ","FILING_STATUS=MR","SCALING_FORMAT=MLN","Sort=A","Dates=H","DateFormat=P","Fill=—","Direction=H","UseDPDF=Y")</f>
        <v>—</v>
      </c>
      <c r="L28" s="13" t="str">
        <f>_xll.BDH("AMZN US Equity","IS_LEGAL_LITIGATION_SETTLEMENT","FQ2 2011","FQ2 2011","Currency=USD","Period=FQ","BEST_FPERIOD_OVERRIDE=FQ","FILING_STATUS=MR","SCALING_FORMAT=MLN","Sort=A","Dates=H","DateFormat=P","Fill=—","Direction=H","UseDPDF=Y")</f>
        <v>—</v>
      </c>
      <c r="M28" s="13" t="str">
        <f>_xll.BDH("AMZN US Equity","IS_LEGAL_LITIGATION_SETTLEMENT","FQ3 2011","FQ3 2011","Currency=USD","Period=FQ","BEST_FPERIOD_OVERRIDE=FQ","FILING_STATUS=MR","SCALING_FORMAT=MLN","Sort=A","Dates=H","DateFormat=P","Fill=—","Direction=H","UseDPDF=Y")</f>
        <v>—</v>
      </c>
      <c r="N28" s="13" t="str">
        <f>_xll.BDH("AMZN US Equity","IS_LEGAL_LITIGATION_SETTLEMENT","FQ4 2011","FQ4 2011","Currency=USD","Period=FQ","BEST_FPERIOD_OVERRIDE=FQ","FILING_STATUS=MR","SCALING_FORMAT=MLN","Sort=A","Dates=H","DateFormat=P","Fill=—","Direction=H","UseDPDF=Y")</f>
        <v>—</v>
      </c>
      <c r="O28" s="13" t="str">
        <f>_xll.BDH("AMZN US Equity","IS_LEGAL_LITIGATION_SETTLEMENT","FQ1 2012","FQ1 2012","Currency=USD","Period=FQ","BEST_FPERIOD_OVERRIDE=FQ","FILING_STATUS=MR","SCALING_FORMAT=MLN","Sort=A","Dates=H","DateFormat=P","Fill=—","Direction=H","UseDPDF=Y")</f>
        <v>—</v>
      </c>
      <c r="P28" s="13" t="str">
        <f>_xll.BDH("AMZN US Equity","IS_LEGAL_LITIGATION_SETTLEMENT","FQ2 2012","FQ2 2012","Currency=USD","Period=FQ","BEST_FPERIOD_OVERRIDE=FQ","FILING_STATUS=MR","SCALING_FORMAT=MLN","Sort=A","Dates=H","DateFormat=P","Fill=—","Direction=H","UseDPDF=Y")</f>
        <v>—</v>
      </c>
      <c r="Q28" s="13" t="str">
        <f>_xll.BDH("AMZN US Equity","IS_LEGAL_LITIGATION_SETTLEMENT","FQ3 2012","FQ3 2012","Currency=USD","Period=FQ","BEST_FPERIOD_OVERRIDE=FQ","FILING_STATUS=MR","SCALING_FORMAT=MLN","Sort=A","Dates=H","DateFormat=P","Fill=—","Direction=H","UseDPDF=Y")</f>
        <v>—</v>
      </c>
      <c r="R28" s="13" t="str">
        <f>_xll.BDH("AMZN US Equity","IS_LEGAL_LITIGATION_SETTLEMENT","FQ4 2012","FQ4 2012","Currency=USD","Period=FQ","BEST_FPERIOD_OVERRIDE=FQ","FILING_STATUS=MR","SCALING_FORMAT=MLN","Sort=A","Dates=H","DateFormat=P","Fill=—","Direction=H","UseDPDF=Y")</f>
        <v>—</v>
      </c>
      <c r="S28" s="13" t="str">
        <f>_xll.BDH("AMZN US Equity","IS_LEGAL_LITIGATION_SETTLEMENT","FQ1 2013","FQ1 2013","Currency=USD","Period=FQ","BEST_FPERIOD_OVERRIDE=FQ","FILING_STATUS=MR","SCALING_FORMAT=MLN","Sort=A","Dates=H","DateFormat=P","Fill=—","Direction=H","UseDPDF=Y")</f>
        <v>—</v>
      </c>
      <c r="T28" s="13" t="str">
        <f>_xll.BDH("AMZN US Equity","IS_LEGAL_LITIGATION_SETTLEMENT","FQ2 2013","FQ2 2013","Currency=USD","Period=FQ","BEST_FPERIOD_OVERRIDE=FQ","FILING_STATUS=MR","SCALING_FORMAT=MLN","Sort=A","Dates=H","DateFormat=P","Fill=—","Direction=H","UseDPDF=Y")</f>
        <v>—</v>
      </c>
      <c r="U28" s="13" t="str">
        <f>_xll.BDH("AMZN US Equity","IS_LEGAL_LITIGATION_SETTLEMENT","FQ3 2013","FQ3 2013","Currency=USD","Period=FQ","BEST_FPERIOD_OVERRIDE=FQ","FILING_STATUS=MR","SCALING_FORMAT=MLN","Sort=A","Dates=H","DateFormat=P","Fill=—","Direction=H","UseDPDF=Y")</f>
        <v>—</v>
      </c>
      <c r="V28" s="13" t="str">
        <f>_xll.BDH("AMZN US Equity","IS_LEGAL_LITIGATION_SETTLEMENT","FQ4 2013","FQ4 2013","Currency=USD","Period=FQ","BEST_FPERIOD_OVERRIDE=FQ","FILING_STATUS=MR","SCALING_FORMAT=MLN","Sort=A","Dates=H","DateFormat=P","Fill=—","Direction=H","UseDPDF=Y")</f>
        <v>—</v>
      </c>
      <c r="W28" s="13" t="str">
        <f>_xll.BDH("AMZN US Equity","IS_LEGAL_LITIGATION_SETTLEMENT","FQ1 2014","FQ1 2014","Currency=USD","Period=FQ","BEST_FPERIOD_OVERRIDE=FQ","FILING_STATUS=MR","SCALING_FORMAT=MLN","Sort=A","Dates=H","DateFormat=P","Fill=—","Direction=H","UseDPDF=Y")</f>
        <v>—</v>
      </c>
      <c r="X28" s="13" t="str">
        <f>_xll.BDH("AMZN US Equity","IS_LEGAL_LITIGATION_SETTLEMENT","FQ2 2014","FQ2 2014","Currency=USD","Period=FQ","BEST_FPERIOD_OVERRIDE=FQ","FILING_STATUS=MR","SCALING_FORMAT=MLN","Sort=A","Dates=H","DateFormat=P","Fill=—","Direction=H","UseDPDF=Y")</f>
        <v>—</v>
      </c>
      <c r="Y28" s="13" t="str">
        <f>_xll.BDH("AMZN US Equity","IS_LEGAL_LITIGATION_SETTLEMENT","FQ3 2014","FQ3 2014","Currency=USD","Period=FQ","BEST_FPERIOD_OVERRIDE=FQ","FILING_STATUS=MR","SCALING_FORMAT=MLN","Sort=A","Dates=H","DateFormat=P","Fill=—","Direction=H","UseDPDF=Y")</f>
        <v>—</v>
      </c>
      <c r="Z28" s="13" t="str">
        <f>_xll.BDH("AMZN US Equity","IS_LEGAL_LITIGATION_SETTLEMENT","FQ4 2014","FQ4 2014","Currency=USD","Period=FQ","BEST_FPERIOD_OVERRIDE=FQ","FILING_STATUS=MR","SCALING_FORMAT=MLN","Sort=A","Dates=H","DateFormat=P","Fill=—","Direction=H","UseDPDF=Y")</f>
        <v>—</v>
      </c>
      <c r="AA28" s="13" t="str">
        <f>_xll.BDH("AMZN US Equity","IS_LEGAL_LITIGATION_SETTLEMENT","FQ1 2015","FQ1 2015","Currency=USD","Period=FQ","BEST_FPERIOD_OVERRIDE=FQ","FILING_STATUS=MR","SCALING_FORMAT=MLN","Sort=A","Dates=H","DateFormat=P","Fill=—","Direction=H","UseDPDF=Y")</f>
        <v>—</v>
      </c>
      <c r="AB28" s="13" t="str">
        <f>_xll.BDH("AMZN US Equity","IS_LEGAL_LITIGATION_SETTLEMENT","FQ2 2015","FQ2 2015","Currency=USD","Period=FQ","BEST_FPERIOD_OVERRIDE=FQ","FILING_STATUS=MR","SCALING_FORMAT=MLN","Sort=A","Dates=H","DateFormat=P","Fill=—","Direction=H","UseDPDF=Y")</f>
        <v>—</v>
      </c>
      <c r="AC28" s="13" t="str">
        <f>_xll.BDH("AMZN US Equity","IS_LEGAL_LITIGATION_SETTLEMENT","FQ3 2015","FQ3 2015","Currency=USD","Period=FQ","BEST_FPERIOD_OVERRIDE=FQ","FILING_STATUS=MR","SCALING_FORMAT=MLN","Sort=A","Dates=H","DateFormat=P","Fill=—","Direction=H","UseDPDF=Y")</f>
        <v>—</v>
      </c>
      <c r="AD28" s="13" t="str">
        <f>_xll.BDH("AMZN US Equity","IS_LEGAL_LITIGATION_SETTLEMENT","FQ4 2015","FQ4 2015","Currency=USD","Period=FQ","BEST_FPERIOD_OVERRIDE=FQ","FILING_STATUS=MR","SCALING_FORMAT=MLN","Sort=A","Dates=H","DateFormat=P","Fill=—","Direction=H","UseDPDF=Y")</f>
        <v>—</v>
      </c>
      <c r="AE28" s="13" t="str">
        <f>_xll.BDH("AMZN US Equity","IS_LEGAL_LITIGATION_SETTLEMENT","FQ1 2016","FQ1 2016","Currency=USD","Period=FQ","BEST_FPERIOD_OVERRIDE=FQ","FILING_STATUS=MR","SCALING_FORMAT=MLN","Sort=A","Dates=H","DateFormat=P","Fill=—","Direction=H","UseDPDF=Y")</f>
        <v>—</v>
      </c>
      <c r="AF28" s="13" t="str">
        <f>_xll.BDH("AMZN US Equity","IS_LEGAL_LITIGATION_SETTLEMENT","FQ2 2016","FQ2 2016","Currency=USD","Period=FQ","BEST_FPERIOD_OVERRIDE=FQ","FILING_STATUS=MR","SCALING_FORMAT=MLN","Sort=A","Dates=H","DateFormat=P","Fill=—","Direction=H","UseDPDF=Y")</f>
        <v>—</v>
      </c>
      <c r="AG28" s="13" t="str">
        <f>_xll.BDH("AMZN US Equity","IS_LEGAL_LITIGATION_SETTLEMENT","FQ3 2016","FQ3 2016","Currency=USD","Period=FQ","BEST_FPERIOD_OVERRIDE=FQ","FILING_STATUS=MR","SCALING_FORMAT=MLN","Sort=A","Dates=H","DateFormat=P","Fill=—","Direction=H","UseDPDF=Y")</f>
        <v>—</v>
      </c>
      <c r="AH28" s="13" t="str">
        <f>_xll.BDH("AMZN US Equity","IS_LEGAL_LITIGATION_SETTLEMENT","FQ4 2016","FQ4 2016","Currency=USD","Period=FQ","BEST_FPERIOD_OVERRIDE=FQ","FILING_STATUS=MR","SCALING_FORMAT=MLN","Sort=A","Dates=H","DateFormat=P","Fill=—","Direction=H","UseDPDF=Y")</f>
        <v>—</v>
      </c>
      <c r="AI28" s="13" t="str">
        <f>_xll.BDH("AMZN US Equity","IS_LEGAL_LITIGATION_SETTLEMENT","FQ1 2017","FQ1 2017","Currency=USD","Period=FQ","BEST_FPERIOD_OVERRIDE=FQ","FILING_STATUS=MR","SCALING_FORMAT=MLN","Sort=A","Dates=H","DateFormat=P","Fill=—","Direction=H","UseDPDF=Y")</f>
        <v>—</v>
      </c>
      <c r="AJ28" s="13" t="str">
        <f>_xll.BDH("AMZN US Equity","IS_LEGAL_LITIGATION_SETTLEMENT","FQ2 2017","FQ2 2017","Currency=USD","Period=FQ","BEST_FPERIOD_OVERRIDE=FQ","FILING_STATUS=MR","SCALING_FORMAT=MLN","Sort=A","Dates=H","DateFormat=P","Fill=—","Direction=H","UseDPDF=Y")</f>
        <v>—</v>
      </c>
      <c r="AK28" s="13" t="str">
        <f>_xll.BDH("AMZN US Equity","IS_LEGAL_LITIGATION_SETTLEMENT","FQ3 2017","FQ3 2017","Currency=USD","Period=FQ","BEST_FPERIOD_OVERRIDE=FQ","FILING_STATUS=MR","SCALING_FORMAT=MLN","Sort=A","Dates=H","DateFormat=P","Fill=—","Direction=H","UseDPDF=Y")</f>
        <v>—</v>
      </c>
      <c r="AL28" s="13" t="str">
        <f>_xll.BDH("AMZN US Equity","IS_LEGAL_LITIGATION_SETTLEMENT","FQ4 2017","FQ4 2017","Currency=USD","Period=FQ","BEST_FPERIOD_OVERRIDE=FQ","FILING_STATUS=MR","SCALING_FORMAT=MLN","Sort=A","Dates=H","DateFormat=P","Fill=—","Direction=H","UseDPDF=Y")</f>
        <v>—</v>
      </c>
      <c r="AM28" s="13" t="str">
        <f>_xll.BDH("AMZN US Equity","IS_LEGAL_LITIGATION_SETTLEMENT","FQ1 2018","FQ1 2018","Currency=USD","Period=FQ","BEST_FPERIOD_OVERRIDE=FQ","FILING_STATUS=MR","SCALING_FORMAT=MLN","Sort=A","Dates=H","DateFormat=P","Fill=—","Direction=H","UseDPDF=Y")</f>
        <v>—</v>
      </c>
      <c r="AN28" s="13" t="str">
        <f>_xll.BDH("AMZN US Equity","IS_LEGAL_LITIGATION_SETTLEMENT","FQ2 2018","FQ2 2018","Currency=USD","Period=FQ","BEST_FPERIOD_OVERRIDE=FQ","FILING_STATUS=MR","SCALING_FORMAT=MLN","Sort=A","Dates=H","DateFormat=P","Fill=—","Direction=H","UseDPDF=Y")</f>
        <v>—</v>
      </c>
      <c r="AO28" s="13"/>
      <c r="AP28" s="13"/>
    </row>
    <row r="29" spans="1:42" x14ac:dyDescent="0.25">
      <c r="A29" s="10" t="s">
        <v>132</v>
      </c>
      <c r="B29" s="10" t="s">
        <v>133</v>
      </c>
      <c r="C29" s="13">
        <f>_xll.BDH("AMZN US Equity","IS_GAIN_LOSS_ON_INVESTMENTS","FQ1 2009","FQ1 2009","Currency=USD","Period=FQ","BEST_FPERIOD_OVERRIDE=FQ","FILING_STATUS=MR","SCALING_FORMAT=MLN","Sort=A","Dates=H","DateFormat=P","Fill=—","Direction=H","UseDPDF=Y")</f>
        <v>-2</v>
      </c>
      <c r="D29" s="13">
        <f>_xll.BDH("AMZN US Equity","IS_GAIN_LOSS_ON_INVESTMENTS","FQ2 2009","FQ2 2009","Currency=USD","Period=FQ","BEST_FPERIOD_OVERRIDE=FQ","FILING_STATUS=MR","SCALING_FORMAT=MLN","Sort=A","Dates=H","DateFormat=P","Fill=—","Direction=H","UseDPDF=Y")</f>
        <v>-2</v>
      </c>
      <c r="E29" s="13">
        <f>_xll.BDH("AMZN US Equity","IS_GAIN_LOSS_ON_INVESTMENTS","FQ3 2009","FQ3 2009","Currency=USD","Period=FQ","BEST_FPERIOD_OVERRIDE=FQ","FILING_STATUS=MR","SCALING_FORMAT=MLN","Sort=A","Dates=H","DateFormat=P","Fill=—","Direction=H","UseDPDF=Y")</f>
        <v>-1</v>
      </c>
      <c r="F29" s="13">
        <f>_xll.BDH("AMZN US Equity","IS_GAIN_LOSS_ON_INVESTMENTS","FQ4 2009","FQ4 2009","Currency=USD","Period=FQ","BEST_FPERIOD_OVERRIDE=FQ","FILING_STATUS=MR","SCALING_FORMAT=MLN","Sort=A","Dates=H","DateFormat=P","Fill=—","Direction=H","UseDPDF=Y")</f>
        <v>1</v>
      </c>
      <c r="G29" s="13" t="str">
        <f>_xll.BDH("AMZN US Equity","IS_GAIN_LOSS_ON_INVESTMENTS","FQ1 2010","FQ1 2010","Currency=USD","Period=FQ","BEST_FPERIOD_OVERRIDE=FQ","FILING_STATUS=MR","SCALING_FORMAT=MLN","Sort=A","Dates=H","DateFormat=P","Fill=—","Direction=H","UseDPDF=Y")</f>
        <v>—</v>
      </c>
      <c r="H29" s="13" t="str">
        <f>_xll.BDH("AMZN US Equity","IS_GAIN_LOSS_ON_INVESTMENTS","FQ2 2010","FQ2 2010","Currency=USD","Period=FQ","BEST_FPERIOD_OVERRIDE=FQ","FILING_STATUS=MR","SCALING_FORMAT=MLN","Sort=A","Dates=H","DateFormat=P","Fill=—","Direction=H","UseDPDF=Y")</f>
        <v>—</v>
      </c>
      <c r="I29" s="13" t="str">
        <f>_xll.BDH("AMZN US Equity","IS_GAIN_LOSS_ON_INVESTMENTS","FQ3 2010","FQ3 2010","Currency=USD","Period=FQ","BEST_FPERIOD_OVERRIDE=FQ","FILING_STATUS=MR","SCALING_FORMAT=MLN","Sort=A","Dates=H","DateFormat=P","Fill=—","Direction=H","UseDPDF=Y")</f>
        <v>—</v>
      </c>
      <c r="J29" s="13" t="str">
        <f>_xll.BDH("AMZN US Equity","IS_GAIN_LOSS_ON_INVESTMENTS","FQ4 2010","FQ4 2010","Currency=USD","Period=FQ","BEST_FPERIOD_OVERRIDE=FQ","FILING_STATUS=MR","SCALING_FORMAT=MLN","Sort=A","Dates=H","DateFormat=P","Fill=—","Direction=H","UseDPDF=Y")</f>
        <v>—</v>
      </c>
      <c r="K29" s="13" t="str">
        <f>_xll.BDH("AMZN US Equity","IS_GAIN_LOSS_ON_INVESTMENTS","FQ1 2011","FQ1 2011","Currency=USD","Period=FQ","BEST_FPERIOD_OVERRIDE=FQ","FILING_STATUS=MR","SCALING_FORMAT=MLN","Sort=A","Dates=H","DateFormat=P","Fill=—","Direction=H","UseDPDF=Y")</f>
        <v>—</v>
      </c>
      <c r="L29" s="13" t="str">
        <f>_xll.BDH("AMZN US Equity","IS_GAIN_LOSS_ON_INVESTMENTS","FQ2 2011","FQ2 2011","Currency=USD","Period=FQ","BEST_FPERIOD_OVERRIDE=FQ","FILING_STATUS=MR","SCALING_FORMAT=MLN","Sort=A","Dates=H","DateFormat=P","Fill=—","Direction=H","UseDPDF=Y")</f>
        <v>—</v>
      </c>
      <c r="M29" s="13" t="str">
        <f>_xll.BDH("AMZN US Equity","IS_GAIN_LOSS_ON_INVESTMENTS","FQ3 2011","FQ3 2011","Currency=USD","Period=FQ","BEST_FPERIOD_OVERRIDE=FQ","FILING_STATUS=MR","SCALING_FORMAT=MLN","Sort=A","Dates=H","DateFormat=P","Fill=—","Direction=H","UseDPDF=Y")</f>
        <v>—</v>
      </c>
      <c r="N29" s="13" t="str">
        <f>_xll.BDH("AMZN US Equity","IS_GAIN_LOSS_ON_INVESTMENTS","FQ4 2011","FQ4 2011","Currency=USD","Period=FQ","BEST_FPERIOD_OVERRIDE=FQ","FILING_STATUS=MR","SCALING_FORMAT=MLN","Sort=A","Dates=H","DateFormat=P","Fill=—","Direction=H","UseDPDF=Y")</f>
        <v>—</v>
      </c>
      <c r="O29" s="13" t="str">
        <f>_xll.BDH("AMZN US Equity","IS_GAIN_LOSS_ON_INVESTMENTS","FQ1 2012","FQ1 2012","Currency=USD","Period=FQ","BEST_FPERIOD_OVERRIDE=FQ","FILING_STATUS=MR","SCALING_FORMAT=MLN","Sort=A","Dates=H","DateFormat=P","Fill=—","Direction=H","UseDPDF=Y")</f>
        <v>—</v>
      </c>
      <c r="P29" s="13" t="str">
        <f>_xll.BDH("AMZN US Equity","IS_GAIN_LOSS_ON_INVESTMENTS","FQ2 2012","FQ2 2012","Currency=USD","Period=FQ","BEST_FPERIOD_OVERRIDE=FQ","FILING_STATUS=MR","SCALING_FORMAT=MLN","Sort=A","Dates=H","DateFormat=P","Fill=—","Direction=H","UseDPDF=Y")</f>
        <v>—</v>
      </c>
      <c r="Q29" s="13" t="str">
        <f>_xll.BDH("AMZN US Equity","IS_GAIN_LOSS_ON_INVESTMENTS","FQ3 2012","FQ3 2012","Currency=USD","Period=FQ","BEST_FPERIOD_OVERRIDE=FQ","FILING_STATUS=MR","SCALING_FORMAT=MLN","Sort=A","Dates=H","DateFormat=P","Fill=—","Direction=H","UseDPDF=Y")</f>
        <v>—</v>
      </c>
      <c r="R29" s="13" t="str">
        <f>_xll.BDH("AMZN US Equity","IS_GAIN_LOSS_ON_INVESTMENTS","FQ4 2012","FQ4 2012","Currency=USD","Period=FQ","BEST_FPERIOD_OVERRIDE=FQ","FILING_STATUS=MR","SCALING_FORMAT=MLN","Sort=A","Dates=H","DateFormat=P","Fill=—","Direction=H","UseDPDF=Y")</f>
        <v>—</v>
      </c>
      <c r="S29" s="13" t="str">
        <f>_xll.BDH("AMZN US Equity","IS_GAIN_LOSS_ON_INVESTMENTS","FQ1 2013","FQ1 2013","Currency=USD","Period=FQ","BEST_FPERIOD_OVERRIDE=FQ","FILING_STATUS=MR","SCALING_FORMAT=MLN","Sort=A","Dates=H","DateFormat=P","Fill=—","Direction=H","UseDPDF=Y")</f>
        <v>—</v>
      </c>
      <c r="T29" s="13" t="str">
        <f>_xll.BDH("AMZN US Equity","IS_GAIN_LOSS_ON_INVESTMENTS","FQ2 2013","FQ2 2013","Currency=USD","Period=FQ","BEST_FPERIOD_OVERRIDE=FQ","FILING_STATUS=MR","SCALING_FORMAT=MLN","Sort=A","Dates=H","DateFormat=P","Fill=—","Direction=H","UseDPDF=Y")</f>
        <v>—</v>
      </c>
      <c r="U29" s="13" t="str">
        <f>_xll.BDH("AMZN US Equity","IS_GAIN_LOSS_ON_INVESTMENTS","FQ3 2013","FQ3 2013","Currency=USD","Period=FQ","BEST_FPERIOD_OVERRIDE=FQ","FILING_STATUS=MR","SCALING_FORMAT=MLN","Sort=A","Dates=H","DateFormat=P","Fill=—","Direction=H","UseDPDF=Y")</f>
        <v>—</v>
      </c>
      <c r="V29" s="13" t="str">
        <f>_xll.BDH("AMZN US Equity","IS_GAIN_LOSS_ON_INVESTMENTS","FQ4 2013","FQ4 2013","Currency=USD","Period=FQ","BEST_FPERIOD_OVERRIDE=FQ","FILING_STATUS=MR","SCALING_FORMAT=MLN","Sort=A","Dates=H","DateFormat=P","Fill=—","Direction=H","UseDPDF=Y")</f>
        <v>—</v>
      </c>
      <c r="W29" s="13" t="str">
        <f>_xll.BDH("AMZN US Equity","IS_GAIN_LOSS_ON_INVESTMENTS","FQ1 2014","FQ1 2014","Currency=USD","Period=FQ","BEST_FPERIOD_OVERRIDE=FQ","FILING_STATUS=MR","SCALING_FORMAT=MLN","Sort=A","Dates=H","DateFormat=P","Fill=—","Direction=H","UseDPDF=Y")</f>
        <v>—</v>
      </c>
      <c r="X29" s="13" t="str">
        <f>_xll.BDH("AMZN US Equity","IS_GAIN_LOSS_ON_INVESTMENTS","FQ2 2014","FQ2 2014","Currency=USD","Period=FQ","BEST_FPERIOD_OVERRIDE=FQ","FILING_STATUS=MR","SCALING_FORMAT=MLN","Sort=A","Dates=H","DateFormat=P","Fill=—","Direction=H","UseDPDF=Y")</f>
        <v>—</v>
      </c>
      <c r="Y29" s="13" t="str">
        <f>_xll.BDH("AMZN US Equity","IS_GAIN_LOSS_ON_INVESTMENTS","FQ3 2014","FQ3 2014","Currency=USD","Period=FQ","BEST_FPERIOD_OVERRIDE=FQ","FILING_STATUS=MR","SCALING_FORMAT=MLN","Sort=A","Dates=H","DateFormat=P","Fill=—","Direction=H","UseDPDF=Y")</f>
        <v>—</v>
      </c>
      <c r="Z29" s="13" t="str">
        <f>_xll.BDH("AMZN US Equity","IS_GAIN_LOSS_ON_INVESTMENTS","FQ4 2014","FQ4 2014","Currency=USD","Period=FQ","BEST_FPERIOD_OVERRIDE=FQ","FILING_STATUS=MR","SCALING_FORMAT=MLN","Sort=A","Dates=H","DateFormat=P","Fill=—","Direction=H","UseDPDF=Y")</f>
        <v>—</v>
      </c>
      <c r="AA29" s="13">
        <f>_xll.BDH("AMZN US Equity","IS_GAIN_LOSS_ON_INVESTMENTS","FQ1 2015","FQ1 2015","Currency=USD","Period=FQ","BEST_FPERIOD_OVERRIDE=FQ","FILING_STATUS=MR","SCALING_FORMAT=MLN","Sort=A","Dates=H","DateFormat=P","Fill=—","Direction=H","UseDPDF=Y")</f>
        <v>1</v>
      </c>
      <c r="AB29" s="13">
        <f>_xll.BDH("AMZN US Equity","IS_GAIN_LOSS_ON_INVESTMENTS","FQ2 2015","FQ2 2015","Currency=USD","Period=FQ","BEST_FPERIOD_OVERRIDE=FQ","FILING_STATUS=MR","SCALING_FORMAT=MLN","Sort=A","Dates=H","DateFormat=P","Fill=—","Direction=H","UseDPDF=Y")</f>
        <v>1</v>
      </c>
      <c r="AC29" s="13" t="str">
        <f>_xll.BDH("AMZN US Equity","IS_GAIN_LOSS_ON_INVESTMENTS","FQ3 2015","FQ3 2015","Currency=USD","Period=FQ","BEST_FPERIOD_OVERRIDE=FQ","FILING_STATUS=MR","SCALING_FORMAT=MLN","Sort=A","Dates=H","DateFormat=P","Fill=—","Direction=H","UseDPDF=Y")</f>
        <v>—</v>
      </c>
      <c r="AD29" s="13">
        <f>_xll.BDH("AMZN US Equity","IS_GAIN_LOSS_ON_INVESTMENTS","FQ4 2015","FQ4 2015","Currency=USD","Period=FQ","BEST_FPERIOD_OVERRIDE=FQ","FILING_STATUS=MR","SCALING_FORMAT=MLN","Sort=A","Dates=H","DateFormat=P","Fill=—","Direction=H","UseDPDF=Y")</f>
        <v>3</v>
      </c>
      <c r="AE29" s="13" t="str">
        <f>_xll.BDH("AMZN US Equity","IS_GAIN_LOSS_ON_INVESTMENTS","FQ1 2016","FQ1 2016","Currency=USD","Period=FQ","BEST_FPERIOD_OVERRIDE=FQ","FILING_STATUS=MR","SCALING_FORMAT=MLN","Sort=A","Dates=H","DateFormat=P","Fill=—","Direction=H","UseDPDF=Y")</f>
        <v>—</v>
      </c>
      <c r="AF29" s="13" t="str">
        <f>_xll.BDH("AMZN US Equity","IS_GAIN_LOSS_ON_INVESTMENTS","FQ2 2016","FQ2 2016","Currency=USD","Period=FQ","BEST_FPERIOD_OVERRIDE=FQ","FILING_STATUS=MR","SCALING_FORMAT=MLN","Sort=A","Dates=H","DateFormat=P","Fill=—","Direction=H","UseDPDF=Y")</f>
        <v>—</v>
      </c>
      <c r="AG29" s="13" t="str">
        <f>_xll.BDH("AMZN US Equity","IS_GAIN_LOSS_ON_INVESTMENTS","FQ3 2016","FQ3 2016","Currency=USD","Period=FQ","BEST_FPERIOD_OVERRIDE=FQ","FILING_STATUS=MR","SCALING_FORMAT=MLN","Sort=A","Dates=H","DateFormat=P","Fill=—","Direction=H","UseDPDF=Y")</f>
        <v>—</v>
      </c>
      <c r="AH29" s="13">
        <f>_xll.BDH("AMZN US Equity","IS_GAIN_LOSS_ON_INVESTMENTS","FQ4 2016","FQ4 2016","Currency=USD","Period=FQ","BEST_FPERIOD_OVERRIDE=FQ","FILING_STATUS=MR","SCALING_FORMAT=MLN","Sort=A","Dates=H","DateFormat=P","Fill=—","Direction=H","UseDPDF=Y")</f>
        <v>5</v>
      </c>
      <c r="AI29" s="13" t="str">
        <f>_xll.BDH("AMZN US Equity","IS_GAIN_LOSS_ON_INVESTMENTS","FQ1 2017","FQ1 2017","Currency=USD","Period=FQ","BEST_FPERIOD_OVERRIDE=FQ","FILING_STATUS=MR","SCALING_FORMAT=MLN","Sort=A","Dates=H","DateFormat=P","Fill=—","Direction=H","UseDPDF=Y")</f>
        <v>—</v>
      </c>
      <c r="AJ29" s="13" t="str">
        <f>_xll.BDH("AMZN US Equity","IS_GAIN_LOSS_ON_INVESTMENTS","FQ2 2017","FQ2 2017","Currency=USD","Period=FQ","BEST_FPERIOD_OVERRIDE=FQ","FILING_STATUS=MR","SCALING_FORMAT=MLN","Sort=A","Dates=H","DateFormat=P","Fill=—","Direction=H","UseDPDF=Y")</f>
        <v>—</v>
      </c>
      <c r="AK29" s="13" t="str">
        <f>_xll.BDH("AMZN US Equity","IS_GAIN_LOSS_ON_INVESTMENTS","FQ3 2017","FQ3 2017","Currency=USD","Period=FQ","BEST_FPERIOD_OVERRIDE=FQ","FILING_STATUS=MR","SCALING_FORMAT=MLN","Sort=A","Dates=H","DateFormat=P","Fill=—","Direction=H","UseDPDF=Y")</f>
        <v>—</v>
      </c>
      <c r="AL29" s="13" t="str">
        <f>_xll.BDH("AMZN US Equity","IS_GAIN_LOSS_ON_INVESTMENTS","FQ4 2017","FQ4 2017","Currency=USD","Period=FQ","BEST_FPERIOD_OVERRIDE=FQ","FILING_STATUS=MR","SCALING_FORMAT=MLN","Sort=A","Dates=H","DateFormat=P","Fill=—","Direction=H","UseDPDF=Y")</f>
        <v>—</v>
      </c>
      <c r="AM29" s="13" t="str">
        <f>_xll.BDH("AMZN US Equity","IS_GAIN_LOSS_ON_INVESTMENTS","FQ1 2018","FQ1 2018","Currency=USD","Period=FQ","BEST_FPERIOD_OVERRIDE=FQ","FILING_STATUS=MR","SCALING_FORMAT=MLN","Sort=A","Dates=H","DateFormat=P","Fill=—","Direction=H","UseDPDF=Y")</f>
        <v>—</v>
      </c>
      <c r="AN29" s="13" t="str">
        <f>_xll.BDH("AMZN US Equity","IS_GAIN_LOSS_ON_INVESTMENTS","FQ2 2018","FQ2 2018","Currency=USD","Period=FQ","BEST_FPERIOD_OVERRIDE=FQ","FILING_STATUS=MR","SCALING_FORMAT=MLN","Sort=A","Dates=H","DateFormat=P","Fill=—","Direction=H","UseDPDF=Y")</f>
        <v>—</v>
      </c>
      <c r="AO29" s="13"/>
      <c r="AP29" s="13"/>
    </row>
    <row r="30" spans="1:42" x14ac:dyDescent="0.25">
      <c r="A30" s="10" t="s">
        <v>134</v>
      </c>
      <c r="B30" s="10" t="s">
        <v>135</v>
      </c>
      <c r="C30" s="13" t="str">
        <f>_xll.BDH("AMZN US Equity","IS_OTHER_ONE_TIME_ITEMS","FQ1 2009","FQ1 2009","Currency=USD","Period=FQ","BEST_FPERIOD_OVERRIDE=FQ","FILING_STATUS=MR","SCALING_FORMAT=MLN","Sort=A","Dates=H","DateFormat=P","Fill=—","Direction=H","UseDPDF=Y")</f>
        <v>—</v>
      </c>
      <c r="D30" s="13" t="str">
        <f>_xll.BDH("AMZN US Equity","IS_OTHER_ONE_TIME_ITEMS","FQ2 2009","FQ2 2009","Currency=USD","Period=FQ","BEST_FPERIOD_OVERRIDE=FQ","FILING_STATUS=MR","SCALING_FORMAT=MLN","Sort=A","Dates=H","DateFormat=P","Fill=—","Direction=H","UseDPDF=Y")</f>
        <v>—</v>
      </c>
      <c r="E30" s="13" t="str">
        <f>_xll.BDH("AMZN US Equity","IS_OTHER_ONE_TIME_ITEMS","FQ3 2009","FQ3 2009","Currency=USD","Period=FQ","BEST_FPERIOD_OVERRIDE=FQ","FILING_STATUS=MR","SCALING_FORMAT=MLN","Sort=A","Dates=H","DateFormat=P","Fill=—","Direction=H","UseDPDF=Y")</f>
        <v>—</v>
      </c>
      <c r="F30" s="13" t="str">
        <f>_xll.BDH("AMZN US Equity","IS_OTHER_ONE_TIME_ITEMS","FQ4 2009","FQ4 2009","Currency=USD","Period=FQ","BEST_FPERIOD_OVERRIDE=FQ","FILING_STATUS=MR","SCALING_FORMAT=MLN","Sort=A","Dates=H","DateFormat=P","Fill=—","Direction=H","UseDPDF=Y")</f>
        <v>—</v>
      </c>
      <c r="G30" s="13" t="str">
        <f>_xll.BDH("AMZN US Equity","IS_OTHER_ONE_TIME_ITEMS","FQ1 2010","FQ1 2010","Currency=USD","Period=FQ","BEST_FPERIOD_OVERRIDE=FQ","FILING_STATUS=MR","SCALING_FORMAT=MLN","Sort=A","Dates=H","DateFormat=P","Fill=—","Direction=H","UseDPDF=Y")</f>
        <v>—</v>
      </c>
      <c r="H30" s="13" t="str">
        <f>_xll.BDH("AMZN US Equity","IS_OTHER_ONE_TIME_ITEMS","FQ2 2010","FQ2 2010","Currency=USD","Period=FQ","BEST_FPERIOD_OVERRIDE=FQ","FILING_STATUS=MR","SCALING_FORMAT=MLN","Sort=A","Dates=H","DateFormat=P","Fill=—","Direction=H","UseDPDF=Y")</f>
        <v>—</v>
      </c>
      <c r="I30" s="13" t="str">
        <f>_xll.BDH("AMZN US Equity","IS_OTHER_ONE_TIME_ITEMS","FQ3 2010","FQ3 2010","Currency=USD","Period=FQ","BEST_FPERIOD_OVERRIDE=FQ","FILING_STATUS=MR","SCALING_FORMAT=MLN","Sort=A","Dates=H","DateFormat=P","Fill=—","Direction=H","UseDPDF=Y")</f>
        <v>—</v>
      </c>
      <c r="J30" s="13" t="str">
        <f>_xll.BDH("AMZN US Equity","IS_OTHER_ONE_TIME_ITEMS","FQ4 2010","FQ4 2010","Currency=USD","Period=FQ","BEST_FPERIOD_OVERRIDE=FQ","FILING_STATUS=MR","SCALING_FORMAT=MLN","Sort=A","Dates=H","DateFormat=P","Fill=—","Direction=H","UseDPDF=Y")</f>
        <v>—</v>
      </c>
      <c r="K30" s="13" t="str">
        <f>_xll.BDH("AMZN US Equity","IS_OTHER_ONE_TIME_ITEMS","FQ1 2011","FQ1 2011","Currency=USD","Period=FQ","BEST_FPERIOD_OVERRIDE=FQ","FILING_STATUS=MR","SCALING_FORMAT=MLN","Sort=A","Dates=H","DateFormat=P","Fill=—","Direction=H","UseDPDF=Y")</f>
        <v>—</v>
      </c>
      <c r="L30" s="13" t="str">
        <f>_xll.BDH("AMZN US Equity","IS_OTHER_ONE_TIME_ITEMS","FQ2 2011","FQ2 2011","Currency=USD","Period=FQ","BEST_FPERIOD_OVERRIDE=FQ","FILING_STATUS=MR","SCALING_FORMAT=MLN","Sort=A","Dates=H","DateFormat=P","Fill=—","Direction=H","UseDPDF=Y")</f>
        <v>—</v>
      </c>
      <c r="M30" s="13" t="str">
        <f>_xll.BDH("AMZN US Equity","IS_OTHER_ONE_TIME_ITEMS","FQ3 2011","FQ3 2011","Currency=USD","Period=FQ","BEST_FPERIOD_OVERRIDE=FQ","FILING_STATUS=MR","SCALING_FORMAT=MLN","Sort=A","Dates=H","DateFormat=P","Fill=—","Direction=H","UseDPDF=Y")</f>
        <v>—</v>
      </c>
      <c r="N30" s="13" t="str">
        <f>_xll.BDH("AMZN US Equity","IS_OTHER_ONE_TIME_ITEMS","FQ4 2011","FQ4 2011","Currency=USD","Period=FQ","BEST_FPERIOD_OVERRIDE=FQ","FILING_STATUS=MR","SCALING_FORMAT=MLN","Sort=A","Dates=H","DateFormat=P","Fill=—","Direction=H","UseDPDF=Y")</f>
        <v>—</v>
      </c>
      <c r="O30" s="13" t="str">
        <f>_xll.BDH("AMZN US Equity","IS_OTHER_ONE_TIME_ITEMS","FQ1 2012","FQ1 2012","Currency=USD","Period=FQ","BEST_FPERIOD_OVERRIDE=FQ","FILING_STATUS=MR","SCALING_FORMAT=MLN","Sort=A","Dates=H","DateFormat=P","Fill=—","Direction=H","UseDPDF=Y")</f>
        <v>—</v>
      </c>
      <c r="P30" s="13" t="str">
        <f>_xll.BDH("AMZN US Equity","IS_OTHER_ONE_TIME_ITEMS","FQ2 2012","FQ2 2012","Currency=USD","Period=FQ","BEST_FPERIOD_OVERRIDE=FQ","FILING_STATUS=MR","SCALING_FORMAT=MLN","Sort=A","Dates=H","DateFormat=P","Fill=—","Direction=H","UseDPDF=Y")</f>
        <v>—</v>
      </c>
      <c r="Q30" s="13">
        <f>_xll.BDH("AMZN US Equity","IS_OTHER_ONE_TIME_ITEMS","FQ3 2012","FQ3 2012","Currency=USD","Period=FQ","BEST_FPERIOD_OVERRIDE=FQ","FILING_STATUS=MR","SCALING_FORMAT=MLN","Sort=A","Dates=H","DateFormat=P","Fill=—","Direction=H","UseDPDF=Y")</f>
        <v>145</v>
      </c>
      <c r="R30" s="13">
        <f>_xll.BDH("AMZN US Equity","IS_OTHER_ONE_TIME_ITEMS","FQ4 2012","FQ4 2012","Currency=USD","Period=FQ","BEST_FPERIOD_OVERRIDE=FQ","FILING_STATUS=MR","SCALING_FORMAT=MLN","Sort=A","Dates=H","DateFormat=P","Fill=—","Direction=H","UseDPDF=Y")</f>
        <v>25</v>
      </c>
      <c r="S30" s="13" t="str">
        <f>_xll.BDH("AMZN US Equity","IS_OTHER_ONE_TIME_ITEMS","FQ1 2013","FQ1 2013","Currency=USD","Period=FQ","BEST_FPERIOD_OVERRIDE=FQ","FILING_STATUS=MR","SCALING_FORMAT=MLN","Sort=A","Dates=H","DateFormat=P","Fill=—","Direction=H","UseDPDF=Y")</f>
        <v>—</v>
      </c>
      <c r="T30" s="13" t="str">
        <f>_xll.BDH("AMZN US Equity","IS_OTHER_ONE_TIME_ITEMS","FQ2 2013","FQ2 2013","Currency=USD","Period=FQ","BEST_FPERIOD_OVERRIDE=FQ","FILING_STATUS=MR","SCALING_FORMAT=MLN","Sort=A","Dates=H","DateFormat=P","Fill=—","Direction=H","UseDPDF=Y")</f>
        <v>—</v>
      </c>
      <c r="U30" s="13" t="str">
        <f>_xll.BDH("AMZN US Equity","IS_OTHER_ONE_TIME_ITEMS","FQ3 2013","FQ3 2013","Currency=USD","Period=FQ","BEST_FPERIOD_OVERRIDE=FQ","FILING_STATUS=MR","SCALING_FORMAT=MLN","Sort=A","Dates=H","DateFormat=P","Fill=—","Direction=H","UseDPDF=Y")</f>
        <v>—</v>
      </c>
      <c r="V30" s="13" t="str">
        <f>_xll.BDH("AMZN US Equity","IS_OTHER_ONE_TIME_ITEMS","FQ4 2013","FQ4 2013","Currency=USD","Period=FQ","BEST_FPERIOD_OVERRIDE=FQ","FILING_STATUS=MR","SCALING_FORMAT=MLN","Sort=A","Dates=H","DateFormat=P","Fill=—","Direction=H","UseDPDF=Y")</f>
        <v>—</v>
      </c>
      <c r="W30" s="13" t="str">
        <f>_xll.BDH("AMZN US Equity","IS_OTHER_ONE_TIME_ITEMS","FQ1 2014","FQ1 2014","Currency=USD","Period=FQ","BEST_FPERIOD_OVERRIDE=FQ","FILING_STATUS=MR","SCALING_FORMAT=MLN","Sort=A","Dates=H","DateFormat=P","Fill=—","Direction=H","UseDPDF=Y")</f>
        <v>—</v>
      </c>
      <c r="X30" s="13" t="str">
        <f>_xll.BDH("AMZN US Equity","IS_OTHER_ONE_TIME_ITEMS","FQ2 2014","FQ2 2014","Currency=USD","Period=FQ","BEST_FPERIOD_OVERRIDE=FQ","FILING_STATUS=MR","SCALING_FORMAT=MLN","Sort=A","Dates=H","DateFormat=P","Fill=—","Direction=H","UseDPDF=Y")</f>
        <v>—</v>
      </c>
      <c r="Y30" s="13">
        <f>_xll.BDH("AMZN US Equity","IS_OTHER_ONE_TIME_ITEMS","FQ3 2014","FQ3 2014","Currency=USD","Period=FQ","BEST_FPERIOD_OVERRIDE=FQ","FILING_STATUS=MR","SCALING_FORMAT=MLN","Sort=A","Dates=H","DateFormat=P","Fill=—","Direction=H","UseDPDF=Y")</f>
        <v>170</v>
      </c>
      <c r="Z30" s="13" t="str">
        <f>_xll.BDH("AMZN US Equity","IS_OTHER_ONE_TIME_ITEMS","FQ4 2014","FQ4 2014","Currency=USD","Period=FQ","BEST_FPERIOD_OVERRIDE=FQ","FILING_STATUS=MR","SCALING_FORMAT=MLN","Sort=A","Dates=H","DateFormat=P","Fill=—","Direction=H","UseDPDF=Y")</f>
        <v>—</v>
      </c>
      <c r="AA30" s="13" t="str">
        <f>_xll.BDH("AMZN US Equity","IS_OTHER_ONE_TIME_ITEMS","FQ1 2015","FQ1 2015","Currency=USD","Period=FQ","BEST_FPERIOD_OVERRIDE=FQ","FILING_STATUS=MR","SCALING_FORMAT=MLN","Sort=A","Dates=H","DateFormat=P","Fill=—","Direction=H","UseDPDF=Y")</f>
        <v>—</v>
      </c>
      <c r="AB30" s="13" t="str">
        <f>_xll.BDH("AMZN US Equity","IS_OTHER_ONE_TIME_ITEMS","FQ2 2015","FQ2 2015","Currency=USD","Period=FQ","BEST_FPERIOD_OVERRIDE=FQ","FILING_STATUS=MR","SCALING_FORMAT=MLN","Sort=A","Dates=H","DateFormat=P","Fill=—","Direction=H","UseDPDF=Y")</f>
        <v>—</v>
      </c>
      <c r="AC30" s="13" t="str">
        <f>_xll.BDH("AMZN US Equity","IS_OTHER_ONE_TIME_ITEMS","FQ3 2015","FQ3 2015","Currency=USD","Period=FQ","BEST_FPERIOD_OVERRIDE=FQ","FILING_STATUS=MR","SCALING_FORMAT=MLN","Sort=A","Dates=H","DateFormat=P","Fill=—","Direction=H","UseDPDF=Y")</f>
        <v>—</v>
      </c>
      <c r="AD30" s="13" t="str">
        <f>_xll.BDH("AMZN US Equity","IS_OTHER_ONE_TIME_ITEMS","FQ4 2015","FQ4 2015","Currency=USD","Period=FQ","BEST_FPERIOD_OVERRIDE=FQ","FILING_STATUS=MR","SCALING_FORMAT=MLN","Sort=A","Dates=H","DateFormat=P","Fill=—","Direction=H","UseDPDF=Y")</f>
        <v>—</v>
      </c>
      <c r="AE30" s="13" t="str">
        <f>_xll.BDH("AMZN US Equity","IS_OTHER_ONE_TIME_ITEMS","FQ1 2016","FQ1 2016","Currency=USD","Period=FQ","BEST_FPERIOD_OVERRIDE=FQ","FILING_STATUS=MR","SCALING_FORMAT=MLN","Sort=A","Dates=H","DateFormat=P","Fill=—","Direction=H","UseDPDF=Y")</f>
        <v>—</v>
      </c>
      <c r="AF30" s="13" t="str">
        <f>_xll.BDH("AMZN US Equity","IS_OTHER_ONE_TIME_ITEMS","FQ2 2016","FQ2 2016","Currency=USD","Period=FQ","BEST_FPERIOD_OVERRIDE=FQ","FILING_STATUS=MR","SCALING_FORMAT=MLN","Sort=A","Dates=H","DateFormat=P","Fill=—","Direction=H","UseDPDF=Y")</f>
        <v>—</v>
      </c>
      <c r="AG30" s="13" t="str">
        <f>_xll.BDH("AMZN US Equity","IS_OTHER_ONE_TIME_ITEMS","FQ3 2016","FQ3 2016","Currency=USD","Period=FQ","BEST_FPERIOD_OVERRIDE=FQ","FILING_STATUS=MR","SCALING_FORMAT=MLN","Sort=A","Dates=H","DateFormat=P","Fill=—","Direction=H","UseDPDF=Y")</f>
        <v>—</v>
      </c>
      <c r="AH30" s="13" t="str">
        <f>_xll.BDH("AMZN US Equity","IS_OTHER_ONE_TIME_ITEMS","FQ4 2016","FQ4 2016","Currency=USD","Period=FQ","BEST_FPERIOD_OVERRIDE=FQ","FILING_STATUS=MR","SCALING_FORMAT=MLN","Sort=A","Dates=H","DateFormat=P","Fill=—","Direction=H","UseDPDF=Y")</f>
        <v>—</v>
      </c>
      <c r="AI30" s="13" t="str">
        <f>_xll.BDH("AMZN US Equity","IS_OTHER_ONE_TIME_ITEMS","FQ1 2017","FQ1 2017","Currency=USD","Period=FQ","BEST_FPERIOD_OVERRIDE=FQ","FILING_STATUS=MR","SCALING_FORMAT=MLN","Sort=A","Dates=H","DateFormat=P","Fill=—","Direction=H","UseDPDF=Y")</f>
        <v>—</v>
      </c>
      <c r="AJ30" s="13" t="str">
        <f>_xll.BDH("AMZN US Equity","IS_OTHER_ONE_TIME_ITEMS","FQ2 2017","FQ2 2017","Currency=USD","Period=FQ","BEST_FPERIOD_OVERRIDE=FQ","FILING_STATUS=MR","SCALING_FORMAT=MLN","Sort=A","Dates=H","DateFormat=P","Fill=—","Direction=H","UseDPDF=Y")</f>
        <v>—</v>
      </c>
      <c r="AK30" s="13" t="str">
        <f>_xll.BDH("AMZN US Equity","IS_OTHER_ONE_TIME_ITEMS","FQ3 2017","FQ3 2017","Currency=USD","Period=FQ","BEST_FPERIOD_OVERRIDE=FQ","FILING_STATUS=MR","SCALING_FORMAT=MLN","Sort=A","Dates=H","DateFormat=P","Fill=—","Direction=H","UseDPDF=Y")</f>
        <v>—</v>
      </c>
      <c r="AL30" s="13" t="str">
        <f>_xll.BDH("AMZN US Equity","IS_OTHER_ONE_TIME_ITEMS","FQ4 2017","FQ4 2017","Currency=USD","Period=FQ","BEST_FPERIOD_OVERRIDE=FQ","FILING_STATUS=MR","SCALING_FORMAT=MLN","Sort=A","Dates=H","DateFormat=P","Fill=—","Direction=H","UseDPDF=Y")</f>
        <v>—</v>
      </c>
      <c r="AM30" s="13" t="str">
        <f>_xll.BDH("AMZN US Equity","IS_OTHER_ONE_TIME_ITEMS","FQ1 2018","FQ1 2018","Currency=USD","Period=FQ","BEST_FPERIOD_OVERRIDE=FQ","FILING_STATUS=MR","SCALING_FORMAT=MLN","Sort=A","Dates=H","DateFormat=P","Fill=—","Direction=H","UseDPDF=Y")</f>
        <v>—</v>
      </c>
      <c r="AN30" s="13" t="str">
        <f>_xll.BDH("AMZN US Equity","IS_OTHER_ONE_TIME_ITEMS","FQ2 2018","FQ2 2018","Currency=USD","Period=FQ","BEST_FPERIOD_OVERRIDE=FQ","FILING_STATUS=MR","SCALING_FORMAT=MLN","Sort=A","Dates=H","DateFormat=P","Fill=—","Direction=H","UseDPDF=Y")</f>
        <v>—</v>
      </c>
      <c r="AO30" s="13"/>
      <c r="AP30" s="13"/>
    </row>
    <row r="31" spans="1:42" x14ac:dyDescent="0.25">
      <c r="A31" s="6" t="s">
        <v>136</v>
      </c>
      <c r="B31" s="6" t="s">
        <v>125</v>
      </c>
      <c r="C31" s="17">
        <f>_xll.BDH("AMZN US Equity","PRETAX_INC","FQ1 2009","FQ1 2009","Currency=USD","Period=FQ","BEST_FPERIOD_OVERRIDE=FQ","FILING_STATUS=MR","SCALING_FORMAT=MLN","FA_ADJUSTED=GAAP","Sort=A","Dates=H","DateFormat=P","Fill=—","Direction=H","UseDPDF=Y")</f>
        <v>248</v>
      </c>
      <c r="D31" s="17">
        <f>_xll.BDH("AMZN US Equity","PRETAX_INC","FQ2 2009","FQ2 2009","Currency=USD","Period=FQ","BEST_FPERIOD_OVERRIDE=FQ","FILING_STATUS=MR","SCALING_FORMAT=MLN","FA_ADJUSTED=GAAP","Sort=A","Dates=H","DateFormat=P","Fill=—","Direction=H","UseDPDF=Y")</f>
        <v>179</v>
      </c>
      <c r="E31" s="17">
        <f>_xll.BDH("AMZN US Equity","PRETAX_INC","FQ3 2009","FQ3 2009","Currency=USD","Period=FQ","BEST_FPERIOD_OVERRIDE=FQ","FILING_STATUS=MR","SCALING_FORMAT=MLN","FA_ADJUSTED=GAAP","Sort=A","Dates=H","DateFormat=P","Fill=—","Direction=H","UseDPDF=Y")</f>
        <v>262</v>
      </c>
      <c r="F31" s="17">
        <f>_xll.BDH("AMZN US Equity","PRETAX_INC","FQ4 2009","FQ4 2009","Currency=USD","Period=FQ","BEST_FPERIOD_OVERRIDE=FQ","FILING_STATUS=MR","SCALING_FORMAT=MLN","FA_ADJUSTED=GAAP","Sort=A","Dates=H","DateFormat=P","Fill=—","Direction=H","UseDPDF=Y")</f>
        <v>471</v>
      </c>
      <c r="G31" s="17">
        <f>_xll.BDH("AMZN US Equity","PRETAX_INC","FQ1 2010","FQ1 2010","Currency=USD","Period=FQ","BEST_FPERIOD_OVERRIDE=FQ","FILING_STATUS=MR","SCALING_FORMAT=MLN","FA_ADJUSTED=GAAP","Sort=A","Dates=H","DateFormat=P","Fill=—","Direction=H","UseDPDF=Y")</f>
        <v>401</v>
      </c>
      <c r="H31" s="17">
        <f>_xll.BDH("AMZN US Equity","PRETAX_INC","FQ2 2010","FQ2 2010","Currency=USD","Period=FQ","BEST_FPERIOD_OVERRIDE=FQ","FILING_STATUS=MR","SCALING_FORMAT=MLN","FA_ADJUSTED=GAAP","Sort=A","Dates=H","DateFormat=P","Fill=—","Direction=H","UseDPDF=Y")</f>
        <v>297</v>
      </c>
      <c r="I31" s="17">
        <f>_xll.BDH("AMZN US Equity","PRETAX_INC","FQ3 2010","FQ3 2010","Currency=USD","Period=FQ","BEST_FPERIOD_OVERRIDE=FQ","FILING_STATUS=MR","SCALING_FORMAT=MLN","FA_ADJUSTED=GAAP","Sort=A","Dates=H","DateFormat=P","Fill=—","Direction=H","UseDPDF=Y")</f>
        <v>292</v>
      </c>
      <c r="J31" s="17">
        <f>_xll.BDH("AMZN US Equity","PRETAX_INC","FQ4 2010","FQ4 2010","Currency=USD","Period=FQ","BEST_FPERIOD_OVERRIDE=FQ","FILING_STATUS=MR","SCALING_FORMAT=MLN","FA_ADJUSTED=GAAP","Sort=A","Dates=H","DateFormat=P","Fill=—","Direction=H","UseDPDF=Y")</f>
        <v>506</v>
      </c>
      <c r="K31" s="17">
        <f>_xll.BDH("AMZN US Equity","PRETAX_INC","FQ1 2011","FQ1 2011","Currency=USD","Period=FQ","BEST_FPERIOD_OVERRIDE=FQ","FILING_STATUS=MR","SCALING_FORMAT=MLN","FA_ADJUSTED=GAAP","Sort=A","Dates=H","DateFormat=P","Fill=—","Direction=H","UseDPDF=Y")</f>
        <v>307</v>
      </c>
      <c r="L31" s="17">
        <f>_xll.BDH("AMZN US Equity","PRETAX_INC","FQ2 2011","FQ2 2011","Currency=USD","Period=FQ","BEST_FPERIOD_OVERRIDE=FQ","FILING_STATUS=MR","SCALING_FORMAT=MLN","FA_ADJUSTED=GAAP","Sort=A","Dates=H","DateFormat=P","Fill=—","Direction=H","UseDPDF=Y")</f>
        <v>225</v>
      </c>
      <c r="M31" s="17">
        <f>_xll.BDH("AMZN US Equity","PRETAX_INC","FQ3 2011","FQ3 2011","Currency=USD","Period=FQ","BEST_FPERIOD_OVERRIDE=FQ","FILING_STATUS=MR","SCALING_FORMAT=MLN","FA_ADJUSTED=GAAP","Sort=A","Dates=H","DateFormat=P","Fill=—","Direction=H","UseDPDF=Y")</f>
        <v>130</v>
      </c>
      <c r="N31" s="17">
        <f>_xll.BDH("AMZN US Equity","PRETAX_INC","FQ4 2011","FQ4 2011","Currency=USD","Period=FQ","BEST_FPERIOD_OVERRIDE=FQ","FILING_STATUS=MR","SCALING_FORMAT=MLN","FA_ADJUSTED=GAAP","Sort=A","Dates=H","DateFormat=P","Fill=—","Direction=H","UseDPDF=Y")</f>
        <v>273</v>
      </c>
      <c r="O31" s="17">
        <f>_xll.BDH("AMZN US Equity","PRETAX_INC","FQ1 2012","FQ1 2012","Currency=USD","Period=FQ","BEST_FPERIOD_OVERRIDE=FQ","FILING_STATUS=MR","SCALING_FORMAT=MLN","FA_ADJUSTED=GAAP","Sort=A","Dates=H","DateFormat=P","Fill=—","Direction=H","UseDPDF=Y")</f>
        <v>84</v>
      </c>
      <c r="P31" s="17">
        <f>_xll.BDH("AMZN US Equity","PRETAX_INC","FQ2 2012","FQ2 2012","Currency=USD","Period=FQ","BEST_FPERIOD_OVERRIDE=FQ","FILING_STATUS=MR","SCALING_FORMAT=MLN","FA_ADJUSTED=GAAP","Sort=A","Dates=H","DateFormat=P","Fill=—","Direction=H","UseDPDF=Y")</f>
        <v>146</v>
      </c>
      <c r="Q31" s="17">
        <f>_xll.BDH("AMZN US Equity","PRETAX_INC","FQ3 2012","FQ3 2012","Currency=USD","Period=FQ","BEST_FPERIOD_OVERRIDE=FQ","FILING_STATUS=MR","SCALING_FORMAT=MLN","FA_ADJUSTED=GAAP","Sort=A","Dates=H","DateFormat=P","Fill=—","Direction=H","UseDPDF=Y")</f>
        <v>-22</v>
      </c>
      <c r="R31" s="17">
        <f>_xll.BDH("AMZN US Equity","PRETAX_INC","FQ4 2012","FQ4 2012","Currency=USD","Period=FQ","BEST_FPERIOD_OVERRIDE=FQ","FILING_STATUS=MR","SCALING_FORMAT=MLN","FA_ADJUSTED=GAAP","Sort=A","Dates=H","DateFormat=P","Fill=—","Direction=H","UseDPDF=Y")</f>
        <v>337</v>
      </c>
      <c r="S31" s="17">
        <f>_xll.BDH("AMZN US Equity","PRETAX_INC","FQ1 2013","FQ1 2013","Currency=USD","Period=FQ","BEST_FPERIOD_OVERRIDE=FQ","FILING_STATUS=MR","SCALING_FORMAT=MLN","FA_ADJUSTED=GAAP","Sort=A","Dates=H","DateFormat=P","Fill=—","Direction=H","UseDPDF=Y")</f>
        <v>81</v>
      </c>
      <c r="T31" s="17">
        <f>_xll.BDH("AMZN US Equity","PRETAX_INC","FQ2 2013","FQ2 2013","Currency=USD","Period=FQ","BEST_FPERIOD_OVERRIDE=FQ","FILING_STATUS=MR","SCALING_FORMAT=MLN","FA_ADJUSTED=GAAP","Sort=A","Dates=H","DateFormat=P","Fill=—","Direction=H","UseDPDF=Y")</f>
        <v>17</v>
      </c>
      <c r="U31" s="17">
        <f>_xll.BDH("AMZN US Equity","PRETAX_INC","FQ3 2013","FQ3 2013","Currency=USD","Period=FQ","BEST_FPERIOD_OVERRIDE=FQ","FILING_STATUS=MR","SCALING_FORMAT=MLN","FA_ADJUSTED=GAAP","Sort=A","Dates=H","DateFormat=P","Fill=—","Direction=H","UseDPDF=Y")</f>
        <v>-43</v>
      </c>
      <c r="V31" s="17">
        <f>_xll.BDH("AMZN US Equity","PRETAX_INC","FQ4 2013","FQ4 2013","Currency=USD","Period=FQ","BEST_FPERIOD_OVERRIDE=FQ","FILING_STATUS=MR","SCALING_FORMAT=MLN","FA_ADJUSTED=GAAP","Sort=A","Dates=H","DateFormat=P","Fill=—","Direction=H","UseDPDF=Y")</f>
        <v>451</v>
      </c>
      <c r="W31" s="17">
        <f>_xll.BDH("AMZN US Equity","PRETAX_INC","FQ1 2014","FQ1 2014","Currency=USD","Period=FQ","BEST_FPERIOD_OVERRIDE=FQ","FILING_STATUS=MR","SCALING_FORMAT=MLN","FA_ADJUSTED=GAAP","Sort=A","Dates=H","DateFormat=P","Fill=—","Direction=H","UseDPDF=Y")</f>
        <v>120</v>
      </c>
      <c r="X31" s="17">
        <f>_xll.BDH("AMZN US Equity","PRETAX_INC","FQ2 2014","FQ2 2014","Currency=USD","Period=FQ","BEST_FPERIOD_OVERRIDE=FQ","FILING_STATUS=MR","SCALING_FORMAT=MLN","FA_ADJUSTED=GAAP","Sort=A","Dates=H","DateFormat=P","Fill=—","Direction=H","UseDPDF=Y")</f>
        <v>-27</v>
      </c>
      <c r="Y31" s="17">
        <f>_xll.BDH("AMZN US Equity","PRETAX_INC","FQ3 2014","FQ3 2014","Currency=USD","Period=FQ","BEST_FPERIOD_OVERRIDE=FQ","FILING_STATUS=MR","SCALING_FORMAT=MLN","FA_ADJUSTED=GAAP","Sort=A","Dates=H","DateFormat=P","Fill=—","Direction=H","UseDPDF=Y")</f>
        <v>-634</v>
      </c>
      <c r="Z31" s="17">
        <f>_xll.BDH("AMZN US Equity","PRETAX_INC","FQ4 2014","FQ4 2014","Currency=USD","Period=FQ","BEST_FPERIOD_OVERRIDE=FQ","FILING_STATUS=MR","SCALING_FORMAT=MLN","FA_ADJUSTED=GAAP","Sort=A","Dates=H","DateFormat=P","Fill=—","Direction=H","UseDPDF=Y")</f>
        <v>429</v>
      </c>
      <c r="AA31" s="17">
        <f>_xll.BDH("AMZN US Equity","PRETAX_INC","FQ1 2015","FQ1 2015","Currency=USD","Period=FQ","BEST_FPERIOD_OVERRIDE=FQ","FILING_STATUS=MR","SCALING_FORMAT=MLN","FA_ADJUSTED=GAAP","Sort=A","Dates=H","DateFormat=P","Fill=—","Direction=H","UseDPDF=Y")</f>
        <v>21</v>
      </c>
      <c r="AB31" s="17">
        <f>_xll.BDH("AMZN US Equity","PRETAX_INC","FQ2 2015","FQ2 2015","Currency=USD","Period=FQ","BEST_FPERIOD_OVERRIDE=FQ","FILING_STATUS=MR","SCALING_FORMAT=MLN","FA_ADJUSTED=GAAP","Sort=A","Dates=H","DateFormat=P","Fill=—","Direction=H","UseDPDF=Y")</f>
        <v>362</v>
      </c>
      <c r="AC31" s="17">
        <f>_xll.BDH("AMZN US Equity","PRETAX_INC","FQ3 2015","FQ3 2015","Currency=USD","Period=FQ","BEST_FPERIOD_OVERRIDE=FQ","FILING_STATUS=MR","SCALING_FORMAT=MLN","FA_ADJUSTED=GAAP","Sort=A","Dates=H","DateFormat=P","Fill=—","Direction=H","UseDPDF=Y")</f>
        <v>247</v>
      </c>
      <c r="AD31" s="17">
        <f>_xll.BDH("AMZN US Equity","PRETAX_INC","FQ4 2015","FQ4 2015","Currency=USD","Period=FQ","BEST_FPERIOD_OVERRIDE=FQ","FILING_STATUS=MR","SCALING_FORMAT=MLN","FA_ADJUSTED=GAAP","Sort=A","Dates=H","DateFormat=P","Fill=—","Direction=H","UseDPDF=Y")</f>
        <v>938</v>
      </c>
      <c r="AE31" s="17">
        <f>_xll.BDH("AMZN US Equity","PRETAX_INC","FQ1 2016","FQ1 2016","Currency=USD","Period=FQ","BEST_FPERIOD_OVERRIDE=FQ","FILING_STATUS=MR","SCALING_FORMAT=MLN","FA_ADJUSTED=GAAP","Sort=A","Dates=H","DateFormat=P","Fill=—","Direction=H","UseDPDF=Y")</f>
        <v>1056</v>
      </c>
      <c r="AF31" s="17">
        <f>_xll.BDH("AMZN US Equity","PRETAX_INC","FQ2 2016","FQ2 2016","Currency=USD","Period=FQ","BEST_FPERIOD_OVERRIDE=FQ","FILING_STATUS=MR","SCALING_FORMAT=MLN","FA_ADJUSTED=GAAP","Sort=A","Dates=H","DateFormat=P","Fill=—","Direction=H","UseDPDF=Y")</f>
        <v>1179</v>
      </c>
      <c r="AG31" s="17">
        <f>_xll.BDH("AMZN US Equity","PRETAX_INC","FQ3 2016","FQ3 2016","Currency=USD","Period=FQ","BEST_FPERIOD_OVERRIDE=FQ","FILING_STATUS=MR","SCALING_FORMAT=MLN","FA_ADJUSTED=GAAP","Sort=A","Dates=H","DateFormat=P","Fill=—","Direction=H","UseDPDF=Y")</f>
        <v>491</v>
      </c>
      <c r="AH31" s="17">
        <f>_xll.BDH("AMZN US Equity","PRETAX_INC","FQ4 2016","FQ4 2016","Currency=USD","Period=FQ","BEST_FPERIOD_OVERRIDE=FQ","FILING_STATUS=MR","SCALING_FORMAT=MLN","FA_ADJUSTED=GAAP","Sort=A","Dates=H","DateFormat=P","Fill=—","Direction=H","UseDPDF=Y")</f>
        <v>1166</v>
      </c>
      <c r="AI31" s="17">
        <f>_xll.BDH("AMZN US Equity","PRETAX_INC","FQ1 2017","FQ1 2017","Currency=USD","Period=FQ","BEST_FPERIOD_OVERRIDE=FQ","FILING_STATUS=MR","SCALING_FORMAT=MLN","FA_ADJUSTED=GAAP","Sort=A","Dates=H","DateFormat=P","Fill=—","Direction=H","UseDPDF=Y")</f>
        <v>953</v>
      </c>
      <c r="AJ31" s="17">
        <f>_xll.BDH("AMZN US Equity","PRETAX_INC","FQ2 2017","FQ2 2017","Currency=USD","Period=FQ","BEST_FPERIOD_OVERRIDE=FQ","FILING_STATUS=MR","SCALING_FORMAT=MLN","FA_ADJUSTED=GAAP","Sort=A","Dates=H","DateFormat=P","Fill=—","Direction=H","UseDPDF=Y")</f>
        <v>666</v>
      </c>
      <c r="AK31" s="17">
        <f>_xll.BDH("AMZN US Equity","PRETAX_INC","FQ3 2017","FQ3 2017","Currency=USD","Period=FQ","BEST_FPERIOD_OVERRIDE=FQ","FILING_STATUS=MR","SCALING_FORMAT=MLN","FA_ADJUSTED=GAAP","Sort=A","Dates=H","DateFormat=P","Fill=—","Direction=H","UseDPDF=Y")</f>
        <v>316</v>
      </c>
      <c r="AL31" s="17">
        <f>_xll.BDH("AMZN US Equity","PRETAX_INC","FQ4 2017","FQ4 2017","Currency=USD","Period=FQ","BEST_FPERIOD_OVERRIDE=FQ","FILING_STATUS=MR","SCALING_FORMAT=MLN","FA_ADJUSTED=GAAP","Sort=A","Dates=H","DateFormat=P","Fill=—","Direction=H","UseDPDF=Y")</f>
        <v>1872</v>
      </c>
      <c r="AM31" s="17">
        <f>_xll.BDH("AMZN US Equity","PRETAX_INC","FQ1 2018","FQ1 2018","Currency=USD","Period=FQ","BEST_FPERIOD_OVERRIDE=FQ","FILING_STATUS=MR","SCALING_FORMAT=MLN","FA_ADJUSTED=GAAP","Sort=A","Dates=H","DateFormat=P","Fill=—","Direction=H","UseDPDF=Y")</f>
        <v>1916</v>
      </c>
      <c r="AN31" s="17">
        <f>_xll.BDH("AMZN US Equity","PRETAX_INC","FQ2 2018","FQ2 2018","Currency=USD","Period=FQ","BEST_FPERIOD_OVERRIDE=FQ","FILING_STATUS=MR","SCALING_FORMAT=MLN","FA_ADJUSTED=GAAP","Sort=A","Dates=H","DateFormat=P","Fill=—","Direction=H","UseDPDF=Y")</f>
        <v>2605</v>
      </c>
      <c r="AO31" s="17">
        <v>1918.192</v>
      </c>
      <c r="AP31" s="17">
        <v>3630.346</v>
      </c>
    </row>
    <row r="32" spans="1:42" x14ac:dyDescent="0.25">
      <c r="A32" s="10" t="s">
        <v>137</v>
      </c>
      <c r="B32" s="10" t="s">
        <v>138</v>
      </c>
      <c r="C32" s="13">
        <f>_xll.BDH("AMZN US Equity","IS_INC_TAX_EXP","FQ1 2009","FQ1 2009","Currency=USD","Period=FQ","BEST_FPERIOD_OVERRIDE=FQ","FILING_STATUS=MR","SCALING_FORMAT=MLN","FA_ADJUSTED=GAAP","Sort=A","Dates=H","DateFormat=P","Fill=—","Direction=H","UseDPDF=Y")</f>
        <v>69</v>
      </c>
      <c r="D32" s="13">
        <f>_xll.BDH("AMZN US Equity","IS_INC_TAX_EXP","FQ2 2009","FQ2 2009","Currency=USD","Period=FQ","BEST_FPERIOD_OVERRIDE=FQ","FILING_STATUS=MR","SCALING_FORMAT=MLN","FA_ADJUSTED=GAAP","Sort=A","Dates=H","DateFormat=P","Fill=—","Direction=H","UseDPDF=Y")</f>
        <v>39</v>
      </c>
      <c r="E32" s="13">
        <f>_xll.BDH("AMZN US Equity","IS_INC_TAX_EXP","FQ3 2009","FQ3 2009","Currency=USD","Period=FQ","BEST_FPERIOD_OVERRIDE=FQ","FILING_STATUS=MR","SCALING_FORMAT=MLN","FA_ADJUSTED=GAAP","Sort=A","Dates=H","DateFormat=P","Fill=—","Direction=H","UseDPDF=Y")</f>
        <v>60</v>
      </c>
      <c r="F32" s="13">
        <f>_xll.BDH("AMZN US Equity","IS_INC_TAX_EXP","FQ4 2009","FQ4 2009","Currency=USD","Period=FQ","BEST_FPERIOD_OVERRIDE=FQ","FILING_STATUS=MR","SCALING_FORMAT=MLN","FA_ADJUSTED=GAAP","Sort=A","Dates=H","DateFormat=P","Fill=—","Direction=H","UseDPDF=Y")</f>
        <v>85</v>
      </c>
      <c r="G32" s="13">
        <f>_xll.BDH("AMZN US Equity","IS_INC_TAX_EXP","FQ1 2010","FQ1 2010","Currency=USD","Period=FQ","BEST_FPERIOD_OVERRIDE=FQ","FILING_STATUS=MR","SCALING_FORMAT=MLN","FA_ADJUSTED=GAAP","Sort=A","Dates=H","DateFormat=P","Fill=—","Direction=H","UseDPDF=Y")</f>
        <v>100</v>
      </c>
      <c r="H32" s="13">
        <f>_xll.BDH("AMZN US Equity","IS_INC_TAX_EXP","FQ2 2010","FQ2 2010","Currency=USD","Period=FQ","BEST_FPERIOD_OVERRIDE=FQ","FILING_STATUS=MR","SCALING_FORMAT=MLN","FA_ADJUSTED=GAAP","Sort=A","Dates=H","DateFormat=P","Fill=—","Direction=H","UseDPDF=Y")</f>
        <v>88</v>
      </c>
      <c r="I32" s="13">
        <f>_xll.BDH("AMZN US Equity","IS_INC_TAX_EXP","FQ3 2010","FQ3 2010","Currency=USD","Period=FQ","BEST_FPERIOD_OVERRIDE=FQ","FILING_STATUS=MR","SCALING_FORMAT=MLN","FA_ADJUSTED=GAAP","Sort=A","Dates=H","DateFormat=P","Fill=—","Direction=H","UseDPDF=Y")</f>
        <v>79</v>
      </c>
      <c r="J32" s="13">
        <f>_xll.BDH("AMZN US Equity","IS_INC_TAX_EXP","FQ4 2010","FQ4 2010","Currency=USD","Period=FQ","BEST_FPERIOD_OVERRIDE=FQ","FILING_STATUS=MR","SCALING_FORMAT=MLN","FA_ADJUSTED=GAAP","Sort=A","Dates=H","DateFormat=P","Fill=—","Direction=H","UseDPDF=Y")</f>
        <v>84</v>
      </c>
      <c r="K32" s="13">
        <f>_xll.BDH("AMZN US Equity","IS_INC_TAX_EXP","FQ1 2011","FQ1 2011","Currency=USD","Period=FQ","BEST_FPERIOD_OVERRIDE=FQ","FILING_STATUS=MR","SCALING_FORMAT=MLN","FA_ADJUSTED=GAAP","Sort=A","Dates=H","DateFormat=P","Fill=—","Direction=H","UseDPDF=Y")</f>
        <v>89</v>
      </c>
      <c r="L32" s="13">
        <f>_xll.BDH("AMZN US Equity","IS_INC_TAX_EXP","FQ2 2011","FQ2 2011","Currency=USD","Period=FQ","BEST_FPERIOD_OVERRIDE=FQ","FILING_STATUS=MR","SCALING_FORMAT=MLN","FA_ADJUSTED=GAAP","Sort=A","Dates=H","DateFormat=P","Fill=—","Direction=H","UseDPDF=Y")</f>
        <v>49</v>
      </c>
      <c r="M32" s="13">
        <f>_xll.BDH("AMZN US Equity","IS_INC_TAX_EXP","FQ3 2011","FQ3 2011","Currency=USD","Period=FQ","BEST_FPERIOD_OVERRIDE=FQ","FILING_STATUS=MR","SCALING_FORMAT=MLN","FA_ADJUSTED=GAAP","Sort=A","Dates=H","DateFormat=P","Fill=—","Direction=H","UseDPDF=Y")</f>
        <v>67</v>
      </c>
      <c r="N32" s="13">
        <f>_xll.BDH("AMZN US Equity","IS_INC_TAX_EXP","FQ4 2011","FQ4 2011","Currency=USD","Period=FQ","BEST_FPERIOD_OVERRIDE=FQ","FILING_STATUS=MR","SCALING_FORMAT=MLN","FA_ADJUSTED=GAAP","Sort=A","Dates=H","DateFormat=P","Fill=—","Direction=H","UseDPDF=Y")</f>
        <v>86</v>
      </c>
      <c r="O32" s="13">
        <f>_xll.BDH("AMZN US Equity","IS_INC_TAX_EXP","FQ1 2012","FQ1 2012","Currency=USD","Period=FQ","BEST_FPERIOD_OVERRIDE=FQ","FILING_STATUS=MR","SCALING_FORMAT=MLN","FA_ADJUSTED=GAAP","Sort=A","Dates=H","DateFormat=P","Fill=—","Direction=H","UseDPDF=Y")</f>
        <v>43</v>
      </c>
      <c r="P32" s="13">
        <f>_xll.BDH("AMZN US Equity","IS_INC_TAX_EXP","FQ2 2012","FQ2 2012","Currency=USD","Period=FQ","BEST_FPERIOD_OVERRIDE=FQ","FILING_STATUS=MR","SCALING_FORMAT=MLN","FA_ADJUSTED=GAAP","Sort=A","Dates=H","DateFormat=P","Fill=—","Direction=H","UseDPDF=Y")</f>
        <v>109</v>
      </c>
      <c r="Q32" s="13">
        <f>_xll.BDH("AMZN US Equity","IS_INC_TAX_EXP","FQ3 2012","FQ3 2012","Currency=USD","Period=FQ","BEST_FPERIOD_OVERRIDE=FQ","FILING_STATUS=MR","SCALING_FORMAT=MLN","FA_ADJUSTED=GAAP","Sort=A","Dates=H","DateFormat=P","Fill=—","Direction=H","UseDPDF=Y")</f>
        <v>83</v>
      </c>
      <c r="R32" s="13">
        <f>_xll.BDH("AMZN US Equity","IS_INC_TAX_EXP","FQ4 2012","FQ4 2012","Currency=USD","Period=FQ","BEST_FPERIOD_OVERRIDE=FQ","FILING_STATUS=MR","SCALING_FORMAT=MLN","FA_ADJUSTED=GAAP","Sort=A","Dates=H","DateFormat=P","Fill=—","Direction=H","UseDPDF=Y")</f>
        <v>194</v>
      </c>
      <c r="S32" s="13">
        <f>_xll.BDH("AMZN US Equity","IS_INC_TAX_EXP","FQ1 2013","FQ1 2013","Currency=USD","Period=FQ","BEST_FPERIOD_OVERRIDE=FQ","FILING_STATUS=MR","SCALING_FORMAT=MLN","FA_ADJUSTED=GAAP","Sort=A","Dates=H","DateFormat=P","Fill=—","Direction=H","UseDPDF=Y")</f>
        <v>-18</v>
      </c>
      <c r="T32" s="13">
        <f>_xll.BDH("AMZN US Equity","IS_INC_TAX_EXP","FQ2 2013","FQ2 2013","Currency=USD","Period=FQ","BEST_FPERIOD_OVERRIDE=FQ","FILING_STATUS=MR","SCALING_FORMAT=MLN","FA_ADJUSTED=GAAP","Sort=A","Dates=H","DateFormat=P","Fill=—","Direction=H","UseDPDF=Y")</f>
        <v>13</v>
      </c>
      <c r="U32" s="13">
        <f>_xll.BDH("AMZN US Equity","IS_INC_TAX_EXP","FQ3 2013","FQ3 2013","Currency=USD","Period=FQ","BEST_FPERIOD_OVERRIDE=FQ","FILING_STATUS=MR","SCALING_FORMAT=MLN","FA_ADJUSTED=GAAP","Sort=A","Dates=H","DateFormat=P","Fill=—","Direction=H","UseDPDF=Y")</f>
        <v>-12</v>
      </c>
      <c r="V32" s="13">
        <f>_xll.BDH("AMZN US Equity","IS_INC_TAX_EXP","FQ4 2013","FQ4 2013","Currency=USD","Period=FQ","BEST_FPERIOD_OVERRIDE=FQ","FILING_STATUS=MR","SCALING_FORMAT=MLN","FA_ADJUSTED=GAAP","Sort=A","Dates=H","DateFormat=P","Fill=—","Direction=H","UseDPDF=Y")</f>
        <v>179</v>
      </c>
      <c r="W32" s="13">
        <f>_xll.BDH("AMZN US Equity","IS_INC_TAX_EXP","FQ1 2014","FQ1 2014","Currency=USD","Period=FQ","BEST_FPERIOD_OVERRIDE=FQ","FILING_STATUS=MR","SCALING_FORMAT=MLN","FA_ADJUSTED=GAAP","Sort=A","Dates=H","DateFormat=P","Fill=—","Direction=H","UseDPDF=Y")</f>
        <v>73</v>
      </c>
      <c r="X32" s="13">
        <f>_xll.BDH("AMZN US Equity","IS_INC_TAX_EXP","FQ2 2014","FQ2 2014","Currency=USD","Period=FQ","BEST_FPERIOD_OVERRIDE=FQ","FILING_STATUS=MR","SCALING_FORMAT=MLN","FA_ADJUSTED=GAAP","Sort=A","Dates=H","DateFormat=P","Fill=—","Direction=H","UseDPDF=Y")</f>
        <v>94</v>
      </c>
      <c r="Y32" s="13">
        <f>_xll.BDH("AMZN US Equity","IS_INC_TAX_EXP","FQ3 2014","FQ3 2014","Currency=USD","Period=FQ","BEST_FPERIOD_OVERRIDE=FQ","FILING_STATUS=MR","SCALING_FORMAT=MLN","FA_ADJUSTED=GAAP","Sort=A","Dates=H","DateFormat=P","Fill=—","Direction=H","UseDPDF=Y")</f>
        <v>-205</v>
      </c>
      <c r="Z32" s="13">
        <f>_xll.BDH("AMZN US Equity","IS_INC_TAX_EXP","FQ4 2014","FQ4 2014","Currency=USD","Period=FQ","BEST_FPERIOD_OVERRIDE=FQ","FILING_STATUS=MR","SCALING_FORMAT=MLN","FA_ADJUSTED=GAAP","Sort=A","Dates=H","DateFormat=P","Fill=—","Direction=H","UseDPDF=Y")</f>
        <v>205</v>
      </c>
      <c r="AA32" s="13">
        <f>_xll.BDH("AMZN US Equity","IS_INC_TAX_EXP","FQ1 2015","FQ1 2015","Currency=USD","Period=FQ","BEST_FPERIOD_OVERRIDE=FQ","FILING_STATUS=MR","SCALING_FORMAT=MLN","FA_ADJUSTED=GAAP","Sort=A","Dates=H","DateFormat=P","Fill=—","Direction=H","UseDPDF=Y")</f>
        <v>71</v>
      </c>
      <c r="AB32" s="13">
        <f>_xll.BDH("AMZN US Equity","IS_INC_TAX_EXP","FQ2 2015","FQ2 2015","Currency=USD","Period=FQ","BEST_FPERIOD_OVERRIDE=FQ","FILING_STATUS=MR","SCALING_FORMAT=MLN","FA_ADJUSTED=GAAP","Sort=A","Dates=H","DateFormat=P","Fill=—","Direction=H","UseDPDF=Y")</f>
        <v>266</v>
      </c>
      <c r="AC32" s="13">
        <f>_xll.BDH("AMZN US Equity","IS_INC_TAX_EXP","FQ3 2015","FQ3 2015","Currency=USD","Period=FQ","BEST_FPERIOD_OVERRIDE=FQ","FILING_STATUS=MR","SCALING_FORMAT=MLN","FA_ADJUSTED=GAAP","Sort=A","Dates=H","DateFormat=P","Fill=—","Direction=H","UseDPDF=Y")</f>
        <v>161</v>
      </c>
      <c r="AD32" s="13">
        <f>_xll.BDH("AMZN US Equity","IS_INC_TAX_EXP","FQ4 2015","FQ4 2015","Currency=USD","Period=FQ","BEST_FPERIOD_OVERRIDE=FQ","FILING_STATUS=MR","SCALING_FORMAT=MLN","FA_ADJUSTED=GAAP","Sort=A","Dates=H","DateFormat=P","Fill=—","Direction=H","UseDPDF=Y")</f>
        <v>453</v>
      </c>
      <c r="AE32" s="13">
        <f>_xll.BDH("AMZN US Equity","IS_INC_TAX_EXP","FQ1 2016","FQ1 2016","Currency=USD","Period=FQ","BEST_FPERIOD_OVERRIDE=FQ","FILING_STATUS=MR","SCALING_FORMAT=MLN","FA_ADJUSTED=GAAP","Sort=A","Dates=H","DateFormat=P","Fill=—","Direction=H","UseDPDF=Y")</f>
        <v>475</v>
      </c>
      <c r="AF32" s="13">
        <f>_xll.BDH("AMZN US Equity","IS_INC_TAX_EXP","FQ2 2016","FQ2 2016","Currency=USD","Period=FQ","BEST_FPERIOD_OVERRIDE=FQ","FILING_STATUS=MR","SCALING_FORMAT=MLN","FA_ADJUSTED=GAAP","Sort=A","Dates=H","DateFormat=P","Fill=—","Direction=H","UseDPDF=Y")</f>
        <v>307</v>
      </c>
      <c r="AG32" s="13">
        <f>_xll.BDH("AMZN US Equity","IS_INC_TAX_EXP","FQ3 2016","FQ3 2016","Currency=USD","Period=FQ","BEST_FPERIOD_OVERRIDE=FQ","FILING_STATUS=MR","SCALING_FORMAT=MLN","FA_ADJUSTED=GAAP","Sort=A","Dates=H","DateFormat=P","Fill=—","Direction=H","UseDPDF=Y")</f>
        <v>229</v>
      </c>
      <c r="AH32" s="13">
        <f>_xll.BDH("AMZN US Equity","IS_INC_TAX_EXP","FQ4 2016","FQ4 2016","Currency=USD","Period=FQ","BEST_FPERIOD_OVERRIDE=FQ","FILING_STATUS=MR","SCALING_FORMAT=MLN","FA_ADJUSTED=GAAP","Sort=A","Dates=H","DateFormat=P","Fill=—","Direction=H","UseDPDF=Y")</f>
        <v>414</v>
      </c>
      <c r="AI32" s="13">
        <f>_xll.BDH("AMZN US Equity","IS_INC_TAX_EXP","FQ1 2017","FQ1 2017","Currency=USD","Period=FQ","BEST_FPERIOD_OVERRIDE=FQ","FILING_STATUS=MR","SCALING_FORMAT=MLN","FA_ADJUSTED=GAAP","Sort=A","Dates=H","DateFormat=P","Fill=—","Direction=H","UseDPDF=Y")</f>
        <v>229</v>
      </c>
      <c r="AJ32" s="13">
        <f>_xll.BDH("AMZN US Equity","IS_INC_TAX_EXP","FQ2 2017","FQ2 2017","Currency=USD","Period=FQ","BEST_FPERIOD_OVERRIDE=FQ","FILING_STATUS=MR","SCALING_FORMAT=MLN","FA_ADJUSTED=GAAP","Sort=A","Dates=H","DateFormat=P","Fill=—","Direction=H","UseDPDF=Y")</f>
        <v>467</v>
      </c>
      <c r="AK32" s="13">
        <f>_xll.BDH("AMZN US Equity","IS_INC_TAX_EXP","FQ3 2017","FQ3 2017","Currency=USD","Period=FQ","BEST_FPERIOD_OVERRIDE=FQ","FILING_STATUS=MR","SCALING_FORMAT=MLN","FA_ADJUSTED=GAAP","Sort=A","Dates=H","DateFormat=P","Fill=—","Direction=H","UseDPDF=Y")</f>
        <v>58</v>
      </c>
      <c r="AL32" s="13">
        <f>_xll.BDH("AMZN US Equity","IS_INC_TAX_EXP","FQ4 2017","FQ4 2017","Currency=USD","Period=FQ","BEST_FPERIOD_OVERRIDE=FQ","FILING_STATUS=MR","SCALING_FORMAT=MLN","FA_ADJUSTED=GAAP","Sort=A","Dates=H","DateFormat=P","Fill=—","Direction=H","UseDPDF=Y")</f>
        <v>16</v>
      </c>
      <c r="AM32" s="13">
        <f>_xll.BDH("AMZN US Equity","IS_INC_TAX_EXP","FQ1 2018","FQ1 2018","Currency=USD","Period=FQ","BEST_FPERIOD_OVERRIDE=FQ","FILING_STATUS=MR","SCALING_FORMAT=MLN","FA_ADJUSTED=GAAP","Sort=A","Dates=H","DateFormat=P","Fill=—","Direction=H","UseDPDF=Y")</f>
        <v>287</v>
      </c>
      <c r="AN32" s="13">
        <f>_xll.BDH("AMZN US Equity","IS_INC_TAX_EXP","FQ2 2018","FQ2 2018","Currency=USD","Period=FQ","BEST_FPERIOD_OVERRIDE=FQ","FILING_STATUS=MR","SCALING_FORMAT=MLN","FA_ADJUSTED=GAAP","Sort=A","Dates=H","DateFormat=P","Fill=—","Direction=H","UseDPDF=Y")</f>
        <v>74</v>
      </c>
      <c r="AO32" s="13"/>
      <c r="AP32" s="13"/>
    </row>
    <row r="33" spans="1:42" x14ac:dyDescent="0.25">
      <c r="A33" s="10" t="s">
        <v>139</v>
      </c>
      <c r="B33" s="10" t="s">
        <v>140</v>
      </c>
      <c r="C33" s="13">
        <f>_xll.BDH("AMZN US Equity","IS_SH_PRO_EQY_MT_INV_NET_OF_TAX","FQ1 2009","FQ1 2009","Currency=USD","Period=FQ","BEST_FPERIOD_OVERRIDE=FQ","FILING_STATUS=MR","SCALING_FORMAT=MLN","FA_ADJUSTED=GAAP","Sort=A","Dates=H","DateFormat=P","Fill=—","Direction=H","UseDPDF=Y")</f>
        <v>2</v>
      </c>
      <c r="D33" s="13">
        <f>_xll.BDH("AMZN US Equity","IS_SH_PRO_EQY_MT_INV_NET_OF_TAX","FQ2 2009","FQ2 2009","Currency=USD","Period=FQ","BEST_FPERIOD_OVERRIDE=FQ","FILING_STATUS=MR","SCALING_FORMAT=MLN","FA_ADJUSTED=GAAP","Sort=A","Dates=H","DateFormat=P","Fill=—","Direction=H","UseDPDF=Y")</f>
        <v>-2</v>
      </c>
      <c r="E33" s="13">
        <f>_xll.BDH("AMZN US Equity","IS_SH_PRO_EQY_MT_INV_NET_OF_TAX","FQ3 2009","FQ3 2009","Currency=USD","Period=FQ","BEST_FPERIOD_OVERRIDE=FQ","FILING_STATUS=MR","SCALING_FORMAT=MLN","FA_ADJUSTED=GAAP","Sort=A","Dates=H","DateFormat=P","Fill=—","Direction=H","UseDPDF=Y")</f>
        <v>3</v>
      </c>
      <c r="F33" s="13">
        <f>_xll.BDH("AMZN US Equity","IS_SH_PRO_EQY_MT_INV_NET_OF_TAX","FQ4 2009","FQ4 2009","Currency=USD","Period=FQ","BEST_FPERIOD_OVERRIDE=FQ","FILING_STATUS=MR","SCALING_FORMAT=MLN","FA_ADJUSTED=GAAP","Sort=A","Dates=H","DateFormat=P","Fill=—","Direction=H","UseDPDF=Y")</f>
        <v>2</v>
      </c>
      <c r="G33" s="13">
        <f>_xll.BDH("AMZN US Equity","IS_SH_PRO_EQY_MT_INV_NET_OF_TAX","FQ1 2010","FQ1 2010","Currency=USD","Period=FQ","BEST_FPERIOD_OVERRIDE=FQ","FILING_STATUS=MR","SCALING_FORMAT=MLN","FA_ADJUSTED=GAAP","Sort=A","Dates=H","DateFormat=P","Fill=—","Direction=H","UseDPDF=Y")</f>
        <v>2</v>
      </c>
      <c r="H33" s="13">
        <f>_xll.BDH("AMZN US Equity","IS_SH_PRO_EQY_MT_INV_NET_OF_TAX","FQ2 2010","FQ2 2010","Currency=USD","Period=FQ","BEST_FPERIOD_OVERRIDE=FQ","FILING_STATUS=MR","SCALING_FORMAT=MLN","FA_ADJUSTED=GAAP","Sort=A","Dates=H","DateFormat=P","Fill=—","Direction=H","UseDPDF=Y")</f>
        <v>2</v>
      </c>
      <c r="I33" s="13">
        <f>_xll.BDH("AMZN US Equity","IS_SH_PRO_EQY_MT_INV_NET_OF_TAX","FQ3 2010","FQ3 2010","Currency=USD","Period=FQ","BEST_FPERIOD_OVERRIDE=FQ","FILING_STATUS=MR","SCALING_FORMAT=MLN","FA_ADJUSTED=GAAP","Sort=A","Dates=H","DateFormat=P","Fill=—","Direction=H","UseDPDF=Y")</f>
        <v>-18</v>
      </c>
      <c r="J33" s="13">
        <f>_xll.BDH("AMZN US Equity","IS_SH_PRO_EQY_MT_INV_NET_OF_TAX","FQ4 2010","FQ4 2010","Currency=USD","Period=FQ","BEST_FPERIOD_OVERRIDE=FQ","FILING_STATUS=MR","SCALING_FORMAT=MLN","FA_ADJUSTED=GAAP","Sort=A","Dates=H","DateFormat=P","Fill=—","Direction=H","UseDPDF=Y")</f>
        <v>6</v>
      </c>
      <c r="K33" s="13">
        <f>_xll.BDH("AMZN US Equity","IS_SH_PRO_EQY_MT_INV_NET_OF_TAX","FQ1 2011","FQ1 2011","Currency=USD","Period=FQ","BEST_FPERIOD_OVERRIDE=FQ","FILING_STATUS=MR","SCALING_FORMAT=MLN","FA_ADJUSTED=GAAP","Sort=A","Dates=H","DateFormat=P","Fill=—","Direction=H","UseDPDF=Y")</f>
        <v>17</v>
      </c>
      <c r="L33" s="13">
        <f>_xll.BDH("AMZN US Equity","IS_SH_PRO_EQY_MT_INV_NET_OF_TAX","FQ2 2011","FQ2 2011","Currency=USD","Period=FQ","BEST_FPERIOD_OVERRIDE=FQ","FILING_STATUS=MR","SCALING_FORMAT=MLN","FA_ADJUSTED=GAAP","Sort=A","Dates=H","DateFormat=P","Fill=—","Direction=H","UseDPDF=Y")</f>
        <v>-15</v>
      </c>
      <c r="M33" s="13">
        <f>_xll.BDH("AMZN US Equity","IS_SH_PRO_EQY_MT_INV_NET_OF_TAX","FQ3 2011","FQ3 2011","Currency=USD","Period=FQ","BEST_FPERIOD_OVERRIDE=FQ","FILING_STATUS=MR","SCALING_FORMAT=MLN","FA_ADJUSTED=GAAP","Sort=A","Dates=H","DateFormat=P","Fill=—","Direction=H","UseDPDF=Y")</f>
        <v>0</v>
      </c>
      <c r="N33" s="13">
        <f>_xll.BDH("AMZN US Equity","IS_SH_PRO_EQY_MT_INV_NET_OF_TAX","FQ4 2011","FQ4 2011","Currency=USD","Period=FQ","BEST_FPERIOD_OVERRIDE=FQ","FILING_STATUS=MR","SCALING_FORMAT=MLN","FA_ADJUSTED=GAAP","Sort=A","Dates=H","DateFormat=P","Fill=—","Direction=H","UseDPDF=Y")</f>
        <v>10</v>
      </c>
      <c r="O33" s="13">
        <f>_xll.BDH("AMZN US Equity","IS_SH_PRO_EQY_MT_INV_NET_OF_TAX","FQ1 2012","FQ1 2012","Currency=USD","Period=FQ","BEST_FPERIOD_OVERRIDE=FQ","FILING_STATUS=MR","SCALING_FORMAT=MLN","FA_ADJUSTED=GAAP","Sort=A","Dates=H","DateFormat=P","Fill=—","Direction=H","UseDPDF=Y")</f>
        <v>-89</v>
      </c>
      <c r="P33" s="13">
        <f>_xll.BDH("AMZN US Equity","IS_SH_PRO_EQY_MT_INV_NET_OF_TAX","FQ2 2012","FQ2 2012","Currency=USD","Period=FQ","BEST_FPERIOD_OVERRIDE=FQ","FILING_STATUS=MR","SCALING_FORMAT=MLN","FA_ADJUSTED=GAAP","Sort=A","Dates=H","DateFormat=P","Fill=—","Direction=H","UseDPDF=Y")</f>
        <v>30</v>
      </c>
      <c r="Q33" s="13">
        <f>_xll.BDH("AMZN US Equity","IS_SH_PRO_EQY_MT_INV_NET_OF_TAX","FQ3 2012","FQ3 2012","Currency=USD","Period=FQ","BEST_FPERIOD_OVERRIDE=FQ","FILING_STATUS=MR","SCALING_FORMAT=MLN","FA_ADJUSTED=GAAP","Sort=A","Dates=H","DateFormat=P","Fill=—","Direction=H","UseDPDF=Y")</f>
        <v>169</v>
      </c>
      <c r="R33" s="13">
        <f>_xll.BDH("AMZN US Equity","IS_SH_PRO_EQY_MT_INV_NET_OF_TAX","FQ4 2012","FQ4 2012","Currency=USD","Period=FQ","BEST_FPERIOD_OVERRIDE=FQ","FILING_STATUS=MR","SCALING_FORMAT=MLN","FA_ADJUSTED=GAAP","Sort=A","Dates=H","DateFormat=P","Fill=—","Direction=H","UseDPDF=Y")</f>
        <v>46</v>
      </c>
      <c r="S33" s="13">
        <f>_xll.BDH("AMZN US Equity","IS_SH_PRO_EQY_MT_INV_NET_OF_TAX","FQ1 2013","FQ1 2013","Currency=USD","Period=FQ","BEST_FPERIOD_OVERRIDE=FQ","FILING_STATUS=MR","SCALING_FORMAT=MLN","FA_ADJUSTED=GAAP","Sort=A","Dates=H","DateFormat=P","Fill=—","Direction=H","UseDPDF=Y")</f>
        <v>17</v>
      </c>
      <c r="T33" s="13">
        <f>_xll.BDH("AMZN US Equity","IS_SH_PRO_EQY_MT_INV_NET_OF_TAX","FQ2 2013","FQ2 2013","Currency=USD","Period=FQ","BEST_FPERIOD_OVERRIDE=FQ","FILING_STATUS=MR","SCALING_FORMAT=MLN","FA_ADJUSTED=GAAP","Sort=A","Dates=H","DateFormat=P","Fill=—","Direction=H","UseDPDF=Y")</f>
        <v>11</v>
      </c>
      <c r="U33" s="13">
        <f>_xll.BDH("AMZN US Equity","IS_SH_PRO_EQY_MT_INV_NET_OF_TAX","FQ3 2013","FQ3 2013","Currency=USD","Period=FQ","BEST_FPERIOD_OVERRIDE=FQ","FILING_STATUS=MR","SCALING_FORMAT=MLN","FA_ADJUSTED=GAAP","Sort=A","Dates=H","DateFormat=P","Fill=—","Direction=H","UseDPDF=Y")</f>
        <v>10</v>
      </c>
      <c r="V33" s="13">
        <f>_xll.BDH("AMZN US Equity","IS_SH_PRO_EQY_MT_INV_NET_OF_TAX","FQ4 2013","FQ4 2013","Currency=USD","Period=FQ","BEST_FPERIOD_OVERRIDE=FQ","FILING_STATUS=MR","SCALING_FORMAT=MLN","FA_ADJUSTED=GAAP","Sort=A","Dates=H","DateFormat=P","Fill=—","Direction=H","UseDPDF=Y")</f>
        <v>33</v>
      </c>
      <c r="W33" s="13">
        <f>_xll.BDH("AMZN US Equity","IS_SH_PRO_EQY_MT_INV_NET_OF_TAX","FQ1 2014","FQ1 2014","Currency=USD","Period=FQ","BEST_FPERIOD_OVERRIDE=FQ","FILING_STATUS=MR","SCALING_FORMAT=MLN","FA_ADJUSTED=GAAP","Sort=A","Dates=H","DateFormat=P","Fill=—","Direction=H","UseDPDF=Y")</f>
        <v>-61</v>
      </c>
      <c r="X33" s="13">
        <f>_xll.BDH("AMZN US Equity","IS_SH_PRO_EQY_MT_INV_NET_OF_TAX","FQ2 2014","FQ2 2014","Currency=USD","Period=FQ","BEST_FPERIOD_OVERRIDE=FQ","FILING_STATUS=MR","SCALING_FORMAT=MLN","FA_ADJUSTED=GAAP","Sort=A","Dates=H","DateFormat=P","Fill=—","Direction=H","UseDPDF=Y")</f>
        <v>5</v>
      </c>
      <c r="Y33" s="13">
        <f>_xll.BDH("AMZN US Equity","IS_SH_PRO_EQY_MT_INV_NET_OF_TAX","FQ3 2014","FQ3 2014","Currency=USD","Period=FQ","BEST_FPERIOD_OVERRIDE=FQ","FILING_STATUS=MR","SCALING_FORMAT=MLN","FA_ADJUSTED=GAAP","Sort=A","Dates=H","DateFormat=P","Fill=—","Direction=H","UseDPDF=Y")</f>
        <v>8</v>
      </c>
      <c r="Z33" s="13">
        <f>_xll.BDH("AMZN US Equity","IS_SH_PRO_EQY_MT_INV_NET_OF_TAX","FQ4 2014","FQ4 2014","Currency=USD","Period=FQ","BEST_FPERIOD_OVERRIDE=FQ","FILING_STATUS=MR","SCALING_FORMAT=MLN","FA_ADJUSTED=GAAP","Sort=A","Dates=H","DateFormat=P","Fill=—","Direction=H","UseDPDF=Y")</f>
        <v>10</v>
      </c>
      <c r="AA33" s="13">
        <f>_xll.BDH("AMZN US Equity","IS_SH_PRO_EQY_MT_INV_NET_OF_TAX","FQ1 2015","FQ1 2015","Currency=USD","Period=FQ","BEST_FPERIOD_OVERRIDE=FQ","FILING_STATUS=MR","SCALING_FORMAT=MLN","FA_ADJUSTED=GAAP","Sort=A","Dates=H","DateFormat=P","Fill=—","Direction=H","UseDPDF=Y")</f>
        <v>7</v>
      </c>
      <c r="AB33" s="13">
        <f>_xll.BDH("AMZN US Equity","IS_SH_PRO_EQY_MT_INV_NET_OF_TAX","FQ2 2015","FQ2 2015","Currency=USD","Period=FQ","BEST_FPERIOD_OVERRIDE=FQ","FILING_STATUS=MR","SCALING_FORMAT=MLN","FA_ADJUSTED=GAAP","Sort=A","Dates=H","DateFormat=P","Fill=—","Direction=H","UseDPDF=Y")</f>
        <v>4</v>
      </c>
      <c r="AC33" s="13">
        <f>_xll.BDH("AMZN US Equity","IS_SH_PRO_EQY_MT_INV_NET_OF_TAX","FQ3 2015","FQ3 2015","Currency=USD","Period=FQ","BEST_FPERIOD_OVERRIDE=FQ","FILING_STATUS=MR","SCALING_FORMAT=MLN","FA_ADJUSTED=GAAP","Sort=A","Dates=H","DateFormat=P","Fill=—","Direction=H","UseDPDF=Y")</f>
        <v>7</v>
      </c>
      <c r="AD33" s="13">
        <f>_xll.BDH("AMZN US Equity","IS_SH_PRO_EQY_MT_INV_NET_OF_TAX","FQ4 2015","FQ4 2015","Currency=USD","Period=FQ","BEST_FPERIOD_OVERRIDE=FQ","FILING_STATUS=MR","SCALING_FORMAT=MLN","FA_ADJUSTED=GAAP","Sort=A","Dates=H","DateFormat=P","Fill=—","Direction=H","UseDPDF=Y")</f>
        <v>3</v>
      </c>
      <c r="AE33" s="13">
        <f>_xll.BDH("AMZN US Equity","IS_SH_PRO_EQY_MT_INV_NET_OF_TAX","FQ1 2016","FQ1 2016","Currency=USD","Period=FQ","BEST_FPERIOD_OVERRIDE=FQ","FILING_STATUS=MR","SCALING_FORMAT=MLN","FA_ADJUSTED=GAAP","Sort=A","Dates=H","DateFormat=P","Fill=—","Direction=H","UseDPDF=Y")</f>
        <v>68</v>
      </c>
      <c r="AF33" s="13">
        <f>_xll.BDH("AMZN US Equity","IS_SH_PRO_EQY_MT_INV_NET_OF_TAX","FQ2 2016","FQ2 2016","Currency=USD","Period=FQ","BEST_FPERIOD_OVERRIDE=FQ","FILING_STATUS=MR","SCALING_FORMAT=MLN","FA_ADJUSTED=GAAP","Sort=A","Dates=H","DateFormat=P","Fill=—","Direction=H","UseDPDF=Y")</f>
        <v>15</v>
      </c>
      <c r="AG33" s="13">
        <f>_xll.BDH("AMZN US Equity","IS_SH_PRO_EQY_MT_INV_NET_OF_TAX","FQ3 2016","FQ3 2016","Currency=USD","Period=FQ","BEST_FPERIOD_OVERRIDE=FQ","FILING_STATUS=MR","SCALING_FORMAT=MLN","FA_ADJUSTED=GAAP","Sort=A","Dates=H","DateFormat=P","Fill=—","Direction=H","UseDPDF=Y")</f>
        <v>10</v>
      </c>
      <c r="AH33" s="13">
        <f>_xll.BDH("AMZN US Equity","IS_SH_PRO_EQY_MT_INV_NET_OF_TAX","FQ4 2016","FQ4 2016","Currency=USD","Period=FQ","BEST_FPERIOD_OVERRIDE=FQ","FILING_STATUS=MR","SCALING_FORMAT=MLN","FA_ADJUSTED=GAAP","Sort=A","Dates=H","DateFormat=P","Fill=—","Direction=H","UseDPDF=Y")</f>
        <v>3</v>
      </c>
      <c r="AI33" s="13" t="str">
        <f>_xll.BDH("AMZN US Equity","IS_SH_PRO_EQY_MT_INV_NET_OF_TAX","FQ1 2017","FQ1 2017","Currency=USD","Period=FQ","BEST_FPERIOD_OVERRIDE=FQ","FILING_STATUS=MR","SCALING_FORMAT=MLN","FA_ADJUSTED=GAAP","Sort=A","Dates=H","DateFormat=P","Fill=—","Direction=H","UseDPDF=Y")</f>
        <v>—</v>
      </c>
      <c r="AJ33" s="13">
        <f>_xll.BDH("AMZN US Equity","IS_SH_PRO_EQY_MT_INV_NET_OF_TAX","FQ2 2017","FQ2 2017","Currency=USD","Period=FQ","BEST_FPERIOD_OVERRIDE=FQ","FILING_STATUS=MR","SCALING_FORMAT=MLN","FA_ADJUSTED=GAAP","Sort=A","Dates=H","DateFormat=P","Fill=—","Direction=H","UseDPDF=Y")</f>
        <v>2</v>
      </c>
      <c r="AK33" s="13">
        <f>_xll.BDH("AMZN US Equity","IS_SH_PRO_EQY_MT_INV_NET_OF_TAX","FQ3 2017","FQ3 2017","Currency=USD","Period=FQ","BEST_FPERIOD_OVERRIDE=FQ","FILING_STATUS=MR","SCALING_FORMAT=MLN","FA_ADJUSTED=GAAP","Sort=A","Dates=H","DateFormat=P","Fill=—","Direction=H","UseDPDF=Y")</f>
        <v>2</v>
      </c>
      <c r="AL33" s="13">
        <f>_xll.BDH("AMZN US Equity","IS_SH_PRO_EQY_MT_INV_NET_OF_TAX","FQ4 2017","FQ4 2017","Currency=USD","Period=FQ","BEST_FPERIOD_OVERRIDE=FQ","FILING_STATUS=MR","SCALING_FORMAT=MLN","FA_ADJUSTED=GAAP","Sort=A","Dates=H","DateFormat=P","Fill=—","Direction=H","UseDPDF=Y")</f>
        <v>0</v>
      </c>
      <c r="AM33" s="13" t="str">
        <f>_xll.BDH("AMZN US Equity","IS_SH_PRO_EQY_MT_INV_NET_OF_TAX","FQ1 2018","FQ1 2018","Currency=USD","Period=FQ","BEST_FPERIOD_OVERRIDE=FQ","FILING_STATUS=MR","SCALING_FORMAT=MLN","FA_ADJUSTED=GAAP","Sort=A","Dates=H","DateFormat=P","Fill=—","Direction=H","UseDPDF=Y")</f>
        <v>—</v>
      </c>
      <c r="AN33" s="13">
        <f>_xll.BDH("AMZN US Equity","IS_SH_PRO_EQY_MT_INV_NET_OF_TAX","FQ2 2018","FQ2 2018","Currency=USD","Period=FQ","BEST_FPERIOD_OVERRIDE=FQ","FILING_STATUS=MR","SCALING_FORMAT=MLN","FA_ADJUSTED=GAAP","Sort=A","Dates=H","DateFormat=P","Fill=—","Direction=H","UseDPDF=Y")</f>
        <v>-3</v>
      </c>
      <c r="AO33" s="13"/>
      <c r="AP33" s="13"/>
    </row>
    <row r="34" spans="1:42" x14ac:dyDescent="0.25">
      <c r="A34" s="6" t="s">
        <v>141</v>
      </c>
      <c r="B34" s="6" t="s">
        <v>142</v>
      </c>
      <c r="C34" s="17">
        <f>_xll.BDH("AMZN US Equity","IS_INC_BEF_XO_ITEM","FQ1 2009","FQ1 2009","Currency=USD","Period=FQ","BEST_FPERIOD_OVERRIDE=FQ","FILING_STATUS=MR","SCALING_FORMAT=MLN","Sort=A","Dates=H","DateFormat=P","Fill=—","Direction=H","UseDPDF=Y")</f>
        <v>177</v>
      </c>
      <c r="D34" s="17">
        <f>_xll.BDH("AMZN US Equity","IS_INC_BEF_XO_ITEM","FQ2 2009","FQ2 2009","Currency=USD","Period=FQ","BEST_FPERIOD_OVERRIDE=FQ","FILING_STATUS=MR","SCALING_FORMAT=MLN","Sort=A","Dates=H","DateFormat=P","Fill=—","Direction=H","UseDPDF=Y")</f>
        <v>142</v>
      </c>
      <c r="E34" s="17">
        <f>_xll.BDH("AMZN US Equity","IS_INC_BEF_XO_ITEM","FQ3 2009","FQ3 2009","Currency=USD","Period=FQ","BEST_FPERIOD_OVERRIDE=FQ","FILING_STATUS=MR","SCALING_FORMAT=MLN","Sort=A","Dates=H","DateFormat=P","Fill=—","Direction=H","UseDPDF=Y")</f>
        <v>199</v>
      </c>
      <c r="F34" s="17">
        <f>_xll.BDH("AMZN US Equity","IS_INC_BEF_XO_ITEM","FQ4 2009","FQ4 2009","Currency=USD","Period=FQ","BEST_FPERIOD_OVERRIDE=FQ","FILING_STATUS=MR","SCALING_FORMAT=MLN","Sort=A","Dates=H","DateFormat=P","Fill=—","Direction=H","UseDPDF=Y")</f>
        <v>384</v>
      </c>
      <c r="G34" s="17">
        <f>_xll.BDH("AMZN US Equity","IS_INC_BEF_XO_ITEM","FQ1 2010","FQ1 2010","Currency=USD","Period=FQ","BEST_FPERIOD_OVERRIDE=FQ","FILING_STATUS=MR","SCALING_FORMAT=MLN","Sort=A","Dates=H","DateFormat=P","Fill=—","Direction=H","UseDPDF=Y")</f>
        <v>299</v>
      </c>
      <c r="H34" s="17">
        <f>_xll.BDH("AMZN US Equity","IS_INC_BEF_XO_ITEM","FQ2 2010","FQ2 2010","Currency=USD","Period=FQ","BEST_FPERIOD_OVERRIDE=FQ","FILING_STATUS=MR","SCALING_FORMAT=MLN","Sort=A","Dates=H","DateFormat=P","Fill=—","Direction=H","UseDPDF=Y")</f>
        <v>207</v>
      </c>
      <c r="I34" s="17">
        <f>_xll.BDH("AMZN US Equity","IS_INC_BEF_XO_ITEM","FQ3 2010","FQ3 2010","Currency=USD","Period=FQ","BEST_FPERIOD_OVERRIDE=FQ","FILING_STATUS=MR","SCALING_FORMAT=MLN","Sort=A","Dates=H","DateFormat=P","Fill=—","Direction=H","UseDPDF=Y")</f>
        <v>231</v>
      </c>
      <c r="J34" s="17">
        <f>_xll.BDH("AMZN US Equity","IS_INC_BEF_XO_ITEM","FQ4 2010","FQ4 2010","Currency=USD","Period=FQ","BEST_FPERIOD_OVERRIDE=FQ","FILING_STATUS=MR","SCALING_FORMAT=MLN","Sort=A","Dates=H","DateFormat=P","Fill=—","Direction=H","UseDPDF=Y")</f>
        <v>416</v>
      </c>
      <c r="K34" s="17">
        <f>_xll.BDH("AMZN US Equity","IS_INC_BEF_XO_ITEM","FQ1 2011","FQ1 2011","Currency=USD","Period=FQ","BEST_FPERIOD_OVERRIDE=FQ","FILING_STATUS=MR","SCALING_FORMAT=MLN","Sort=A","Dates=H","DateFormat=P","Fill=—","Direction=H","UseDPDF=Y")</f>
        <v>201</v>
      </c>
      <c r="L34" s="17">
        <f>_xll.BDH("AMZN US Equity","IS_INC_BEF_XO_ITEM","FQ2 2011","FQ2 2011","Currency=USD","Period=FQ","BEST_FPERIOD_OVERRIDE=FQ","FILING_STATUS=MR","SCALING_FORMAT=MLN","Sort=A","Dates=H","DateFormat=P","Fill=—","Direction=H","UseDPDF=Y")</f>
        <v>191</v>
      </c>
      <c r="M34" s="17">
        <f>_xll.BDH("AMZN US Equity","IS_INC_BEF_XO_ITEM","FQ3 2011","FQ3 2011","Currency=USD","Period=FQ","BEST_FPERIOD_OVERRIDE=FQ","FILING_STATUS=MR","SCALING_FORMAT=MLN","Sort=A","Dates=H","DateFormat=P","Fill=—","Direction=H","UseDPDF=Y")</f>
        <v>63</v>
      </c>
      <c r="N34" s="17">
        <f>_xll.BDH("AMZN US Equity","IS_INC_BEF_XO_ITEM","FQ4 2011","FQ4 2011","Currency=USD","Period=FQ","BEST_FPERIOD_OVERRIDE=FQ","FILING_STATUS=MR","SCALING_FORMAT=MLN","Sort=A","Dates=H","DateFormat=P","Fill=—","Direction=H","UseDPDF=Y")</f>
        <v>177</v>
      </c>
      <c r="O34" s="17">
        <f>_xll.BDH("AMZN US Equity","IS_INC_BEF_XO_ITEM","FQ1 2012","FQ1 2012","Currency=USD","Period=FQ","BEST_FPERIOD_OVERRIDE=FQ","FILING_STATUS=MR","SCALING_FORMAT=MLN","Sort=A","Dates=H","DateFormat=P","Fill=—","Direction=H","UseDPDF=Y")</f>
        <v>130</v>
      </c>
      <c r="P34" s="17">
        <f>_xll.BDH("AMZN US Equity","IS_INC_BEF_XO_ITEM","FQ2 2012","FQ2 2012","Currency=USD","Period=FQ","BEST_FPERIOD_OVERRIDE=FQ","FILING_STATUS=MR","SCALING_FORMAT=MLN","Sort=A","Dates=H","DateFormat=P","Fill=—","Direction=H","UseDPDF=Y")</f>
        <v>7</v>
      </c>
      <c r="Q34" s="17">
        <f>_xll.BDH("AMZN US Equity","IS_INC_BEF_XO_ITEM","FQ3 2012","FQ3 2012","Currency=USD","Period=FQ","BEST_FPERIOD_OVERRIDE=FQ","FILING_STATUS=MR","SCALING_FORMAT=MLN","Sort=A","Dates=H","DateFormat=P","Fill=—","Direction=H","UseDPDF=Y")</f>
        <v>-274</v>
      </c>
      <c r="R34" s="17">
        <f>_xll.BDH("AMZN US Equity","IS_INC_BEF_XO_ITEM","FQ4 2012","FQ4 2012","Currency=USD","Period=FQ","BEST_FPERIOD_OVERRIDE=FQ","FILING_STATUS=MR","SCALING_FORMAT=MLN","Sort=A","Dates=H","DateFormat=P","Fill=—","Direction=H","UseDPDF=Y")</f>
        <v>97</v>
      </c>
      <c r="S34" s="17">
        <f>_xll.BDH("AMZN US Equity","IS_INC_BEF_XO_ITEM","FQ1 2013","FQ1 2013","Currency=USD","Period=FQ","BEST_FPERIOD_OVERRIDE=FQ","FILING_STATUS=MR","SCALING_FORMAT=MLN","Sort=A","Dates=H","DateFormat=P","Fill=—","Direction=H","UseDPDF=Y")</f>
        <v>82</v>
      </c>
      <c r="T34" s="17">
        <f>_xll.BDH("AMZN US Equity","IS_INC_BEF_XO_ITEM","FQ2 2013","FQ2 2013","Currency=USD","Period=FQ","BEST_FPERIOD_OVERRIDE=FQ","FILING_STATUS=MR","SCALING_FORMAT=MLN","Sort=A","Dates=H","DateFormat=P","Fill=—","Direction=H","UseDPDF=Y")</f>
        <v>-7</v>
      </c>
      <c r="U34" s="17">
        <f>_xll.BDH("AMZN US Equity","IS_INC_BEF_XO_ITEM","FQ3 2013","FQ3 2013","Currency=USD","Period=FQ","BEST_FPERIOD_OVERRIDE=FQ","FILING_STATUS=MR","SCALING_FORMAT=MLN","Sort=A","Dates=H","DateFormat=P","Fill=—","Direction=H","UseDPDF=Y")</f>
        <v>-41</v>
      </c>
      <c r="V34" s="17">
        <f>_xll.BDH("AMZN US Equity","IS_INC_BEF_XO_ITEM","FQ4 2013","FQ4 2013","Currency=USD","Period=FQ","BEST_FPERIOD_OVERRIDE=FQ","FILING_STATUS=MR","SCALING_FORMAT=MLN","Sort=A","Dates=H","DateFormat=P","Fill=—","Direction=H","UseDPDF=Y")</f>
        <v>239</v>
      </c>
      <c r="W34" s="17">
        <f>_xll.BDH("AMZN US Equity","IS_INC_BEF_XO_ITEM","FQ1 2014","FQ1 2014","Currency=USD","Period=FQ","BEST_FPERIOD_OVERRIDE=FQ","FILING_STATUS=MR","SCALING_FORMAT=MLN","Sort=A","Dates=H","DateFormat=P","Fill=—","Direction=H","UseDPDF=Y")</f>
        <v>108</v>
      </c>
      <c r="X34" s="17">
        <f>_xll.BDH("AMZN US Equity","IS_INC_BEF_XO_ITEM","FQ2 2014","FQ2 2014","Currency=USD","Period=FQ","BEST_FPERIOD_OVERRIDE=FQ","FILING_STATUS=MR","SCALING_FORMAT=MLN","Sort=A","Dates=H","DateFormat=P","Fill=—","Direction=H","UseDPDF=Y")</f>
        <v>-126</v>
      </c>
      <c r="Y34" s="17">
        <f>_xll.BDH("AMZN US Equity","IS_INC_BEF_XO_ITEM","FQ3 2014","FQ3 2014","Currency=USD","Period=FQ","BEST_FPERIOD_OVERRIDE=FQ","FILING_STATUS=MR","SCALING_FORMAT=MLN","Sort=A","Dates=H","DateFormat=P","Fill=—","Direction=H","UseDPDF=Y")</f>
        <v>-437</v>
      </c>
      <c r="Z34" s="17">
        <f>_xll.BDH("AMZN US Equity","IS_INC_BEF_XO_ITEM","FQ4 2014","FQ4 2014","Currency=USD","Period=FQ","BEST_FPERIOD_OVERRIDE=FQ","FILING_STATUS=MR","SCALING_FORMAT=MLN","Sort=A","Dates=H","DateFormat=P","Fill=—","Direction=H","UseDPDF=Y")</f>
        <v>214</v>
      </c>
      <c r="AA34" s="17">
        <f>_xll.BDH("AMZN US Equity","IS_INC_BEF_XO_ITEM","FQ1 2015","FQ1 2015","Currency=USD","Period=FQ","BEST_FPERIOD_OVERRIDE=FQ","FILING_STATUS=MR","SCALING_FORMAT=MLN","Sort=A","Dates=H","DateFormat=P","Fill=—","Direction=H","UseDPDF=Y")</f>
        <v>-57</v>
      </c>
      <c r="AB34" s="17">
        <f>_xll.BDH("AMZN US Equity","IS_INC_BEF_XO_ITEM","FQ2 2015","FQ2 2015","Currency=USD","Period=FQ","BEST_FPERIOD_OVERRIDE=FQ","FILING_STATUS=MR","SCALING_FORMAT=MLN","Sort=A","Dates=H","DateFormat=P","Fill=—","Direction=H","UseDPDF=Y")</f>
        <v>92</v>
      </c>
      <c r="AC34" s="17">
        <f>_xll.BDH("AMZN US Equity","IS_INC_BEF_XO_ITEM","FQ3 2015","FQ3 2015","Currency=USD","Period=FQ","BEST_FPERIOD_OVERRIDE=FQ","FILING_STATUS=MR","SCALING_FORMAT=MLN","Sort=A","Dates=H","DateFormat=P","Fill=—","Direction=H","UseDPDF=Y")</f>
        <v>79</v>
      </c>
      <c r="AD34" s="17">
        <f>_xll.BDH("AMZN US Equity","IS_INC_BEF_XO_ITEM","FQ4 2015","FQ4 2015","Currency=USD","Period=FQ","BEST_FPERIOD_OVERRIDE=FQ","FILING_STATUS=MR","SCALING_FORMAT=MLN","Sort=A","Dates=H","DateFormat=P","Fill=—","Direction=H","UseDPDF=Y")</f>
        <v>482</v>
      </c>
      <c r="AE34" s="17">
        <f>_xll.BDH("AMZN US Equity","IS_INC_BEF_XO_ITEM","FQ1 2016","FQ1 2016","Currency=USD","Period=FQ","BEST_FPERIOD_OVERRIDE=FQ","FILING_STATUS=MR","SCALING_FORMAT=MLN","Sort=A","Dates=H","DateFormat=P","Fill=—","Direction=H","UseDPDF=Y")</f>
        <v>513</v>
      </c>
      <c r="AF34" s="17">
        <f>_xll.BDH("AMZN US Equity","IS_INC_BEF_XO_ITEM","FQ2 2016","FQ2 2016","Currency=USD","Period=FQ","BEST_FPERIOD_OVERRIDE=FQ","FILING_STATUS=MR","SCALING_FORMAT=MLN","Sort=A","Dates=H","DateFormat=P","Fill=—","Direction=H","UseDPDF=Y")</f>
        <v>857</v>
      </c>
      <c r="AG34" s="17">
        <f>_xll.BDH("AMZN US Equity","IS_INC_BEF_XO_ITEM","FQ3 2016","FQ3 2016","Currency=USD","Period=FQ","BEST_FPERIOD_OVERRIDE=FQ","FILING_STATUS=MR","SCALING_FORMAT=MLN","Sort=A","Dates=H","DateFormat=P","Fill=—","Direction=H","UseDPDF=Y")</f>
        <v>252</v>
      </c>
      <c r="AH34" s="17">
        <f>_xll.BDH("AMZN US Equity","IS_INC_BEF_XO_ITEM","FQ4 2016","FQ4 2016","Currency=USD","Period=FQ","BEST_FPERIOD_OVERRIDE=FQ","FILING_STATUS=MR","SCALING_FORMAT=MLN","Sort=A","Dates=H","DateFormat=P","Fill=—","Direction=H","UseDPDF=Y")</f>
        <v>749</v>
      </c>
      <c r="AI34" s="17">
        <f>_xll.BDH("AMZN US Equity","IS_INC_BEF_XO_ITEM","FQ1 2017","FQ1 2017","Currency=USD","Period=FQ","BEST_FPERIOD_OVERRIDE=FQ","FILING_STATUS=MR","SCALING_FORMAT=MLN","Sort=A","Dates=H","DateFormat=P","Fill=—","Direction=H","UseDPDF=Y")</f>
        <v>724</v>
      </c>
      <c r="AJ34" s="17">
        <f>_xll.BDH("AMZN US Equity","IS_INC_BEF_XO_ITEM","FQ2 2017","FQ2 2017","Currency=USD","Period=FQ","BEST_FPERIOD_OVERRIDE=FQ","FILING_STATUS=MR","SCALING_FORMAT=MLN","Sort=A","Dates=H","DateFormat=P","Fill=—","Direction=H","UseDPDF=Y")</f>
        <v>197</v>
      </c>
      <c r="AK34" s="17">
        <f>_xll.BDH("AMZN US Equity","IS_INC_BEF_XO_ITEM","FQ3 2017","FQ3 2017","Currency=USD","Period=FQ","BEST_FPERIOD_OVERRIDE=FQ","FILING_STATUS=MR","SCALING_FORMAT=MLN","Sort=A","Dates=H","DateFormat=P","Fill=—","Direction=H","UseDPDF=Y")</f>
        <v>256</v>
      </c>
      <c r="AL34" s="17">
        <f>_xll.BDH("AMZN US Equity","IS_INC_BEF_XO_ITEM","FQ4 2017","FQ4 2017","Currency=USD","Period=FQ","BEST_FPERIOD_OVERRIDE=FQ","FILING_STATUS=MR","SCALING_FORMAT=MLN","Sort=A","Dates=H","DateFormat=P","Fill=—","Direction=H","UseDPDF=Y")</f>
        <v>1856</v>
      </c>
      <c r="AM34" s="17">
        <f>_xll.BDH("AMZN US Equity","IS_INC_BEF_XO_ITEM","FQ1 2018","FQ1 2018","Currency=USD","Period=FQ","BEST_FPERIOD_OVERRIDE=FQ","FILING_STATUS=MR","SCALING_FORMAT=MLN","Sort=A","Dates=H","DateFormat=P","Fill=—","Direction=H","UseDPDF=Y")</f>
        <v>1629</v>
      </c>
      <c r="AN34" s="17">
        <f>_xll.BDH("AMZN US Equity","IS_INC_BEF_XO_ITEM","FQ2 2018","FQ2 2018","Currency=USD","Period=FQ","BEST_FPERIOD_OVERRIDE=FQ","FILING_STATUS=MR","SCALING_FORMAT=MLN","Sort=A","Dates=H","DateFormat=P","Fill=—","Direction=H","UseDPDF=Y")</f>
        <v>2534</v>
      </c>
      <c r="AO34" s="17">
        <v>1516.2260000000001</v>
      </c>
      <c r="AP34" s="17">
        <v>2875.1289999999999</v>
      </c>
    </row>
    <row r="35" spans="1:42" x14ac:dyDescent="0.25">
      <c r="A35" s="10" t="s">
        <v>143</v>
      </c>
      <c r="B35" s="10" t="s">
        <v>144</v>
      </c>
      <c r="C35" s="13">
        <f>_xll.BDH("AMZN US Equity","XO_GL_NET_OF_TAX","FQ1 2009","FQ1 2009","Currency=USD","Period=FQ","BEST_FPERIOD_OVERRIDE=FQ","FILING_STATUS=MR","SCALING_FORMAT=MLN","Sort=A","Dates=H","DateFormat=P","Fill=—","Direction=H","UseDPDF=Y")</f>
        <v>0</v>
      </c>
      <c r="D35" s="13">
        <f>_xll.BDH("AMZN US Equity","XO_GL_NET_OF_TAX","FQ2 2009","FQ2 2009","Currency=USD","Period=FQ","BEST_FPERIOD_OVERRIDE=FQ","FILING_STATUS=MR","SCALING_FORMAT=MLN","Sort=A","Dates=H","DateFormat=P","Fill=—","Direction=H","UseDPDF=Y")</f>
        <v>0</v>
      </c>
      <c r="E35" s="13">
        <f>_xll.BDH("AMZN US Equity","XO_GL_NET_OF_TAX","FQ3 2009","FQ3 2009","Currency=USD","Period=FQ","BEST_FPERIOD_OVERRIDE=FQ","FILING_STATUS=MR","SCALING_FORMAT=MLN","Sort=A","Dates=H","DateFormat=P","Fill=—","Direction=H","UseDPDF=Y")</f>
        <v>0</v>
      </c>
      <c r="F35" s="13">
        <f>_xll.BDH("AMZN US Equity","XO_GL_NET_OF_TAX","FQ4 2009","FQ4 2009","Currency=USD","Period=FQ","BEST_FPERIOD_OVERRIDE=FQ","FILING_STATUS=MR","SCALING_FORMAT=MLN","Sort=A","Dates=H","DateFormat=P","Fill=—","Direction=H","UseDPDF=Y")</f>
        <v>0</v>
      </c>
      <c r="G35" s="13">
        <f>_xll.BDH("AMZN US Equity","XO_GL_NET_OF_TAX","FQ1 2010","FQ1 2010","Currency=USD","Period=FQ","BEST_FPERIOD_OVERRIDE=FQ","FILING_STATUS=MR","SCALING_FORMAT=MLN","Sort=A","Dates=H","DateFormat=P","Fill=—","Direction=H","UseDPDF=Y")</f>
        <v>0</v>
      </c>
      <c r="H35" s="13">
        <f>_xll.BDH("AMZN US Equity","XO_GL_NET_OF_TAX","FQ2 2010","FQ2 2010","Currency=USD","Period=FQ","BEST_FPERIOD_OVERRIDE=FQ","FILING_STATUS=MR","SCALING_FORMAT=MLN","Sort=A","Dates=H","DateFormat=P","Fill=—","Direction=H","UseDPDF=Y")</f>
        <v>0</v>
      </c>
      <c r="I35" s="13">
        <f>_xll.BDH("AMZN US Equity","XO_GL_NET_OF_TAX","FQ3 2010","FQ3 2010","Currency=USD","Period=FQ","BEST_FPERIOD_OVERRIDE=FQ","FILING_STATUS=MR","SCALING_FORMAT=MLN","Sort=A","Dates=H","DateFormat=P","Fill=—","Direction=H","UseDPDF=Y")</f>
        <v>0</v>
      </c>
      <c r="J35" s="13">
        <f>_xll.BDH("AMZN US Equity","XO_GL_NET_OF_TAX","FQ4 2010","FQ4 2010","Currency=USD","Period=FQ","BEST_FPERIOD_OVERRIDE=FQ","FILING_STATUS=MR","SCALING_FORMAT=MLN","Sort=A","Dates=H","DateFormat=P","Fill=—","Direction=H","UseDPDF=Y")</f>
        <v>0</v>
      </c>
      <c r="K35" s="13">
        <f>_xll.BDH("AMZN US Equity","XO_GL_NET_OF_TAX","FQ1 2011","FQ1 2011","Currency=USD","Period=FQ","BEST_FPERIOD_OVERRIDE=FQ","FILING_STATUS=MR","SCALING_FORMAT=MLN","Sort=A","Dates=H","DateFormat=P","Fill=—","Direction=H","UseDPDF=Y")</f>
        <v>0</v>
      </c>
      <c r="L35" s="13">
        <f>_xll.BDH("AMZN US Equity","XO_GL_NET_OF_TAX","FQ2 2011","FQ2 2011","Currency=USD","Period=FQ","BEST_FPERIOD_OVERRIDE=FQ","FILING_STATUS=MR","SCALING_FORMAT=MLN","Sort=A","Dates=H","DateFormat=P","Fill=—","Direction=H","UseDPDF=Y")</f>
        <v>0</v>
      </c>
      <c r="M35" s="13">
        <f>_xll.BDH("AMZN US Equity","XO_GL_NET_OF_TAX","FQ3 2011","FQ3 2011","Currency=USD","Period=FQ","BEST_FPERIOD_OVERRIDE=FQ","FILING_STATUS=MR","SCALING_FORMAT=MLN","Sort=A","Dates=H","DateFormat=P","Fill=—","Direction=H","UseDPDF=Y")</f>
        <v>0</v>
      </c>
      <c r="N35" s="13">
        <f>_xll.BDH("AMZN US Equity","XO_GL_NET_OF_TAX","FQ4 2011","FQ4 2011","Currency=USD","Period=FQ","BEST_FPERIOD_OVERRIDE=FQ","FILING_STATUS=MR","SCALING_FORMAT=MLN","Sort=A","Dates=H","DateFormat=P","Fill=—","Direction=H","UseDPDF=Y")</f>
        <v>0</v>
      </c>
      <c r="O35" s="13">
        <f>_xll.BDH("AMZN US Equity","XO_GL_NET_OF_TAX","FQ1 2012","FQ1 2012","Currency=USD","Period=FQ","BEST_FPERIOD_OVERRIDE=FQ","FILING_STATUS=MR","SCALING_FORMAT=MLN","Sort=A","Dates=H","DateFormat=P","Fill=—","Direction=H","UseDPDF=Y")</f>
        <v>0</v>
      </c>
      <c r="P35" s="13">
        <f>_xll.BDH("AMZN US Equity","XO_GL_NET_OF_TAX","FQ2 2012","FQ2 2012","Currency=USD","Period=FQ","BEST_FPERIOD_OVERRIDE=FQ","FILING_STATUS=MR","SCALING_FORMAT=MLN","Sort=A","Dates=H","DateFormat=P","Fill=—","Direction=H","UseDPDF=Y")</f>
        <v>0</v>
      </c>
      <c r="Q35" s="13">
        <f>_xll.BDH("AMZN US Equity","XO_GL_NET_OF_TAX","FQ3 2012","FQ3 2012","Currency=USD","Period=FQ","BEST_FPERIOD_OVERRIDE=FQ","FILING_STATUS=MR","SCALING_FORMAT=MLN","Sort=A","Dates=H","DateFormat=P","Fill=—","Direction=H","UseDPDF=Y")</f>
        <v>0</v>
      </c>
      <c r="R35" s="13">
        <f>_xll.BDH("AMZN US Equity","XO_GL_NET_OF_TAX","FQ4 2012","FQ4 2012","Currency=USD","Period=FQ","BEST_FPERIOD_OVERRIDE=FQ","FILING_STATUS=MR","SCALING_FORMAT=MLN","Sort=A","Dates=H","DateFormat=P","Fill=—","Direction=H","UseDPDF=Y")</f>
        <v>0</v>
      </c>
      <c r="S35" s="13">
        <f>_xll.BDH("AMZN US Equity","XO_GL_NET_OF_TAX","FQ1 2013","FQ1 2013","Currency=USD","Period=FQ","BEST_FPERIOD_OVERRIDE=FQ","FILING_STATUS=MR","SCALING_FORMAT=MLN","Sort=A","Dates=H","DateFormat=P","Fill=—","Direction=H","UseDPDF=Y")</f>
        <v>0</v>
      </c>
      <c r="T35" s="13">
        <f>_xll.BDH("AMZN US Equity","XO_GL_NET_OF_TAX","FQ2 2013","FQ2 2013","Currency=USD","Period=FQ","BEST_FPERIOD_OVERRIDE=FQ","FILING_STATUS=MR","SCALING_FORMAT=MLN","Sort=A","Dates=H","DateFormat=P","Fill=—","Direction=H","UseDPDF=Y")</f>
        <v>0</v>
      </c>
      <c r="U35" s="13">
        <f>_xll.BDH("AMZN US Equity","XO_GL_NET_OF_TAX","FQ3 2013","FQ3 2013","Currency=USD","Period=FQ","BEST_FPERIOD_OVERRIDE=FQ","FILING_STATUS=MR","SCALING_FORMAT=MLN","Sort=A","Dates=H","DateFormat=P","Fill=—","Direction=H","UseDPDF=Y")</f>
        <v>0</v>
      </c>
      <c r="V35" s="13">
        <f>_xll.BDH("AMZN US Equity","XO_GL_NET_OF_TAX","FQ4 2013","FQ4 2013","Currency=USD","Period=FQ","BEST_FPERIOD_OVERRIDE=FQ","FILING_STATUS=MR","SCALING_FORMAT=MLN","Sort=A","Dates=H","DateFormat=P","Fill=—","Direction=H","UseDPDF=Y")</f>
        <v>0</v>
      </c>
      <c r="W35" s="13">
        <f>_xll.BDH("AMZN US Equity","XO_GL_NET_OF_TAX","FQ1 2014","FQ1 2014","Currency=USD","Period=FQ","BEST_FPERIOD_OVERRIDE=FQ","FILING_STATUS=MR","SCALING_FORMAT=MLN","Sort=A","Dates=H","DateFormat=P","Fill=—","Direction=H","UseDPDF=Y")</f>
        <v>0</v>
      </c>
      <c r="X35" s="13">
        <f>_xll.BDH("AMZN US Equity","XO_GL_NET_OF_TAX","FQ2 2014","FQ2 2014","Currency=USD","Period=FQ","BEST_FPERIOD_OVERRIDE=FQ","FILING_STATUS=MR","SCALING_FORMAT=MLN","Sort=A","Dates=H","DateFormat=P","Fill=—","Direction=H","UseDPDF=Y")</f>
        <v>0</v>
      </c>
      <c r="Y35" s="13">
        <f>_xll.BDH("AMZN US Equity","XO_GL_NET_OF_TAX","FQ3 2014","FQ3 2014","Currency=USD","Period=FQ","BEST_FPERIOD_OVERRIDE=FQ","FILING_STATUS=MR","SCALING_FORMAT=MLN","Sort=A","Dates=H","DateFormat=P","Fill=—","Direction=H","UseDPDF=Y")</f>
        <v>0</v>
      </c>
      <c r="Z35" s="13">
        <f>_xll.BDH("AMZN US Equity","XO_GL_NET_OF_TAX","FQ4 2014","FQ4 2014","Currency=USD","Period=FQ","BEST_FPERIOD_OVERRIDE=FQ","FILING_STATUS=MR","SCALING_FORMAT=MLN","Sort=A","Dates=H","DateFormat=P","Fill=—","Direction=H","UseDPDF=Y")</f>
        <v>0</v>
      </c>
      <c r="AA35" s="13">
        <f>_xll.BDH("AMZN US Equity","XO_GL_NET_OF_TAX","FQ1 2015","FQ1 2015","Currency=USD","Period=FQ","BEST_FPERIOD_OVERRIDE=FQ","FILING_STATUS=MR","SCALING_FORMAT=MLN","Sort=A","Dates=H","DateFormat=P","Fill=—","Direction=H","UseDPDF=Y")</f>
        <v>0</v>
      </c>
      <c r="AB35" s="13">
        <f>_xll.BDH("AMZN US Equity","XO_GL_NET_OF_TAX","FQ2 2015","FQ2 2015","Currency=USD","Period=FQ","BEST_FPERIOD_OVERRIDE=FQ","FILING_STATUS=MR","SCALING_FORMAT=MLN","Sort=A","Dates=H","DateFormat=P","Fill=—","Direction=H","UseDPDF=Y")</f>
        <v>0</v>
      </c>
      <c r="AC35" s="13">
        <f>_xll.BDH("AMZN US Equity","XO_GL_NET_OF_TAX","FQ3 2015","FQ3 2015","Currency=USD","Period=FQ","BEST_FPERIOD_OVERRIDE=FQ","FILING_STATUS=MR","SCALING_FORMAT=MLN","Sort=A","Dates=H","DateFormat=P","Fill=—","Direction=H","UseDPDF=Y")</f>
        <v>0</v>
      </c>
      <c r="AD35" s="13">
        <f>_xll.BDH("AMZN US Equity","XO_GL_NET_OF_TAX","FQ4 2015","FQ4 2015","Currency=USD","Period=FQ","BEST_FPERIOD_OVERRIDE=FQ","FILING_STATUS=MR","SCALING_FORMAT=MLN","Sort=A","Dates=H","DateFormat=P","Fill=—","Direction=H","UseDPDF=Y")</f>
        <v>0</v>
      </c>
      <c r="AE35" s="13">
        <f>_xll.BDH("AMZN US Equity","XO_GL_NET_OF_TAX","FQ1 2016","FQ1 2016","Currency=USD","Period=FQ","BEST_FPERIOD_OVERRIDE=FQ","FILING_STATUS=MR","SCALING_FORMAT=MLN","Sort=A","Dates=H","DateFormat=P","Fill=—","Direction=H","UseDPDF=Y")</f>
        <v>0</v>
      </c>
      <c r="AF35" s="13">
        <f>_xll.BDH("AMZN US Equity","XO_GL_NET_OF_TAX","FQ2 2016","FQ2 2016","Currency=USD","Period=FQ","BEST_FPERIOD_OVERRIDE=FQ","FILING_STATUS=MR","SCALING_FORMAT=MLN","Sort=A","Dates=H","DateFormat=P","Fill=—","Direction=H","UseDPDF=Y")</f>
        <v>0</v>
      </c>
      <c r="AG35" s="13">
        <f>_xll.BDH("AMZN US Equity","XO_GL_NET_OF_TAX","FQ3 2016","FQ3 2016","Currency=USD","Period=FQ","BEST_FPERIOD_OVERRIDE=FQ","FILING_STATUS=MR","SCALING_FORMAT=MLN","Sort=A","Dates=H","DateFormat=P","Fill=—","Direction=H","UseDPDF=Y")</f>
        <v>0</v>
      </c>
      <c r="AH35" s="13">
        <f>_xll.BDH("AMZN US Equity","XO_GL_NET_OF_TAX","FQ4 2016","FQ4 2016","Currency=USD","Period=FQ","BEST_FPERIOD_OVERRIDE=FQ","FILING_STATUS=MR","SCALING_FORMAT=MLN","Sort=A","Dates=H","DateFormat=P","Fill=—","Direction=H","UseDPDF=Y")</f>
        <v>0</v>
      </c>
      <c r="AI35" s="13">
        <f>_xll.BDH("AMZN US Equity","XO_GL_NET_OF_TAX","FQ1 2017","FQ1 2017","Currency=USD","Period=FQ","BEST_FPERIOD_OVERRIDE=FQ","FILING_STATUS=MR","SCALING_FORMAT=MLN","Sort=A","Dates=H","DateFormat=P","Fill=—","Direction=H","UseDPDF=Y")</f>
        <v>0</v>
      </c>
      <c r="AJ35" s="13">
        <f>_xll.BDH("AMZN US Equity","XO_GL_NET_OF_TAX","FQ2 2017","FQ2 2017","Currency=USD","Period=FQ","BEST_FPERIOD_OVERRIDE=FQ","FILING_STATUS=MR","SCALING_FORMAT=MLN","Sort=A","Dates=H","DateFormat=P","Fill=—","Direction=H","UseDPDF=Y")</f>
        <v>0</v>
      </c>
      <c r="AK35" s="13">
        <f>_xll.BDH("AMZN US Equity","XO_GL_NET_OF_TAX","FQ3 2017","FQ3 2017","Currency=USD","Period=FQ","BEST_FPERIOD_OVERRIDE=FQ","FILING_STATUS=MR","SCALING_FORMAT=MLN","Sort=A","Dates=H","DateFormat=P","Fill=—","Direction=H","UseDPDF=Y")</f>
        <v>0</v>
      </c>
      <c r="AL35" s="13">
        <f>_xll.BDH("AMZN US Equity","XO_GL_NET_OF_TAX","FQ4 2017","FQ4 2017","Currency=USD","Period=FQ","BEST_FPERIOD_OVERRIDE=FQ","FILING_STATUS=MR","SCALING_FORMAT=MLN","Sort=A","Dates=H","DateFormat=P","Fill=—","Direction=H","UseDPDF=Y")</f>
        <v>0</v>
      </c>
      <c r="AM35" s="13">
        <f>_xll.BDH("AMZN US Equity","XO_GL_NET_OF_TAX","FQ1 2018","FQ1 2018","Currency=USD","Period=FQ","BEST_FPERIOD_OVERRIDE=FQ","FILING_STATUS=MR","SCALING_FORMAT=MLN","Sort=A","Dates=H","DateFormat=P","Fill=—","Direction=H","UseDPDF=Y")</f>
        <v>0</v>
      </c>
      <c r="AN35" s="13">
        <f>_xll.BDH("AMZN US Equity","XO_GL_NET_OF_TAX","FQ2 2018","FQ2 2018","Currency=USD","Period=FQ","BEST_FPERIOD_OVERRIDE=FQ","FILING_STATUS=MR","SCALING_FORMAT=MLN","Sort=A","Dates=H","DateFormat=P","Fill=—","Direction=H","UseDPDF=Y")</f>
        <v>0</v>
      </c>
      <c r="AO35" s="13"/>
      <c r="AP35" s="13"/>
    </row>
    <row r="36" spans="1:42" x14ac:dyDescent="0.25">
      <c r="A36" s="10" t="s">
        <v>145</v>
      </c>
      <c r="B36" s="10" t="s">
        <v>146</v>
      </c>
      <c r="C36" s="13">
        <f>_xll.BDH("AMZN US Equity","IS_DISCONTINUED_OPERATIONS","FQ1 2009","FQ1 2009","Currency=USD","Period=FQ","BEST_FPERIOD_OVERRIDE=FQ","FILING_STATUS=MR","SCALING_FORMAT=MLN","Sort=A","Dates=H","DateFormat=P","Fill=—","Direction=H","UseDPDF=Y")</f>
        <v>0</v>
      </c>
      <c r="D36" s="13">
        <f>_xll.BDH("AMZN US Equity","IS_DISCONTINUED_OPERATIONS","FQ2 2009","FQ2 2009","Currency=USD","Period=FQ","BEST_FPERIOD_OVERRIDE=FQ","FILING_STATUS=MR","SCALING_FORMAT=MLN","Sort=A","Dates=H","DateFormat=P","Fill=—","Direction=H","UseDPDF=Y")</f>
        <v>0</v>
      </c>
      <c r="E36" s="13">
        <f>_xll.BDH("AMZN US Equity","IS_DISCONTINUED_OPERATIONS","FQ3 2009","FQ3 2009","Currency=USD","Period=FQ","BEST_FPERIOD_OVERRIDE=FQ","FILING_STATUS=MR","SCALING_FORMAT=MLN","Sort=A","Dates=H","DateFormat=P","Fill=—","Direction=H","UseDPDF=Y")</f>
        <v>0</v>
      </c>
      <c r="F36" s="13">
        <f>_xll.BDH("AMZN US Equity","IS_DISCONTINUED_OPERATIONS","FQ4 2009","FQ4 2009","Currency=USD","Period=FQ","BEST_FPERIOD_OVERRIDE=FQ","FILING_STATUS=MR","SCALING_FORMAT=MLN","Sort=A","Dates=H","DateFormat=P","Fill=—","Direction=H","UseDPDF=Y")</f>
        <v>0</v>
      </c>
      <c r="G36" s="13">
        <f>_xll.BDH("AMZN US Equity","IS_DISCONTINUED_OPERATIONS","FQ1 2010","FQ1 2010","Currency=USD","Period=FQ","BEST_FPERIOD_OVERRIDE=FQ","FILING_STATUS=MR","SCALING_FORMAT=MLN","Sort=A","Dates=H","DateFormat=P","Fill=—","Direction=H","UseDPDF=Y")</f>
        <v>0</v>
      </c>
      <c r="H36" s="13">
        <f>_xll.BDH("AMZN US Equity","IS_DISCONTINUED_OPERATIONS","FQ2 2010","FQ2 2010","Currency=USD","Period=FQ","BEST_FPERIOD_OVERRIDE=FQ","FILING_STATUS=MR","SCALING_FORMAT=MLN","Sort=A","Dates=H","DateFormat=P","Fill=—","Direction=H","UseDPDF=Y")</f>
        <v>0</v>
      </c>
      <c r="I36" s="13">
        <f>_xll.BDH("AMZN US Equity","IS_DISCONTINUED_OPERATIONS","FQ3 2010","FQ3 2010","Currency=USD","Period=FQ","BEST_FPERIOD_OVERRIDE=FQ","FILING_STATUS=MR","SCALING_FORMAT=MLN","Sort=A","Dates=H","DateFormat=P","Fill=—","Direction=H","UseDPDF=Y")</f>
        <v>0</v>
      </c>
      <c r="J36" s="13">
        <f>_xll.BDH("AMZN US Equity","IS_DISCONTINUED_OPERATIONS","FQ4 2010","FQ4 2010","Currency=USD","Period=FQ","BEST_FPERIOD_OVERRIDE=FQ","FILING_STATUS=MR","SCALING_FORMAT=MLN","Sort=A","Dates=H","DateFormat=P","Fill=—","Direction=H","UseDPDF=Y")</f>
        <v>0</v>
      </c>
      <c r="K36" s="13">
        <f>_xll.BDH("AMZN US Equity","IS_DISCONTINUED_OPERATIONS","FQ1 2011","FQ1 2011","Currency=USD","Period=FQ","BEST_FPERIOD_OVERRIDE=FQ","FILING_STATUS=MR","SCALING_FORMAT=MLN","Sort=A","Dates=H","DateFormat=P","Fill=—","Direction=H","UseDPDF=Y")</f>
        <v>0</v>
      </c>
      <c r="L36" s="13">
        <f>_xll.BDH("AMZN US Equity","IS_DISCONTINUED_OPERATIONS","FQ2 2011","FQ2 2011","Currency=USD","Period=FQ","BEST_FPERIOD_OVERRIDE=FQ","FILING_STATUS=MR","SCALING_FORMAT=MLN","Sort=A","Dates=H","DateFormat=P","Fill=—","Direction=H","UseDPDF=Y")</f>
        <v>0</v>
      </c>
      <c r="M36" s="13">
        <f>_xll.BDH("AMZN US Equity","IS_DISCONTINUED_OPERATIONS","FQ3 2011","FQ3 2011","Currency=USD","Period=FQ","BEST_FPERIOD_OVERRIDE=FQ","FILING_STATUS=MR","SCALING_FORMAT=MLN","Sort=A","Dates=H","DateFormat=P","Fill=—","Direction=H","UseDPDF=Y")</f>
        <v>0</v>
      </c>
      <c r="N36" s="13">
        <f>_xll.BDH("AMZN US Equity","IS_DISCONTINUED_OPERATIONS","FQ4 2011","FQ4 2011","Currency=USD","Period=FQ","BEST_FPERIOD_OVERRIDE=FQ","FILING_STATUS=MR","SCALING_FORMAT=MLN","Sort=A","Dates=H","DateFormat=P","Fill=—","Direction=H","UseDPDF=Y")</f>
        <v>0</v>
      </c>
      <c r="O36" s="13">
        <f>_xll.BDH("AMZN US Equity","IS_DISCONTINUED_OPERATIONS","FQ1 2012","FQ1 2012","Currency=USD","Period=FQ","BEST_FPERIOD_OVERRIDE=FQ","FILING_STATUS=MR","SCALING_FORMAT=MLN","Sort=A","Dates=H","DateFormat=P","Fill=—","Direction=H","UseDPDF=Y")</f>
        <v>0</v>
      </c>
      <c r="P36" s="13">
        <f>_xll.BDH("AMZN US Equity","IS_DISCONTINUED_OPERATIONS","FQ2 2012","FQ2 2012","Currency=USD","Period=FQ","BEST_FPERIOD_OVERRIDE=FQ","FILING_STATUS=MR","SCALING_FORMAT=MLN","Sort=A","Dates=H","DateFormat=P","Fill=—","Direction=H","UseDPDF=Y")</f>
        <v>0</v>
      </c>
      <c r="Q36" s="13">
        <f>_xll.BDH("AMZN US Equity","IS_DISCONTINUED_OPERATIONS","FQ3 2012","FQ3 2012","Currency=USD","Period=FQ","BEST_FPERIOD_OVERRIDE=FQ","FILING_STATUS=MR","SCALING_FORMAT=MLN","Sort=A","Dates=H","DateFormat=P","Fill=—","Direction=H","UseDPDF=Y")</f>
        <v>0</v>
      </c>
      <c r="R36" s="13">
        <f>_xll.BDH("AMZN US Equity","IS_DISCONTINUED_OPERATIONS","FQ4 2012","FQ4 2012","Currency=USD","Period=FQ","BEST_FPERIOD_OVERRIDE=FQ","FILING_STATUS=MR","SCALING_FORMAT=MLN","Sort=A","Dates=H","DateFormat=P","Fill=—","Direction=H","UseDPDF=Y")</f>
        <v>0</v>
      </c>
      <c r="S36" s="13">
        <f>_xll.BDH("AMZN US Equity","IS_DISCONTINUED_OPERATIONS","FQ1 2013","FQ1 2013","Currency=USD","Period=FQ","BEST_FPERIOD_OVERRIDE=FQ","FILING_STATUS=MR","SCALING_FORMAT=MLN","Sort=A","Dates=H","DateFormat=P","Fill=—","Direction=H","UseDPDF=Y")</f>
        <v>0</v>
      </c>
      <c r="T36" s="13">
        <f>_xll.BDH("AMZN US Equity","IS_DISCONTINUED_OPERATIONS","FQ2 2013","FQ2 2013","Currency=USD","Period=FQ","BEST_FPERIOD_OVERRIDE=FQ","FILING_STATUS=MR","SCALING_FORMAT=MLN","Sort=A","Dates=H","DateFormat=P","Fill=—","Direction=H","UseDPDF=Y")</f>
        <v>0</v>
      </c>
      <c r="U36" s="13">
        <f>_xll.BDH("AMZN US Equity","IS_DISCONTINUED_OPERATIONS","FQ3 2013","FQ3 2013","Currency=USD","Period=FQ","BEST_FPERIOD_OVERRIDE=FQ","FILING_STATUS=MR","SCALING_FORMAT=MLN","Sort=A","Dates=H","DateFormat=P","Fill=—","Direction=H","UseDPDF=Y")</f>
        <v>0</v>
      </c>
      <c r="V36" s="13">
        <f>_xll.BDH("AMZN US Equity","IS_DISCONTINUED_OPERATIONS","FQ4 2013","FQ4 2013","Currency=USD","Period=FQ","BEST_FPERIOD_OVERRIDE=FQ","FILING_STATUS=MR","SCALING_FORMAT=MLN","Sort=A","Dates=H","DateFormat=P","Fill=—","Direction=H","UseDPDF=Y")</f>
        <v>0</v>
      </c>
      <c r="W36" s="13">
        <f>_xll.BDH("AMZN US Equity","IS_DISCONTINUED_OPERATIONS","FQ1 2014","FQ1 2014","Currency=USD","Period=FQ","BEST_FPERIOD_OVERRIDE=FQ","FILING_STATUS=MR","SCALING_FORMAT=MLN","Sort=A","Dates=H","DateFormat=P","Fill=—","Direction=H","UseDPDF=Y")</f>
        <v>0</v>
      </c>
      <c r="X36" s="13">
        <f>_xll.BDH("AMZN US Equity","IS_DISCONTINUED_OPERATIONS","FQ2 2014","FQ2 2014","Currency=USD","Period=FQ","BEST_FPERIOD_OVERRIDE=FQ","FILING_STATUS=MR","SCALING_FORMAT=MLN","Sort=A","Dates=H","DateFormat=P","Fill=—","Direction=H","UseDPDF=Y")</f>
        <v>0</v>
      </c>
      <c r="Y36" s="13">
        <f>_xll.BDH("AMZN US Equity","IS_DISCONTINUED_OPERATIONS","FQ3 2014","FQ3 2014","Currency=USD","Period=FQ","BEST_FPERIOD_OVERRIDE=FQ","FILING_STATUS=MR","SCALING_FORMAT=MLN","Sort=A","Dates=H","DateFormat=P","Fill=—","Direction=H","UseDPDF=Y")</f>
        <v>0</v>
      </c>
      <c r="Z36" s="13">
        <f>_xll.BDH("AMZN US Equity","IS_DISCONTINUED_OPERATIONS","FQ4 2014","FQ4 2014","Currency=USD","Period=FQ","BEST_FPERIOD_OVERRIDE=FQ","FILING_STATUS=MR","SCALING_FORMAT=MLN","Sort=A","Dates=H","DateFormat=P","Fill=—","Direction=H","UseDPDF=Y")</f>
        <v>0</v>
      </c>
      <c r="AA36" s="13">
        <f>_xll.BDH("AMZN US Equity","IS_DISCONTINUED_OPERATIONS","FQ1 2015","FQ1 2015","Currency=USD","Period=FQ","BEST_FPERIOD_OVERRIDE=FQ","FILING_STATUS=MR","SCALING_FORMAT=MLN","Sort=A","Dates=H","DateFormat=P","Fill=—","Direction=H","UseDPDF=Y")</f>
        <v>0</v>
      </c>
      <c r="AB36" s="13">
        <f>_xll.BDH("AMZN US Equity","IS_DISCONTINUED_OPERATIONS","FQ2 2015","FQ2 2015","Currency=USD","Period=FQ","BEST_FPERIOD_OVERRIDE=FQ","FILING_STATUS=MR","SCALING_FORMAT=MLN","Sort=A","Dates=H","DateFormat=P","Fill=—","Direction=H","UseDPDF=Y")</f>
        <v>0</v>
      </c>
      <c r="AC36" s="13">
        <f>_xll.BDH("AMZN US Equity","IS_DISCONTINUED_OPERATIONS","FQ3 2015","FQ3 2015","Currency=USD","Period=FQ","BEST_FPERIOD_OVERRIDE=FQ","FILING_STATUS=MR","SCALING_FORMAT=MLN","Sort=A","Dates=H","DateFormat=P","Fill=—","Direction=H","UseDPDF=Y")</f>
        <v>0</v>
      </c>
      <c r="AD36" s="13">
        <f>_xll.BDH("AMZN US Equity","IS_DISCONTINUED_OPERATIONS","FQ4 2015","FQ4 2015","Currency=USD","Period=FQ","BEST_FPERIOD_OVERRIDE=FQ","FILING_STATUS=MR","SCALING_FORMAT=MLN","Sort=A","Dates=H","DateFormat=P","Fill=—","Direction=H","UseDPDF=Y")</f>
        <v>0</v>
      </c>
      <c r="AE36" s="13">
        <f>_xll.BDH("AMZN US Equity","IS_DISCONTINUED_OPERATIONS","FQ1 2016","FQ1 2016","Currency=USD","Period=FQ","BEST_FPERIOD_OVERRIDE=FQ","FILING_STATUS=MR","SCALING_FORMAT=MLN","Sort=A","Dates=H","DateFormat=P","Fill=—","Direction=H","UseDPDF=Y")</f>
        <v>0</v>
      </c>
      <c r="AF36" s="13">
        <f>_xll.BDH("AMZN US Equity","IS_DISCONTINUED_OPERATIONS","FQ2 2016","FQ2 2016","Currency=USD","Period=FQ","BEST_FPERIOD_OVERRIDE=FQ","FILING_STATUS=MR","SCALING_FORMAT=MLN","Sort=A","Dates=H","DateFormat=P","Fill=—","Direction=H","UseDPDF=Y")</f>
        <v>0</v>
      </c>
      <c r="AG36" s="13">
        <f>_xll.BDH("AMZN US Equity","IS_DISCONTINUED_OPERATIONS","FQ3 2016","FQ3 2016","Currency=USD","Period=FQ","BEST_FPERIOD_OVERRIDE=FQ","FILING_STATUS=MR","SCALING_FORMAT=MLN","Sort=A","Dates=H","DateFormat=P","Fill=—","Direction=H","UseDPDF=Y")</f>
        <v>0</v>
      </c>
      <c r="AH36" s="13">
        <f>_xll.BDH("AMZN US Equity","IS_DISCONTINUED_OPERATIONS","FQ4 2016","FQ4 2016","Currency=USD","Period=FQ","BEST_FPERIOD_OVERRIDE=FQ","FILING_STATUS=MR","SCALING_FORMAT=MLN","Sort=A","Dates=H","DateFormat=P","Fill=—","Direction=H","UseDPDF=Y")</f>
        <v>0</v>
      </c>
      <c r="AI36" s="13">
        <f>_xll.BDH("AMZN US Equity","IS_DISCONTINUED_OPERATIONS","FQ1 2017","FQ1 2017","Currency=USD","Period=FQ","BEST_FPERIOD_OVERRIDE=FQ","FILING_STATUS=MR","SCALING_FORMAT=MLN","Sort=A","Dates=H","DateFormat=P","Fill=—","Direction=H","UseDPDF=Y")</f>
        <v>0</v>
      </c>
      <c r="AJ36" s="13">
        <f>_xll.BDH("AMZN US Equity","IS_DISCONTINUED_OPERATIONS","FQ2 2017","FQ2 2017","Currency=USD","Period=FQ","BEST_FPERIOD_OVERRIDE=FQ","FILING_STATUS=MR","SCALING_FORMAT=MLN","Sort=A","Dates=H","DateFormat=P","Fill=—","Direction=H","UseDPDF=Y")</f>
        <v>0</v>
      </c>
      <c r="AK36" s="13">
        <f>_xll.BDH("AMZN US Equity","IS_DISCONTINUED_OPERATIONS","FQ3 2017","FQ3 2017","Currency=USD","Period=FQ","BEST_FPERIOD_OVERRIDE=FQ","FILING_STATUS=MR","SCALING_FORMAT=MLN","Sort=A","Dates=H","DateFormat=P","Fill=—","Direction=H","UseDPDF=Y")</f>
        <v>0</v>
      </c>
      <c r="AL36" s="13">
        <f>_xll.BDH("AMZN US Equity","IS_DISCONTINUED_OPERATIONS","FQ4 2017","FQ4 2017","Currency=USD","Period=FQ","BEST_FPERIOD_OVERRIDE=FQ","FILING_STATUS=MR","SCALING_FORMAT=MLN","Sort=A","Dates=H","DateFormat=P","Fill=—","Direction=H","UseDPDF=Y")</f>
        <v>0</v>
      </c>
      <c r="AM36" s="13">
        <f>_xll.BDH("AMZN US Equity","IS_DISCONTINUED_OPERATIONS","FQ1 2018","FQ1 2018","Currency=USD","Period=FQ","BEST_FPERIOD_OVERRIDE=FQ","FILING_STATUS=MR","SCALING_FORMAT=MLN","Sort=A","Dates=H","DateFormat=P","Fill=—","Direction=H","UseDPDF=Y")</f>
        <v>0</v>
      </c>
      <c r="AN36" s="13">
        <f>_xll.BDH("AMZN US Equity","IS_DISCONTINUED_OPERATIONS","FQ2 2018","FQ2 2018","Currency=USD","Period=FQ","BEST_FPERIOD_OVERRIDE=FQ","FILING_STATUS=MR","SCALING_FORMAT=MLN","Sort=A","Dates=H","DateFormat=P","Fill=—","Direction=H","UseDPDF=Y")</f>
        <v>0</v>
      </c>
      <c r="AO36" s="13"/>
      <c r="AP36" s="13"/>
    </row>
    <row r="37" spans="1:42" x14ac:dyDescent="0.25">
      <c r="A37" s="10" t="s">
        <v>147</v>
      </c>
      <c r="B37" s="10" t="s">
        <v>148</v>
      </c>
      <c r="C37" s="13">
        <f>_xll.BDH("AMZN US Equity","IS_EXTRAORD_ITEMS_&amp;_ACCTG_CHNG","FQ1 2009","FQ1 2009","Currency=USD","Period=FQ","BEST_FPERIOD_OVERRIDE=FQ","FILING_STATUS=MR","SCALING_FORMAT=MLN","Sort=A","Dates=H","DateFormat=P","Fill=—","Direction=H","UseDPDF=Y")</f>
        <v>0</v>
      </c>
      <c r="D37" s="13">
        <f>_xll.BDH("AMZN US Equity","IS_EXTRAORD_ITEMS_&amp;_ACCTG_CHNG","FQ2 2009","FQ2 2009","Currency=USD","Period=FQ","BEST_FPERIOD_OVERRIDE=FQ","FILING_STATUS=MR","SCALING_FORMAT=MLN","Sort=A","Dates=H","DateFormat=P","Fill=—","Direction=H","UseDPDF=Y")</f>
        <v>0</v>
      </c>
      <c r="E37" s="13">
        <f>_xll.BDH("AMZN US Equity","IS_EXTRAORD_ITEMS_&amp;_ACCTG_CHNG","FQ3 2009","FQ3 2009","Currency=USD","Period=FQ","BEST_FPERIOD_OVERRIDE=FQ","FILING_STATUS=MR","SCALING_FORMAT=MLN","Sort=A","Dates=H","DateFormat=P","Fill=—","Direction=H","UseDPDF=Y")</f>
        <v>0</v>
      </c>
      <c r="F37" s="13">
        <f>_xll.BDH("AMZN US Equity","IS_EXTRAORD_ITEMS_&amp;_ACCTG_CHNG","FQ4 2009","FQ4 2009","Currency=USD","Period=FQ","BEST_FPERIOD_OVERRIDE=FQ","FILING_STATUS=MR","SCALING_FORMAT=MLN","Sort=A","Dates=H","DateFormat=P","Fill=—","Direction=H","UseDPDF=Y")</f>
        <v>0</v>
      </c>
      <c r="G37" s="13">
        <f>_xll.BDH("AMZN US Equity","IS_EXTRAORD_ITEMS_&amp;_ACCTG_CHNG","FQ1 2010","FQ1 2010","Currency=USD","Period=FQ","BEST_FPERIOD_OVERRIDE=FQ","FILING_STATUS=MR","SCALING_FORMAT=MLN","Sort=A","Dates=H","DateFormat=P","Fill=—","Direction=H","UseDPDF=Y")</f>
        <v>0</v>
      </c>
      <c r="H37" s="13">
        <f>_xll.BDH("AMZN US Equity","IS_EXTRAORD_ITEMS_&amp;_ACCTG_CHNG","FQ2 2010","FQ2 2010","Currency=USD","Period=FQ","BEST_FPERIOD_OVERRIDE=FQ","FILING_STATUS=MR","SCALING_FORMAT=MLN","Sort=A","Dates=H","DateFormat=P","Fill=—","Direction=H","UseDPDF=Y")</f>
        <v>0</v>
      </c>
      <c r="I37" s="13">
        <f>_xll.BDH("AMZN US Equity","IS_EXTRAORD_ITEMS_&amp;_ACCTG_CHNG","FQ3 2010","FQ3 2010","Currency=USD","Period=FQ","BEST_FPERIOD_OVERRIDE=FQ","FILING_STATUS=MR","SCALING_FORMAT=MLN","Sort=A","Dates=H","DateFormat=P","Fill=—","Direction=H","UseDPDF=Y")</f>
        <v>0</v>
      </c>
      <c r="J37" s="13">
        <f>_xll.BDH("AMZN US Equity","IS_EXTRAORD_ITEMS_&amp;_ACCTG_CHNG","FQ4 2010","FQ4 2010","Currency=USD","Period=FQ","BEST_FPERIOD_OVERRIDE=FQ","FILING_STATUS=MR","SCALING_FORMAT=MLN","Sort=A","Dates=H","DateFormat=P","Fill=—","Direction=H","UseDPDF=Y")</f>
        <v>0</v>
      </c>
      <c r="K37" s="13">
        <f>_xll.BDH("AMZN US Equity","IS_EXTRAORD_ITEMS_&amp;_ACCTG_CHNG","FQ1 2011","FQ1 2011","Currency=USD","Period=FQ","BEST_FPERIOD_OVERRIDE=FQ","FILING_STATUS=MR","SCALING_FORMAT=MLN","Sort=A","Dates=H","DateFormat=P","Fill=—","Direction=H","UseDPDF=Y")</f>
        <v>0</v>
      </c>
      <c r="L37" s="13">
        <f>_xll.BDH("AMZN US Equity","IS_EXTRAORD_ITEMS_&amp;_ACCTG_CHNG","FQ2 2011","FQ2 2011","Currency=USD","Period=FQ","BEST_FPERIOD_OVERRIDE=FQ","FILING_STATUS=MR","SCALING_FORMAT=MLN","Sort=A","Dates=H","DateFormat=P","Fill=—","Direction=H","UseDPDF=Y")</f>
        <v>0</v>
      </c>
      <c r="M37" s="13">
        <f>_xll.BDH("AMZN US Equity","IS_EXTRAORD_ITEMS_&amp;_ACCTG_CHNG","FQ3 2011","FQ3 2011","Currency=USD","Period=FQ","BEST_FPERIOD_OVERRIDE=FQ","FILING_STATUS=MR","SCALING_FORMAT=MLN","Sort=A","Dates=H","DateFormat=P","Fill=—","Direction=H","UseDPDF=Y")</f>
        <v>0</v>
      </c>
      <c r="N37" s="13">
        <f>_xll.BDH("AMZN US Equity","IS_EXTRAORD_ITEMS_&amp;_ACCTG_CHNG","FQ4 2011","FQ4 2011","Currency=USD","Period=FQ","BEST_FPERIOD_OVERRIDE=FQ","FILING_STATUS=MR","SCALING_FORMAT=MLN","Sort=A","Dates=H","DateFormat=P","Fill=—","Direction=H","UseDPDF=Y")</f>
        <v>0</v>
      </c>
      <c r="O37" s="13">
        <f>_xll.BDH("AMZN US Equity","IS_EXTRAORD_ITEMS_&amp;_ACCTG_CHNG","FQ1 2012","FQ1 2012","Currency=USD","Period=FQ","BEST_FPERIOD_OVERRIDE=FQ","FILING_STATUS=MR","SCALING_FORMAT=MLN","Sort=A","Dates=H","DateFormat=P","Fill=—","Direction=H","UseDPDF=Y")</f>
        <v>0</v>
      </c>
      <c r="P37" s="13">
        <f>_xll.BDH("AMZN US Equity","IS_EXTRAORD_ITEMS_&amp;_ACCTG_CHNG","FQ2 2012","FQ2 2012","Currency=USD","Period=FQ","BEST_FPERIOD_OVERRIDE=FQ","FILING_STATUS=MR","SCALING_FORMAT=MLN","Sort=A","Dates=H","DateFormat=P","Fill=—","Direction=H","UseDPDF=Y")</f>
        <v>0</v>
      </c>
      <c r="Q37" s="13">
        <f>_xll.BDH("AMZN US Equity","IS_EXTRAORD_ITEMS_&amp;_ACCTG_CHNG","FQ3 2012","FQ3 2012","Currency=USD","Period=FQ","BEST_FPERIOD_OVERRIDE=FQ","FILING_STATUS=MR","SCALING_FORMAT=MLN","Sort=A","Dates=H","DateFormat=P","Fill=—","Direction=H","UseDPDF=Y")</f>
        <v>0</v>
      </c>
      <c r="R37" s="13">
        <f>_xll.BDH("AMZN US Equity","IS_EXTRAORD_ITEMS_&amp;_ACCTG_CHNG","FQ4 2012","FQ4 2012","Currency=USD","Period=FQ","BEST_FPERIOD_OVERRIDE=FQ","FILING_STATUS=MR","SCALING_FORMAT=MLN","Sort=A","Dates=H","DateFormat=P","Fill=—","Direction=H","UseDPDF=Y")</f>
        <v>0</v>
      </c>
      <c r="S37" s="13">
        <f>_xll.BDH("AMZN US Equity","IS_EXTRAORD_ITEMS_&amp;_ACCTG_CHNG","FQ1 2013","FQ1 2013","Currency=USD","Period=FQ","BEST_FPERIOD_OVERRIDE=FQ","FILING_STATUS=MR","SCALING_FORMAT=MLN","Sort=A","Dates=H","DateFormat=P","Fill=—","Direction=H","UseDPDF=Y")</f>
        <v>0</v>
      </c>
      <c r="T37" s="13">
        <f>_xll.BDH("AMZN US Equity","IS_EXTRAORD_ITEMS_&amp;_ACCTG_CHNG","FQ2 2013","FQ2 2013","Currency=USD","Period=FQ","BEST_FPERIOD_OVERRIDE=FQ","FILING_STATUS=MR","SCALING_FORMAT=MLN","Sort=A","Dates=H","DateFormat=P","Fill=—","Direction=H","UseDPDF=Y")</f>
        <v>0</v>
      </c>
      <c r="U37" s="13">
        <f>_xll.BDH("AMZN US Equity","IS_EXTRAORD_ITEMS_&amp;_ACCTG_CHNG","FQ3 2013","FQ3 2013","Currency=USD","Period=FQ","BEST_FPERIOD_OVERRIDE=FQ","FILING_STATUS=MR","SCALING_FORMAT=MLN","Sort=A","Dates=H","DateFormat=P","Fill=—","Direction=H","UseDPDF=Y")</f>
        <v>0</v>
      </c>
      <c r="V37" s="13">
        <f>_xll.BDH("AMZN US Equity","IS_EXTRAORD_ITEMS_&amp;_ACCTG_CHNG","FQ4 2013","FQ4 2013","Currency=USD","Period=FQ","BEST_FPERIOD_OVERRIDE=FQ","FILING_STATUS=MR","SCALING_FORMAT=MLN","Sort=A","Dates=H","DateFormat=P","Fill=—","Direction=H","UseDPDF=Y")</f>
        <v>0</v>
      </c>
      <c r="W37" s="13">
        <f>_xll.BDH("AMZN US Equity","IS_EXTRAORD_ITEMS_&amp;_ACCTG_CHNG","FQ1 2014","FQ1 2014","Currency=USD","Period=FQ","BEST_FPERIOD_OVERRIDE=FQ","FILING_STATUS=MR","SCALING_FORMAT=MLN","Sort=A","Dates=H","DateFormat=P","Fill=—","Direction=H","UseDPDF=Y")</f>
        <v>0</v>
      </c>
      <c r="X37" s="13">
        <f>_xll.BDH("AMZN US Equity","IS_EXTRAORD_ITEMS_&amp;_ACCTG_CHNG","FQ2 2014","FQ2 2014","Currency=USD","Period=FQ","BEST_FPERIOD_OVERRIDE=FQ","FILING_STATUS=MR","SCALING_FORMAT=MLN","Sort=A","Dates=H","DateFormat=P","Fill=—","Direction=H","UseDPDF=Y")</f>
        <v>0</v>
      </c>
      <c r="Y37" s="13">
        <f>_xll.BDH("AMZN US Equity","IS_EXTRAORD_ITEMS_&amp;_ACCTG_CHNG","FQ3 2014","FQ3 2014","Currency=USD","Period=FQ","BEST_FPERIOD_OVERRIDE=FQ","FILING_STATUS=MR","SCALING_FORMAT=MLN","Sort=A","Dates=H","DateFormat=P","Fill=—","Direction=H","UseDPDF=Y")</f>
        <v>0</v>
      </c>
      <c r="Z37" s="13">
        <f>_xll.BDH("AMZN US Equity","IS_EXTRAORD_ITEMS_&amp;_ACCTG_CHNG","FQ4 2014","FQ4 2014","Currency=USD","Period=FQ","BEST_FPERIOD_OVERRIDE=FQ","FILING_STATUS=MR","SCALING_FORMAT=MLN","Sort=A","Dates=H","DateFormat=P","Fill=—","Direction=H","UseDPDF=Y")</f>
        <v>0</v>
      </c>
      <c r="AA37" s="13">
        <f>_xll.BDH("AMZN US Equity","IS_EXTRAORD_ITEMS_&amp;_ACCTG_CHNG","FQ1 2015","FQ1 2015","Currency=USD","Period=FQ","BEST_FPERIOD_OVERRIDE=FQ","FILING_STATUS=MR","SCALING_FORMAT=MLN","Sort=A","Dates=H","DateFormat=P","Fill=—","Direction=H","UseDPDF=Y")</f>
        <v>0</v>
      </c>
      <c r="AB37" s="13">
        <f>_xll.BDH("AMZN US Equity","IS_EXTRAORD_ITEMS_&amp;_ACCTG_CHNG","FQ2 2015","FQ2 2015","Currency=USD","Period=FQ","BEST_FPERIOD_OVERRIDE=FQ","FILING_STATUS=MR","SCALING_FORMAT=MLN","Sort=A","Dates=H","DateFormat=P","Fill=—","Direction=H","UseDPDF=Y")</f>
        <v>0</v>
      </c>
      <c r="AC37" s="13">
        <f>_xll.BDH("AMZN US Equity","IS_EXTRAORD_ITEMS_&amp;_ACCTG_CHNG","FQ3 2015","FQ3 2015","Currency=USD","Period=FQ","BEST_FPERIOD_OVERRIDE=FQ","FILING_STATUS=MR","SCALING_FORMAT=MLN","Sort=A","Dates=H","DateFormat=P","Fill=—","Direction=H","UseDPDF=Y")</f>
        <v>0</v>
      </c>
      <c r="AD37" s="13">
        <f>_xll.BDH("AMZN US Equity","IS_EXTRAORD_ITEMS_&amp;_ACCTG_CHNG","FQ4 2015","FQ4 2015","Currency=USD","Period=FQ","BEST_FPERIOD_OVERRIDE=FQ","FILING_STATUS=MR","SCALING_FORMAT=MLN","Sort=A","Dates=H","DateFormat=P","Fill=—","Direction=H","UseDPDF=Y")</f>
        <v>0</v>
      </c>
      <c r="AE37" s="13">
        <f>_xll.BDH("AMZN US Equity","IS_EXTRAORD_ITEMS_&amp;_ACCTG_CHNG","FQ1 2016","FQ1 2016","Currency=USD","Period=FQ","BEST_FPERIOD_OVERRIDE=FQ","FILING_STATUS=MR","SCALING_FORMAT=MLN","Sort=A","Dates=H","DateFormat=P","Fill=—","Direction=H","UseDPDF=Y")</f>
        <v>0</v>
      </c>
      <c r="AF37" s="13">
        <f>_xll.BDH("AMZN US Equity","IS_EXTRAORD_ITEMS_&amp;_ACCTG_CHNG","FQ2 2016","FQ2 2016","Currency=USD","Period=FQ","BEST_FPERIOD_OVERRIDE=FQ","FILING_STATUS=MR","SCALING_FORMAT=MLN","Sort=A","Dates=H","DateFormat=P","Fill=—","Direction=H","UseDPDF=Y")</f>
        <v>0</v>
      </c>
      <c r="AG37" s="13">
        <f>_xll.BDH("AMZN US Equity","IS_EXTRAORD_ITEMS_&amp;_ACCTG_CHNG","FQ3 2016","FQ3 2016","Currency=USD","Period=FQ","BEST_FPERIOD_OVERRIDE=FQ","FILING_STATUS=MR","SCALING_FORMAT=MLN","Sort=A","Dates=H","DateFormat=P","Fill=—","Direction=H","UseDPDF=Y")</f>
        <v>0</v>
      </c>
      <c r="AH37" s="13">
        <f>_xll.BDH("AMZN US Equity","IS_EXTRAORD_ITEMS_&amp;_ACCTG_CHNG","FQ4 2016","FQ4 2016","Currency=USD","Period=FQ","BEST_FPERIOD_OVERRIDE=FQ","FILING_STATUS=MR","SCALING_FORMAT=MLN","Sort=A","Dates=H","DateFormat=P","Fill=—","Direction=H","UseDPDF=Y")</f>
        <v>0</v>
      </c>
      <c r="AI37" s="13">
        <f>_xll.BDH("AMZN US Equity","IS_EXTRAORD_ITEMS_&amp;_ACCTG_CHNG","FQ1 2017","FQ1 2017","Currency=USD","Period=FQ","BEST_FPERIOD_OVERRIDE=FQ","FILING_STATUS=MR","SCALING_FORMAT=MLN","Sort=A","Dates=H","DateFormat=P","Fill=—","Direction=H","UseDPDF=Y")</f>
        <v>0</v>
      </c>
      <c r="AJ37" s="13">
        <f>_xll.BDH("AMZN US Equity","IS_EXTRAORD_ITEMS_&amp;_ACCTG_CHNG","FQ2 2017","FQ2 2017","Currency=USD","Period=FQ","BEST_FPERIOD_OVERRIDE=FQ","FILING_STATUS=MR","SCALING_FORMAT=MLN","Sort=A","Dates=H","DateFormat=P","Fill=—","Direction=H","UseDPDF=Y")</f>
        <v>0</v>
      </c>
      <c r="AK37" s="13">
        <f>_xll.BDH("AMZN US Equity","IS_EXTRAORD_ITEMS_&amp;_ACCTG_CHNG","FQ3 2017","FQ3 2017","Currency=USD","Period=FQ","BEST_FPERIOD_OVERRIDE=FQ","FILING_STATUS=MR","SCALING_FORMAT=MLN","Sort=A","Dates=H","DateFormat=P","Fill=—","Direction=H","UseDPDF=Y")</f>
        <v>0</v>
      </c>
      <c r="AL37" s="13">
        <f>_xll.BDH("AMZN US Equity","IS_EXTRAORD_ITEMS_&amp;_ACCTG_CHNG","FQ4 2017","FQ4 2017","Currency=USD","Period=FQ","BEST_FPERIOD_OVERRIDE=FQ","FILING_STATUS=MR","SCALING_FORMAT=MLN","Sort=A","Dates=H","DateFormat=P","Fill=—","Direction=H","UseDPDF=Y")</f>
        <v>0</v>
      </c>
      <c r="AM37" s="13">
        <f>_xll.BDH("AMZN US Equity","IS_EXTRAORD_ITEMS_&amp;_ACCTG_CHNG","FQ1 2018","FQ1 2018","Currency=USD","Period=FQ","BEST_FPERIOD_OVERRIDE=FQ","FILING_STATUS=MR","SCALING_FORMAT=MLN","Sort=A","Dates=H","DateFormat=P","Fill=—","Direction=H","UseDPDF=Y")</f>
        <v>0</v>
      </c>
      <c r="AN37" s="13">
        <f>_xll.BDH("AMZN US Equity","IS_EXTRAORD_ITEMS_&amp;_ACCTG_CHNG","FQ2 2018","FQ2 2018","Currency=USD","Period=FQ","BEST_FPERIOD_OVERRIDE=FQ","FILING_STATUS=MR","SCALING_FORMAT=MLN","Sort=A","Dates=H","DateFormat=P","Fill=—","Direction=H","UseDPDF=Y")</f>
        <v>0</v>
      </c>
      <c r="AO37" s="13"/>
      <c r="AP37" s="13"/>
    </row>
    <row r="38" spans="1:42" x14ac:dyDescent="0.25">
      <c r="A38" s="6" t="s">
        <v>149</v>
      </c>
      <c r="B38" s="6" t="s">
        <v>150</v>
      </c>
      <c r="C38" s="17">
        <f>_xll.BDH("AMZN US Equity","NI_INCLUDING_MINORITY_INT_RATIO","FQ1 2009","FQ1 2009","Currency=USD","Period=FQ","BEST_FPERIOD_OVERRIDE=FQ","FILING_STATUS=MR","SCALING_FORMAT=MLN","FA_ADJUSTED=GAAP","Sort=A","Dates=H","DateFormat=P","Fill=—","Direction=H","UseDPDF=Y")</f>
        <v>177</v>
      </c>
      <c r="D38" s="17">
        <f>_xll.BDH("AMZN US Equity","NI_INCLUDING_MINORITY_INT_RATIO","FQ2 2009","FQ2 2009","Currency=USD","Period=FQ","BEST_FPERIOD_OVERRIDE=FQ","FILING_STATUS=MR","SCALING_FORMAT=MLN","FA_ADJUSTED=GAAP","Sort=A","Dates=H","DateFormat=P","Fill=—","Direction=H","UseDPDF=Y")</f>
        <v>142</v>
      </c>
      <c r="E38" s="17">
        <f>_xll.BDH("AMZN US Equity","NI_INCLUDING_MINORITY_INT_RATIO","FQ3 2009","FQ3 2009","Currency=USD","Period=FQ","BEST_FPERIOD_OVERRIDE=FQ","FILING_STATUS=MR","SCALING_FORMAT=MLN","FA_ADJUSTED=GAAP","Sort=A","Dates=H","DateFormat=P","Fill=—","Direction=H","UseDPDF=Y")</f>
        <v>199</v>
      </c>
      <c r="F38" s="17">
        <f>_xll.BDH("AMZN US Equity","NI_INCLUDING_MINORITY_INT_RATIO","FQ4 2009","FQ4 2009","Currency=USD","Period=FQ","BEST_FPERIOD_OVERRIDE=FQ","FILING_STATUS=MR","SCALING_FORMAT=MLN","FA_ADJUSTED=GAAP","Sort=A","Dates=H","DateFormat=P","Fill=—","Direction=H","UseDPDF=Y")</f>
        <v>384</v>
      </c>
      <c r="G38" s="17">
        <f>_xll.BDH("AMZN US Equity","NI_INCLUDING_MINORITY_INT_RATIO","FQ1 2010","FQ1 2010","Currency=USD","Period=FQ","BEST_FPERIOD_OVERRIDE=FQ","FILING_STATUS=MR","SCALING_FORMAT=MLN","FA_ADJUSTED=GAAP","Sort=A","Dates=H","DateFormat=P","Fill=—","Direction=H","UseDPDF=Y")</f>
        <v>299</v>
      </c>
      <c r="H38" s="17">
        <f>_xll.BDH("AMZN US Equity","NI_INCLUDING_MINORITY_INT_RATIO","FQ2 2010","FQ2 2010","Currency=USD","Period=FQ","BEST_FPERIOD_OVERRIDE=FQ","FILING_STATUS=MR","SCALING_FORMAT=MLN","FA_ADJUSTED=GAAP","Sort=A","Dates=H","DateFormat=P","Fill=—","Direction=H","UseDPDF=Y")</f>
        <v>207</v>
      </c>
      <c r="I38" s="17">
        <f>_xll.BDH("AMZN US Equity","NI_INCLUDING_MINORITY_INT_RATIO","FQ3 2010","FQ3 2010","Currency=USD","Period=FQ","BEST_FPERIOD_OVERRIDE=FQ","FILING_STATUS=MR","SCALING_FORMAT=MLN","FA_ADJUSTED=GAAP","Sort=A","Dates=H","DateFormat=P","Fill=—","Direction=H","UseDPDF=Y")</f>
        <v>231</v>
      </c>
      <c r="J38" s="17">
        <f>_xll.BDH("AMZN US Equity","NI_INCLUDING_MINORITY_INT_RATIO","FQ4 2010","FQ4 2010","Currency=USD","Period=FQ","BEST_FPERIOD_OVERRIDE=FQ","FILING_STATUS=MR","SCALING_FORMAT=MLN","FA_ADJUSTED=GAAP","Sort=A","Dates=H","DateFormat=P","Fill=—","Direction=H","UseDPDF=Y")</f>
        <v>416</v>
      </c>
      <c r="K38" s="17">
        <f>_xll.BDH("AMZN US Equity","NI_INCLUDING_MINORITY_INT_RATIO","FQ1 2011","FQ1 2011","Currency=USD","Period=FQ","BEST_FPERIOD_OVERRIDE=FQ","FILING_STATUS=MR","SCALING_FORMAT=MLN","FA_ADJUSTED=GAAP","Sort=A","Dates=H","DateFormat=P","Fill=—","Direction=H","UseDPDF=Y")</f>
        <v>201</v>
      </c>
      <c r="L38" s="17">
        <f>_xll.BDH("AMZN US Equity","NI_INCLUDING_MINORITY_INT_RATIO","FQ2 2011","FQ2 2011","Currency=USD","Period=FQ","BEST_FPERIOD_OVERRIDE=FQ","FILING_STATUS=MR","SCALING_FORMAT=MLN","FA_ADJUSTED=GAAP","Sort=A","Dates=H","DateFormat=P","Fill=—","Direction=H","UseDPDF=Y")</f>
        <v>191</v>
      </c>
      <c r="M38" s="17">
        <f>_xll.BDH("AMZN US Equity","NI_INCLUDING_MINORITY_INT_RATIO","FQ3 2011","FQ3 2011","Currency=USD","Period=FQ","BEST_FPERIOD_OVERRIDE=FQ","FILING_STATUS=MR","SCALING_FORMAT=MLN","FA_ADJUSTED=GAAP","Sort=A","Dates=H","DateFormat=P","Fill=—","Direction=H","UseDPDF=Y")</f>
        <v>63</v>
      </c>
      <c r="N38" s="17">
        <f>_xll.BDH("AMZN US Equity","NI_INCLUDING_MINORITY_INT_RATIO","FQ4 2011","FQ4 2011","Currency=USD","Period=FQ","BEST_FPERIOD_OVERRIDE=FQ","FILING_STATUS=MR","SCALING_FORMAT=MLN","FA_ADJUSTED=GAAP","Sort=A","Dates=H","DateFormat=P","Fill=—","Direction=H","UseDPDF=Y")</f>
        <v>177</v>
      </c>
      <c r="O38" s="17">
        <f>_xll.BDH("AMZN US Equity","NI_INCLUDING_MINORITY_INT_RATIO","FQ1 2012","FQ1 2012","Currency=USD","Period=FQ","BEST_FPERIOD_OVERRIDE=FQ","FILING_STATUS=MR","SCALING_FORMAT=MLN","FA_ADJUSTED=GAAP","Sort=A","Dates=H","DateFormat=P","Fill=—","Direction=H","UseDPDF=Y")</f>
        <v>130</v>
      </c>
      <c r="P38" s="17">
        <f>_xll.BDH("AMZN US Equity","NI_INCLUDING_MINORITY_INT_RATIO","FQ2 2012","FQ2 2012","Currency=USD","Period=FQ","BEST_FPERIOD_OVERRIDE=FQ","FILING_STATUS=MR","SCALING_FORMAT=MLN","FA_ADJUSTED=GAAP","Sort=A","Dates=H","DateFormat=P","Fill=—","Direction=H","UseDPDF=Y")</f>
        <v>7</v>
      </c>
      <c r="Q38" s="17">
        <f>_xll.BDH("AMZN US Equity","NI_INCLUDING_MINORITY_INT_RATIO","FQ3 2012","FQ3 2012","Currency=USD","Period=FQ","BEST_FPERIOD_OVERRIDE=FQ","FILING_STATUS=MR","SCALING_FORMAT=MLN","FA_ADJUSTED=GAAP","Sort=A","Dates=H","DateFormat=P","Fill=—","Direction=H","UseDPDF=Y")</f>
        <v>-274</v>
      </c>
      <c r="R38" s="17">
        <f>_xll.BDH("AMZN US Equity","NI_INCLUDING_MINORITY_INT_RATIO","FQ4 2012","FQ4 2012","Currency=USD","Period=FQ","BEST_FPERIOD_OVERRIDE=FQ","FILING_STATUS=MR","SCALING_FORMAT=MLN","FA_ADJUSTED=GAAP","Sort=A","Dates=H","DateFormat=P","Fill=—","Direction=H","UseDPDF=Y")</f>
        <v>97</v>
      </c>
      <c r="S38" s="17">
        <f>_xll.BDH("AMZN US Equity","NI_INCLUDING_MINORITY_INT_RATIO","FQ1 2013","FQ1 2013","Currency=USD","Period=FQ","BEST_FPERIOD_OVERRIDE=FQ","FILING_STATUS=MR","SCALING_FORMAT=MLN","FA_ADJUSTED=GAAP","Sort=A","Dates=H","DateFormat=P","Fill=—","Direction=H","UseDPDF=Y")</f>
        <v>82</v>
      </c>
      <c r="T38" s="17">
        <f>_xll.BDH("AMZN US Equity","NI_INCLUDING_MINORITY_INT_RATIO","FQ2 2013","FQ2 2013","Currency=USD","Period=FQ","BEST_FPERIOD_OVERRIDE=FQ","FILING_STATUS=MR","SCALING_FORMAT=MLN","FA_ADJUSTED=GAAP","Sort=A","Dates=H","DateFormat=P","Fill=—","Direction=H","UseDPDF=Y")</f>
        <v>-7</v>
      </c>
      <c r="U38" s="17">
        <f>_xll.BDH("AMZN US Equity","NI_INCLUDING_MINORITY_INT_RATIO","FQ3 2013","FQ3 2013","Currency=USD","Period=FQ","BEST_FPERIOD_OVERRIDE=FQ","FILING_STATUS=MR","SCALING_FORMAT=MLN","FA_ADJUSTED=GAAP","Sort=A","Dates=H","DateFormat=P","Fill=—","Direction=H","UseDPDF=Y")</f>
        <v>-41</v>
      </c>
      <c r="V38" s="17">
        <f>_xll.BDH("AMZN US Equity","NI_INCLUDING_MINORITY_INT_RATIO","FQ4 2013","FQ4 2013","Currency=USD","Period=FQ","BEST_FPERIOD_OVERRIDE=FQ","FILING_STATUS=MR","SCALING_FORMAT=MLN","FA_ADJUSTED=GAAP","Sort=A","Dates=H","DateFormat=P","Fill=—","Direction=H","UseDPDF=Y")</f>
        <v>239</v>
      </c>
      <c r="W38" s="17">
        <f>_xll.BDH("AMZN US Equity","NI_INCLUDING_MINORITY_INT_RATIO","FQ1 2014","FQ1 2014","Currency=USD","Period=FQ","BEST_FPERIOD_OVERRIDE=FQ","FILING_STATUS=MR","SCALING_FORMAT=MLN","FA_ADJUSTED=GAAP","Sort=A","Dates=H","DateFormat=P","Fill=—","Direction=H","UseDPDF=Y")</f>
        <v>108</v>
      </c>
      <c r="X38" s="17">
        <f>_xll.BDH("AMZN US Equity","NI_INCLUDING_MINORITY_INT_RATIO","FQ2 2014","FQ2 2014","Currency=USD","Period=FQ","BEST_FPERIOD_OVERRIDE=FQ","FILING_STATUS=MR","SCALING_FORMAT=MLN","FA_ADJUSTED=GAAP","Sort=A","Dates=H","DateFormat=P","Fill=—","Direction=H","UseDPDF=Y")</f>
        <v>-126</v>
      </c>
      <c r="Y38" s="17">
        <f>_xll.BDH("AMZN US Equity","NI_INCLUDING_MINORITY_INT_RATIO","FQ3 2014","FQ3 2014","Currency=USD","Period=FQ","BEST_FPERIOD_OVERRIDE=FQ","FILING_STATUS=MR","SCALING_FORMAT=MLN","FA_ADJUSTED=GAAP","Sort=A","Dates=H","DateFormat=P","Fill=—","Direction=H","UseDPDF=Y")</f>
        <v>-437</v>
      </c>
      <c r="Z38" s="17">
        <f>_xll.BDH("AMZN US Equity","NI_INCLUDING_MINORITY_INT_RATIO","FQ4 2014","FQ4 2014","Currency=USD","Period=FQ","BEST_FPERIOD_OVERRIDE=FQ","FILING_STATUS=MR","SCALING_FORMAT=MLN","FA_ADJUSTED=GAAP","Sort=A","Dates=H","DateFormat=P","Fill=—","Direction=H","UseDPDF=Y")</f>
        <v>214</v>
      </c>
      <c r="AA38" s="17">
        <f>_xll.BDH("AMZN US Equity","NI_INCLUDING_MINORITY_INT_RATIO","FQ1 2015","FQ1 2015","Currency=USD","Period=FQ","BEST_FPERIOD_OVERRIDE=FQ","FILING_STATUS=MR","SCALING_FORMAT=MLN","FA_ADJUSTED=GAAP","Sort=A","Dates=H","DateFormat=P","Fill=—","Direction=H","UseDPDF=Y")</f>
        <v>-57</v>
      </c>
      <c r="AB38" s="17">
        <f>_xll.BDH("AMZN US Equity","NI_INCLUDING_MINORITY_INT_RATIO","FQ2 2015","FQ2 2015","Currency=USD","Period=FQ","BEST_FPERIOD_OVERRIDE=FQ","FILING_STATUS=MR","SCALING_FORMAT=MLN","FA_ADJUSTED=GAAP","Sort=A","Dates=H","DateFormat=P","Fill=—","Direction=H","UseDPDF=Y")</f>
        <v>92</v>
      </c>
      <c r="AC38" s="17">
        <f>_xll.BDH("AMZN US Equity","NI_INCLUDING_MINORITY_INT_RATIO","FQ3 2015","FQ3 2015","Currency=USD","Period=FQ","BEST_FPERIOD_OVERRIDE=FQ","FILING_STATUS=MR","SCALING_FORMAT=MLN","FA_ADJUSTED=GAAP","Sort=A","Dates=H","DateFormat=P","Fill=—","Direction=H","UseDPDF=Y")</f>
        <v>79</v>
      </c>
      <c r="AD38" s="17">
        <f>_xll.BDH("AMZN US Equity","NI_INCLUDING_MINORITY_INT_RATIO","FQ4 2015","FQ4 2015","Currency=USD","Period=FQ","BEST_FPERIOD_OVERRIDE=FQ","FILING_STATUS=MR","SCALING_FORMAT=MLN","FA_ADJUSTED=GAAP","Sort=A","Dates=H","DateFormat=P","Fill=—","Direction=H","UseDPDF=Y")</f>
        <v>482</v>
      </c>
      <c r="AE38" s="17">
        <f>_xll.BDH("AMZN US Equity","NI_INCLUDING_MINORITY_INT_RATIO","FQ1 2016","FQ1 2016","Currency=USD","Period=FQ","BEST_FPERIOD_OVERRIDE=FQ","FILING_STATUS=MR","SCALING_FORMAT=MLN","FA_ADJUSTED=GAAP","Sort=A","Dates=H","DateFormat=P","Fill=—","Direction=H","UseDPDF=Y")</f>
        <v>513</v>
      </c>
      <c r="AF38" s="17">
        <f>_xll.BDH("AMZN US Equity","NI_INCLUDING_MINORITY_INT_RATIO","FQ2 2016","FQ2 2016","Currency=USD","Period=FQ","BEST_FPERIOD_OVERRIDE=FQ","FILING_STATUS=MR","SCALING_FORMAT=MLN","FA_ADJUSTED=GAAP","Sort=A","Dates=H","DateFormat=P","Fill=—","Direction=H","UseDPDF=Y")</f>
        <v>857</v>
      </c>
      <c r="AG38" s="17">
        <f>_xll.BDH("AMZN US Equity","NI_INCLUDING_MINORITY_INT_RATIO","FQ3 2016","FQ3 2016","Currency=USD","Period=FQ","BEST_FPERIOD_OVERRIDE=FQ","FILING_STATUS=MR","SCALING_FORMAT=MLN","FA_ADJUSTED=GAAP","Sort=A","Dates=H","DateFormat=P","Fill=—","Direction=H","UseDPDF=Y")</f>
        <v>252</v>
      </c>
      <c r="AH38" s="17">
        <f>_xll.BDH("AMZN US Equity","NI_INCLUDING_MINORITY_INT_RATIO","FQ4 2016","FQ4 2016","Currency=USD","Period=FQ","BEST_FPERIOD_OVERRIDE=FQ","FILING_STATUS=MR","SCALING_FORMAT=MLN","FA_ADJUSTED=GAAP","Sort=A","Dates=H","DateFormat=P","Fill=—","Direction=H","UseDPDF=Y")</f>
        <v>749</v>
      </c>
      <c r="AI38" s="17">
        <f>_xll.BDH("AMZN US Equity","NI_INCLUDING_MINORITY_INT_RATIO","FQ1 2017","FQ1 2017","Currency=USD","Period=FQ","BEST_FPERIOD_OVERRIDE=FQ","FILING_STATUS=MR","SCALING_FORMAT=MLN","FA_ADJUSTED=GAAP","Sort=A","Dates=H","DateFormat=P","Fill=—","Direction=H","UseDPDF=Y")</f>
        <v>724</v>
      </c>
      <c r="AJ38" s="17">
        <f>_xll.BDH("AMZN US Equity","NI_INCLUDING_MINORITY_INT_RATIO","FQ2 2017","FQ2 2017","Currency=USD","Period=FQ","BEST_FPERIOD_OVERRIDE=FQ","FILING_STATUS=MR","SCALING_FORMAT=MLN","FA_ADJUSTED=GAAP","Sort=A","Dates=H","DateFormat=P","Fill=—","Direction=H","UseDPDF=Y")</f>
        <v>197</v>
      </c>
      <c r="AK38" s="17">
        <f>_xll.BDH("AMZN US Equity","NI_INCLUDING_MINORITY_INT_RATIO","FQ3 2017","FQ3 2017","Currency=USD","Period=FQ","BEST_FPERIOD_OVERRIDE=FQ","FILING_STATUS=MR","SCALING_FORMAT=MLN","FA_ADJUSTED=GAAP","Sort=A","Dates=H","DateFormat=P","Fill=—","Direction=H","UseDPDF=Y")</f>
        <v>256</v>
      </c>
      <c r="AL38" s="17">
        <f>_xll.BDH("AMZN US Equity","NI_INCLUDING_MINORITY_INT_RATIO","FQ4 2017","FQ4 2017","Currency=USD","Period=FQ","BEST_FPERIOD_OVERRIDE=FQ","FILING_STATUS=MR","SCALING_FORMAT=MLN","FA_ADJUSTED=GAAP","Sort=A","Dates=H","DateFormat=P","Fill=—","Direction=H","UseDPDF=Y")</f>
        <v>1856</v>
      </c>
      <c r="AM38" s="17">
        <f>_xll.BDH("AMZN US Equity","NI_INCLUDING_MINORITY_INT_RATIO","FQ1 2018","FQ1 2018","Currency=USD","Period=FQ","BEST_FPERIOD_OVERRIDE=FQ","FILING_STATUS=MR","SCALING_FORMAT=MLN","FA_ADJUSTED=GAAP","Sort=A","Dates=H","DateFormat=P","Fill=—","Direction=H","UseDPDF=Y")</f>
        <v>1629</v>
      </c>
      <c r="AN38" s="17">
        <f>_xll.BDH("AMZN US Equity","NI_INCLUDING_MINORITY_INT_RATIO","FQ2 2018","FQ2 2018","Currency=USD","Period=FQ","BEST_FPERIOD_OVERRIDE=FQ","FILING_STATUS=MR","SCALING_FORMAT=MLN","FA_ADJUSTED=GAAP","Sort=A","Dates=H","DateFormat=P","Fill=—","Direction=H","UseDPDF=Y")</f>
        <v>2534</v>
      </c>
      <c r="AO38" s="17"/>
      <c r="AP38" s="17"/>
    </row>
    <row r="39" spans="1:42" x14ac:dyDescent="0.25">
      <c r="A39" s="10" t="s">
        <v>151</v>
      </c>
      <c r="B39" s="10" t="s">
        <v>152</v>
      </c>
      <c r="C39" s="13">
        <f>_xll.BDH("AMZN US Equity","MIN_NONCONTROL_INTEREST_CREDITS","FQ1 2009","FQ1 2009","Currency=USD","Period=FQ","BEST_FPERIOD_OVERRIDE=FQ","FILING_STATUS=MR","SCALING_FORMAT=MLN","FA_ADJUSTED=GAAP","Sort=A","Dates=H","DateFormat=P","Fill=—","Direction=H","UseDPDF=Y")</f>
        <v>0</v>
      </c>
      <c r="D39" s="13">
        <f>_xll.BDH("AMZN US Equity","MIN_NONCONTROL_INTEREST_CREDITS","FQ2 2009","FQ2 2009","Currency=USD","Period=FQ","BEST_FPERIOD_OVERRIDE=FQ","FILING_STATUS=MR","SCALING_FORMAT=MLN","FA_ADJUSTED=GAAP","Sort=A","Dates=H","DateFormat=P","Fill=—","Direction=H","UseDPDF=Y")</f>
        <v>0</v>
      </c>
      <c r="E39" s="13">
        <f>_xll.BDH("AMZN US Equity","MIN_NONCONTROL_INTEREST_CREDITS","FQ3 2009","FQ3 2009","Currency=USD","Period=FQ","BEST_FPERIOD_OVERRIDE=FQ","FILING_STATUS=MR","SCALING_FORMAT=MLN","FA_ADJUSTED=GAAP","Sort=A","Dates=H","DateFormat=P","Fill=—","Direction=H","UseDPDF=Y")</f>
        <v>0</v>
      </c>
      <c r="F39" s="13">
        <f>_xll.BDH("AMZN US Equity","MIN_NONCONTROL_INTEREST_CREDITS","FQ4 2009","FQ4 2009","Currency=USD","Period=FQ","BEST_FPERIOD_OVERRIDE=FQ","FILING_STATUS=MR","SCALING_FORMAT=MLN","FA_ADJUSTED=GAAP","Sort=A","Dates=H","DateFormat=P","Fill=—","Direction=H","UseDPDF=Y")</f>
        <v>0</v>
      </c>
      <c r="G39" s="13">
        <f>_xll.BDH("AMZN US Equity","MIN_NONCONTROL_INTEREST_CREDITS","FQ1 2010","FQ1 2010","Currency=USD","Period=FQ","BEST_FPERIOD_OVERRIDE=FQ","FILING_STATUS=MR","SCALING_FORMAT=MLN","FA_ADJUSTED=GAAP","Sort=A","Dates=H","DateFormat=P","Fill=—","Direction=H","UseDPDF=Y")</f>
        <v>0</v>
      </c>
      <c r="H39" s="13">
        <f>_xll.BDH("AMZN US Equity","MIN_NONCONTROL_INTEREST_CREDITS","FQ2 2010","FQ2 2010","Currency=USD","Period=FQ","BEST_FPERIOD_OVERRIDE=FQ","FILING_STATUS=MR","SCALING_FORMAT=MLN","FA_ADJUSTED=GAAP","Sort=A","Dates=H","DateFormat=P","Fill=—","Direction=H","UseDPDF=Y")</f>
        <v>0</v>
      </c>
      <c r="I39" s="13">
        <f>_xll.BDH("AMZN US Equity","MIN_NONCONTROL_INTEREST_CREDITS","FQ3 2010","FQ3 2010","Currency=USD","Period=FQ","BEST_FPERIOD_OVERRIDE=FQ","FILING_STATUS=MR","SCALING_FORMAT=MLN","FA_ADJUSTED=GAAP","Sort=A","Dates=H","DateFormat=P","Fill=—","Direction=H","UseDPDF=Y")</f>
        <v>0</v>
      </c>
      <c r="J39" s="13">
        <f>_xll.BDH("AMZN US Equity","MIN_NONCONTROL_INTEREST_CREDITS","FQ4 2010","FQ4 2010","Currency=USD","Period=FQ","BEST_FPERIOD_OVERRIDE=FQ","FILING_STATUS=MR","SCALING_FORMAT=MLN","FA_ADJUSTED=GAAP","Sort=A","Dates=H","DateFormat=P","Fill=—","Direction=H","UseDPDF=Y")</f>
        <v>0</v>
      </c>
      <c r="K39" s="13">
        <f>_xll.BDH("AMZN US Equity","MIN_NONCONTROL_INTEREST_CREDITS","FQ1 2011","FQ1 2011","Currency=USD","Period=FQ","BEST_FPERIOD_OVERRIDE=FQ","FILING_STATUS=MR","SCALING_FORMAT=MLN","FA_ADJUSTED=GAAP","Sort=A","Dates=H","DateFormat=P","Fill=—","Direction=H","UseDPDF=Y")</f>
        <v>0</v>
      </c>
      <c r="L39" s="13">
        <f>_xll.BDH("AMZN US Equity","MIN_NONCONTROL_INTEREST_CREDITS","FQ2 2011","FQ2 2011","Currency=USD","Period=FQ","BEST_FPERIOD_OVERRIDE=FQ","FILING_STATUS=MR","SCALING_FORMAT=MLN","FA_ADJUSTED=GAAP","Sort=A","Dates=H","DateFormat=P","Fill=—","Direction=H","UseDPDF=Y")</f>
        <v>0</v>
      </c>
      <c r="M39" s="13">
        <f>_xll.BDH("AMZN US Equity","MIN_NONCONTROL_INTEREST_CREDITS","FQ3 2011","FQ3 2011","Currency=USD","Period=FQ","BEST_FPERIOD_OVERRIDE=FQ","FILING_STATUS=MR","SCALING_FORMAT=MLN","FA_ADJUSTED=GAAP","Sort=A","Dates=H","DateFormat=P","Fill=—","Direction=H","UseDPDF=Y")</f>
        <v>0</v>
      </c>
      <c r="N39" s="13">
        <f>_xll.BDH("AMZN US Equity","MIN_NONCONTROL_INTEREST_CREDITS","FQ4 2011","FQ4 2011","Currency=USD","Period=FQ","BEST_FPERIOD_OVERRIDE=FQ","FILING_STATUS=MR","SCALING_FORMAT=MLN","FA_ADJUSTED=GAAP","Sort=A","Dates=H","DateFormat=P","Fill=—","Direction=H","UseDPDF=Y")</f>
        <v>0</v>
      </c>
      <c r="O39" s="13">
        <f>_xll.BDH("AMZN US Equity","MIN_NONCONTROL_INTEREST_CREDITS","FQ1 2012","FQ1 2012","Currency=USD","Period=FQ","BEST_FPERIOD_OVERRIDE=FQ","FILING_STATUS=MR","SCALING_FORMAT=MLN","FA_ADJUSTED=GAAP","Sort=A","Dates=H","DateFormat=P","Fill=—","Direction=H","UseDPDF=Y")</f>
        <v>0</v>
      </c>
      <c r="P39" s="13">
        <f>_xll.BDH("AMZN US Equity","MIN_NONCONTROL_INTEREST_CREDITS","FQ2 2012","FQ2 2012","Currency=USD","Period=FQ","BEST_FPERIOD_OVERRIDE=FQ","FILING_STATUS=MR","SCALING_FORMAT=MLN","FA_ADJUSTED=GAAP","Sort=A","Dates=H","DateFormat=P","Fill=—","Direction=H","UseDPDF=Y")</f>
        <v>0</v>
      </c>
      <c r="Q39" s="13">
        <f>_xll.BDH("AMZN US Equity","MIN_NONCONTROL_INTEREST_CREDITS","FQ3 2012","FQ3 2012","Currency=USD","Period=FQ","BEST_FPERIOD_OVERRIDE=FQ","FILING_STATUS=MR","SCALING_FORMAT=MLN","FA_ADJUSTED=GAAP","Sort=A","Dates=H","DateFormat=P","Fill=—","Direction=H","UseDPDF=Y")</f>
        <v>0</v>
      </c>
      <c r="R39" s="13">
        <f>_xll.BDH("AMZN US Equity","MIN_NONCONTROL_INTEREST_CREDITS","FQ4 2012","FQ4 2012","Currency=USD","Period=FQ","BEST_FPERIOD_OVERRIDE=FQ","FILING_STATUS=MR","SCALING_FORMAT=MLN","FA_ADJUSTED=GAAP","Sort=A","Dates=H","DateFormat=P","Fill=—","Direction=H","UseDPDF=Y")</f>
        <v>0</v>
      </c>
      <c r="S39" s="13">
        <f>_xll.BDH("AMZN US Equity","MIN_NONCONTROL_INTEREST_CREDITS","FQ1 2013","FQ1 2013","Currency=USD","Period=FQ","BEST_FPERIOD_OVERRIDE=FQ","FILING_STATUS=MR","SCALING_FORMAT=MLN","FA_ADJUSTED=GAAP","Sort=A","Dates=H","DateFormat=P","Fill=—","Direction=H","UseDPDF=Y")</f>
        <v>0</v>
      </c>
      <c r="T39" s="13">
        <f>_xll.BDH("AMZN US Equity","MIN_NONCONTROL_INTEREST_CREDITS","FQ2 2013","FQ2 2013","Currency=USD","Period=FQ","BEST_FPERIOD_OVERRIDE=FQ","FILING_STATUS=MR","SCALING_FORMAT=MLN","FA_ADJUSTED=GAAP","Sort=A","Dates=H","DateFormat=P","Fill=—","Direction=H","UseDPDF=Y")</f>
        <v>0</v>
      </c>
      <c r="U39" s="13">
        <f>_xll.BDH("AMZN US Equity","MIN_NONCONTROL_INTEREST_CREDITS","FQ3 2013","FQ3 2013","Currency=USD","Period=FQ","BEST_FPERIOD_OVERRIDE=FQ","FILING_STATUS=MR","SCALING_FORMAT=MLN","FA_ADJUSTED=GAAP","Sort=A","Dates=H","DateFormat=P","Fill=—","Direction=H","UseDPDF=Y")</f>
        <v>0</v>
      </c>
      <c r="V39" s="13">
        <f>_xll.BDH("AMZN US Equity","MIN_NONCONTROL_INTEREST_CREDITS","FQ4 2013","FQ4 2013","Currency=USD","Period=FQ","BEST_FPERIOD_OVERRIDE=FQ","FILING_STATUS=MR","SCALING_FORMAT=MLN","FA_ADJUSTED=GAAP","Sort=A","Dates=H","DateFormat=P","Fill=—","Direction=H","UseDPDF=Y")</f>
        <v>0</v>
      </c>
      <c r="W39" s="13">
        <f>_xll.BDH("AMZN US Equity","MIN_NONCONTROL_INTEREST_CREDITS","FQ1 2014","FQ1 2014","Currency=USD","Period=FQ","BEST_FPERIOD_OVERRIDE=FQ","FILING_STATUS=MR","SCALING_FORMAT=MLN","FA_ADJUSTED=GAAP","Sort=A","Dates=H","DateFormat=P","Fill=—","Direction=H","UseDPDF=Y")</f>
        <v>0</v>
      </c>
      <c r="X39" s="13">
        <f>_xll.BDH("AMZN US Equity","MIN_NONCONTROL_INTEREST_CREDITS","FQ2 2014","FQ2 2014","Currency=USD","Period=FQ","BEST_FPERIOD_OVERRIDE=FQ","FILING_STATUS=MR","SCALING_FORMAT=MLN","FA_ADJUSTED=GAAP","Sort=A","Dates=H","DateFormat=P","Fill=—","Direction=H","UseDPDF=Y")</f>
        <v>0</v>
      </c>
      <c r="Y39" s="13">
        <f>_xll.BDH("AMZN US Equity","MIN_NONCONTROL_INTEREST_CREDITS","FQ3 2014","FQ3 2014","Currency=USD","Period=FQ","BEST_FPERIOD_OVERRIDE=FQ","FILING_STATUS=MR","SCALING_FORMAT=MLN","FA_ADJUSTED=GAAP","Sort=A","Dates=H","DateFormat=P","Fill=—","Direction=H","UseDPDF=Y")</f>
        <v>0</v>
      </c>
      <c r="Z39" s="13">
        <f>_xll.BDH("AMZN US Equity","MIN_NONCONTROL_INTEREST_CREDITS","FQ4 2014","FQ4 2014","Currency=USD","Period=FQ","BEST_FPERIOD_OVERRIDE=FQ","FILING_STATUS=MR","SCALING_FORMAT=MLN","FA_ADJUSTED=GAAP","Sort=A","Dates=H","DateFormat=P","Fill=—","Direction=H","UseDPDF=Y")</f>
        <v>0</v>
      </c>
      <c r="AA39" s="13">
        <f>_xll.BDH("AMZN US Equity","MIN_NONCONTROL_INTEREST_CREDITS","FQ1 2015","FQ1 2015","Currency=USD","Period=FQ","BEST_FPERIOD_OVERRIDE=FQ","FILING_STATUS=MR","SCALING_FORMAT=MLN","FA_ADJUSTED=GAAP","Sort=A","Dates=H","DateFormat=P","Fill=—","Direction=H","UseDPDF=Y")</f>
        <v>0</v>
      </c>
      <c r="AB39" s="13">
        <f>_xll.BDH("AMZN US Equity","MIN_NONCONTROL_INTEREST_CREDITS","FQ2 2015","FQ2 2015","Currency=USD","Period=FQ","BEST_FPERIOD_OVERRIDE=FQ","FILING_STATUS=MR","SCALING_FORMAT=MLN","FA_ADJUSTED=GAAP","Sort=A","Dates=H","DateFormat=P","Fill=—","Direction=H","UseDPDF=Y")</f>
        <v>0</v>
      </c>
      <c r="AC39" s="13">
        <f>_xll.BDH("AMZN US Equity","MIN_NONCONTROL_INTEREST_CREDITS","FQ3 2015","FQ3 2015","Currency=USD","Period=FQ","BEST_FPERIOD_OVERRIDE=FQ","FILING_STATUS=MR","SCALING_FORMAT=MLN","FA_ADJUSTED=GAAP","Sort=A","Dates=H","DateFormat=P","Fill=—","Direction=H","UseDPDF=Y")</f>
        <v>0</v>
      </c>
      <c r="AD39" s="13">
        <f>_xll.BDH("AMZN US Equity","MIN_NONCONTROL_INTEREST_CREDITS","FQ4 2015","FQ4 2015","Currency=USD","Period=FQ","BEST_FPERIOD_OVERRIDE=FQ","FILING_STATUS=MR","SCALING_FORMAT=MLN","FA_ADJUSTED=GAAP","Sort=A","Dates=H","DateFormat=P","Fill=—","Direction=H","UseDPDF=Y")</f>
        <v>0</v>
      </c>
      <c r="AE39" s="13">
        <f>_xll.BDH("AMZN US Equity","MIN_NONCONTROL_INTEREST_CREDITS","FQ1 2016","FQ1 2016","Currency=USD","Period=FQ","BEST_FPERIOD_OVERRIDE=FQ","FILING_STATUS=MR","SCALING_FORMAT=MLN","FA_ADJUSTED=GAAP","Sort=A","Dates=H","DateFormat=P","Fill=—","Direction=H","UseDPDF=Y")</f>
        <v>0</v>
      </c>
      <c r="AF39" s="13">
        <f>_xll.BDH("AMZN US Equity","MIN_NONCONTROL_INTEREST_CREDITS","FQ2 2016","FQ2 2016","Currency=USD","Period=FQ","BEST_FPERIOD_OVERRIDE=FQ","FILING_STATUS=MR","SCALING_FORMAT=MLN","FA_ADJUSTED=GAAP","Sort=A","Dates=H","DateFormat=P","Fill=—","Direction=H","UseDPDF=Y")</f>
        <v>0</v>
      </c>
      <c r="AG39" s="13">
        <f>_xll.BDH("AMZN US Equity","MIN_NONCONTROL_INTEREST_CREDITS","FQ3 2016","FQ3 2016","Currency=USD","Period=FQ","BEST_FPERIOD_OVERRIDE=FQ","FILING_STATUS=MR","SCALING_FORMAT=MLN","FA_ADJUSTED=GAAP","Sort=A","Dates=H","DateFormat=P","Fill=—","Direction=H","UseDPDF=Y")</f>
        <v>0</v>
      </c>
      <c r="AH39" s="13">
        <f>_xll.BDH("AMZN US Equity","MIN_NONCONTROL_INTEREST_CREDITS","FQ4 2016","FQ4 2016","Currency=USD","Period=FQ","BEST_FPERIOD_OVERRIDE=FQ","FILING_STATUS=MR","SCALING_FORMAT=MLN","FA_ADJUSTED=GAAP","Sort=A","Dates=H","DateFormat=P","Fill=—","Direction=H","UseDPDF=Y")</f>
        <v>0</v>
      </c>
      <c r="AI39" s="13">
        <f>_xll.BDH("AMZN US Equity","MIN_NONCONTROL_INTEREST_CREDITS","FQ1 2017","FQ1 2017","Currency=USD","Period=FQ","BEST_FPERIOD_OVERRIDE=FQ","FILING_STATUS=MR","SCALING_FORMAT=MLN","FA_ADJUSTED=GAAP","Sort=A","Dates=H","DateFormat=P","Fill=—","Direction=H","UseDPDF=Y")</f>
        <v>0</v>
      </c>
      <c r="AJ39" s="13">
        <f>_xll.BDH("AMZN US Equity","MIN_NONCONTROL_INTEREST_CREDITS","FQ2 2017","FQ2 2017","Currency=USD","Period=FQ","BEST_FPERIOD_OVERRIDE=FQ","FILING_STATUS=MR","SCALING_FORMAT=MLN","FA_ADJUSTED=GAAP","Sort=A","Dates=H","DateFormat=P","Fill=—","Direction=H","UseDPDF=Y")</f>
        <v>0</v>
      </c>
      <c r="AK39" s="13">
        <f>_xll.BDH("AMZN US Equity","MIN_NONCONTROL_INTEREST_CREDITS","FQ3 2017","FQ3 2017","Currency=USD","Period=FQ","BEST_FPERIOD_OVERRIDE=FQ","FILING_STATUS=MR","SCALING_FORMAT=MLN","FA_ADJUSTED=GAAP","Sort=A","Dates=H","DateFormat=P","Fill=—","Direction=H","UseDPDF=Y")</f>
        <v>0</v>
      </c>
      <c r="AL39" s="13">
        <f>_xll.BDH("AMZN US Equity","MIN_NONCONTROL_INTEREST_CREDITS","FQ4 2017","FQ4 2017","Currency=USD","Period=FQ","BEST_FPERIOD_OVERRIDE=FQ","FILING_STATUS=MR","SCALING_FORMAT=MLN","FA_ADJUSTED=GAAP","Sort=A","Dates=H","DateFormat=P","Fill=—","Direction=H","UseDPDF=Y")</f>
        <v>0</v>
      </c>
      <c r="AM39" s="13">
        <f>_xll.BDH("AMZN US Equity","MIN_NONCONTROL_INTEREST_CREDITS","FQ1 2018","FQ1 2018","Currency=USD","Period=FQ","BEST_FPERIOD_OVERRIDE=FQ","FILING_STATUS=MR","SCALING_FORMAT=MLN","FA_ADJUSTED=GAAP","Sort=A","Dates=H","DateFormat=P","Fill=—","Direction=H","UseDPDF=Y")</f>
        <v>0</v>
      </c>
      <c r="AN39" s="13">
        <f>_xll.BDH("AMZN US Equity","MIN_NONCONTROL_INTEREST_CREDITS","FQ2 2018","FQ2 2018","Currency=USD","Period=FQ","BEST_FPERIOD_OVERRIDE=FQ","FILING_STATUS=MR","SCALING_FORMAT=MLN","FA_ADJUSTED=GAAP","Sort=A","Dates=H","DateFormat=P","Fill=—","Direction=H","UseDPDF=Y")</f>
        <v>0</v>
      </c>
      <c r="AO39" s="13"/>
      <c r="AP39" s="13"/>
    </row>
    <row r="40" spans="1:42" x14ac:dyDescent="0.25">
      <c r="A40" s="6" t="s">
        <v>153</v>
      </c>
      <c r="B40" s="6" t="s">
        <v>154</v>
      </c>
      <c r="C40" s="17">
        <f>_xll.BDH("AMZN US Equity","NET_INCOME","FQ1 2009","FQ1 2009","Currency=USD","Period=FQ","BEST_FPERIOD_OVERRIDE=FQ","FILING_STATUS=MR","SCALING_FORMAT=MLN","FA_ADJUSTED=GAAP","Sort=A","Dates=H","DateFormat=P","Fill=—","Direction=H","UseDPDF=Y")</f>
        <v>177</v>
      </c>
      <c r="D40" s="17">
        <f>_xll.BDH("AMZN US Equity","NET_INCOME","FQ2 2009","FQ2 2009","Currency=USD","Period=FQ","BEST_FPERIOD_OVERRIDE=FQ","FILING_STATUS=MR","SCALING_FORMAT=MLN","FA_ADJUSTED=GAAP","Sort=A","Dates=H","DateFormat=P","Fill=—","Direction=H","UseDPDF=Y")</f>
        <v>142</v>
      </c>
      <c r="E40" s="17">
        <f>_xll.BDH("AMZN US Equity","NET_INCOME","FQ3 2009","FQ3 2009","Currency=USD","Period=FQ","BEST_FPERIOD_OVERRIDE=FQ","FILING_STATUS=MR","SCALING_FORMAT=MLN","FA_ADJUSTED=GAAP","Sort=A","Dates=H","DateFormat=P","Fill=—","Direction=H","UseDPDF=Y")</f>
        <v>199</v>
      </c>
      <c r="F40" s="17">
        <f>_xll.BDH("AMZN US Equity","NET_INCOME","FQ4 2009","FQ4 2009","Currency=USD","Period=FQ","BEST_FPERIOD_OVERRIDE=FQ","FILING_STATUS=MR","SCALING_FORMAT=MLN","FA_ADJUSTED=GAAP","Sort=A","Dates=H","DateFormat=P","Fill=—","Direction=H","UseDPDF=Y")</f>
        <v>384</v>
      </c>
      <c r="G40" s="17">
        <f>_xll.BDH("AMZN US Equity","NET_INCOME","FQ1 2010","FQ1 2010","Currency=USD","Period=FQ","BEST_FPERIOD_OVERRIDE=FQ","FILING_STATUS=MR","SCALING_FORMAT=MLN","FA_ADJUSTED=GAAP","Sort=A","Dates=H","DateFormat=P","Fill=—","Direction=H","UseDPDF=Y")</f>
        <v>299</v>
      </c>
      <c r="H40" s="17">
        <f>_xll.BDH("AMZN US Equity","NET_INCOME","FQ2 2010","FQ2 2010","Currency=USD","Period=FQ","BEST_FPERIOD_OVERRIDE=FQ","FILING_STATUS=MR","SCALING_FORMAT=MLN","FA_ADJUSTED=GAAP","Sort=A","Dates=H","DateFormat=P","Fill=—","Direction=H","UseDPDF=Y")</f>
        <v>207</v>
      </c>
      <c r="I40" s="17">
        <f>_xll.BDH("AMZN US Equity","NET_INCOME","FQ3 2010","FQ3 2010","Currency=USD","Period=FQ","BEST_FPERIOD_OVERRIDE=FQ","FILING_STATUS=MR","SCALING_FORMAT=MLN","FA_ADJUSTED=GAAP","Sort=A","Dates=H","DateFormat=P","Fill=—","Direction=H","UseDPDF=Y")</f>
        <v>231</v>
      </c>
      <c r="J40" s="17">
        <f>_xll.BDH("AMZN US Equity","NET_INCOME","FQ4 2010","FQ4 2010","Currency=USD","Period=FQ","BEST_FPERIOD_OVERRIDE=FQ","FILING_STATUS=MR","SCALING_FORMAT=MLN","FA_ADJUSTED=GAAP","Sort=A","Dates=H","DateFormat=P","Fill=—","Direction=H","UseDPDF=Y")</f>
        <v>416</v>
      </c>
      <c r="K40" s="17">
        <f>_xll.BDH("AMZN US Equity","NET_INCOME","FQ1 2011","FQ1 2011","Currency=USD","Period=FQ","BEST_FPERIOD_OVERRIDE=FQ","FILING_STATUS=MR","SCALING_FORMAT=MLN","FA_ADJUSTED=GAAP","Sort=A","Dates=H","DateFormat=P","Fill=—","Direction=H","UseDPDF=Y")</f>
        <v>201</v>
      </c>
      <c r="L40" s="17">
        <f>_xll.BDH("AMZN US Equity","NET_INCOME","FQ2 2011","FQ2 2011","Currency=USD","Period=FQ","BEST_FPERIOD_OVERRIDE=FQ","FILING_STATUS=MR","SCALING_FORMAT=MLN","FA_ADJUSTED=GAAP","Sort=A","Dates=H","DateFormat=P","Fill=—","Direction=H","UseDPDF=Y")</f>
        <v>191</v>
      </c>
      <c r="M40" s="17">
        <f>_xll.BDH("AMZN US Equity","NET_INCOME","FQ3 2011","FQ3 2011","Currency=USD","Period=FQ","BEST_FPERIOD_OVERRIDE=FQ","FILING_STATUS=MR","SCALING_FORMAT=MLN","FA_ADJUSTED=GAAP","Sort=A","Dates=H","DateFormat=P","Fill=—","Direction=H","UseDPDF=Y")</f>
        <v>63</v>
      </c>
      <c r="N40" s="17">
        <f>_xll.BDH("AMZN US Equity","NET_INCOME","FQ4 2011","FQ4 2011","Currency=USD","Period=FQ","BEST_FPERIOD_OVERRIDE=FQ","FILING_STATUS=MR","SCALING_FORMAT=MLN","FA_ADJUSTED=GAAP","Sort=A","Dates=H","DateFormat=P","Fill=—","Direction=H","UseDPDF=Y")</f>
        <v>177</v>
      </c>
      <c r="O40" s="17">
        <f>_xll.BDH("AMZN US Equity","NET_INCOME","FQ1 2012","FQ1 2012","Currency=USD","Period=FQ","BEST_FPERIOD_OVERRIDE=FQ","FILING_STATUS=MR","SCALING_FORMAT=MLN","FA_ADJUSTED=GAAP","Sort=A","Dates=H","DateFormat=P","Fill=—","Direction=H","UseDPDF=Y")</f>
        <v>130</v>
      </c>
      <c r="P40" s="17">
        <f>_xll.BDH("AMZN US Equity","NET_INCOME","FQ2 2012","FQ2 2012","Currency=USD","Period=FQ","BEST_FPERIOD_OVERRIDE=FQ","FILING_STATUS=MR","SCALING_FORMAT=MLN","FA_ADJUSTED=GAAP","Sort=A","Dates=H","DateFormat=P","Fill=—","Direction=H","UseDPDF=Y")</f>
        <v>7</v>
      </c>
      <c r="Q40" s="17">
        <f>_xll.BDH("AMZN US Equity","NET_INCOME","FQ3 2012","FQ3 2012","Currency=USD","Period=FQ","BEST_FPERIOD_OVERRIDE=FQ","FILING_STATUS=MR","SCALING_FORMAT=MLN","FA_ADJUSTED=GAAP","Sort=A","Dates=H","DateFormat=P","Fill=—","Direction=H","UseDPDF=Y")</f>
        <v>-274</v>
      </c>
      <c r="R40" s="17">
        <f>_xll.BDH("AMZN US Equity","NET_INCOME","FQ4 2012","FQ4 2012","Currency=USD","Period=FQ","BEST_FPERIOD_OVERRIDE=FQ","FILING_STATUS=MR","SCALING_FORMAT=MLN","FA_ADJUSTED=GAAP","Sort=A","Dates=H","DateFormat=P","Fill=—","Direction=H","UseDPDF=Y")</f>
        <v>97</v>
      </c>
      <c r="S40" s="17">
        <f>_xll.BDH("AMZN US Equity","NET_INCOME","FQ1 2013","FQ1 2013","Currency=USD","Period=FQ","BEST_FPERIOD_OVERRIDE=FQ","FILING_STATUS=MR","SCALING_FORMAT=MLN","FA_ADJUSTED=GAAP","Sort=A","Dates=H","DateFormat=P","Fill=—","Direction=H","UseDPDF=Y")</f>
        <v>82</v>
      </c>
      <c r="T40" s="17">
        <f>_xll.BDH("AMZN US Equity","NET_INCOME","FQ2 2013","FQ2 2013","Currency=USD","Period=FQ","BEST_FPERIOD_OVERRIDE=FQ","FILING_STATUS=MR","SCALING_FORMAT=MLN","FA_ADJUSTED=GAAP","Sort=A","Dates=H","DateFormat=P","Fill=—","Direction=H","UseDPDF=Y")</f>
        <v>-7</v>
      </c>
      <c r="U40" s="17">
        <f>_xll.BDH("AMZN US Equity","NET_INCOME","FQ3 2013","FQ3 2013","Currency=USD","Period=FQ","BEST_FPERIOD_OVERRIDE=FQ","FILING_STATUS=MR","SCALING_FORMAT=MLN","FA_ADJUSTED=GAAP","Sort=A","Dates=H","DateFormat=P","Fill=—","Direction=H","UseDPDF=Y")</f>
        <v>-41</v>
      </c>
      <c r="V40" s="17">
        <f>_xll.BDH("AMZN US Equity","NET_INCOME","FQ4 2013","FQ4 2013","Currency=USD","Period=FQ","BEST_FPERIOD_OVERRIDE=FQ","FILING_STATUS=MR","SCALING_FORMAT=MLN","FA_ADJUSTED=GAAP","Sort=A","Dates=H","DateFormat=P","Fill=—","Direction=H","UseDPDF=Y")</f>
        <v>239</v>
      </c>
      <c r="W40" s="17">
        <f>_xll.BDH("AMZN US Equity","NET_INCOME","FQ1 2014","FQ1 2014","Currency=USD","Period=FQ","BEST_FPERIOD_OVERRIDE=FQ","FILING_STATUS=MR","SCALING_FORMAT=MLN","FA_ADJUSTED=GAAP","Sort=A","Dates=H","DateFormat=P","Fill=—","Direction=H","UseDPDF=Y")</f>
        <v>108</v>
      </c>
      <c r="X40" s="17">
        <f>_xll.BDH("AMZN US Equity","NET_INCOME","FQ2 2014","FQ2 2014","Currency=USD","Period=FQ","BEST_FPERIOD_OVERRIDE=FQ","FILING_STATUS=MR","SCALING_FORMAT=MLN","FA_ADJUSTED=GAAP","Sort=A","Dates=H","DateFormat=P","Fill=—","Direction=H","UseDPDF=Y")</f>
        <v>-126</v>
      </c>
      <c r="Y40" s="17">
        <f>_xll.BDH("AMZN US Equity","NET_INCOME","FQ3 2014","FQ3 2014","Currency=USD","Period=FQ","BEST_FPERIOD_OVERRIDE=FQ","FILING_STATUS=MR","SCALING_FORMAT=MLN","FA_ADJUSTED=GAAP","Sort=A","Dates=H","DateFormat=P","Fill=—","Direction=H","UseDPDF=Y")</f>
        <v>-437</v>
      </c>
      <c r="Z40" s="17">
        <f>_xll.BDH("AMZN US Equity","NET_INCOME","FQ4 2014","FQ4 2014","Currency=USD","Period=FQ","BEST_FPERIOD_OVERRIDE=FQ","FILING_STATUS=MR","SCALING_FORMAT=MLN","FA_ADJUSTED=GAAP","Sort=A","Dates=H","DateFormat=P","Fill=—","Direction=H","UseDPDF=Y")</f>
        <v>214</v>
      </c>
      <c r="AA40" s="17">
        <f>_xll.BDH("AMZN US Equity","NET_INCOME","FQ1 2015","FQ1 2015","Currency=USD","Period=FQ","BEST_FPERIOD_OVERRIDE=FQ","FILING_STATUS=MR","SCALING_FORMAT=MLN","FA_ADJUSTED=GAAP","Sort=A","Dates=H","DateFormat=P","Fill=—","Direction=H","UseDPDF=Y")</f>
        <v>-57</v>
      </c>
      <c r="AB40" s="17">
        <f>_xll.BDH("AMZN US Equity","NET_INCOME","FQ2 2015","FQ2 2015","Currency=USD","Period=FQ","BEST_FPERIOD_OVERRIDE=FQ","FILING_STATUS=MR","SCALING_FORMAT=MLN","FA_ADJUSTED=GAAP","Sort=A","Dates=H","DateFormat=P","Fill=—","Direction=H","UseDPDF=Y")</f>
        <v>92</v>
      </c>
      <c r="AC40" s="17">
        <f>_xll.BDH("AMZN US Equity","NET_INCOME","FQ3 2015","FQ3 2015","Currency=USD","Period=FQ","BEST_FPERIOD_OVERRIDE=FQ","FILING_STATUS=MR","SCALING_FORMAT=MLN","FA_ADJUSTED=GAAP","Sort=A","Dates=H","DateFormat=P","Fill=—","Direction=H","UseDPDF=Y")</f>
        <v>79</v>
      </c>
      <c r="AD40" s="17">
        <f>_xll.BDH("AMZN US Equity","NET_INCOME","FQ4 2015","FQ4 2015","Currency=USD","Period=FQ","BEST_FPERIOD_OVERRIDE=FQ","FILING_STATUS=MR","SCALING_FORMAT=MLN","FA_ADJUSTED=GAAP","Sort=A","Dates=H","DateFormat=P","Fill=—","Direction=H","UseDPDF=Y")</f>
        <v>482</v>
      </c>
      <c r="AE40" s="17">
        <f>_xll.BDH("AMZN US Equity","NET_INCOME","FQ1 2016","FQ1 2016","Currency=USD","Period=FQ","BEST_FPERIOD_OVERRIDE=FQ","FILING_STATUS=MR","SCALING_FORMAT=MLN","FA_ADJUSTED=GAAP","Sort=A","Dates=H","DateFormat=P","Fill=—","Direction=H","UseDPDF=Y")</f>
        <v>513</v>
      </c>
      <c r="AF40" s="17">
        <f>_xll.BDH("AMZN US Equity","NET_INCOME","FQ2 2016","FQ2 2016","Currency=USD","Period=FQ","BEST_FPERIOD_OVERRIDE=FQ","FILING_STATUS=MR","SCALING_FORMAT=MLN","FA_ADJUSTED=GAAP","Sort=A","Dates=H","DateFormat=P","Fill=—","Direction=H","UseDPDF=Y")</f>
        <v>857</v>
      </c>
      <c r="AG40" s="17">
        <f>_xll.BDH("AMZN US Equity","NET_INCOME","FQ3 2016","FQ3 2016","Currency=USD","Period=FQ","BEST_FPERIOD_OVERRIDE=FQ","FILING_STATUS=MR","SCALING_FORMAT=MLN","FA_ADJUSTED=GAAP","Sort=A","Dates=H","DateFormat=P","Fill=—","Direction=H","UseDPDF=Y")</f>
        <v>252</v>
      </c>
      <c r="AH40" s="17">
        <f>_xll.BDH("AMZN US Equity","NET_INCOME","FQ4 2016","FQ4 2016","Currency=USD","Period=FQ","BEST_FPERIOD_OVERRIDE=FQ","FILING_STATUS=MR","SCALING_FORMAT=MLN","FA_ADJUSTED=GAAP","Sort=A","Dates=H","DateFormat=P","Fill=—","Direction=H","UseDPDF=Y")</f>
        <v>749</v>
      </c>
      <c r="AI40" s="17">
        <f>_xll.BDH("AMZN US Equity","NET_INCOME","FQ1 2017","FQ1 2017","Currency=USD","Period=FQ","BEST_FPERIOD_OVERRIDE=FQ","FILING_STATUS=MR","SCALING_FORMAT=MLN","FA_ADJUSTED=GAAP","Sort=A","Dates=H","DateFormat=P","Fill=—","Direction=H","UseDPDF=Y")</f>
        <v>724</v>
      </c>
      <c r="AJ40" s="17">
        <f>_xll.BDH("AMZN US Equity","NET_INCOME","FQ2 2017","FQ2 2017","Currency=USD","Period=FQ","BEST_FPERIOD_OVERRIDE=FQ","FILING_STATUS=MR","SCALING_FORMAT=MLN","FA_ADJUSTED=GAAP","Sort=A","Dates=H","DateFormat=P","Fill=—","Direction=H","UseDPDF=Y")</f>
        <v>197</v>
      </c>
      <c r="AK40" s="17">
        <f>_xll.BDH("AMZN US Equity","NET_INCOME","FQ3 2017","FQ3 2017","Currency=USD","Period=FQ","BEST_FPERIOD_OVERRIDE=FQ","FILING_STATUS=MR","SCALING_FORMAT=MLN","FA_ADJUSTED=GAAP","Sort=A","Dates=H","DateFormat=P","Fill=—","Direction=H","UseDPDF=Y")</f>
        <v>256</v>
      </c>
      <c r="AL40" s="17">
        <f>_xll.BDH("AMZN US Equity","NET_INCOME","FQ4 2017","FQ4 2017","Currency=USD","Period=FQ","BEST_FPERIOD_OVERRIDE=FQ","FILING_STATUS=MR","SCALING_FORMAT=MLN","FA_ADJUSTED=GAAP","Sort=A","Dates=H","DateFormat=P","Fill=—","Direction=H","UseDPDF=Y")</f>
        <v>1856</v>
      </c>
      <c r="AM40" s="17">
        <f>_xll.BDH("AMZN US Equity","NET_INCOME","FQ1 2018","FQ1 2018","Currency=USD","Period=FQ","BEST_FPERIOD_OVERRIDE=FQ","FILING_STATUS=MR","SCALING_FORMAT=MLN","FA_ADJUSTED=GAAP","Sort=A","Dates=H","DateFormat=P","Fill=—","Direction=H","UseDPDF=Y")</f>
        <v>1629</v>
      </c>
      <c r="AN40" s="17">
        <f>_xll.BDH("AMZN US Equity","NET_INCOME","FQ2 2018","FQ2 2018","Currency=USD","Period=FQ","BEST_FPERIOD_OVERRIDE=FQ","FILING_STATUS=MR","SCALING_FORMAT=MLN","FA_ADJUSTED=GAAP","Sort=A","Dates=H","DateFormat=P","Fill=—","Direction=H","UseDPDF=Y")</f>
        <v>2534</v>
      </c>
      <c r="AO40" s="17">
        <v>1516.2260000000001</v>
      </c>
      <c r="AP40" s="17">
        <v>2875.1289999999999</v>
      </c>
    </row>
    <row r="41" spans="1:42" x14ac:dyDescent="0.25">
      <c r="A41" s="10" t="s">
        <v>155</v>
      </c>
      <c r="B41" s="10" t="s">
        <v>156</v>
      </c>
      <c r="C41" s="13">
        <f>_xll.BDH("AMZN US Equity","IS_TOT_CASH_PFD_DVD","FQ1 2009","FQ1 2009","Currency=USD","Period=FQ","BEST_FPERIOD_OVERRIDE=FQ","FILING_STATUS=MR","SCALING_FORMAT=MLN","Sort=A","Dates=H","DateFormat=P","Fill=—","Direction=H","UseDPDF=Y")</f>
        <v>0</v>
      </c>
      <c r="D41" s="13">
        <f>_xll.BDH("AMZN US Equity","IS_TOT_CASH_PFD_DVD","FQ2 2009","FQ2 2009","Currency=USD","Period=FQ","BEST_FPERIOD_OVERRIDE=FQ","FILING_STATUS=MR","SCALING_FORMAT=MLN","Sort=A","Dates=H","DateFormat=P","Fill=—","Direction=H","UseDPDF=Y")</f>
        <v>0</v>
      </c>
      <c r="E41" s="13">
        <f>_xll.BDH("AMZN US Equity","IS_TOT_CASH_PFD_DVD","FQ3 2009","FQ3 2009","Currency=USD","Period=FQ","BEST_FPERIOD_OVERRIDE=FQ","FILING_STATUS=MR","SCALING_FORMAT=MLN","Sort=A","Dates=H","DateFormat=P","Fill=—","Direction=H","UseDPDF=Y")</f>
        <v>0</v>
      </c>
      <c r="F41" s="13">
        <f>_xll.BDH("AMZN US Equity","IS_TOT_CASH_PFD_DVD","FQ4 2009","FQ4 2009","Currency=USD","Period=FQ","BEST_FPERIOD_OVERRIDE=FQ","FILING_STATUS=MR","SCALING_FORMAT=MLN","Sort=A","Dates=H","DateFormat=P","Fill=—","Direction=H","UseDPDF=Y")</f>
        <v>0</v>
      </c>
      <c r="G41" s="13">
        <f>_xll.BDH("AMZN US Equity","IS_TOT_CASH_PFD_DVD","FQ1 2010","FQ1 2010","Currency=USD","Period=FQ","BEST_FPERIOD_OVERRIDE=FQ","FILING_STATUS=MR","SCALING_FORMAT=MLN","Sort=A","Dates=H","DateFormat=P","Fill=—","Direction=H","UseDPDF=Y")</f>
        <v>0</v>
      </c>
      <c r="H41" s="13">
        <f>_xll.BDH("AMZN US Equity","IS_TOT_CASH_PFD_DVD","FQ2 2010","FQ2 2010","Currency=USD","Period=FQ","BEST_FPERIOD_OVERRIDE=FQ","FILING_STATUS=MR","SCALING_FORMAT=MLN","Sort=A","Dates=H","DateFormat=P","Fill=—","Direction=H","UseDPDF=Y")</f>
        <v>0</v>
      </c>
      <c r="I41" s="13">
        <f>_xll.BDH("AMZN US Equity","IS_TOT_CASH_PFD_DVD","FQ3 2010","FQ3 2010","Currency=USD","Period=FQ","BEST_FPERIOD_OVERRIDE=FQ","FILING_STATUS=MR","SCALING_FORMAT=MLN","Sort=A","Dates=H","DateFormat=P","Fill=—","Direction=H","UseDPDF=Y")</f>
        <v>0</v>
      </c>
      <c r="J41" s="13">
        <f>_xll.BDH("AMZN US Equity","IS_TOT_CASH_PFD_DVD","FQ4 2010","FQ4 2010","Currency=USD","Period=FQ","BEST_FPERIOD_OVERRIDE=FQ","FILING_STATUS=MR","SCALING_FORMAT=MLN","Sort=A","Dates=H","DateFormat=P","Fill=—","Direction=H","UseDPDF=Y")</f>
        <v>0</v>
      </c>
      <c r="K41" s="13">
        <f>_xll.BDH("AMZN US Equity","IS_TOT_CASH_PFD_DVD","FQ1 2011","FQ1 2011","Currency=USD","Period=FQ","BEST_FPERIOD_OVERRIDE=FQ","FILING_STATUS=MR","SCALING_FORMAT=MLN","Sort=A","Dates=H","DateFormat=P","Fill=—","Direction=H","UseDPDF=Y")</f>
        <v>0</v>
      </c>
      <c r="L41" s="13">
        <f>_xll.BDH("AMZN US Equity","IS_TOT_CASH_PFD_DVD","FQ2 2011","FQ2 2011","Currency=USD","Period=FQ","BEST_FPERIOD_OVERRIDE=FQ","FILING_STATUS=MR","SCALING_FORMAT=MLN","Sort=A","Dates=H","DateFormat=P","Fill=—","Direction=H","UseDPDF=Y")</f>
        <v>0</v>
      </c>
      <c r="M41" s="13">
        <f>_xll.BDH("AMZN US Equity","IS_TOT_CASH_PFD_DVD","FQ3 2011","FQ3 2011","Currency=USD","Period=FQ","BEST_FPERIOD_OVERRIDE=FQ","FILING_STATUS=MR","SCALING_FORMAT=MLN","Sort=A","Dates=H","DateFormat=P","Fill=—","Direction=H","UseDPDF=Y")</f>
        <v>0</v>
      </c>
      <c r="N41" s="13">
        <f>_xll.BDH("AMZN US Equity","IS_TOT_CASH_PFD_DVD","FQ4 2011","FQ4 2011","Currency=USD","Period=FQ","BEST_FPERIOD_OVERRIDE=FQ","FILING_STATUS=MR","SCALING_FORMAT=MLN","Sort=A","Dates=H","DateFormat=P","Fill=—","Direction=H","UseDPDF=Y")</f>
        <v>0</v>
      </c>
      <c r="O41" s="13">
        <f>_xll.BDH("AMZN US Equity","IS_TOT_CASH_PFD_DVD","FQ1 2012","FQ1 2012","Currency=USD","Period=FQ","BEST_FPERIOD_OVERRIDE=FQ","FILING_STATUS=MR","SCALING_FORMAT=MLN","Sort=A","Dates=H","DateFormat=P","Fill=—","Direction=H","UseDPDF=Y")</f>
        <v>0</v>
      </c>
      <c r="P41" s="13">
        <f>_xll.BDH("AMZN US Equity","IS_TOT_CASH_PFD_DVD","FQ2 2012","FQ2 2012","Currency=USD","Period=FQ","BEST_FPERIOD_OVERRIDE=FQ","FILING_STATUS=MR","SCALING_FORMAT=MLN","Sort=A","Dates=H","DateFormat=P","Fill=—","Direction=H","UseDPDF=Y")</f>
        <v>0</v>
      </c>
      <c r="Q41" s="13">
        <f>_xll.BDH("AMZN US Equity","IS_TOT_CASH_PFD_DVD","FQ3 2012","FQ3 2012","Currency=USD","Period=FQ","BEST_FPERIOD_OVERRIDE=FQ","FILING_STATUS=MR","SCALING_FORMAT=MLN","Sort=A","Dates=H","DateFormat=P","Fill=—","Direction=H","UseDPDF=Y")</f>
        <v>0</v>
      </c>
      <c r="R41" s="13">
        <f>_xll.BDH("AMZN US Equity","IS_TOT_CASH_PFD_DVD","FQ4 2012","FQ4 2012","Currency=USD","Period=FQ","BEST_FPERIOD_OVERRIDE=FQ","FILING_STATUS=MR","SCALING_FORMAT=MLN","Sort=A","Dates=H","DateFormat=P","Fill=—","Direction=H","UseDPDF=Y")</f>
        <v>0</v>
      </c>
      <c r="S41" s="13">
        <f>_xll.BDH("AMZN US Equity","IS_TOT_CASH_PFD_DVD","FQ1 2013","FQ1 2013","Currency=USD","Period=FQ","BEST_FPERIOD_OVERRIDE=FQ","FILING_STATUS=MR","SCALING_FORMAT=MLN","Sort=A","Dates=H","DateFormat=P","Fill=—","Direction=H","UseDPDF=Y")</f>
        <v>0</v>
      </c>
      <c r="T41" s="13">
        <f>_xll.BDH("AMZN US Equity","IS_TOT_CASH_PFD_DVD","FQ2 2013","FQ2 2013","Currency=USD","Period=FQ","BEST_FPERIOD_OVERRIDE=FQ","FILING_STATUS=MR","SCALING_FORMAT=MLN","Sort=A","Dates=H","DateFormat=P","Fill=—","Direction=H","UseDPDF=Y")</f>
        <v>0</v>
      </c>
      <c r="U41" s="13">
        <f>_xll.BDH("AMZN US Equity","IS_TOT_CASH_PFD_DVD","FQ3 2013","FQ3 2013","Currency=USD","Period=FQ","BEST_FPERIOD_OVERRIDE=FQ","FILING_STATUS=MR","SCALING_FORMAT=MLN","Sort=A","Dates=H","DateFormat=P","Fill=—","Direction=H","UseDPDF=Y")</f>
        <v>0</v>
      </c>
      <c r="V41" s="13">
        <f>_xll.BDH("AMZN US Equity","IS_TOT_CASH_PFD_DVD","FQ4 2013","FQ4 2013","Currency=USD","Period=FQ","BEST_FPERIOD_OVERRIDE=FQ","FILING_STATUS=MR","SCALING_FORMAT=MLN","Sort=A","Dates=H","DateFormat=P","Fill=—","Direction=H","UseDPDF=Y")</f>
        <v>0</v>
      </c>
      <c r="W41" s="13">
        <f>_xll.BDH("AMZN US Equity","IS_TOT_CASH_PFD_DVD","FQ1 2014","FQ1 2014","Currency=USD","Period=FQ","BEST_FPERIOD_OVERRIDE=FQ","FILING_STATUS=MR","SCALING_FORMAT=MLN","Sort=A","Dates=H","DateFormat=P","Fill=—","Direction=H","UseDPDF=Y")</f>
        <v>0</v>
      </c>
      <c r="X41" s="13">
        <f>_xll.BDH("AMZN US Equity","IS_TOT_CASH_PFD_DVD","FQ2 2014","FQ2 2014","Currency=USD","Period=FQ","BEST_FPERIOD_OVERRIDE=FQ","FILING_STATUS=MR","SCALING_FORMAT=MLN","Sort=A","Dates=H","DateFormat=P","Fill=—","Direction=H","UseDPDF=Y")</f>
        <v>0</v>
      </c>
      <c r="Y41" s="13">
        <f>_xll.BDH("AMZN US Equity","IS_TOT_CASH_PFD_DVD","FQ3 2014","FQ3 2014","Currency=USD","Period=FQ","BEST_FPERIOD_OVERRIDE=FQ","FILING_STATUS=MR","SCALING_FORMAT=MLN","Sort=A","Dates=H","DateFormat=P","Fill=—","Direction=H","UseDPDF=Y")</f>
        <v>0</v>
      </c>
      <c r="Z41" s="13">
        <f>_xll.BDH("AMZN US Equity","IS_TOT_CASH_PFD_DVD","FQ4 2014","FQ4 2014","Currency=USD","Period=FQ","BEST_FPERIOD_OVERRIDE=FQ","FILING_STATUS=MR","SCALING_FORMAT=MLN","Sort=A","Dates=H","DateFormat=P","Fill=—","Direction=H","UseDPDF=Y")</f>
        <v>0</v>
      </c>
      <c r="AA41" s="13">
        <f>_xll.BDH("AMZN US Equity","IS_TOT_CASH_PFD_DVD","FQ1 2015","FQ1 2015","Currency=USD","Period=FQ","BEST_FPERIOD_OVERRIDE=FQ","FILING_STATUS=MR","SCALING_FORMAT=MLN","Sort=A","Dates=H","DateFormat=P","Fill=—","Direction=H","UseDPDF=Y")</f>
        <v>0</v>
      </c>
      <c r="AB41" s="13">
        <f>_xll.BDH("AMZN US Equity","IS_TOT_CASH_PFD_DVD","FQ2 2015","FQ2 2015","Currency=USD","Period=FQ","BEST_FPERIOD_OVERRIDE=FQ","FILING_STATUS=MR","SCALING_FORMAT=MLN","Sort=A","Dates=H","DateFormat=P","Fill=—","Direction=H","UseDPDF=Y")</f>
        <v>0</v>
      </c>
      <c r="AC41" s="13">
        <f>_xll.BDH("AMZN US Equity","IS_TOT_CASH_PFD_DVD","FQ3 2015","FQ3 2015","Currency=USD","Period=FQ","BEST_FPERIOD_OVERRIDE=FQ","FILING_STATUS=MR","SCALING_FORMAT=MLN","Sort=A","Dates=H","DateFormat=P","Fill=—","Direction=H","UseDPDF=Y")</f>
        <v>0</v>
      </c>
      <c r="AD41" s="13">
        <f>_xll.BDH("AMZN US Equity","IS_TOT_CASH_PFD_DVD","FQ4 2015","FQ4 2015","Currency=USD","Period=FQ","BEST_FPERIOD_OVERRIDE=FQ","FILING_STATUS=MR","SCALING_FORMAT=MLN","Sort=A","Dates=H","DateFormat=P","Fill=—","Direction=H","UseDPDF=Y")</f>
        <v>0</v>
      </c>
      <c r="AE41" s="13">
        <f>_xll.BDH("AMZN US Equity","IS_TOT_CASH_PFD_DVD","FQ1 2016","FQ1 2016","Currency=USD","Period=FQ","BEST_FPERIOD_OVERRIDE=FQ","FILING_STATUS=MR","SCALING_FORMAT=MLN","Sort=A","Dates=H","DateFormat=P","Fill=—","Direction=H","UseDPDF=Y")</f>
        <v>0</v>
      </c>
      <c r="AF41" s="13">
        <f>_xll.BDH("AMZN US Equity","IS_TOT_CASH_PFD_DVD","FQ2 2016","FQ2 2016","Currency=USD","Period=FQ","BEST_FPERIOD_OVERRIDE=FQ","FILING_STATUS=MR","SCALING_FORMAT=MLN","Sort=A","Dates=H","DateFormat=P","Fill=—","Direction=H","UseDPDF=Y")</f>
        <v>0</v>
      </c>
      <c r="AG41" s="13">
        <f>_xll.BDH("AMZN US Equity","IS_TOT_CASH_PFD_DVD","FQ3 2016","FQ3 2016","Currency=USD","Period=FQ","BEST_FPERIOD_OVERRIDE=FQ","FILING_STATUS=MR","SCALING_FORMAT=MLN","Sort=A","Dates=H","DateFormat=P","Fill=—","Direction=H","UseDPDF=Y")</f>
        <v>0</v>
      </c>
      <c r="AH41" s="13">
        <f>_xll.BDH("AMZN US Equity","IS_TOT_CASH_PFD_DVD","FQ4 2016","FQ4 2016","Currency=USD","Period=FQ","BEST_FPERIOD_OVERRIDE=FQ","FILING_STATUS=MR","SCALING_FORMAT=MLN","Sort=A","Dates=H","DateFormat=P","Fill=—","Direction=H","UseDPDF=Y")</f>
        <v>0</v>
      </c>
      <c r="AI41" s="13">
        <f>_xll.BDH("AMZN US Equity","IS_TOT_CASH_PFD_DVD","FQ1 2017","FQ1 2017","Currency=USD","Period=FQ","BEST_FPERIOD_OVERRIDE=FQ","FILING_STATUS=MR","SCALING_FORMAT=MLN","Sort=A","Dates=H","DateFormat=P","Fill=—","Direction=H","UseDPDF=Y")</f>
        <v>0</v>
      </c>
      <c r="AJ41" s="13">
        <f>_xll.BDH("AMZN US Equity","IS_TOT_CASH_PFD_DVD","FQ2 2017","FQ2 2017","Currency=USD","Period=FQ","BEST_FPERIOD_OVERRIDE=FQ","FILING_STATUS=MR","SCALING_FORMAT=MLN","Sort=A","Dates=H","DateFormat=P","Fill=—","Direction=H","UseDPDF=Y")</f>
        <v>0</v>
      </c>
      <c r="AK41" s="13">
        <f>_xll.BDH("AMZN US Equity","IS_TOT_CASH_PFD_DVD","FQ3 2017","FQ3 2017","Currency=USD","Period=FQ","BEST_FPERIOD_OVERRIDE=FQ","FILING_STATUS=MR","SCALING_FORMAT=MLN","Sort=A","Dates=H","DateFormat=P","Fill=—","Direction=H","UseDPDF=Y")</f>
        <v>0</v>
      </c>
      <c r="AL41" s="13">
        <f>_xll.BDH("AMZN US Equity","IS_TOT_CASH_PFD_DVD","FQ4 2017","FQ4 2017","Currency=USD","Period=FQ","BEST_FPERIOD_OVERRIDE=FQ","FILING_STATUS=MR","SCALING_FORMAT=MLN","Sort=A","Dates=H","DateFormat=P","Fill=—","Direction=H","UseDPDF=Y")</f>
        <v>0</v>
      </c>
      <c r="AM41" s="13">
        <f>_xll.BDH("AMZN US Equity","IS_TOT_CASH_PFD_DVD","FQ1 2018","FQ1 2018","Currency=USD","Period=FQ","BEST_FPERIOD_OVERRIDE=FQ","FILING_STATUS=MR","SCALING_FORMAT=MLN","Sort=A","Dates=H","DateFormat=P","Fill=—","Direction=H","UseDPDF=Y")</f>
        <v>0</v>
      </c>
      <c r="AN41" s="13">
        <f>_xll.BDH("AMZN US Equity","IS_TOT_CASH_PFD_DVD","FQ2 2018","FQ2 2018","Currency=USD","Period=FQ","BEST_FPERIOD_OVERRIDE=FQ","FILING_STATUS=MR","SCALING_FORMAT=MLN","Sort=A","Dates=H","DateFormat=P","Fill=—","Direction=H","UseDPDF=Y")</f>
        <v>0</v>
      </c>
      <c r="AO41" s="13"/>
      <c r="AP41" s="13"/>
    </row>
    <row r="42" spans="1:42" x14ac:dyDescent="0.25">
      <c r="A42" s="10" t="s">
        <v>157</v>
      </c>
      <c r="B42" s="10" t="s">
        <v>158</v>
      </c>
      <c r="C42" s="13">
        <f>_xll.BDH("AMZN US Equity","OTHER_ADJUSTMENTS","FQ1 2009","FQ1 2009","Currency=USD","Period=FQ","BEST_FPERIOD_OVERRIDE=FQ","FILING_STATUS=MR","SCALING_FORMAT=MLN","Sort=A","Dates=H","DateFormat=P","Fill=—","Direction=H","UseDPDF=Y")</f>
        <v>0</v>
      </c>
      <c r="D42" s="13">
        <f>_xll.BDH("AMZN US Equity","OTHER_ADJUSTMENTS","FQ2 2009","FQ2 2009","Currency=USD","Period=FQ","BEST_FPERIOD_OVERRIDE=FQ","FILING_STATUS=MR","SCALING_FORMAT=MLN","Sort=A","Dates=H","DateFormat=P","Fill=—","Direction=H","UseDPDF=Y")</f>
        <v>0</v>
      </c>
      <c r="E42" s="13">
        <f>_xll.BDH("AMZN US Equity","OTHER_ADJUSTMENTS","FQ3 2009","FQ3 2009","Currency=USD","Period=FQ","BEST_FPERIOD_OVERRIDE=FQ","FILING_STATUS=MR","SCALING_FORMAT=MLN","Sort=A","Dates=H","DateFormat=P","Fill=—","Direction=H","UseDPDF=Y")</f>
        <v>0</v>
      </c>
      <c r="F42" s="13">
        <f>_xll.BDH("AMZN US Equity","OTHER_ADJUSTMENTS","FQ4 2009","FQ4 2009","Currency=USD","Period=FQ","BEST_FPERIOD_OVERRIDE=FQ","FILING_STATUS=MR","SCALING_FORMAT=MLN","Sort=A","Dates=H","DateFormat=P","Fill=—","Direction=H","UseDPDF=Y")</f>
        <v>0</v>
      </c>
      <c r="G42" s="13">
        <f>_xll.BDH("AMZN US Equity","OTHER_ADJUSTMENTS","FQ1 2010","FQ1 2010","Currency=USD","Period=FQ","BEST_FPERIOD_OVERRIDE=FQ","FILING_STATUS=MR","SCALING_FORMAT=MLN","Sort=A","Dates=H","DateFormat=P","Fill=—","Direction=H","UseDPDF=Y")</f>
        <v>0</v>
      </c>
      <c r="H42" s="13">
        <f>_xll.BDH("AMZN US Equity","OTHER_ADJUSTMENTS","FQ2 2010","FQ2 2010","Currency=USD","Period=FQ","BEST_FPERIOD_OVERRIDE=FQ","FILING_STATUS=MR","SCALING_FORMAT=MLN","Sort=A","Dates=H","DateFormat=P","Fill=—","Direction=H","UseDPDF=Y")</f>
        <v>0</v>
      </c>
      <c r="I42" s="13">
        <f>_xll.BDH("AMZN US Equity","OTHER_ADJUSTMENTS","FQ3 2010","FQ3 2010","Currency=USD","Period=FQ","BEST_FPERIOD_OVERRIDE=FQ","FILING_STATUS=MR","SCALING_FORMAT=MLN","Sort=A","Dates=H","DateFormat=P","Fill=—","Direction=H","UseDPDF=Y")</f>
        <v>0</v>
      </c>
      <c r="J42" s="13">
        <f>_xll.BDH("AMZN US Equity","OTHER_ADJUSTMENTS","FQ4 2010","FQ4 2010","Currency=USD","Period=FQ","BEST_FPERIOD_OVERRIDE=FQ","FILING_STATUS=MR","SCALING_FORMAT=MLN","Sort=A","Dates=H","DateFormat=P","Fill=—","Direction=H","UseDPDF=Y")</f>
        <v>0</v>
      </c>
      <c r="K42" s="13">
        <f>_xll.BDH("AMZN US Equity","OTHER_ADJUSTMENTS","FQ1 2011","FQ1 2011","Currency=USD","Period=FQ","BEST_FPERIOD_OVERRIDE=FQ","FILING_STATUS=MR","SCALING_FORMAT=MLN","Sort=A","Dates=H","DateFormat=P","Fill=—","Direction=H","UseDPDF=Y")</f>
        <v>0</v>
      </c>
      <c r="L42" s="13">
        <f>_xll.BDH("AMZN US Equity","OTHER_ADJUSTMENTS","FQ2 2011","FQ2 2011","Currency=USD","Period=FQ","BEST_FPERIOD_OVERRIDE=FQ","FILING_STATUS=MR","SCALING_FORMAT=MLN","Sort=A","Dates=H","DateFormat=P","Fill=—","Direction=H","UseDPDF=Y")</f>
        <v>0</v>
      </c>
      <c r="M42" s="13">
        <f>_xll.BDH("AMZN US Equity","OTHER_ADJUSTMENTS","FQ3 2011","FQ3 2011","Currency=USD","Period=FQ","BEST_FPERIOD_OVERRIDE=FQ","FILING_STATUS=MR","SCALING_FORMAT=MLN","Sort=A","Dates=H","DateFormat=P","Fill=—","Direction=H","UseDPDF=Y")</f>
        <v>0</v>
      </c>
      <c r="N42" s="13">
        <f>_xll.BDH("AMZN US Equity","OTHER_ADJUSTMENTS","FQ4 2011","FQ4 2011","Currency=USD","Period=FQ","BEST_FPERIOD_OVERRIDE=FQ","FILING_STATUS=MR","SCALING_FORMAT=MLN","Sort=A","Dates=H","DateFormat=P","Fill=—","Direction=H","UseDPDF=Y")</f>
        <v>0</v>
      </c>
      <c r="O42" s="13">
        <f>_xll.BDH("AMZN US Equity","OTHER_ADJUSTMENTS","FQ1 2012","FQ1 2012","Currency=USD","Period=FQ","BEST_FPERIOD_OVERRIDE=FQ","FILING_STATUS=MR","SCALING_FORMAT=MLN","Sort=A","Dates=H","DateFormat=P","Fill=—","Direction=H","UseDPDF=Y")</f>
        <v>0</v>
      </c>
      <c r="P42" s="13">
        <f>_xll.BDH("AMZN US Equity","OTHER_ADJUSTMENTS","FQ2 2012","FQ2 2012","Currency=USD","Period=FQ","BEST_FPERIOD_OVERRIDE=FQ","FILING_STATUS=MR","SCALING_FORMAT=MLN","Sort=A","Dates=H","DateFormat=P","Fill=—","Direction=H","UseDPDF=Y")</f>
        <v>0</v>
      </c>
      <c r="Q42" s="13">
        <f>_xll.BDH("AMZN US Equity","OTHER_ADJUSTMENTS","FQ3 2012","FQ3 2012","Currency=USD","Period=FQ","BEST_FPERIOD_OVERRIDE=FQ","FILING_STATUS=MR","SCALING_FORMAT=MLN","Sort=A","Dates=H","DateFormat=P","Fill=—","Direction=H","UseDPDF=Y")</f>
        <v>0</v>
      </c>
      <c r="R42" s="13">
        <f>_xll.BDH("AMZN US Equity","OTHER_ADJUSTMENTS","FQ4 2012","FQ4 2012","Currency=USD","Period=FQ","BEST_FPERIOD_OVERRIDE=FQ","FILING_STATUS=MR","SCALING_FORMAT=MLN","Sort=A","Dates=H","DateFormat=P","Fill=—","Direction=H","UseDPDF=Y")</f>
        <v>0</v>
      </c>
      <c r="S42" s="13">
        <f>_xll.BDH("AMZN US Equity","OTHER_ADJUSTMENTS","FQ1 2013","FQ1 2013","Currency=USD","Period=FQ","BEST_FPERIOD_OVERRIDE=FQ","FILING_STATUS=MR","SCALING_FORMAT=MLN","Sort=A","Dates=H","DateFormat=P","Fill=—","Direction=H","UseDPDF=Y")</f>
        <v>0</v>
      </c>
      <c r="T42" s="13">
        <f>_xll.BDH("AMZN US Equity","OTHER_ADJUSTMENTS","FQ2 2013","FQ2 2013","Currency=USD","Period=FQ","BEST_FPERIOD_OVERRIDE=FQ","FILING_STATUS=MR","SCALING_FORMAT=MLN","Sort=A","Dates=H","DateFormat=P","Fill=—","Direction=H","UseDPDF=Y")</f>
        <v>0</v>
      </c>
      <c r="U42" s="13">
        <f>_xll.BDH("AMZN US Equity","OTHER_ADJUSTMENTS","FQ3 2013","FQ3 2013","Currency=USD","Period=FQ","BEST_FPERIOD_OVERRIDE=FQ","FILING_STATUS=MR","SCALING_FORMAT=MLN","Sort=A","Dates=H","DateFormat=P","Fill=—","Direction=H","UseDPDF=Y")</f>
        <v>0</v>
      </c>
      <c r="V42" s="13">
        <f>_xll.BDH("AMZN US Equity","OTHER_ADJUSTMENTS","FQ4 2013","FQ4 2013","Currency=USD","Period=FQ","BEST_FPERIOD_OVERRIDE=FQ","FILING_STATUS=MR","SCALING_FORMAT=MLN","Sort=A","Dates=H","DateFormat=P","Fill=—","Direction=H","UseDPDF=Y")</f>
        <v>0</v>
      </c>
      <c r="W42" s="13">
        <f>_xll.BDH("AMZN US Equity","OTHER_ADJUSTMENTS","FQ1 2014","FQ1 2014","Currency=USD","Period=FQ","BEST_FPERIOD_OVERRIDE=FQ","FILING_STATUS=MR","SCALING_FORMAT=MLN","Sort=A","Dates=H","DateFormat=P","Fill=—","Direction=H","UseDPDF=Y")</f>
        <v>0</v>
      </c>
      <c r="X42" s="13">
        <f>_xll.BDH("AMZN US Equity","OTHER_ADJUSTMENTS","FQ2 2014","FQ2 2014","Currency=USD","Period=FQ","BEST_FPERIOD_OVERRIDE=FQ","FILING_STATUS=MR","SCALING_FORMAT=MLN","Sort=A","Dates=H","DateFormat=P","Fill=—","Direction=H","UseDPDF=Y")</f>
        <v>0</v>
      </c>
      <c r="Y42" s="13">
        <f>_xll.BDH("AMZN US Equity","OTHER_ADJUSTMENTS","FQ3 2014","FQ3 2014","Currency=USD","Period=FQ","BEST_FPERIOD_OVERRIDE=FQ","FILING_STATUS=MR","SCALING_FORMAT=MLN","Sort=A","Dates=H","DateFormat=P","Fill=—","Direction=H","UseDPDF=Y")</f>
        <v>0</v>
      </c>
      <c r="Z42" s="13">
        <f>_xll.BDH("AMZN US Equity","OTHER_ADJUSTMENTS","FQ4 2014","FQ4 2014","Currency=USD","Period=FQ","BEST_FPERIOD_OVERRIDE=FQ","FILING_STATUS=MR","SCALING_FORMAT=MLN","Sort=A","Dates=H","DateFormat=P","Fill=—","Direction=H","UseDPDF=Y")</f>
        <v>0</v>
      </c>
      <c r="AA42" s="13">
        <f>_xll.BDH("AMZN US Equity","OTHER_ADJUSTMENTS","FQ1 2015","FQ1 2015","Currency=USD","Period=FQ","BEST_FPERIOD_OVERRIDE=FQ","FILING_STATUS=MR","SCALING_FORMAT=MLN","Sort=A","Dates=H","DateFormat=P","Fill=—","Direction=H","UseDPDF=Y")</f>
        <v>0</v>
      </c>
      <c r="AB42" s="13">
        <f>_xll.BDH("AMZN US Equity","OTHER_ADJUSTMENTS","FQ2 2015","FQ2 2015","Currency=USD","Period=FQ","BEST_FPERIOD_OVERRIDE=FQ","FILING_STATUS=MR","SCALING_FORMAT=MLN","Sort=A","Dates=H","DateFormat=P","Fill=—","Direction=H","UseDPDF=Y")</f>
        <v>0</v>
      </c>
      <c r="AC42" s="13">
        <f>_xll.BDH("AMZN US Equity","OTHER_ADJUSTMENTS","FQ3 2015","FQ3 2015","Currency=USD","Period=FQ","BEST_FPERIOD_OVERRIDE=FQ","FILING_STATUS=MR","SCALING_FORMAT=MLN","Sort=A","Dates=H","DateFormat=P","Fill=—","Direction=H","UseDPDF=Y")</f>
        <v>0</v>
      </c>
      <c r="AD42" s="13">
        <f>_xll.BDH("AMZN US Equity","OTHER_ADJUSTMENTS","FQ4 2015","FQ4 2015","Currency=USD","Period=FQ","BEST_FPERIOD_OVERRIDE=FQ","FILING_STATUS=MR","SCALING_FORMAT=MLN","Sort=A","Dates=H","DateFormat=P","Fill=—","Direction=H","UseDPDF=Y")</f>
        <v>0</v>
      </c>
      <c r="AE42" s="13">
        <f>_xll.BDH("AMZN US Equity","OTHER_ADJUSTMENTS","FQ1 2016","FQ1 2016","Currency=USD","Period=FQ","BEST_FPERIOD_OVERRIDE=FQ","FILING_STATUS=MR","SCALING_FORMAT=MLN","Sort=A","Dates=H","DateFormat=P","Fill=—","Direction=H","UseDPDF=Y")</f>
        <v>0</v>
      </c>
      <c r="AF42" s="13">
        <f>_xll.BDH("AMZN US Equity","OTHER_ADJUSTMENTS","FQ2 2016","FQ2 2016","Currency=USD","Period=FQ","BEST_FPERIOD_OVERRIDE=FQ","FILING_STATUS=MR","SCALING_FORMAT=MLN","Sort=A","Dates=H","DateFormat=P","Fill=—","Direction=H","UseDPDF=Y")</f>
        <v>0</v>
      </c>
      <c r="AG42" s="13">
        <f>_xll.BDH("AMZN US Equity","OTHER_ADJUSTMENTS","FQ3 2016","FQ3 2016","Currency=USD","Period=FQ","BEST_FPERIOD_OVERRIDE=FQ","FILING_STATUS=MR","SCALING_FORMAT=MLN","Sort=A","Dates=H","DateFormat=P","Fill=—","Direction=H","UseDPDF=Y")</f>
        <v>0</v>
      </c>
      <c r="AH42" s="13">
        <f>_xll.BDH("AMZN US Equity","OTHER_ADJUSTMENTS","FQ4 2016","FQ4 2016","Currency=USD","Period=FQ","BEST_FPERIOD_OVERRIDE=FQ","FILING_STATUS=MR","SCALING_FORMAT=MLN","Sort=A","Dates=H","DateFormat=P","Fill=—","Direction=H","UseDPDF=Y")</f>
        <v>0</v>
      </c>
      <c r="AI42" s="13">
        <f>_xll.BDH("AMZN US Equity","OTHER_ADJUSTMENTS","FQ1 2017","FQ1 2017","Currency=USD","Period=FQ","BEST_FPERIOD_OVERRIDE=FQ","FILING_STATUS=MR","SCALING_FORMAT=MLN","Sort=A","Dates=H","DateFormat=P","Fill=—","Direction=H","UseDPDF=Y")</f>
        <v>0</v>
      </c>
      <c r="AJ42" s="13">
        <f>_xll.BDH("AMZN US Equity","OTHER_ADJUSTMENTS","FQ2 2017","FQ2 2017","Currency=USD","Period=FQ","BEST_FPERIOD_OVERRIDE=FQ","FILING_STATUS=MR","SCALING_FORMAT=MLN","Sort=A","Dates=H","DateFormat=P","Fill=—","Direction=H","UseDPDF=Y")</f>
        <v>0</v>
      </c>
      <c r="AK42" s="13">
        <f>_xll.BDH("AMZN US Equity","OTHER_ADJUSTMENTS","FQ3 2017","FQ3 2017","Currency=USD","Period=FQ","BEST_FPERIOD_OVERRIDE=FQ","FILING_STATUS=MR","SCALING_FORMAT=MLN","Sort=A","Dates=H","DateFormat=P","Fill=—","Direction=H","UseDPDF=Y")</f>
        <v>0</v>
      </c>
      <c r="AL42" s="13">
        <f>_xll.BDH("AMZN US Equity","OTHER_ADJUSTMENTS","FQ4 2017","FQ4 2017","Currency=USD","Period=FQ","BEST_FPERIOD_OVERRIDE=FQ","FILING_STATUS=MR","SCALING_FORMAT=MLN","Sort=A","Dates=H","DateFormat=P","Fill=—","Direction=H","UseDPDF=Y")</f>
        <v>0</v>
      </c>
      <c r="AM42" s="13">
        <f>_xll.BDH("AMZN US Equity","OTHER_ADJUSTMENTS","FQ1 2018","FQ1 2018","Currency=USD","Period=FQ","BEST_FPERIOD_OVERRIDE=FQ","FILING_STATUS=MR","SCALING_FORMAT=MLN","Sort=A","Dates=H","DateFormat=P","Fill=—","Direction=H","UseDPDF=Y")</f>
        <v>0</v>
      </c>
      <c r="AN42" s="13">
        <f>_xll.BDH("AMZN US Equity","OTHER_ADJUSTMENTS","FQ2 2018","FQ2 2018","Currency=USD","Period=FQ","BEST_FPERIOD_OVERRIDE=FQ","FILING_STATUS=MR","SCALING_FORMAT=MLN","Sort=A","Dates=H","DateFormat=P","Fill=—","Direction=H","UseDPDF=Y")</f>
        <v>0</v>
      </c>
      <c r="AO42" s="13"/>
      <c r="AP42" s="13"/>
    </row>
    <row r="43" spans="1:42" x14ac:dyDescent="0.25">
      <c r="A43" s="6" t="s">
        <v>159</v>
      </c>
      <c r="B43" s="6" t="s">
        <v>160</v>
      </c>
      <c r="C43" s="17">
        <f>_xll.BDH("AMZN US Equity","EARN_FOR_COMMON","FQ1 2009","FQ1 2009","Currency=USD","Period=FQ","BEST_FPERIOD_OVERRIDE=FQ","FILING_STATUS=MR","SCALING_FORMAT=MLN","FA_ADJUSTED=GAAP","Sort=A","Dates=H","DateFormat=P","Fill=—","Direction=H","UseDPDF=Y")</f>
        <v>177</v>
      </c>
      <c r="D43" s="17">
        <f>_xll.BDH("AMZN US Equity","EARN_FOR_COMMON","FQ2 2009","FQ2 2009","Currency=USD","Period=FQ","BEST_FPERIOD_OVERRIDE=FQ","FILING_STATUS=MR","SCALING_FORMAT=MLN","FA_ADJUSTED=GAAP","Sort=A","Dates=H","DateFormat=P","Fill=—","Direction=H","UseDPDF=Y")</f>
        <v>142</v>
      </c>
      <c r="E43" s="17">
        <f>_xll.BDH("AMZN US Equity","EARN_FOR_COMMON","FQ3 2009","FQ3 2009","Currency=USD","Period=FQ","BEST_FPERIOD_OVERRIDE=FQ","FILING_STATUS=MR","SCALING_FORMAT=MLN","FA_ADJUSTED=GAAP","Sort=A","Dates=H","DateFormat=P","Fill=—","Direction=H","UseDPDF=Y")</f>
        <v>199</v>
      </c>
      <c r="F43" s="17">
        <f>_xll.BDH("AMZN US Equity","EARN_FOR_COMMON","FQ4 2009","FQ4 2009","Currency=USD","Period=FQ","BEST_FPERIOD_OVERRIDE=FQ","FILING_STATUS=MR","SCALING_FORMAT=MLN","FA_ADJUSTED=GAAP","Sort=A","Dates=H","DateFormat=P","Fill=—","Direction=H","UseDPDF=Y")</f>
        <v>384</v>
      </c>
      <c r="G43" s="17">
        <f>_xll.BDH("AMZN US Equity","EARN_FOR_COMMON","FQ1 2010","FQ1 2010","Currency=USD","Period=FQ","BEST_FPERIOD_OVERRIDE=FQ","FILING_STATUS=MR","SCALING_FORMAT=MLN","FA_ADJUSTED=GAAP","Sort=A","Dates=H","DateFormat=P","Fill=—","Direction=H","UseDPDF=Y")</f>
        <v>299</v>
      </c>
      <c r="H43" s="17">
        <f>_xll.BDH("AMZN US Equity","EARN_FOR_COMMON","FQ2 2010","FQ2 2010","Currency=USD","Period=FQ","BEST_FPERIOD_OVERRIDE=FQ","FILING_STATUS=MR","SCALING_FORMAT=MLN","FA_ADJUSTED=GAAP","Sort=A","Dates=H","DateFormat=P","Fill=—","Direction=H","UseDPDF=Y")</f>
        <v>207</v>
      </c>
      <c r="I43" s="17">
        <f>_xll.BDH("AMZN US Equity","EARN_FOR_COMMON","FQ3 2010","FQ3 2010","Currency=USD","Period=FQ","BEST_FPERIOD_OVERRIDE=FQ","FILING_STATUS=MR","SCALING_FORMAT=MLN","FA_ADJUSTED=GAAP","Sort=A","Dates=H","DateFormat=P","Fill=—","Direction=H","UseDPDF=Y")</f>
        <v>231</v>
      </c>
      <c r="J43" s="17">
        <f>_xll.BDH("AMZN US Equity","EARN_FOR_COMMON","FQ4 2010","FQ4 2010","Currency=USD","Period=FQ","BEST_FPERIOD_OVERRIDE=FQ","FILING_STATUS=MR","SCALING_FORMAT=MLN","FA_ADJUSTED=GAAP","Sort=A","Dates=H","DateFormat=P","Fill=—","Direction=H","UseDPDF=Y")</f>
        <v>416</v>
      </c>
      <c r="K43" s="17">
        <f>_xll.BDH("AMZN US Equity","EARN_FOR_COMMON","FQ1 2011","FQ1 2011","Currency=USD","Period=FQ","BEST_FPERIOD_OVERRIDE=FQ","FILING_STATUS=MR","SCALING_FORMAT=MLN","FA_ADJUSTED=GAAP","Sort=A","Dates=H","DateFormat=P","Fill=—","Direction=H","UseDPDF=Y")</f>
        <v>201</v>
      </c>
      <c r="L43" s="17">
        <f>_xll.BDH("AMZN US Equity","EARN_FOR_COMMON","FQ2 2011","FQ2 2011","Currency=USD","Period=FQ","BEST_FPERIOD_OVERRIDE=FQ","FILING_STATUS=MR","SCALING_FORMAT=MLN","FA_ADJUSTED=GAAP","Sort=A","Dates=H","DateFormat=P","Fill=—","Direction=H","UseDPDF=Y")</f>
        <v>191</v>
      </c>
      <c r="M43" s="17">
        <f>_xll.BDH("AMZN US Equity","EARN_FOR_COMMON","FQ3 2011","FQ3 2011","Currency=USD","Period=FQ","BEST_FPERIOD_OVERRIDE=FQ","FILING_STATUS=MR","SCALING_FORMAT=MLN","FA_ADJUSTED=GAAP","Sort=A","Dates=H","DateFormat=P","Fill=—","Direction=H","UseDPDF=Y")</f>
        <v>63</v>
      </c>
      <c r="N43" s="17">
        <f>_xll.BDH("AMZN US Equity","EARN_FOR_COMMON","FQ4 2011","FQ4 2011","Currency=USD","Period=FQ","BEST_FPERIOD_OVERRIDE=FQ","FILING_STATUS=MR","SCALING_FORMAT=MLN","FA_ADJUSTED=GAAP","Sort=A","Dates=H","DateFormat=P","Fill=—","Direction=H","UseDPDF=Y")</f>
        <v>177</v>
      </c>
      <c r="O43" s="17">
        <f>_xll.BDH("AMZN US Equity","EARN_FOR_COMMON","FQ1 2012","FQ1 2012","Currency=USD","Period=FQ","BEST_FPERIOD_OVERRIDE=FQ","FILING_STATUS=MR","SCALING_FORMAT=MLN","FA_ADJUSTED=GAAP","Sort=A","Dates=H","DateFormat=P","Fill=—","Direction=H","UseDPDF=Y")</f>
        <v>130</v>
      </c>
      <c r="P43" s="17">
        <f>_xll.BDH("AMZN US Equity","EARN_FOR_COMMON","FQ2 2012","FQ2 2012","Currency=USD","Period=FQ","BEST_FPERIOD_OVERRIDE=FQ","FILING_STATUS=MR","SCALING_FORMAT=MLN","FA_ADJUSTED=GAAP","Sort=A","Dates=H","DateFormat=P","Fill=—","Direction=H","UseDPDF=Y")</f>
        <v>7</v>
      </c>
      <c r="Q43" s="17">
        <f>_xll.BDH("AMZN US Equity","EARN_FOR_COMMON","FQ3 2012","FQ3 2012","Currency=USD","Period=FQ","BEST_FPERIOD_OVERRIDE=FQ","FILING_STATUS=MR","SCALING_FORMAT=MLN","FA_ADJUSTED=GAAP","Sort=A","Dates=H","DateFormat=P","Fill=—","Direction=H","UseDPDF=Y")</f>
        <v>-274</v>
      </c>
      <c r="R43" s="17">
        <f>_xll.BDH("AMZN US Equity","EARN_FOR_COMMON","FQ4 2012","FQ4 2012","Currency=USD","Period=FQ","BEST_FPERIOD_OVERRIDE=FQ","FILING_STATUS=MR","SCALING_FORMAT=MLN","FA_ADJUSTED=GAAP","Sort=A","Dates=H","DateFormat=P","Fill=—","Direction=H","UseDPDF=Y")</f>
        <v>97</v>
      </c>
      <c r="S43" s="17">
        <f>_xll.BDH("AMZN US Equity","EARN_FOR_COMMON","FQ1 2013","FQ1 2013","Currency=USD","Period=FQ","BEST_FPERIOD_OVERRIDE=FQ","FILING_STATUS=MR","SCALING_FORMAT=MLN","FA_ADJUSTED=GAAP","Sort=A","Dates=H","DateFormat=P","Fill=—","Direction=H","UseDPDF=Y")</f>
        <v>82</v>
      </c>
      <c r="T43" s="17">
        <f>_xll.BDH("AMZN US Equity","EARN_FOR_COMMON","FQ2 2013","FQ2 2013","Currency=USD","Period=FQ","BEST_FPERIOD_OVERRIDE=FQ","FILING_STATUS=MR","SCALING_FORMAT=MLN","FA_ADJUSTED=GAAP","Sort=A","Dates=H","DateFormat=P","Fill=—","Direction=H","UseDPDF=Y")</f>
        <v>-7</v>
      </c>
      <c r="U43" s="17">
        <f>_xll.BDH("AMZN US Equity","EARN_FOR_COMMON","FQ3 2013","FQ3 2013","Currency=USD","Period=FQ","BEST_FPERIOD_OVERRIDE=FQ","FILING_STATUS=MR","SCALING_FORMAT=MLN","FA_ADJUSTED=GAAP","Sort=A","Dates=H","DateFormat=P","Fill=—","Direction=H","UseDPDF=Y")</f>
        <v>-41</v>
      </c>
      <c r="V43" s="17">
        <f>_xll.BDH("AMZN US Equity","EARN_FOR_COMMON","FQ4 2013","FQ4 2013","Currency=USD","Period=FQ","BEST_FPERIOD_OVERRIDE=FQ","FILING_STATUS=MR","SCALING_FORMAT=MLN","FA_ADJUSTED=GAAP","Sort=A","Dates=H","DateFormat=P","Fill=—","Direction=H","UseDPDF=Y")</f>
        <v>239</v>
      </c>
      <c r="W43" s="17">
        <f>_xll.BDH("AMZN US Equity","EARN_FOR_COMMON","FQ1 2014","FQ1 2014","Currency=USD","Period=FQ","BEST_FPERIOD_OVERRIDE=FQ","FILING_STATUS=MR","SCALING_FORMAT=MLN","FA_ADJUSTED=GAAP","Sort=A","Dates=H","DateFormat=P","Fill=—","Direction=H","UseDPDF=Y")</f>
        <v>108</v>
      </c>
      <c r="X43" s="17">
        <f>_xll.BDH("AMZN US Equity","EARN_FOR_COMMON","FQ2 2014","FQ2 2014","Currency=USD","Period=FQ","BEST_FPERIOD_OVERRIDE=FQ","FILING_STATUS=MR","SCALING_FORMAT=MLN","FA_ADJUSTED=GAAP","Sort=A","Dates=H","DateFormat=P","Fill=—","Direction=H","UseDPDF=Y")</f>
        <v>-126</v>
      </c>
      <c r="Y43" s="17">
        <f>_xll.BDH("AMZN US Equity","EARN_FOR_COMMON","FQ3 2014","FQ3 2014","Currency=USD","Period=FQ","BEST_FPERIOD_OVERRIDE=FQ","FILING_STATUS=MR","SCALING_FORMAT=MLN","FA_ADJUSTED=GAAP","Sort=A","Dates=H","DateFormat=P","Fill=—","Direction=H","UseDPDF=Y")</f>
        <v>-437</v>
      </c>
      <c r="Z43" s="17">
        <f>_xll.BDH("AMZN US Equity","EARN_FOR_COMMON","FQ4 2014","FQ4 2014","Currency=USD","Period=FQ","BEST_FPERIOD_OVERRIDE=FQ","FILING_STATUS=MR","SCALING_FORMAT=MLN","FA_ADJUSTED=GAAP","Sort=A","Dates=H","DateFormat=P","Fill=—","Direction=H","UseDPDF=Y")</f>
        <v>214</v>
      </c>
      <c r="AA43" s="17">
        <f>_xll.BDH("AMZN US Equity","EARN_FOR_COMMON","FQ1 2015","FQ1 2015","Currency=USD","Period=FQ","BEST_FPERIOD_OVERRIDE=FQ","FILING_STATUS=MR","SCALING_FORMAT=MLN","FA_ADJUSTED=GAAP","Sort=A","Dates=H","DateFormat=P","Fill=—","Direction=H","UseDPDF=Y")</f>
        <v>-57</v>
      </c>
      <c r="AB43" s="17">
        <f>_xll.BDH("AMZN US Equity","EARN_FOR_COMMON","FQ2 2015","FQ2 2015","Currency=USD","Period=FQ","BEST_FPERIOD_OVERRIDE=FQ","FILING_STATUS=MR","SCALING_FORMAT=MLN","FA_ADJUSTED=GAAP","Sort=A","Dates=H","DateFormat=P","Fill=—","Direction=H","UseDPDF=Y")</f>
        <v>92</v>
      </c>
      <c r="AC43" s="17">
        <f>_xll.BDH("AMZN US Equity","EARN_FOR_COMMON","FQ3 2015","FQ3 2015","Currency=USD","Period=FQ","BEST_FPERIOD_OVERRIDE=FQ","FILING_STATUS=MR","SCALING_FORMAT=MLN","FA_ADJUSTED=GAAP","Sort=A","Dates=H","DateFormat=P","Fill=—","Direction=H","UseDPDF=Y")</f>
        <v>79</v>
      </c>
      <c r="AD43" s="17">
        <f>_xll.BDH("AMZN US Equity","EARN_FOR_COMMON","FQ4 2015","FQ4 2015","Currency=USD","Period=FQ","BEST_FPERIOD_OVERRIDE=FQ","FILING_STATUS=MR","SCALING_FORMAT=MLN","FA_ADJUSTED=GAAP","Sort=A","Dates=H","DateFormat=P","Fill=—","Direction=H","UseDPDF=Y")</f>
        <v>482</v>
      </c>
      <c r="AE43" s="17">
        <f>_xll.BDH("AMZN US Equity","EARN_FOR_COMMON","FQ1 2016","FQ1 2016","Currency=USD","Period=FQ","BEST_FPERIOD_OVERRIDE=FQ","FILING_STATUS=MR","SCALING_FORMAT=MLN","FA_ADJUSTED=GAAP","Sort=A","Dates=H","DateFormat=P","Fill=—","Direction=H","UseDPDF=Y")</f>
        <v>513</v>
      </c>
      <c r="AF43" s="17">
        <f>_xll.BDH("AMZN US Equity","EARN_FOR_COMMON","FQ2 2016","FQ2 2016","Currency=USD","Period=FQ","BEST_FPERIOD_OVERRIDE=FQ","FILING_STATUS=MR","SCALING_FORMAT=MLN","FA_ADJUSTED=GAAP","Sort=A","Dates=H","DateFormat=P","Fill=—","Direction=H","UseDPDF=Y")</f>
        <v>857</v>
      </c>
      <c r="AG43" s="17">
        <f>_xll.BDH("AMZN US Equity","EARN_FOR_COMMON","FQ3 2016","FQ3 2016","Currency=USD","Period=FQ","BEST_FPERIOD_OVERRIDE=FQ","FILING_STATUS=MR","SCALING_FORMAT=MLN","FA_ADJUSTED=GAAP","Sort=A","Dates=H","DateFormat=P","Fill=—","Direction=H","UseDPDF=Y")</f>
        <v>252</v>
      </c>
      <c r="AH43" s="17">
        <f>_xll.BDH("AMZN US Equity","EARN_FOR_COMMON","FQ4 2016","FQ4 2016","Currency=USD","Period=FQ","BEST_FPERIOD_OVERRIDE=FQ","FILING_STATUS=MR","SCALING_FORMAT=MLN","FA_ADJUSTED=GAAP","Sort=A","Dates=H","DateFormat=P","Fill=—","Direction=H","UseDPDF=Y")</f>
        <v>749</v>
      </c>
      <c r="AI43" s="17">
        <f>_xll.BDH("AMZN US Equity","EARN_FOR_COMMON","FQ1 2017","FQ1 2017","Currency=USD","Period=FQ","BEST_FPERIOD_OVERRIDE=FQ","FILING_STATUS=MR","SCALING_FORMAT=MLN","FA_ADJUSTED=GAAP","Sort=A","Dates=H","DateFormat=P","Fill=—","Direction=H","UseDPDF=Y")</f>
        <v>724</v>
      </c>
      <c r="AJ43" s="17">
        <f>_xll.BDH("AMZN US Equity","EARN_FOR_COMMON","FQ2 2017","FQ2 2017","Currency=USD","Period=FQ","BEST_FPERIOD_OVERRIDE=FQ","FILING_STATUS=MR","SCALING_FORMAT=MLN","FA_ADJUSTED=GAAP","Sort=A","Dates=H","DateFormat=P","Fill=—","Direction=H","UseDPDF=Y")</f>
        <v>197</v>
      </c>
      <c r="AK43" s="17">
        <f>_xll.BDH("AMZN US Equity","EARN_FOR_COMMON","FQ3 2017","FQ3 2017","Currency=USD","Period=FQ","BEST_FPERIOD_OVERRIDE=FQ","FILING_STATUS=MR","SCALING_FORMAT=MLN","FA_ADJUSTED=GAAP","Sort=A","Dates=H","DateFormat=P","Fill=—","Direction=H","UseDPDF=Y")</f>
        <v>256</v>
      </c>
      <c r="AL43" s="17">
        <f>_xll.BDH("AMZN US Equity","EARN_FOR_COMMON","FQ4 2017","FQ4 2017","Currency=USD","Period=FQ","BEST_FPERIOD_OVERRIDE=FQ","FILING_STATUS=MR","SCALING_FORMAT=MLN","FA_ADJUSTED=GAAP","Sort=A","Dates=H","DateFormat=P","Fill=—","Direction=H","UseDPDF=Y")</f>
        <v>1856</v>
      </c>
      <c r="AM43" s="17">
        <f>_xll.BDH("AMZN US Equity","EARN_FOR_COMMON","FQ1 2018","FQ1 2018","Currency=USD","Period=FQ","BEST_FPERIOD_OVERRIDE=FQ","FILING_STATUS=MR","SCALING_FORMAT=MLN","FA_ADJUSTED=GAAP","Sort=A","Dates=H","DateFormat=P","Fill=—","Direction=H","UseDPDF=Y")</f>
        <v>1629</v>
      </c>
      <c r="AN43" s="17">
        <f>_xll.BDH("AMZN US Equity","EARN_FOR_COMMON","FQ2 2018","FQ2 2018","Currency=USD","Period=FQ","BEST_FPERIOD_OVERRIDE=FQ","FILING_STATUS=MR","SCALING_FORMAT=MLN","FA_ADJUSTED=GAAP","Sort=A","Dates=H","DateFormat=P","Fill=—","Direction=H","UseDPDF=Y")</f>
        <v>2534</v>
      </c>
      <c r="AO43" s="17">
        <v>1516.2260000000001</v>
      </c>
      <c r="AP43" s="17">
        <v>2875.1289999999999</v>
      </c>
    </row>
    <row r="44" spans="1:42" x14ac:dyDescent="0.25">
      <c r="A44" s="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1:42" x14ac:dyDescent="0.25">
      <c r="A45" s="6" t="s">
        <v>161</v>
      </c>
      <c r="B45" s="6" t="s">
        <v>160</v>
      </c>
      <c r="C45" s="17">
        <f>_xll.BDH("AMZN US Equity","EARN_FOR_COMMON","FQ1 2009","FQ1 2009","Currency=USD","Period=FQ","BEST_FPERIOD_OVERRIDE=FQ","FILING_STATUS=MR","SCALING_FORMAT=MLN","FA_ADJUSTED=Adjusted","Sort=A","Dates=H","DateFormat=P","Fill=—","Direction=H","UseDPDF=Y")</f>
        <v>175.7</v>
      </c>
      <c r="D45" s="17">
        <f>_xll.BDH("AMZN US Equity","EARN_FOR_COMMON","FQ2 2009","FQ2 2009","Currency=USD","Period=FQ","BEST_FPERIOD_OVERRIDE=FQ","FILING_STATUS=MR","SCALING_FORMAT=MLN","FA_ADJUSTED=Adjusted","Sort=A","Dates=H","DateFormat=P","Fill=—","Direction=H","UseDPDF=Y")</f>
        <v>173.85</v>
      </c>
      <c r="E45" s="17">
        <f>_xll.BDH("AMZN US Equity","EARN_FOR_COMMON","FQ3 2009","FQ3 2009","Currency=USD","Period=FQ","BEST_FPERIOD_OVERRIDE=FQ","FILING_STATUS=MR","SCALING_FORMAT=MLN","FA_ADJUSTED=Adjusted","Sort=A","Dates=H","DateFormat=P","Fill=—","Direction=H","UseDPDF=Y")</f>
        <v>198.35</v>
      </c>
      <c r="F45" s="17">
        <f>_xll.BDH("AMZN US Equity","EARN_FOR_COMMON","FQ4 2009","FQ4 2009","Currency=USD","Period=FQ","BEST_FPERIOD_OVERRIDE=FQ","FILING_STATUS=MR","SCALING_FORMAT=MLN","FA_ADJUSTED=Adjusted","Sort=A","Dates=H","DateFormat=P","Fill=—","Direction=H","UseDPDF=Y")</f>
        <v>384.65</v>
      </c>
      <c r="G45" s="17">
        <f>_xll.BDH("AMZN US Equity","EARN_FOR_COMMON","FQ1 2010","FQ1 2010","Currency=USD","Period=FQ","BEST_FPERIOD_OVERRIDE=FQ","FILING_STATUS=MR","SCALING_FORMAT=MLN","FA_ADJUSTED=Adjusted","Sort=A","Dates=H","DateFormat=P","Fill=—","Direction=H","UseDPDF=Y")</f>
        <v>299</v>
      </c>
      <c r="H45" s="17">
        <f>_xll.BDH("AMZN US Equity","EARN_FOR_COMMON","FQ2 2010","FQ2 2010","Currency=USD","Period=FQ","BEST_FPERIOD_OVERRIDE=FQ","FILING_STATUS=MR","SCALING_FORMAT=MLN","FA_ADJUSTED=Adjusted","Sort=A","Dates=H","DateFormat=P","Fill=—","Direction=H","UseDPDF=Y")</f>
        <v>207</v>
      </c>
      <c r="I45" s="17">
        <f>_xll.BDH("AMZN US Equity","EARN_FOR_COMMON","FQ3 2010","FQ3 2010","Currency=USD","Period=FQ","BEST_FPERIOD_OVERRIDE=FQ","FILING_STATUS=MR","SCALING_FORMAT=MLN","FA_ADJUSTED=Adjusted","Sort=A","Dates=H","DateFormat=P","Fill=—","Direction=H","UseDPDF=Y")</f>
        <v>231</v>
      </c>
      <c r="J45" s="17">
        <f>_xll.BDH("AMZN US Equity","EARN_FOR_COMMON","FQ4 2010","FQ4 2010","Currency=USD","Period=FQ","BEST_FPERIOD_OVERRIDE=FQ","FILING_STATUS=MR","SCALING_FORMAT=MLN","FA_ADJUSTED=Adjusted","Sort=A","Dates=H","DateFormat=P","Fill=—","Direction=H","UseDPDF=Y")</f>
        <v>416</v>
      </c>
      <c r="K45" s="17">
        <f>_xll.BDH("AMZN US Equity","EARN_FOR_COMMON","FQ1 2011","FQ1 2011","Currency=USD","Period=FQ","BEST_FPERIOD_OVERRIDE=FQ","FILING_STATUS=MR","SCALING_FORMAT=MLN","FA_ADJUSTED=Adjusted","Sort=A","Dates=H","DateFormat=P","Fill=—","Direction=H","UseDPDF=Y")</f>
        <v>201</v>
      </c>
      <c r="L45" s="17">
        <f>_xll.BDH("AMZN US Equity","EARN_FOR_COMMON","FQ2 2011","FQ2 2011","Currency=USD","Period=FQ","BEST_FPERIOD_OVERRIDE=FQ","FILING_STATUS=MR","SCALING_FORMAT=MLN","FA_ADJUSTED=Adjusted","Sort=A","Dates=H","DateFormat=P","Fill=—","Direction=H","UseDPDF=Y")</f>
        <v>191</v>
      </c>
      <c r="M45" s="17">
        <f>_xll.BDH("AMZN US Equity","EARN_FOR_COMMON","FQ3 2011","FQ3 2011","Currency=USD","Period=FQ","BEST_FPERIOD_OVERRIDE=FQ","FILING_STATUS=MR","SCALING_FORMAT=MLN","FA_ADJUSTED=Adjusted","Sort=A","Dates=H","DateFormat=P","Fill=—","Direction=H","UseDPDF=Y")</f>
        <v>63</v>
      </c>
      <c r="N45" s="17">
        <f>_xll.BDH("AMZN US Equity","EARN_FOR_COMMON","FQ4 2011","FQ4 2011","Currency=USD","Period=FQ","BEST_FPERIOD_OVERRIDE=FQ","FILING_STATUS=MR","SCALING_FORMAT=MLN","FA_ADJUSTED=Adjusted","Sort=A","Dates=H","DateFormat=P","Fill=—","Direction=H","UseDPDF=Y")</f>
        <v>177</v>
      </c>
      <c r="O45" s="17">
        <f>_xll.BDH("AMZN US Equity","EARN_FOR_COMMON","FQ1 2012","FQ1 2012","Currency=USD","Period=FQ","BEST_FPERIOD_OVERRIDE=FQ","FILING_STATUS=MR","SCALING_FORMAT=MLN","FA_ADJUSTED=Adjusted","Sort=A","Dates=H","DateFormat=P","Fill=—","Direction=H","UseDPDF=Y")</f>
        <v>130</v>
      </c>
      <c r="P45" s="17">
        <f>_xll.BDH("AMZN US Equity","EARN_FOR_COMMON","FQ2 2012","FQ2 2012","Currency=USD","Period=FQ","BEST_FPERIOD_OVERRIDE=FQ","FILING_STATUS=MR","SCALING_FORMAT=MLN","FA_ADJUSTED=Adjusted","Sort=A","Dates=H","DateFormat=P","Fill=—","Direction=H","UseDPDF=Y")</f>
        <v>72</v>
      </c>
      <c r="Q45" s="17">
        <f>_xll.BDH("AMZN US Equity","EARN_FOR_COMMON","FQ3 2012","FQ3 2012","Currency=USD","Period=FQ","BEST_FPERIOD_OVERRIDE=FQ","FILING_STATUS=MR","SCALING_FORMAT=MLN","FA_ADJUSTED=Adjusted","Sort=A","Dates=H","DateFormat=P","Fill=—","Direction=H","UseDPDF=Y")</f>
        <v>-129</v>
      </c>
      <c r="R45" s="17">
        <f>_xll.BDH("AMZN US Equity","EARN_FOR_COMMON","FQ4 2012","FQ4 2012","Currency=USD","Period=FQ","BEST_FPERIOD_OVERRIDE=FQ","FILING_STATUS=MR","SCALING_FORMAT=MLN","FA_ADJUSTED=Adjusted","Sort=A","Dates=H","DateFormat=P","Fill=—","Direction=H","UseDPDF=Y")</f>
        <v>122</v>
      </c>
      <c r="S45" s="17">
        <f>_xll.BDH("AMZN US Equity","EARN_FOR_COMMON","FQ1 2013","FQ1 2013","Currency=USD","Period=FQ","BEST_FPERIOD_OVERRIDE=FQ","FILING_STATUS=MR","SCALING_FORMAT=MLN","FA_ADJUSTED=Adjusted","Sort=A","Dates=H","DateFormat=P","Fill=—","Direction=H","UseDPDF=Y")</f>
        <v>82</v>
      </c>
      <c r="T45" s="17">
        <f>_xll.BDH("AMZN US Equity","EARN_FOR_COMMON","FQ2 2013","FQ2 2013","Currency=USD","Period=FQ","BEST_FPERIOD_OVERRIDE=FQ","FILING_STATUS=MR","SCALING_FORMAT=MLN","FA_ADJUSTED=Adjusted","Sort=A","Dates=H","DateFormat=P","Fill=—","Direction=H","UseDPDF=Y")</f>
        <v>-7</v>
      </c>
      <c r="U45" s="17">
        <f>_xll.BDH("AMZN US Equity","EARN_FOR_COMMON","FQ3 2013","FQ3 2013","Currency=USD","Period=FQ","BEST_FPERIOD_OVERRIDE=FQ","FILING_STATUS=MR","SCALING_FORMAT=MLN","FA_ADJUSTED=Adjusted","Sort=A","Dates=H","DateFormat=P","Fill=—","Direction=H","UseDPDF=Y")</f>
        <v>-41</v>
      </c>
      <c r="V45" s="17">
        <f>_xll.BDH("AMZN US Equity","EARN_FOR_COMMON","FQ4 2013","FQ4 2013","Currency=USD","Period=FQ","BEST_FPERIOD_OVERRIDE=FQ","FILING_STATUS=MR","SCALING_FORMAT=MLN","FA_ADJUSTED=Adjusted","Sort=A","Dates=H","DateFormat=P","Fill=—","Direction=H","UseDPDF=Y")</f>
        <v>239</v>
      </c>
      <c r="W45" s="17">
        <f>_xll.BDH("AMZN US Equity","EARN_FOR_COMMON","FQ1 2014","FQ1 2014","Currency=USD","Period=FQ","BEST_FPERIOD_OVERRIDE=FQ","FILING_STATUS=MR","SCALING_FORMAT=MLN","FA_ADJUSTED=Adjusted","Sort=A","Dates=H","DateFormat=P","Fill=—","Direction=H","UseDPDF=Y")</f>
        <v>108</v>
      </c>
      <c r="X45" s="17">
        <f>_xll.BDH("AMZN US Equity","EARN_FOR_COMMON","FQ2 2014","FQ2 2014","Currency=USD","Period=FQ","BEST_FPERIOD_OVERRIDE=FQ","FILING_STATUS=MR","SCALING_FORMAT=MLN","FA_ADJUSTED=Adjusted","Sort=A","Dates=H","DateFormat=P","Fill=—","Direction=H","UseDPDF=Y")</f>
        <v>-126</v>
      </c>
      <c r="Y45" s="17">
        <f>_xll.BDH("AMZN US Equity","EARN_FOR_COMMON","FQ3 2014","FQ3 2014","Currency=USD","Period=FQ","BEST_FPERIOD_OVERRIDE=FQ","FILING_STATUS=MR","SCALING_FORMAT=MLN","FA_ADJUSTED=Adjusted","Sort=A","Dates=H","DateFormat=P","Fill=—","Direction=H","UseDPDF=Y")</f>
        <v>-326.5</v>
      </c>
      <c r="Z45" s="17">
        <f>_xll.BDH("AMZN US Equity","EARN_FOR_COMMON","FQ4 2014","FQ4 2014","Currency=USD","Period=FQ","BEST_FPERIOD_OVERRIDE=FQ","FILING_STATUS=MR","SCALING_FORMAT=MLN","FA_ADJUSTED=Adjusted","Sort=A","Dates=H","DateFormat=P","Fill=—","Direction=H","UseDPDF=Y")</f>
        <v>214</v>
      </c>
      <c r="AA45" s="17">
        <f>_xll.BDH("AMZN US Equity","EARN_FOR_COMMON","FQ1 2015","FQ1 2015","Currency=USD","Period=FQ","BEST_FPERIOD_OVERRIDE=FQ","FILING_STATUS=MR","SCALING_FORMAT=MLN","FA_ADJUSTED=Adjusted","Sort=A","Dates=H","DateFormat=P","Fill=—","Direction=H","UseDPDF=Y")</f>
        <v>-56.35</v>
      </c>
      <c r="AB45" s="17">
        <f>_xll.BDH("AMZN US Equity","EARN_FOR_COMMON","FQ2 2015","FQ2 2015","Currency=USD","Period=FQ","BEST_FPERIOD_OVERRIDE=FQ","FILING_STATUS=MR","SCALING_FORMAT=MLN","FA_ADJUSTED=Adjusted","Sort=A","Dates=H","DateFormat=P","Fill=—","Direction=H","UseDPDF=Y")</f>
        <v>92.65</v>
      </c>
      <c r="AC45" s="17">
        <f>_xll.BDH("AMZN US Equity","EARN_FOR_COMMON","FQ3 2015","FQ3 2015","Currency=USD","Period=FQ","BEST_FPERIOD_OVERRIDE=FQ","FILING_STATUS=MR","SCALING_FORMAT=MLN","FA_ADJUSTED=Adjusted","Sort=A","Dates=H","DateFormat=P","Fill=—","Direction=H","UseDPDF=Y")</f>
        <v>79</v>
      </c>
      <c r="AD45" s="17">
        <f>_xll.BDH("AMZN US Equity","EARN_FOR_COMMON","FQ4 2015","FQ4 2015","Currency=USD","Period=FQ","BEST_FPERIOD_OVERRIDE=FQ","FILING_STATUS=MR","SCALING_FORMAT=MLN","FA_ADJUSTED=Adjusted","Sort=A","Dates=H","DateFormat=P","Fill=—","Direction=H","UseDPDF=Y")</f>
        <v>483.95</v>
      </c>
      <c r="AE45" s="17">
        <f>_xll.BDH("AMZN US Equity","EARN_FOR_COMMON","FQ1 2016","FQ1 2016","Currency=USD","Period=FQ","BEST_FPERIOD_OVERRIDE=FQ","FILING_STATUS=MR","SCALING_FORMAT=MLN","FA_ADJUSTED=Adjusted","Sort=A","Dates=H","DateFormat=P","Fill=—","Direction=H","UseDPDF=Y")</f>
        <v>513</v>
      </c>
      <c r="AF45" s="17">
        <f>_xll.BDH("AMZN US Equity","EARN_FOR_COMMON","FQ2 2016","FQ2 2016","Currency=USD","Period=FQ","BEST_FPERIOD_OVERRIDE=FQ","FILING_STATUS=MR","SCALING_FORMAT=MLN","FA_ADJUSTED=Adjusted","Sort=A","Dates=H","DateFormat=P","Fill=—","Direction=H","UseDPDF=Y")</f>
        <v>857</v>
      </c>
      <c r="AG45" s="17">
        <f>_xll.BDH("AMZN US Equity","EARN_FOR_COMMON","FQ3 2016","FQ3 2016","Currency=USD","Period=FQ","BEST_FPERIOD_OVERRIDE=FQ","FILING_STATUS=MR","SCALING_FORMAT=MLN","FA_ADJUSTED=Adjusted","Sort=A","Dates=H","DateFormat=P","Fill=—","Direction=H","UseDPDF=Y")</f>
        <v>252</v>
      </c>
      <c r="AH45" s="17">
        <f>_xll.BDH("AMZN US Equity","EARN_FOR_COMMON","FQ4 2016","FQ4 2016","Currency=USD","Period=FQ","BEST_FPERIOD_OVERRIDE=FQ","FILING_STATUS=MR","SCALING_FORMAT=MLN","FA_ADJUSTED=Adjusted","Sort=A","Dates=H","DateFormat=P","Fill=—","Direction=H","UseDPDF=Y")</f>
        <v>752.25</v>
      </c>
      <c r="AI45" s="17">
        <f>_xll.BDH("AMZN US Equity","EARN_FOR_COMMON","FQ1 2017","FQ1 2017","Currency=USD","Period=FQ","BEST_FPERIOD_OVERRIDE=FQ","FILING_STATUS=MR","SCALING_FORMAT=MLN","FA_ADJUSTED=Adjusted","Sort=A","Dates=H","DateFormat=P","Fill=—","Direction=H","UseDPDF=Y")</f>
        <v>724</v>
      </c>
      <c r="AJ45" s="17">
        <f>_xll.BDH("AMZN US Equity","EARN_FOR_COMMON","FQ2 2017","FQ2 2017","Currency=USD","Period=FQ","BEST_FPERIOD_OVERRIDE=FQ","FILING_STATUS=MR","SCALING_FORMAT=MLN","FA_ADJUSTED=Adjusted","Sort=A","Dates=H","DateFormat=P","Fill=—","Direction=H","UseDPDF=Y")</f>
        <v>197</v>
      </c>
      <c r="AK45" s="17">
        <f>_xll.BDH("AMZN US Equity","EARN_FOR_COMMON","FQ3 2017","FQ3 2017","Currency=USD","Period=FQ","BEST_FPERIOD_OVERRIDE=FQ","FILING_STATUS=MR","SCALING_FORMAT=MLN","FA_ADJUSTED=Adjusted","Sort=A","Dates=H","DateFormat=P","Fill=—","Direction=H","UseDPDF=Y")</f>
        <v>256</v>
      </c>
      <c r="AL45" s="17">
        <f>_xll.BDH("AMZN US Equity","EARN_FOR_COMMON","FQ4 2017","FQ4 2017","Currency=USD","Period=FQ","BEST_FPERIOD_OVERRIDE=FQ","FILING_STATUS=MR","SCALING_FORMAT=MLN","FA_ADJUSTED=Adjusted","Sort=A","Dates=H","DateFormat=P","Fill=—","Direction=H","UseDPDF=Y")</f>
        <v>1067</v>
      </c>
      <c r="AM45" s="17">
        <f>_xll.BDH("AMZN US Equity","EARN_FOR_COMMON","FQ1 2018","FQ1 2018","Currency=USD","Period=FQ","BEST_FPERIOD_OVERRIDE=FQ","FILING_STATUS=MR","SCALING_FORMAT=MLN","FA_ADJUSTED=Adjusted","Sort=A","Dates=H","DateFormat=P","Fill=—","Direction=H","UseDPDF=Y")</f>
        <v>1629</v>
      </c>
      <c r="AN45" s="17">
        <f>_xll.BDH("AMZN US Equity","EARN_FOR_COMMON","FQ2 2018","FQ2 2018","Currency=USD","Period=FQ","BEST_FPERIOD_OVERRIDE=FQ","FILING_STATUS=MR","SCALING_FORMAT=MLN","FA_ADJUSTED=Adjusted","Sort=A","Dates=H","DateFormat=P","Fill=—","Direction=H","UseDPDF=Y")</f>
        <v>1938</v>
      </c>
      <c r="AO45" s="17">
        <v>2850</v>
      </c>
      <c r="AP45" s="17">
        <v>4306.6670000000004</v>
      </c>
    </row>
    <row r="46" spans="1:42" x14ac:dyDescent="0.25">
      <c r="A46" s="10" t="s">
        <v>162</v>
      </c>
      <c r="B46" s="10" t="s">
        <v>163</v>
      </c>
      <c r="C46" s="13">
        <f>_xll.BDH("AMZN US Equity","IS_NET_ABNORMAL_ITEMS","FQ1 2009","FQ1 2009","Currency=USD","Period=FQ","BEST_FPERIOD_OVERRIDE=FQ","FILING_STATUS=MR","SCALING_FORMAT=MLN","Sort=A","Dates=H","DateFormat=P","Fill=—","Direction=H","UseDPDF=Y")</f>
        <v>-1.3</v>
      </c>
      <c r="D46" s="13">
        <f>_xll.BDH("AMZN US Equity","IS_NET_ABNORMAL_ITEMS","FQ2 2009","FQ2 2009","Currency=USD","Period=FQ","BEST_FPERIOD_OVERRIDE=FQ","FILING_STATUS=MR","SCALING_FORMAT=MLN","Sort=A","Dates=H","DateFormat=P","Fill=—","Direction=H","UseDPDF=Y")</f>
        <v>31.85</v>
      </c>
      <c r="E46" s="13">
        <f>_xll.BDH("AMZN US Equity","IS_NET_ABNORMAL_ITEMS","FQ3 2009","FQ3 2009","Currency=USD","Period=FQ","BEST_FPERIOD_OVERRIDE=FQ","FILING_STATUS=MR","SCALING_FORMAT=MLN","Sort=A","Dates=H","DateFormat=P","Fill=—","Direction=H","UseDPDF=Y")</f>
        <v>-0.65</v>
      </c>
      <c r="F46" s="13">
        <f>_xll.BDH("AMZN US Equity","IS_NET_ABNORMAL_ITEMS","FQ4 2009","FQ4 2009","Currency=USD","Period=FQ","BEST_FPERIOD_OVERRIDE=FQ","FILING_STATUS=MR","SCALING_FORMAT=MLN","Sort=A","Dates=H","DateFormat=P","Fill=—","Direction=H","UseDPDF=Y")</f>
        <v>0.65</v>
      </c>
      <c r="G46" s="13">
        <f>_xll.BDH("AMZN US Equity","IS_NET_ABNORMAL_ITEMS","FQ1 2010","FQ1 2010","Currency=USD","Period=FQ","BEST_FPERIOD_OVERRIDE=FQ","FILING_STATUS=MR","SCALING_FORMAT=MLN","Sort=A","Dates=H","DateFormat=P","Fill=—","Direction=H","UseDPDF=Y")</f>
        <v>0</v>
      </c>
      <c r="H46" s="13">
        <f>_xll.BDH("AMZN US Equity","IS_NET_ABNORMAL_ITEMS","FQ2 2010","FQ2 2010","Currency=USD","Period=FQ","BEST_FPERIOD_OVERRIDE=FQ","FILING_STATUS=MR","SCALING_FORMAT=MLN","Sort=A","Dates=H","DateFormat=P","Fill=—","Direction=H","UseDPDF=Y")</f>
        <v>0</v>
      </c>
      <c r="I46" s="13">
        <f>_xll.BDH("AMZN US Equity","IS_NET_ABNORMAL_ITEMS","FQ3 2010","FQ3 2010","Currency=USD","Period=FQ","BEST_FPERIOD_OVERRIDE=FQ","FILING_STATUS=MR","SCALING_FORMAT=MLN","Sort=A","Dates=H","DateFormat=P","Fill=—","Direction=H","UseDPDF=Y")</f>
        <v>0</v>
      </c>
      <c r="J46" s="13">
        <f>_xll.BDH("AMZN US Equity","IS_NET_ABNORMAL_ITEMS","FQ4 2010","FQ4 2010","Currency=USD","Period=FQ","BEST_FPERIOD_OVERRIDE=FQ","FILING_STATUS=MR","SCALING_FORMAT=MLN","Sort=A","Dates=H","DateFormat=P","Fill=—","Direction=H","UseDPDF=Y")</f>
        <v>0</v>
      </c>
      <c r="K46" s="13">
        <f>_xll.BDH("AMZN US Equity","IS_NET_ABNORMAL_ITEMS","FQ1 2011","FQ1 2011","Currency=USD","Period=FQ","BEST_FPERIOD_OVERRIDE=FQ","FILING_STATUS=MR","SCALING_FORMAT=MLN","Sort=A","Dates=H","DateFormat=P","Fill=—","Direction=H","UseDPDF=Y")</f>
        <v>0</v>
      </c>
      <c r="L46" s="13">
        <f>_xll.BDH("AMZN US Equity","IS_NET_ABNORMAL_ITEMS","FQ2 2011","FQ2 2011","Currency=USD","Period=FQ","BEST_FPERIOD_OVERRIDE=FQ","FILING_STATUS=MR","SCALING_FORMAT=MLN","Sort=A","Dates=H","DateFormat=P","Fill=—","Direction=H","UseDPDF=Y")</f>
        <v>0</v>
      </c>
      <c r="M46" s="13">
        <f>_xll.BDH("AMZN US Equity","IS_NET_ABNORMAL_ITEMS","FQ3 2011","FQ3 2011","Currency=USD","Period=FQ","BEST_FPERIOD_OVERRIDE=FQ","FILING_STATUS=MR","SCALING_FORMAT=MLN","Sort=A","Dates=H","DateFormat=P","Fill=—","Direction=H","UseDPDF=Y")</f>
        <v>0</v>
      </c>
      <c r="N46" s="13">
        <f>_xll.BDH("AMZN US Equity","IS_NET_ABNORMAL_ITEMS","FQ4 2011","FQ4 2011","Currency=USD","Period=FQ","BEST_FPERIOD_OVERRIDE=FQ","FILING_STATUS=MR","SCALING_FORMAT=MLN","Sort=A","Dates=H","DateFormat=P","Fill=—","Direction=H","UseDPDF=Y")</f>
        <v>0</v>
      </c>
      <c r="O46" s="13">
        <f>_xll.BDH("AMZN US Equity","IS_NET_ABNORMAL_ITEMS","FQ1 2012","FQ1 2012","Currency=USD","Period=FQ","BEST_FPERIOD_OVERRIDE=FQ","FILING_STATUS=MR","SCALING_FORMAT=MLN","Sort=A","Dates=H","DateFormat=P","Fill=—","Direction=H","UseDPDF=Y")</f>
        <v>0</v>
      </c>
      <c r="P46" s="13">
        <f>_xll.BDH("AMZN US Equity","IS_NET_ABNORMAL_ITEMS","FQ2 2012","FQ2 2012","Currency=USD","Period=FQ","BEST_FPERIOD_OVERRIDE=FQ","FILING_STATUS=MR","SCALING_FORMAT=MLN","Sort=A","Dates=H","DateFormat=P","Fill=—","Direction=H","UseDPDF=Y")</f>
        <v>65</v>
      </c>
      <c r="Q46" s="13">
        <f>_xll.BDH("AMZN US Equity","IS_NET_ABNORMAL_ITEMS","FQ3 2012","FQ3 2012","Currency=USD","Period=FQ","BEST_FPERIOD_OVERRIDE=FQ","FILING_STATUS=MR","SCALING_FORMAT=MLN","Sort=A","Dates=H","DateFormat=P","Fill=—","Direction=H","UseDPDF=Y")</f>
        <v>145</v>
      </c>
      <c r="R46" s="13">
        <f>_xll.BDH("AMZN US Equity","IS_NET_ABNORMAL_ITEMS","FQ4 2012","FQ4 2012","Currency=USD","Period=FQ","BEST_FPERIOD_OVERRIDE=FQ","FILING_STATUS=MR","SCALING_FORMAT=MLN","Sort=A","Dates=H","DateFormat=P","Fill=—","Direction=H","UseDPDF=Y")</f>
        <v>25</v>
      </c>
      <c r="S46" s="13">
        <f>_xll.BDH("AMZN US Equity","IS_NET_ABNORMAL_ITEMS","FQ1 2013","FQ1 2013","Currency=USD","Period=FQ","BEST_FPERIOD_OVERRIDE=FQ","FILING_STATUS=MR","SCALING_FORMAT=MLN","Sort=A","Dates=H","DateFormat=P","Fill=—","Direction=H","UseDPDF=Y")</f>
        <v>0</v>
      </c>
      <c r="T46" s="13">
        <f>_xll.BDH("AMZN US Equity","IS_NET_ABNORMAL_ITEMS","FQ2 2013","FQ2 2013","Currency=USD","Period=FQ","BEST_FPERIOD_OVERRIDE=FQ","FILING_STATUS=MR","SCALING_FORMAT=MLN","Sort=A","Dates=H","DateFormat=P","Fill=—","Direction=H","UseDPDF=Y")</f>
        <v>0</v>
      </c>
      <c r="U46" s="13">
        <f>_xll.BDH("AMZN US Equity","IS_NET_ABNORMAL_ITEMS","FQ3 2013","FQ3 2013","Currency=USD","Period=FQ","BEST_FPERIOD_OVERRIDE=FQ","FILING_STATUS=MR","SCALING_FORMAT=MLN","Sort=A","Dates=H","DateFormat=P","Fill=—","Direction=H","UseDPDF=Y")</f>
        <v>0</v>
      </c>
      <c r="V46" s="13">
        <f>_xll.BDH("AMZN US Equity","IS_NET_ABNORMAL_ITEMS","FQ4 2013","FQ4 2013","Currency=USD","Period=FQ","BEST_FPERIOD_OVERRIDE=FQ","FILING_STATUS=MR","SCALING_FORMAT=MLN","Sort=A","Dates=H","DateFormat=P","Fill=—","Direction=H","UseDPDF=Y")</f>
        <v>0</v>
      </c>
      <c r="W46" s="13">
        <f>_xll.BDH("AMZN US Equity","IS_NET_ABNORMAL_ITEMS","FQ1 2014","FQ1 2014","Currency=USD","Period=FQ","BEST_FPERIOD_OVERRIDE=FQ","FILING_STATUS=MR","SCALING_FORMAT=MLN","Sort=A","Dates=H","DateFormat=P","Fill=—","Direction=H","UseDPDF=Y")</f>
        <v>0</v>
      </c>
      <c r="X46" s="13">
        <f>_xll.BDH("AMZN US Equity","IS_NET_ABNORMAL_ITEMS","FQ2 2014","FQ2 2014","Currency=USD","Period=FQ","BEST_FPERIOD_OVERRIDE=FQ","FILING_STATUS=MR","SCALING_FORMAT=MLN","Sort=A","Dates=H","DateFormat=P","Fill=—","Direction=H","UseDPDF=Y")</f>
        <v>0</v>
      </c>
      <c r="Y46" s="13">
        <f>_xll.BDH("AMZN US Equity","IS_NET_ABNORMAL_ITEMS","FQ3 2014","FQ3 2014","Currency=USD","Period=FQ","BEST_FPERIOD_OVERRIDE=FQ","FILING_STATUS=MR","SCALING_FORMAT=MLN","Sort=A","Dates=H","DateFormat=P","Fill=—","Direction=H","UseDPDF=Y")</f>
        <v>110.5</v>
      </c>
      <c r="Z46" s="13">
        <f>_xll.BDH("AMZN US Equity","IS_NET_ABNORMAL_ITEMS","FQ4 2014","FQ4 2014","Currency=USD","Period=FQ","BEST_FPERIOD_OVERRIDE=FQ","FILING_STATUS=MR","SCALING_FORMAT=MLN","Sort=A","Dates=H","DateFormat=P","Fill=—","Direction=H","UseDPDF=Y")</f>
        <v>0</v>
      </c>
      <c r="AA46" s="13">
        <f>_xll.BDH("AMZN US Equity","IS_NET_ABNORMAL_ITEMS","FQ1 2015","FQ1 2015","Currency=USD","Period=FQ","BEST_FPERIOD_OVERRIDE=FQ","FILING_STATUS=MR","SCALING_FORMAT=MLN","Sort=A","Dates=H","DateFormat=P","Fill=—","Direction=H","UseDPDF=Y")</f>
        <v>0.65</v>
      </c>
      <c r="AB46" s="13">
        <f>_xll.BDH("AMZN US Equity","IS_NET_ABNORMAL_ITEMS","FQ2 2015","FQ2 2015","Currency=USD","Period=FQ","BEST_FPERIOD_OVERRIDE=FQ","FILING_STATUS=MR","SCALING_FORMAT=MLN","Sort=A","Dates=H","DateFormat=P","Fill=—","Direction=H","UseDPDF=Y")</f>
        <v>0.65</v>
      </c>
      <c r="AC46" s="13">
        <f>_xll.BDH("AMZN US Equity","IS_NET_ABNORMAL_ITEMS","FQ3 2015","FQ3 2015","Currency=USD","Period=FQ","BEST_FPERIOD_OVERRIDE=FQ","FILING_STATUS=MR","SCALING_FORMAT=MLN","Sort=A","Dates=H","DateFormat=P","Fill=—","Direction=H","UseDPDF=Y")</f>
        <v>0</v>
      </c>
      <c r="AD46" s="13">
        <f>_xll.BDH("AMZN US Equity","IS_NET_ABNORMAL_ITEMS","FQ4 2015","FQ4 2015","Currency=USD","Period=FQ","BEST_FPERIOD_OVERRIDE=FQ","FILING_STATUS=MR","SCALING_FORMAT=MLN","Sort=A","Dates=H","DateFormat=P","Fill=—","Direction=H","UseDPDF=Y")</f>
        <v>1.95</v>
      </c>
      <c r="AE46" s="13">
        <f>_xll.BDH("AMZN US Equity","IS_NET_ABNORMAL_ITEMS","FQ1 2016","FQ1 2016","Currency=USD","Period=FQ","BEST_FPERIOD_OVERRIDE=FQ","FILING_STATUS=MR","SCALING_FORMAT=MLN","Sort=A","Dates=H","DateFormat=P","Fill=—","Direction=H","UseDPDF=Y")</f>
        <v>0</v>
      </c>
      <c r="AF46" s="13">
        <f>_xll.BDH("AMZN US Equity","IS_NET_ABNORMAL_ITEMS","FQ2 2016","FQ2 2016","Currency=USD","Period=FQ","BEST_FPERIOD_OVERRIDE=FQ","FILING_STATUS=MR","SCALING_FORMAT=MLN","Sort=A","Dates=H","DateFormat=P","Fill=—","Direction=H","UseDPDF=Y")</f>
        <v>0</v>
      </c>
      <c r="AG46" s="13">
        <f>_xll.BDH("AMZN US Equity","IS_NET_ABNORMAL_ITEMS","FQ3 2016","FQ3 2016","Currency=USD","Period=FQ","BEST_FPERIOD_OVERRIDE=FQ","FILING_STATUS=MR","SCALING_FORMAT=MLN","Sort=A","Dates=H","DateFormat=P","Fill=—","Direction=H","UseDPDF=Y")</f>
        <v>0</v>
      </c>
      <c r="AH46" s="13">
        <f>_xll.BDH("AMZN US Equity","IS_NET_ABNORMAL_ITEMS","FQ4 2016","FQ4 2016","Currency=USD","Period=FQ","BEST_FPERIOD_OVERRIDE=FQ","FILING_STATUS=MR","SCALING_FORMAT=MLN","Sort=A","Dates=H","DateFormat=P","Fill=—","Direction=H","UseDPDF=Y")</f>
        <v>3.25</v>
      </c>
      <c r="AI46" s="13">
        <f>_xll.BDH("AMZN US Equity","IS_NET_ABNORMAL_ITEMS","FQ1 2017","FQ1 2017","Currency=USD","Period=FQ","BEST_FPERIOD_OVERRIDE=FQ","FILING_STATUS=MR","SCALING_FORMAT=MLN","Sort=A","Dates=H","DateFormat=P","Fill=—","Direction=H","UseDPDF=Y")</f>
        <v>0</v>
      </c>
      <c r="AJ46" s="13">
        <f>_xll.BDH("AMZN US Equity","IS_NET_ABNORMAL_ITEMS","FQ2 2017","FQ2 2017","Currency=USD","Period=FQ","BEST_FPERIOD_OVERRIDE=FQ","FILING_STATUS=MR","SCALING_FORMAT=MLN","Sort=A","Dates=H","DateFormat=P","Fill=—","Direction=H","UseDPDF=Y")</f>
        <v>0</v>
      </c>
      <c r="AK46" s="13">
        <f>_xll.BDH("AMZN US Equity","IS_NET_ABNORMAL_ITEMS","FQ3 2017","FQ3 2017","Currency=USD","Period=FQ","BEST_FPERIOD_OVERRIDE=FQ","FILING_STATUS=MR","SCALING_FORMAT=MLN","Sort=A","Dates=H","DateFormat=P","Fill=—","Direction=H","UseDPDF=Y")</f>
        <v>0</v>
      </c>
      <c r="AL46" s="13">
        <f>_xll.BDH("AMZN US Equity","IS_NET_ABNORMAL_ITEMS","FQ4 2017","FQ4 2017","Currency=USD","Period=FQ","BEST_FPERIOD_OVERRIDE=FQ","FILING_STATUS=MR","SCALING_FORMAT=MLN","Sort=A","Dates=H","DateFormat=P","Fill=—","Direction=H","UseDPDF=Y")</f>
        <v>-789</v>
      </c>
      <c r="AM46" s="13">
        <f>_xll.BDH("AMZN US Equity","IS_NET_ABNORMAL_ITEMS","FQ1 2018","FQ1 2018","Currency=USD","Period=FQ","BEST_FPERIOD_OVERRIDE=FQ","FILING_STATUS=MR","SCALING_FORMAT=MLN","Sort=A","Dates=H","DateFormat=P","Fill=—","Direction=H","UseDPDF=Y")</f>
        <v>0</v>
      </c>
      <c r="AN46" s="13">
        <f>_xll.BDH("AMZN US Equity","IS_NET_ABNORMAL_ITEMS","FQ2 2018","FQ2 2018","Currency=USD","Period=FQ","BEST_FPERIOD_OVERRIDE=FQ","FILING_STATUS=MR","SCALING_FORMAT=MLN","Sort=A","Dates=H","DateFormat=P","Fill=—","Direction=H","UseDPDF=Y")</f>
        <v>-596</v>
      </c>
      <c r="AO46" s="13"/>
      <c r="AP46" s="13"/>
    </row>
    <row r="47" spans="1:42" x14ac:dyDescent="0.25">
      <c r="A47" s="10" t="s">
        <v>164</v>
      </c>
      <c r="B47" s="10" t="s">
        <v>144</v>
      </c>
      <c r="C47" s="13">
        <f>_xll.BDH("AMZN US Equity","XO_GL_NET_OF_TAX","FQ1 2009","FQ1 2009","Currency=USD","Period=FQ","BEST_FPERIOD_OVERRIDE=FQ","FILING_STATUS=MR","SCALING_FORMAT=MLN","Sort=A","Dates=H","DateFormat=P","Fill=—","Direction=H","UseDPDF=Y")</f>
        <v>0</v>
      </c>
      <c r="D47" s="13">
        <f>_xll.BDH("AMZN US Equity","XO_GL_NET_OF_TAX","FQ2 2009","FQ2 2009","Currency=USD","Period=FQ","BEST_FPERIOD_OVERRIDE=FQ","FILING_STATUS=MR","SCALING_FORMAT=MLN","Sort=A","Dates=H","DateFormat=P","Fill=—","Direction=H","UseDPDF=Y")</f>
        <v>0</v>
      </c>
      <c r="E47" s="13">
        <f>_xll.BDH("AMZN US Equity","XO_GL_NET_OF_TAX","FQ3 2009","FQ3 2009","Currency=USD","Period=FQ","BEST_FPERIOD_OVERRIDE=FQ","FILING_STATUS=MR","SCALING_FORMAT=MLN","Sort=A","Dates=H","DateFormat=P","Fill=—","Direction=H","UseDPDF=Y")</f>
        <v>0</v>
      </c>
      <c r="F47" s="13">
        <f>_xll.BDH("AMZN US Equity","XO_GL_NET_OF_TAX","FQ4 2009","FQ4 2009","Currency=USD","Period=FQ","BEST_FPERIOD_OVERRIDE=FQ","FILING_STATUS=MR","SCALING_FORMAT=MLN","Sort=A","Dates=H","DateFormat=P","Fill=—","Direction=H","UseDPDF=Y")</f>
        <v>0</v>
      </c>
      <c r="G47" s="13">
        <f>_xll.BDH("AMZN US Equity","XO_GL_NET_OF_TAX","FQ1 2010","FQ1 2010","Currency=USD","Period=FQ","BEST_FPERIOD_OVERRIDE=FQ","FILING_STATUS=MR","SCALING_FORMAT=MLN","Sort=A","Dates=H","DateFormat=P","Fill=—","Direction=H","UseDPDF=Y")</f>
        <v>0</v>
      </c>
      <c r="H47" s="13">
        <f>_xll.BDH("AMZN US Equity","XO_GL_NET_OF_TAX","FQ2 2010","FQ2 2010","Currency=USD","Period=FQ","BEST_FPERIOD_OVERRIDE=FQ","FILING_STATUS=MR","SCALING_FORMAT=MLN","Sort=A","Dates=H","DateFormat=P","Fill=—","Direction=H","UseDPDF=Y")</f>
        <v>0</v>
      </c>
      <c r="I47" s="13">
        <f>_xll.BDH("AMZN US Equity","XO_GL_NET_OF_TAX","FQ3 2010","FQ3 2010","Currency=USD","Period=FQ","BEST_FPERIOD_OVERRIDE=FQ","FILING_STATUS=MR","SCALING_FORMAT=MLN","Sort=A","Dates=H","DateFormat=P","Fill=—","Direction=H","UseDPDF=Y")</f>
        <v>0</v>
      </c>
      <c r="J47" s="13">
        <f>_xll.BDH("AMZN US Equity","XO_GL_NET_OF_TAX","FQ4 2010","FQ4 2010","Currency=USD","Period=FQ","BEST_FPERIOD_OVERRIDE=FQ","FILING_STATUS=MR","SCALING_FORMAT=MLN","Sort=A","Dates=H","DateFormat=P","Fill=—","Direction=H","UseDPDF=Y")</f>
        <v>0</v>
      </c>
      <c r="K47" s="13">
        <f>_xll.BDH("AMZN US Equity","XO_GL_NET_OF_TAX","FQ1 2011","FQ1 2011","Currency=USD","Period=FQ","BEST_FPERIOD_OVERRIDE=FQ","FILING_STATUS=MR","SCALING_FORMAT=MLN","Sort=A","Dates=H","DateFormat=P","Fill=—","Direction=H","UseDPDF=Y")</f>
        <v>0</v>
      </c>
      <c r="L47" s="13">
        <f>_xll.BDH("AMZN US Equity","XO_GL_NET_OF_TAX","FQ2 2011","FQ2 2011","Currency=USD","Period=FQ","BEST_FPERIOD_OVERRIDE=FQ","FILING_STATUS=MR","SCALING_FORMAT=MLN","Sort=A","Dates=H","DateFormat=P","Fill=—","Direction=H","UseDPDF=Y")</f>
        <v>0</v>
      </c>
      <c r="M47" s="13">
        <f>_xll.BDH("AMZN US Equity","XO_GL_NET_OF_TAX","FQ3 2011","FQ3 2011","Currency=USD","Period=FQ","BEST_FPERIOD_OVERRIDE=FQ","FILING_STATUS=MR","SCALING_FORMAT=MLN","Sort=A","Dates=H","DateFormat=P","Fill=—","Direction=H","UseDPDF=Y")</f>
        <v>0</v>
      </c>
      <c r="N47" s="13">
        <f>_xll.BDH("AMZN US Equity","XO_GL_NET_OF_TAX","FQ4 2011","FQ4 2011","Currency=USD","Period=FQ","BEST_FPERIOD_OVERRIDE=FQ","FILING_STATUS=MR","SCALING_FORMAT=MLN","Sort=A","Dates=H","DateFormat=P","Fill=—","Direction=H","UseDPDF=Y")</f>
        <v>0</v>
      </c>
      <c r="O47" s="13">
        <f>_xll.BDH("AMZN US Equity","XO_GL_NET_OF_TAX","FQ1 2012","FQ1 2012","Currency=USD","Period=FQ","BEST_FPERIOD_OVERRIDE=FQ","FILING_STATUS=MR","SCALING_FORMAT=MLN","Sort=A","Dates=H","DateFormat=P","Fill=—","Direction=H","UseDPDF=Y")</f>
        <v>0</v>
      </c>
      <c r="P47" s="13">
        <f>_xll.BDH("AMZN US Equity","XO_GL_NET_OF_TAX","FQ2 2012","FQ2 2012","Currency=USD","Period=FQ","BEST_FPERIOD_OVERRIDE=FQ","FILING_STATUS=MR","SCALING_FORMAT=MLN","Sort=A","Dates=H","DateFormat=P","Fill=—","Direction=H","UseDPDF=Y")</f>
        <v>0</v>
      </c>
      <c r="Q47" s="13">
        <f>_xll.BDH("AMZN US Equity","XO_GL_NET_OF_TAX","FQ3 2012","FQ3 2012","Currency=USD","Period=FQ","BEST_FPERIOD_OVERRIDE=FQ","FILING_STATUS=MR","SCALING_FORMAT=MLN","Sort=A","Dates=H","DateFormat=P","Fill=—","Direction=H","UseDPDF=Y")</f>
        <v>0</v>
      </c>
      <c r="R47" s="13">
        <f>_xll.BDH("AMZN US Equity","XO_GL_NET_OF_TAX","FQ4 2012","FQ4 2012","Currency=USD","Period=FQ","BEST_FPERIOD_OVERRIDE=FQ","FILING_STATUS=MR","SCALING_FORMAT=MLN","Sort=A","Dates=H","DateFormat=P","Fill=—","Direction=H","UseDPDF=Y")</f>
        <v>0</v>
      </c>
      <c r="S47" s="13">
        <f>_xll.BDH("AMZN US Equity","XO_GL_NET_OF_TAX","FQ1 2013","FQ1 2013","Currency=USD","Period=FQ","BEST_FPERIOD_OVERRIDE=FQ","FILING_STATUS=MR","SCALING_FORMAT=MLN","Sort=A","Dates=H","DateFormat=P","Fill=—","Direction=H","UseDPDF=Y")</f>
        <v>0</v>
      </c>
      <c r="T47" s="13">
        <f>_xll.BDH("AMZN US Equity","XO_GL_NET_OF_TAX","FQ2 2013","FQ2 2013","Currency=USD","Period=FQ","BEST_FPERIOD_OVERRIDE=FQ","FILING_STATUS=MR","SCALING_FORMAT=MLN","Sort=A","Dates=H","DateFormat=P","Fill=—","Direction=H","UseDPDF=Y")</f>
        <v>0</v>
      </c>
      <c r="U47" s="13">
        <f>_xll.BDH("AMZN US Equity","XO_GL_NET_OF_TAX","FQ3 2013","FQ3 2013","Currency=USD","Period=FQ","BEST_FPERIOD_OVERRIDE=FQ","FILING_STATUS=MR","SCALING_FORMAT=MLN","Sort=A","Dates=H","DateFormat=P","Fill=—","Direction=H","UseDPDF=Y")</f>
        <v>0</v>
      </c>
      <c r="V47" s="13">
        <f>_xll.BDH("AMZN US Equity","XO_GL_NET_OF_TAX","FQ4 2013","FQ4 2013","Currency=USD","Period=FQ","BEST_FPERIOD_OVERRIDE=FQ","FILING_STATUS=MR","SCALING_FORMAT=MLN","Sort=A","Dates=H","DateFormat=P","Fill=—","Direction=H","UseDPDF=Y")</f>
        <v>0</v>
      </c>
      <c r="W47" s="13">
        <f>_xll.BDH("AMZN US Equity","XO_GL_NET_OF_TAX","FQ1 2014","FQ1 2014","Currency=USD","Period=FQ","BEST_FPERIOD_OVERRIDE=FQ","FILING_STATUS=MR","SCALING_FORMAT=MLN","Sort=A","Dates=H","DateFormat=P","Fill=—","Direction=H","UseDPDF=Y")</f>
        <v>0</v>
      </c>
      <c r="X47" s="13">
        <f>_xll.BDH("AMZN US Equity","XO_GL_NET_OF_TAX","FQ2 2014","FQ2 2014","Currency=USD","Period=FQ","BEST_FPERIOD_OVERRIDE=FQ","FILING_STATUS=MR","SCALING_FORMAT=MLN","Sort=A","Dates=H","DateFormat=P","Fill=—","Direction=H","UseDPDF=Y")</f>
        <v>0</v>
      </c>
      <c r="Y47" s="13">
        <f>_xll.BDH("AMZN US Equity","XO_GL_NET_OF_TAX","FQ3 2014","FQ3 2014","Currency=USD","Period=FQ","BEST_FPERIOD_OVERRIDE=FQ","FILING_STATUS=MR","SCALING_FORMAT=MLN","Sort=A","Dates=H","DateFormat=P","Fill=—","Direction=H","UseDPDF=Y")</f>
        <v>0</v>
      </c>
      <c r="Z47" s="13">
        <f>_xll.BDH("AMZN US Equity","XO_GL_NET_OF_TAX","FQ4 2014","FQ4 2014","Currency=USD","Period=FQ","BEST_FPERIOD_OVERRIDE=FQ","FILING_STATUS=MR","SCALING_FORMAT=MLN","Sort=A","Dates=H","DateFormat=P","Fill=—","Direction=H","UseDPDF=Y")</f>
        <v>0</v>
      </c>
      <c r="AA47" s="13">
        <f>_xll.BDH("AMZN US Equity","XO_GL_NET_OF_TAX","FQ1 2015","FQ1 2015","Currency=USD","Period=FQ","BEST_FPERIOD_OVERRIDE=FQ","FILING_STATUS=MR","SCALING_FORMAT=MLN","Sort=A","Dates=H","DateFormat=P","Fill=—","Direction=H","UseDPDF=Y")</f>
        <v>0</v>
      </c>
      <c r="AB47" s="13">
        <f>_xll.BDH("AMZN US Equity","XO_GL_NET_OF_TAX","FQ2 2015","FQ2 2015","Currency=USD","Period=FQ","BEST_FPERIOD_OVERRIDE=FQ","FILING_STATUS=MR","SCALING_FORMAT=MLN","Sort=A","Dates=H","DateFormat=P","Fill=—","Direction=H","UseDPDF=Y")</f>
        <v>0</v>
      </c>
      <c r="AC47" s="13">
        <f>_xll.BDH("AMZN US Equity","XO_GL_NET_OF_TAX","FQ3 2015","FQ3 2015","Currency=USD","Period=FQ","BEST_FPERIOD_OVERRIDE=FQ","FILING_STATUS=MR","SCALING_FORMAT=MLN","Sort=A","Dates=H","DateFormat=P","Fill=—","Direction=H","UseDPDF=Y")</f>
        <v>0</v>
      </c>
      <c r="AD47" s="13">
        <f>_xll.BDH("AMZN US Equity","XO_GL_NET_OF_TAX","FQ4 2015","FQ4 2015","Currency=USD","Period=FQ","BEST_FPERIOD_OVERRIDE=FQ","FILING_STATUS=MR","SCALING_FORMAT=MLN","Sort=A","Dates=H","DateFormat=P","Fill=—","Direction=H","UseDPDF=Y")</f>
        <v>0</v>
      </c>
      <c r="AE47" s="13">
        <f>_xll.BDH("AMZN US Equity","XO_GL_NET_OF_TAX","FQ1 2016","FQ1 2016","Currency=USD","Period=FQ","BEST_FPERIOD_OVERRIDE=FQ","FILING_STATUS=MR","SCALING_FORMAT=MLN","Sort=A","Dates=H","DateFormat=P","Fill=—","Direction=H","UseDPDF=Y")</f>
        <v>0</v>
      </c>
      <c r="AF47" s="13">
        <f>_xll.BDH("AMZN US Equity","XO_GL_NET_OF_TAX","FQ2 2016","FQ2 2016","Currency=USD","Period=FQ","BEST_FPERIOD_OVERRIDE=FQ","FILING_STATUS=MR","SCALING_FORMAT=MLN","Sort=A","Dates=H","DateFormat=P","Fill=—","Direction=H","UseDPDF=Y")</f>
        <v>0</v>
      </c>
      <c r="AG47" s="13">
        <f>_xll.BDH("AMZN US Equity","XO_GL_NET_OF_TAX","FQ3 2016","FQ3 2016","Currency=USD","Period=FQ","BEST_FPERIOD_OVERRIDE=FQ","FILING_STATUS=MR","SCALING_FORMAT=MLN","Sort=A","Dates=H","DateFormat=P","Fill=—","Direction=H","UseDPDF=Y")</f>
        <v>0</v>
      </c>
      <c r="AH47" s="13">
        <f>_xll.BDH("AMZN US Equity","XO_GL_NET_OF_TAX","FQ4 2016","FQ4 2016","Currency=USD","Period=FQ","BEST_FPERIOD_OVERRIDE=FQ","FILING_STATUS=MR","SCALING_FORMAT=MLN","Sort=A","Dates=H","DateFormat=P","Fill=—","Direction=H","UseDPDF=Y")</f>
        <v>0</v>
      </c>
      <c r="AI47" s="13">
        <f>_xll.BDH("AMZN US Equity","XO_GL_NET_OF_TAX","FQ1 2017","FQ1 2017","Currency=USD","Period=FQ","BEST_FPERIOD_OVERRIDE=FQ","FILING_STATUS=MR","SCALING_FORMAT=MLN","Sort=A","Dates=H","DateFormat=P","Fill=—","Direction=H","UseDPDF=Y")</f>
        <v>0</v>
      </c>
      <c r="AJ47" s="13">
        <f>_xll.BDH("AMZN US Equity","XO_GL_NET_OF_TAX","FQ2 2017","FQ2 2017","Currency=USD","Period=FQ","BEST_FPERIOD_OVERRIDE=FQ","FILING_STATUS=MR","SCALING_FORMAT=MLN","Sort=A","Dates=H","DateFormat=P","Fill=—","Direction=H","UseDPDF=Y")</f>
        <v>0</v>
      </c>
      <c r="AK47" s="13">
        <f>_xll.BDH("AMZN US Equity","XO_GL_NET_OF_TAX","FQ3 2017","FQ3 2017","Currency=USD","Period=FQ","BEST_FPERIOD_OVERRIDE=FQ","FILING_STATUS=MR","SCALING_FORMAT=MLN","Sort=A","Dates=H","DateFormat=P","Fill=—","Direction=H","UseDPDF=Y")</f>
        <v>0</v>
      </c>
      <c r="AL47" s="13">
        <f>_xll.BDH("AMZN US Equity","XO_GL_NET_OF_TAX","FQ4 2017","FQ4 2017","Currency=USD","Period=FQ","BEST_FPERIOD_OVERRIDE=FQ","FILING_STATUS=MR","SCALING_FORMAT=MLN","Sort=A","Dates=H","DateFormat=P","Fill=—","Direction=H","UseDPDF=Y")</f>
        <v>0</v>
      </c>
      <c r="AM47" s="13">
        <f>_xll.BDH("AMZN US Equity","XO_GL_NET_OF_TAX","FQ1 2018","FQ1 2018","Currency=USD","Period=FQ","BEST_FPERIOD_OVERRIDE=FQ","FILING_STATUS=MR","SCALING_FORMAT=MLN","Sort=A","Dates=H","DateFormat=P","Fill=—","Direction=H","UseDPDF=Y")</f>
        <v>0</v>
      </c>
      <c r="AN47" s="13">
        <f>_xll.BDH("AMZN US Equity","XO_GL_NET_OF_TAX","FQ2 2018","FQ2 2018","Currency=USD","Period=FQ","BEST_FPERIOD_OVERRIDE=FQ","FILING_STATUS=MR","SCALING_FORMAT=MLN","Sort=A","Dates=H","DateFormat=P","Fill=—","Direction=H","UseDPDF=Y")</f>
        <v>0</v>
      </c>
      <c r="AO47" s="13"/>
      <c r="AP47" s="13"/>
    </row>
    <row r="48" spans="1:42" x14ac:dyDescent="0.25">
      <c r="A48" s="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</row>
    <row r="49" spans="1:42" x14ac:dyDescent="0.25">
      <c r="A49" s="10" t="s">
        <v>165</v>
      </c>
      <c r="B49" s="10" t="s">
        <v>166</v>
      </c>
      <c r="C49" s="13">
        <f>_xll.BDH("AMZN US Equity","IS_AVG_NUM_SH_FOR_EPS","FQ1 2009","FQ1 2009","Currency=USD","Period=FQ","BEST_FPERIOD_OVERRIDE=FQ","FILING_STATUS=MR","Sort=A","Dates=H","DateFormat=P","Fill=—","Direction=H","UseDPDF=Y")</f>
        <v>429</v>
      </c>
      <c r="D49" s="13">
        <f>_xll.BDH("AMZN US Equity","IS_AVG_NUM_SH_FOR_EPS","FQ2 2009","FQ2 2009","Currency=USD","Period=FQ","BEST_FPERIOD_OVERRIDE=FQ","FILING_STATUS=MR","Sort=A","Dates=H","DateFormat=P","Fill=—","Direction=H","UseDPDF=Y")</f>
        <v>431</v>
      </c>
      <c r="E49" s="13">
        <f>_xll.BDH("AMZN US Equity","IS_AVG_NUM_SH_FOR_EPS","FQ3 2009","FQ3 2009","Currency=USD","Period=FQ","BEST_FPERIOD_OVERRIDE=FQ","FILING_STATUS=MR","Sort=A","Dates=H","DateFormat=P","Fill=—","Direction=H","UseDPDF=Y")</f>
        <v>432</v>
      </c>
      <c r="F49" s="13">
        <f>_xll.BDH("AMZN US Equity","IS_AVG_NUM_SH_FOR_EPS","FQ4 2009","FQ4 2009","Currency=USD","Period=FQ","BEST_FPERIOD_OVERRIDE=FQ","FILING_STATUS=MR","Sort=A","Dates=H","DateFormat=P","Fill=—","Direction=H","UseDPDF=Y")</f>
        <v>440</v>
      </c>
      <c r="G49" s="13">
        <f>_xll.BDH("AMZN US Equity","IS_AVG_NUM_SH_FOR_EPS","FQ1 2010","FQ1 2010","Currency=USD","Period=FQ","BEST_FPERIOD_OVERRIDE=FQ","FILING_STATUS=MR","Sort=A","Dates=H","DateFormat=P","Fill=—","Direction=H","UseDPDF=Y")</f>
        <v>445</v>
      </c>
      <c r="H49" s="13">
        <f>_xll.BDH("AMZN US Equity","IS_AVG_NUM_SH_FOR_EPS","FQ2 2010","FQ2 2010","Currency=USD","Period=FQ","BEST_FPERIOD_OVERRIDE=FQ","FILING_STATUS=MR","Sort=A","Dates=H","DateFormat=P","Fill=—","Direction=H","UseDPDF=Y")</f>
        <v>447</v>
      </c>
      <c r="I49" s="13">
        <f>_xll.BDH("AMZN US Equity","IS_AVG_NUM_SH_FOR_EPS","FQ3 2010","FQ3 2010","Currency=USD","Period=FQ","BEST_FPERIOD_OVERRIDE=FQ","FILING_STATUS=MR","Sort=A","Dates=H","DateFormat=P","Fill=—","Direction=H","UseDPDF=Y")</f>
        <v>448</v>
      </c>
      <c r="J49" s="13">
        <f>_xll.BDH("AMZN US Equity","IS_AVG_NUM_SH_FOR_EPS","FQ4 2010","FQ4 2010","Currency=USD","Period=FQ","BEST_FPERIOD_OVERRIDE=FQ","FILING_STATUS=MR","Sort=A","Dates=H","DateFormat=P","Fill=—","Direction=H","UseDPDF=Y")</f>
        <v>450</v>
      </c>
      <c r="K49" s="13">
        <f>_xll.BDH("AMZN US Equity","IS_AVG_NUM_SH_FOR_EPS","FQ1 2011","FQ1 2011","Currency=USD","Period=FQ","BEST_FPERIOD_OVERRIDE=FQ","FILING_STATUS=MR","Sort=A","Dates=H","DateFormat=P","Fill=—","Direction=H","UseDPDF=Y")</f>
        <v>451</v>
      </c>
      <c r="L49" s="13">
        <f>_xll.BDH("AMZN US Equity","IS_AVG_NUM_SH_FOR_EPS","FQ2 2011","FQ2 2011","Currency=USD","Period=FQ","BEST_FPERIOD_OVERRIDE=FQ","FILING_STATUS=MR","Sort=A","Dates=H","DateFormat=P","Fill=—","Direction=H","UseDPDF=Y")</f>
        <v>453</v>
      </c>
      <c r="M49" s="13">
        <f>_xll.BDH("AMZN US Equity","IS_AVG_NUM_SH_FOR_EPS","FQ3 2011","FQ3 2011","Currency=USD","Period=FQ","BEST_FPERIOD_OVERRIDE=FQ","FILING_STATUS=MR","Sort=A","Dates=H","DateFormat=P","Fill=—","Direction=H","UseDPDF=Y")</f>
        <v>454</v>
      </c>
      <c r="N49" s="13">
        <f>_xll.BDH("AMZN US Equity","IS_AVG_NUM_SH_FOR_EPS","FQ4 2011","FQ4 2011","Currency=USD","Period=FQ","BEST_FPERIOD_OVERRIDE=FQ","FILING_STATUS=MR","Sort=A","Dates=H","DateFormat=P","Fill=—","Direction=H","UseDPDF=Y")</f>
        <v>455</v>
      </c>
      <c r="O49" s="13">
        <f>_xll.BDH("AMZN US Equity","IS_AVG_NUM_SH_FOR_EPS","FQ1 2012","FQ1 2012","Currency=USD","Period=FQ","BEST_FPERIOD_OVERRIDE=FQ","FILING_STATUS=MR","Sort=A","Dates=H","DateFormat=P","Fill=—","Direction=H","UseDPDF=Y")</f>
        <v>453</v>
      </c>
      <c r="P49" s="13">
        <f>_xll.BDH("AMZN US Equity","IS_AVG_NUM_SH_FOR_EPS","FQ2 2012","FQ2 2012","Currency=USD","Period=FQ","BEST_FPERIOD_OVERRIDE=FQ","FILING_STATUS=MR","Sort=A","Dates=H","DateFormat=P","Fill=—","Direction=H","UseDPDF=Y")</f>
        <v>451</v>
      </c>
      <c r="Q49" s="13">
        <f>_xll.BDH("AMZN US Equity","IS_AVG_NUM_SH_FOR_EPS","FQ3 2012","FQ3 2012","Currency=USD","Period=FQ","BEST_FPERIOD_OVERRIDE=FQ","FILING_STATUS=MR","Sort=A","Dates=H","DateFormat=P","Fill=—","Direction=H","UseDPDF=Y")</f>
        <v>452</v>
      </c>
      <c r="R49" s="13">
        <f>_xll.BDH("AMZN US Equity","IS_AVG_NUM_SH_FOR_EPS","FQ4 2012","FQ4 2012","Currency=USD","Period=FQ","BEST_FPERIOD_OVERRIDE=FQ","FILING_STATUS=MR","Sort=A","Dates=H","DateFormat=P","Fill=—","Direction=H","UseDPDF=Y")</f>
        <v>454</v>
      </c>
      <c r="S49" s="13">
        <f>_xll.BDH("AMZN US Equity","IS_AVG_NUM_SH_FOR_EPS","FQ1 2013","FQ1 2013","Currency=USD","Period=FQ","BEST_FPERIOD_OVERRIDE=FQ","FILING_STATUS=MR","Sort=A","Dates=H","DateFormat=P","Fill=—","Direction=H","UseDPDF=Y")</f>
        <v>455</v>
      </c>
      <c r="T49" s="13">
        <f>_xll.BDH("AMZN US Equity","IS_AVG_NUM_SH_FOR_EPS","FQ2 2013","FQ2 2013","Currency=USD","Period=FQ","BEST_FPERIOD_OVERRIDE=FQ","FILING_STATUS=MR","Sort=A","Dates=H","DateFormat=P","Fill=—","Direction=H","UseDPDF=Y")</f>
        <v>456</v>
      </c>
      <c r="U49" s="13">
        <f>_xll.BDH("AMZN US Equity","IS_AVG_NUM_SH_FOR_EPS","FQ3 2013","FQ3 2013","Currency=USD","Period=FQ","BEST_FPERIOD_OVERRIDE=FQ","FILING_STATUS=MR","Sort=A","Dates=H","DateFormat=P","Fill=—","Direction=H","UseDPDF=Y")</f>
        <v>457</v>
      </c>
      <c r="V49" s="13">
        <f>_xll.BDH("AMZN US Equity","IS_AVG_NUM_SH_FOR_EPS","FQ4 2013","FQ4 2013","Currency=USD","Period=FQ","BEST_FPERIOD_OVERRIDE=FQ","FILING_STATUS=MR","Sort=A","Dates=H","DateFormat=P","Fill=—","Direction=H","UseDPDF=Y")</f>
        <v>458</v>
      </c>
      <c r="W49" s="13">
        <f>_xll.BDH("AMZN US Equity","IS_AVG_NUM_SH_FOR_EPS","FQ1 2014","FQ1 2014","Currency=USD","Period=FQ","BEST_FPERIOD_OVERRIDE=FQ","FILING_STATUS=MR","Sort=A","Dates=H","DateFormat=P","Fill=—","Direction=H","UseDPDF=Y")</f>
        <v>460</v>
      </c>
      <c r="X49" s="13">
        <f>_xll.BDH("AMZN US Equity","IS_AVG_NUM_SH_FOR_EPS","FQ2 2014","FQ2 2014","Currency=USD","Period=FQ","BEST_FPERIOD_OVERRIDE=FQ","FILING_STATUS=MR","Sort=A","Dates=H","DateFormat=P","Fill=—","Direction=H","UseDPDF=Y")</f>
        <v>461</v>
      </c>
      <c r="Y49" s="13">
        <f>_xll.BDH("AMZN US Equity","IS_AVG_NUM_SH_FOR_EPS","FQ3 2014","FQ3 2014","Currency=USD","Period=FQ","BEST_FPERIOD_OVERRIDE=FQ","FILING_STATUS=MR","Sort=A","Dates=H","DateFormat=P","Fill=—","Direction=H","UseDPDF=Y")</f>
        <v>463</v>
      </c>
      <c r="Z49" s="13">
        <f>_xll.BDH("AMZN US Equity","IS_AVG_NUM_SH_FOR_EPS","FQ4 2014","FQ4 2014","Currency=USD","Period=FQ","BEST_FPERIOD_OVERRIDE=FQ","FILING_STATUS=MR","Sort=A","Dates=H","DateFormat=P","Fill=—","Direction=H","UseDPDF=Y")</f>
        <v>464</v>
      </c>
      <c r="AA49" s="13">
        <f>_xll.BDH("AMZN US Equity","IS_AVG_NUM_SH_FOR_EPS","FQ1 2015","FQ1 2015","Currency=USD","Period=FQ","BEST_FPERIOD_OVERRIDE=FQ","FILING_STATUS=MR","Sort=A","Dates=H","DateFormat=P","Fill=—","Direction=H","UseDPDF=Y")</f>
        <v>465</v>
      </c>
      <c r="AB49" s="13">
        <f>_xll.BDH("AMZN US Equity","IS_AVG_NUM_SH_FOR_EPS","FQ2 2015","FQ2 2015","Currency=USD","Period=FQ","BEST_FPERIOD_OVERRIDE=FQ","FILING_STATUS=MR","Sort=A","Dates=H","DateFormat=P","Fill=—","Direction=H","UseDPDF=Y")</f>
        <v>467</v>
      </c>
      <c r="AC49" s="13">
        <f>_xll.BDH("AMZN US Equity","IS_AVG_NUM_SH_FOR_EPS","FQ3 2015","FQ3 2015","Currency=USD","Period=FQ","BEST_FPERIOD_OVERRIDE=FQ","FILING_STATUS=MR","Sort=A","Dates=H","DateFormat=P","Fill=—","Direction=H","UseDPDF=Y")</f>
        <v>468</v>
      </c>
      <c r="AD49" s="13">
        <f>_xll.BDH("AMZN US Equity","IS_AVG_NUM_SH_FOR_EPS","FQ4 2015","FQ4 2015","Currency=USD","Period=FQ","BEST_FPERIOD_OVERRIDE=FQ","FILING_STATUS=MR","Sort=A","Dates=H","DateFormat=P","Fill=—","Direction=H","UseDPDF=Y")</f>
        <v>470</v>
      </c>
      <c r="AE49" s="13">
        <f>_xll.BDH("AMZN US Equity","IS_AVG_NUM_SH_FOR_EPS","FQ1 2016","FQ1 2016","Currency=USD","Period=FQ","BEST_FPERIOD_OVERRIDE=FQ","FILING_STATUS=MR","Sort=A","Dates=H","DateFormat=P","Fill=—","Direction=H","UseDPDF=Y")</f>
        <v>471</v>
      </c>
      <c r="AF49" s="13">
        <f>_xll.BDH("AMZN US Equity","IS_AVG_NUM_SH_FOR_EPS","FQ2 2016","FQ2 2016","Currency=USD","Period=FQ","BEST_FPERIOD_OVERRIDE=FQ","FILING_STATUS=MR","Sort=A","Dates=H","DateFormat=P","Fill=—","Direction=H","UseDPDF=Y")</f>
        <v>473</v>
      </c>
      <c r="AG49" s="13">
        <f>_xll.BDH("AMZN US Equity","IS_AVG_NUM_SH_FOR_EPS","FQ3 2016","FQ3 2016","Currency=USD","Period=FQ","BEST_FPERIOD_OVERRIDE=FQ","FILING_STATUS=MR","Sort=A","Dates=H","DateFormat=P","Fill=—","Direction=H","UseDPDF=Y")</f>
        <v>474</v>
      </c>
      <c r="AH49" s="13">
        <f>_xll.BDH("AMZN US Equity","IS_AVG_NUM_SH_FOR_EPS","FQ4 2016","FQ4 2016","Currency=USD","Period=FQ","BEST_FPERIOD_OVERRIDE=FQ","FILING_STATUS=MR","Sort=A","Dates=H","DateFormat=P","Fill=—","Direction=H","UseDPDF=Y")</f>
        <v>476</v>
      </c>
      <c r="AI49" s="13">
        <f>_xll.BDH("AMZN US Equity","IS_AVG_NUM_SH_FOR_EPS","FQ1 2017","FQ1 2017","Currency=USD","Period=FQ","BEST_FPERIOD_OVERRIDE=FQ","FILING_STATUS=MR","Sort=A","Dates=H","DateFormat=P","Fill=—","Direction=H","UseDPDF=Y")</f>
        <v>477</v>
      </c>
      <c r="AJ49" s="13">
        <f>_xll.BDH("AMZN US Equity","IS_AVG_NUM_SH_FOR_EPS","FQ2 2017","FQ2 2017","Currency=USD","Period=FQ","BEST_FPERIOD_OVERRIDE=FQ","FILING_STATUS=MR","Sort=A","Dates=H","DateFormat=P","Fill=—","Direction=H","UseDPDF=Y")</f>
        <v>479</v>
      </c>
      <c r="AK49" s="13">
        <f>_xll.BDH("AMZN US Equity","IS_AVG_NUM_SH_FOR_EPS","FQ3 2017","FQ3 2017","Currency=USD","Period=FQ","BEST_FPERIOD_OVERRIDE=FQ","FILING_STATUS=MR","Sort=A","Dates=H","DateFormat=P","Fill=—","Direction=H","UseDPDF=Y")</f>
        <v>481</v>
      </c>
      <c r="AL49" s="13">
        <f>_xll.BDH("AMZN US Equity","IS_AVG_NUM_SH_FOR_EPS","FQ4 2017","FQ4 2017","Currency=USD","Period=FQ","BEST_FPERIOD_OVERRIDE=FQ","FILING_STATUS=MR","Sort=A","Dates=H","DateFormat=P","Fill=—","Direction=H","UseDPDF=Y")</f>
        <v>483</v>
      </c>
      <c r="AM49" s="13">
        <f>_xll.BDH("AMZN US Equity","IS_AVG_NUM_SH_FOR_EPS","FQ1 2018","FQ1 2018","Currency=USD","Period=FQ","BEST_FPERIOD_OVERRIDE=FQ","FILING_STATUS=MR","Sort=A","Dates=H","DateFormat=P","Fill=—","Direction=H","UseDPDF=Y")</f>
        <v>484</v>
      </c>
      <c r="AN49" s="13">
        <f>_xll.BDH("AMZN US Equity","IS_AVG_NUM_SH_FOR_EPS","FQ2 2018","FQ2 2018","Currency=USD","Period=FQ","BEST_FPERIOD_OVERRIDE=FQ","FILING_STATUS=MR","Sort=A","Dates=H","DateFormat=P","Fill=—","Direction=H","UseDPDF=Y")</f>
        <v>486</v>
      </c>
      <c r="AO49" s="13"/>
      <c r="AP49" s="13"/>
    </row>
    <row r="50" spans="1:42" x14ac:dyDescent="0.25">
      <c r="A50" s="6" t="s">
        <v>167</v>
      </c>
      <c r="B50" s="6" t="s">
        <v>168</v>
      </c>
      <c r="C50" s="18">
        <f>_xll.BDH("AMZN US Equity","IS_EPS","FQ1 2009","FQ1 2009","Currency=USD","Period=FQ","BEST_FPERIOD_OVERRIDE=FQ","FILING_STATUS=MR","FA_ADJUSTED=GAAP","Sort=A","Dates=H","DateFormat=P","Fill=—","Direction=H","UseDPDF=Y")</f>
        <v>0.41</v>
      </c>
      <c r="D50" s="18">
        <f>_xll.BDH("AMZN US Equity","IS_EPS","FQ2 2009","FQ2 2009","Currency=USD","Period=FQ","BEST_FPERIOD_OVERRIDE=FQ","FILING_STATUS=MR","FA_ADJUSTED=GAAP","Sort=A","Dates=H","DateFormat=P","Fill=—","Direction=H","UseDPDF=Y")</f>
        <v>0.33</v>
      </c>
      <c r="E50" s="18">
        <f>_xll.BDH("AMZN US Equity","IS_EPS","FQ3 2009","FQ3 2009","Currency=USD","Period=FQ","BEST_FPERIOD_OVERRIDE=FQ","FILING_STATUS=MR","FA_ADJUSTED=GAAP","Sort=A","Dates=H","DateFormat=P","Fill=—","Direction=H","UseDPDF=Y")</f>
        <v>0.46</v>
      </c>
      <c r="F50" s="18">
        <f>_xll.BDH("AMZN US Equity","IS_EPS","FQ4 2009","FQ4 2009","Currency=USD","Period=FQ","BEST_FPERIOD_OVERRIDE=FQ","FILING_STATUS=MR","FA_ADJUSTED=GAAP","Sort=A","Dates=H","DateFormat=P","Fill=—","Direction=H","UseDPDF=Y")</f>
        <v>0.87</v>
      </c>
      <c r="G50" s="18">
        <f>_xll.BDH("AMZN US Equity","IS_EPS","FQ1 2010","FQ1 2010","Currency=USD","Period=FQ","BEST_FPERIOD_OVERRIDE=FQ","FILING_STATUS=MR","FA_ADJUSTED=GAAP","Sort=A","Dates=H","DateFormat=P","Fill=—","Direction=H","UseDPDF=Y")</f>
        <v>0.67</v>
      </c>
      <c r="H50" s="18">
        <f>_xll.BDH("AMZN US Equity","IS_EPS","FQ2 2010","FQ2 2010","Currency=USD","Period=FQ","BEST_FPERIOD_OVERRIDE=FQ","FILING_STATUS=MR","FA_ADJUSTED=GAAP","Sort=A","Dates=H","DateFormat=P","Fill=—","Direction=H","UseDPDF=Y")</f>
        <v>0.46</v>
      </c>
      <c r="I50" s="18">
        <f>_xll.BDH("AMZN US Equity","IS_EPS","FQ3 2010","FQ3 2010","Currency=USD","Period=FQ","BEST_FPERIOD_OVERRIDE=FQ","FILING_STATUS=MR","FA_ADJUSTED=GAAP","Sort=A","Dates=H","DateFormat=P","Fill=—","Direction=H","UseDPDF=Y")</f>
        <v>0.51</v>
      </c>
      <c r="J50" s="18">
        <f>_xll.BDH("AMZN US Equity","IS_EPS","FQ4 2010","FQ4 2010","Currency=USD","Period=FQ","BEST_FPERIOD_OVERRIDE=FQ","FILING_STATUS=MR","FA_ADJUSTED=GAAP","Sort=A","Dates=H","DateFormat=P","Fill=—","Direction=H","UseDPDF=Y")</f>
        <v>0.93</v>
      </c>
      <c r="K50" s="18">
        <f>_xll.BDH("AMZN US Equity","IS_EPS","FQ1 2011","FQ1 2011","Currency=USD","Period=FQ","BEST_FPERIOD_OVERRIDE=FQ","FILING_STATUS=MR","FA_ADJUSTED=GAAP","Sort=A","Dates=H","DateFormat=P","Fill=—","Direction=H","UseDPDF=Y")</f>
        <v>0.44</v>
      </c>
      <c r="L50" s="18">
        <f>_xll.BDH("AMZN US Equity","IS_EPS","FQ2 2011","FQ2 2011","Currency=USD","Period=FQ","BEST_FPERIOD_OVERRIDE=FQ","FILING_STATUS=MR","FA_ADJUSTED=GAAP","Sort=A","Dates=H","DateFormat=P","Fill=—","Direction=H","UseDPDF=Y")</f>
        <v>0.42</v>
      </c>
      <c r="M50" s="18">
        <f>_xll.BDH("AMZN US Equity","IS_EPS","FQ3 2011","FQ3 2011","Currency=USD","Period=FQ","BEST_FPERIOD_OVERRIDE=FQ","FILING_STATUS=MR","FA_ADJUSTED=GAAP","Sort=A","Dates=H","DateFormat=P","Fill=—","Direction=H","UseDPDF=Y")</f>
        <v>0.14000000000000001</v>
      </c>
      <c r="N50" s="18">
        <f>_xll.BDH("AMZN US Equity","IS_EPS","FQ4 2011","FQ4 2011","Currency=USD","Period=FQ","BEST_FPERIOD_OVERRIDE=FQ","FILING_STATUS=MR","FA_ADJUSTED=GAAP","Sort=A","Dates=H","DateFormat=P","Fill=—","Direction=H","UseDPDF=Y")</f>
        <v>0.39</v>
      </c>
      <c r="O50" s="18">
        <f>_xll.BDH("AMZN US Equity","IS_EPS","FQ1 2012","FQ1 2012","Currency=USD","Period=FQ","BEST_FPERIOD_OVERRIDE=FQ","FILING_STATUS=MR","FA_ADJUSTED=GAAP","Sort=A","Dates=H","DateFormat=P","Fill=—","Direction=H","UseDPDF=Y")</f>
        <v>0.28999999999999998</v>
      </c>
      <c r="P50" s="18">
        <f>_xll.BDH("AMZN US Equity","IS_EPS","FQ2 2012","FQ2 2012","Currency=USD","Period=FQ","BEST_FPERIOD_OVERRIDE=FQ","FILING_STATUS=MR","FA_ADJUSTED=GAAP","Sort=A","Dates=H","DateFormat=P","Fill=—","Direction=H","UseDPDF=Y")</f>
        <v>0.02</v>
      </c>
      <c r="Q50" s="18">
        <f>_xll.BDH("AMZN US Equity","IS_EPS","FQ3 2012","FQ3 2012","Currency=USD","Period=FQ","BEST_FPERIOD_OVERRIDE=FQ","FILING_STATUS=MR","FA_ADJUSTED=GAAP","Sort=A","Dates=H","DateFormat=P","Fill=—","Direction=H","UseDPDF=Y")</f>
        <v>-0.6</v>
      </c>
      <c r="R50" s="18">
        <f>_xll.BDH("AMZN US Equity","IS_EPS","FQ4 2012","FQ4 2012","Currency=USD","Period=FQ","BEST_FPERIOD_OVERRIDE=FQ","FILING_STATUS=MR","FA_ADJUSTED=GAAP","Sort=A","Dates=H","DateFormat=P","Fill=—","Direction=H","UseDPDF=Y")</f>
        <v>0.21</v>
      </c>
      <c r="S50" s="18">
        <f>_xll.BDH("AMZN US Equity","IS_EPS","FQ1 2013","FQ1 2013","Currency=USD","Period=FQ","BEST_FPERIOD_OVERRIDE=FQ","FILING_STATUS=MR","FA_ADJUSTED=GAAP","Sort=A","Dates=H","DateFormat=P","Fill=—","Direction=H","UseDPDF=Y")</f>
        <v>0.18</v>
      </c>
      <c r="T50" s="18">
        <f>_xll.BDH("AMZN US Equity","IS_EPS","FQ2 2013","FQ2 2013","Currency=USD","Period=FQ","BEST_FPERIOD_OVERRIDE=FQ","FILING_STATUS=MR","FA_ADJUSTED=GAAP","Sort=A","Dates=H","DateFormat=P","Fill=—","Direction=H","UseDPDF=Y")</f>
        <v>-0.02</v>
      </c>
      <c r="U50" s="18">
        <f>_xll.BDH("AMZN US Equity","IS_EPS","FQ3 2013","FQ3 2013","Currency=USD","Period=FQ","BEST_FPERIOD_OVERRIDE=FQ","FILING_STATUS=MR","FA_ADJUSTED=GAAP","Sort=A","Dates=H","DateFormat=P","Fill=—","Direction=H","UseDPDF=Y")</f>
        <v>-0.09</v>
      </c>
      <c r="V50" s="18">
        <f>_xll.BDH("AMZN US Equity","IS_EPS","FQ4 2013","FQ4 2013","Currency=USD","Period=FQ","BEST_FPERIOD_OVERRIDE=FQ","FILING_STATUS=MR","FA_ADJUSTED=GAAP","Sort=A","Dates=H","DateFormat=P","Fill=—","Direction=H","UseDPDF=Y")</f>
        <v>0.52</v>
      </c>
      <c r="W50" s="18">
        <f>_xll.BDH("AMZN US Equity","IS_EPS","FQ1 2014","FQ1 2014","Currency=USD","Period=FQ","BEST_FPERIOD_OVERRIDE=FQ","FILING_STATUS=MR","FA_ADJUSTED=GAAP","Sort=A","Dates=H","DateFormat=P","Fill=—","Direction=H","UseDPDF=Y")</f>
        <v>0.23</v>
      </c>
      <c r="X50" s="18">
        <f>_xll.BDH("AMZN US Equity","IS_EPS","FQ2 2014","FQ2 2014","Currency=USD","Period=FQ","BEST_FPERIOD_OVERRIDE=FQ","FILING_STATUS=MR","FA_ADJUSTED=GAAP","Sort=A","Dates=H","DateFormat=P","Fill=—","Direction=H","UseDPDF=Y")</f>
        <v>-0.27</v>
      </c>
      <c r="Y50" s="18">
        <f>_xll.BDH("AMZN US Equity","IS_EPS","FQ3 2014","FQ3 2014","Currency=USD","Period=FQ","BEST_FPERIOD_OVERRIDE=FQ","FILING_STATUS=MR","FA_ADJUSTED=GAAP","Sort=A","Dates=H","DateFormat=P","Fill=—","Direction=H","UseDPDF=Y")</f>
        <v>-0.95</v>
      </c>
      <c r="Z50" s="18">
        <f>_xll.BDH("AMZN US Equity","IS_EPS","FQ4 2014","FQ4 2014","Currency=USD","Period=FQ","BEST_FPERIOD_OVERRIDE=FQ","FILING_STATUS=MR","FA_ADJUSTED=GAAP","Sort=A","Dates=H","DateFormat=P","Fill=—","Direction=H","UseDPDF=Y")</f>
        <v>0.46</v>
      </c>
      <c r="AA50" s="18">
        <f>_xll.BDH("AMZN US Equity","IS_EPS","FQ1 2015","FQ1 2015","Currency=USD","Period=FQ","BEST_FPERIOD_OVERRIDE=FQ","FILING_STATUS=MR","FA_ADJUSTED=GAAP","Sort=A","Dates=H","DateFormat=P","Fill=—","Direction=H","UseDPDF=Y")</f>
        <v>-0.12</v>
      </c>
      <c r="AB50" s="18">
        <f>_xll.BDH("AMZN US Equity","IS_EPS","FQ2 2015","FQ2 2015","Currency=USD","Period=FQ","BEST_FPERIOD_OVERRIDE=FQ","FILING_STATUS=MR","FA_ADJUSTED=GAAP","Sort=A","Dates=H","DateFormat=P","Fill=—","Direction=H","UseDPDF=Y")</f>
        <v>0.2</v>
      </c>
      <c r="AC50" s="18">
        <f>_xll.BDH("AMZN US Equity","IS_EPS","FQ3 2015","FQ3 2015","Currency=USD","Period=FQ","BEST_FPERIOD_OVERRIDE=FQ","FILING_STATUS=MR","FA_ADJUSTED=GAAP","Sort=A","Dates=H","DateFormat=P","Fill=—","Direction=H","UseDPDF=Y")</f>
        <v>0.17</v>
      </c>
      <c r="AD50" s="18">
        <f>_xll.BDH("AMZN US Equity","IS_EPS","FQ4 2015","FQ4 2015","Currency=USD","Period=FQ","BEST_FPERIOD_OVERRIDE=FQ","FILING_STATUS=MR","FA_ADJUSTED=GAAP","Sort=A","Dates=H","DateFormat=P","Fill=—","Direction=H","UseDPDF=Y")</f>
        <v>1.03</v>
      </c>
      <c r="AE50" s="18">
        <f>_xll.BDH("AMZN US Equity","IS_EPS","FQ1 2016","FQ1 2016","Currency=USD","Period=FQ","BEST_FPERIOD_OVERRIDE=FQ","FILING_STATUS=MR","FA_ADJUSTED=GAAP","Sort=A","Dates=H","DateFormat=P","Fill=—","Direction=H","UseDPDF=Y")</f>
        <v>1.0900000000000001</v>
      </c>
      <c r="AF50" s="18">
        <f>_xll.BDH("AMZN US Equity","IS_EPS","FQ2 2016","FQ2 2016","Currency=USD","Period=FQ","BEST_FPERIOD_OVERRIDE=FQ","FILING_STATUS=MR","FA_ADJUSTED=GAAP","Sort=A","Dates=H","DateFormat=P","Fill=—","Direction=H","UseDPDF=Y")</f>
        <v>1.81</v>
      </c>
      <c r="AG50" s="18">
        <f>_xll.BDH("AMZN US Equity","IS_EPS","FQ3 2016","FQ3 2016","Currency=USD","Period=FQ","BEST_FPERIOD_OVERRIDE=FQ","FILING_STATUS=MR","FA_ADJUSTED=GAAP","Sort=A","Dates=H","DateFormat=P","Fill=—","Direction=H","UseDPDF=Y")</f>
        <v>0.53</v>
      </c>
      <c r="AH50" s="18">
        <f>_xll.BDH("AMZN US Equity","IS_EPS","FQ4 2016","FQ4 2016","Currency=USD","Period=FQ","BEST_FPERIOD_OVERRIDE=FQ","FILING_STATUS=MR","FA_ADJUSTED=GAAP","Sort=A","Dates=H","DateFormat=P","Fill=—","Direction=H","UseDPDF=Y")</f>
        <v>1.5699999999999998</v>
      </c>
      <c r="AI50" s="18">
        <f>_xll.BDH("AMZN US Equity","IS_EPS","FQ1 2017","FQ1 2017","Currency=USD","Period=FQ","BEST_FPERIOD_OVERRIDE=FQ","FILING_STATUS=MR","FA_ADJUSTED=GAAP","Sort=A","Dates=H","DateFormat=P","Fill=—","Direction=H","UseDPDF=Y")</f>
        <v>1.52</v>
      </c>
      <c r="AJ50" s="18">
        <f>_xll.BDH("AMZN US Equity","IS_EPS","FQ2 2017","FQ2 2017","Currency=USD","Period=FQ","BEST_FPERIOD_OVERRIDE=FQ","FILING_STATUS=MR","FA_ADJUSTED=GAAP","Sort=A","Dates=H","DateFormat=P","Fill=—","Direction=H","UseDPDF=Y")</f>
        <v>0.41</v>
      </c>
      <c r="AK50" s="18">
        <f>_xll.BDH("AMZN US Equity","IS_EPS","FQ3 2017","FQ3 2017","Currency=USD","Period=FQ","BEST_FPERIOD_OVERRIDE=FQ","FILING_STATUS=MR","FA_ADJUSTED=GAAP","Sort=A","Dates=H","DateFormat=P","Fill=—","Direction=H","UseDPDF=Y")</f>
        <v>0.53</v>
      </c>
      <c r="AL50" s="18">
        <f>_xll.BDH("AMZN US Equity","IS_EPS","FQ4 2017","FQ4 2017","Currency=USD","Period=FQ","BEST_FPERIOD_OVERRIDE=FQ","FILING_STATUS=MR","FA_ADJUSTED=GAAP","Sort=A","Dates=H","DateFormat=P","Fill=—","Direction=H","UseDPDF=Y")</f>
        <v>3.85</v>
      </c>
      <c r="AM50" s="18">
        <f>_xll.BDH("AMZN US Equity","IS_EPS","FQ1 2018","FQ1 2018","Currency=USD","Period=FQ","BEST_FPERIOD_OVERRIDE=FQ","FILING_STATUS=MR","FA_ADJUSTED=GAAP","Sort=A","Dates=H","DateFormat=P","Fill=—","Direction=H","UseDPDF=Y")</f>
        <v>3.36</v>
      </c>
      <c r="AN50" s="18">
        <f>_xll.BDH("AMZN US Equity","IS_EPS","FQ2 2018","FQ2 2018","Currency=USD","Period=FQ","BEST_FPERIOD_OVERRIDE=FQ","FILING_STATUS=MR","FA_ADJUSTED=GAAP","Sort=A","Dates=H","DateFormat=P","Fill=—","Direction=H","UseDPDF=Y")</f>
        <v>5.21</v>
      </c>
      <c r="AO50" s="18">
        <v>3.113</v>
      </c>
      <c r="AP50" s="18">
        <v>5.7939999999999996</v>
      </c>
    </row>
    <row r="51" spans="1:42" x14ac:dyDescent="0.25">
      <c r="A51" s="6" t="s">
        <v>169</v>
      </c>
      <c r="B51" s="6" t="s">
        <v>170</v>
      </c>
      <c r="C51" s="18">
        <f>_xll.BDH("AMZN US Equity","IS_EARN_BEF_XO_ITEMS_PER_SH","FQ1 2009","FQ1 2009","Currency=USD","Period=FQ","BEST_FPERIOD_OVERRIDE=FQ","FILING_STATUS=MR","Sort=A","Dates=H","DateFormat=P","Fill=—","Direction=H","UseDPDF=Y")</f>
        <v>0.41</v>
      </c>
      <c r="D51" s="18">
        <f>_xll.BDH("AMZN US Equity","IS_EARN_BEF_XO_ITEMS_PER_SH","FQ2 2009","FQ2 2009","Currency=USD","Period=FQ","BEST_FPERIOD_OVERRIDE=FQ","FILING_STATUS=MR","Sort=A","Dates=H","DateFormat=P","Fill=—","Direction=H","UseDPDF=Y")</f>
        <v>0.33</v>
      </c>
      <c r="E51" s="18">
        <f>_xll.BDH("AMZN US Equity","IS_EARN_BEF_XO_ITEMS_PER_SH","FQ3 2009","FQ3 2009","Currency=USD","Period=FQ","BEST_FPERIOD_OVERRIDE=FQ","FILING_STATUS=MR","Sort=A","Dates=H","DateFormat=P","Fill=—","Direction=H","UseDPDF=Y")</f>
        <v>0.46</v>
      </c>
      <c r="F51" s="18">
        <f>_xll.BDH("AMZN US Equity","IS_EARN_BEF_XO_ITEMS_PER_SH","FQ4 2009","FQ4 2009","Currency=USD","Period=FQ","BEST_FPERIOD_OVERRIDE=FQ","FILING_STATUS=MR","Sort=A","Dates=H","DateFormat=P","Fill=—","Direction=H","UseDPDF=Y")</f>
        <v>0.87</v>
      </c>
      <c r="G51" s="18">
        <f>_xll.BDH("AMZN US Equity","IS_EARN_BEF_XO_ITEMS_PER_SH","FQ1 2010","FQ1 2010","Currency=USD","Period=FQ","BEST_FPERIOD_OVERRIDE=FQ","FILING_STATUS=MR","Sort=A","Dates=H","DateFormat=P","Fill=—","Direction=H","UseDPDF=Y")</f>
        <v>0.67</v>
      </c>
      <c r="H51" s="18">
        <f>_xll.BDH("AMZN US Equity","IS_EARN_BEF_XO_ITEMS_PER_SH","FQ2 2010","FQ2 2010","Currency=USD","Period=FQ","BEST_FPERIOD_OVERRIDE=FQ","FILING_STATUS=MR","Sort=A","Dates=H","DateFormat=P","Fill=—","Direction=H","UseDPDF=Y")</f>
        <v>0.46</v>
      </c>
      <c r="I51" s="18">
        <f>_xll.BDH("AMZN US Equity","IS_EARN_BEF_XO_ITEMS_PER_SH","FQ3 2010","FQ3 2010","Currency=USD","Period=FQ","BEST_FPERIOD_OVERRIDE=FQ","FILING_STATUS=MR","Sort=A","Dates=H","DateFormat=P","Fill=—","Direction=H","UseDPDF=Y")</f>
        <v>0.51</v>
      </c>
      <c r="J51" s="18">
        <f>_xll.BDH("AMZN US Equity","IS_EARN_BEF_XO_ITEMS_PER_SH","FQ4 2010","FQ4 2010","Currency=USD","Period=FQ","BEST_FPERIOD_OVERRIDE=FQ","FILING_STATUS=MR","Sort=A","Dates=H","DateFormat=P","Fill=—","Direction=H","UseDPDF=Y")</f>
        <v>0.93</v>
      </c>
      <c r="K51" s="18">
        <f>_xll.BDH("AMZN US Equity","IS_EARN_BEF_XO_ITEMS_PER_SH","FQ1 2011","FQ1 2011","Currency=USD","Period=FQ","BEST_FPERIOD_OVERRIDE=FQ","FILING_STATUS=MR","Sort=A","Dates=H","DateFormat=P","Fill=—","Direction=H","UseDPDF=Y")</f>
        <v>0.44</v>
      </c>
      <c r="L51" s="18">
        <f>_xll.BDH("AMZN US Equity","IS_EARN_BEF_XO_ITEMS_PER_SH","FQ2 2011","FQ2 2011","Currency=USD","Period=FQ","BEST_FPERIOD_OVERRIDE=FQ","FILING_STATUS=MR","Sort=A","Dates=H","DateFormat=P","Fill=—","Direction=H","UseDPDF=Y")</f>
        <v>0.42</v>
      </c>
      <c r="M51" s="18">
        <f>_xll.BDH("AMZN US Equity","IS_EARN_BEF_XO_ITEMS_PER_SH","FQ3 2011","FQ3 2011","Currency=USD","Period=FQ","BEST_FPERIOD_OVERRIDE=FQ","FILING_STATUS=MR","Sort=A","Dates=H","DateFormat=P","Fill=—","Direction=H","UseDPDF=Y")</f>
        <v>0.14000000000000001</v>
      </c>
      <c r="N51" s="18">
        <f>_xll.BDH("AMZN US Equity","IS_EARN_BEF_XO_ITEMS_PER_SH","FQ4 2011","FQ4 2011","Currency=USD","Period=FQ","BEST_FPERIOD_OVERRIDE=FQ","FILING_STATUS=MR","Sort=A","Dates=H","DateFormat=P","Fill=—","Direction=H","UseDPDF=Y")</f>
        <v>0.39</v>
      </c>
      <c r="O51" s="18">
        <f>_xll.BDH("AMZN US Equity","IS_EARN_BEF_XO_ITEMS_PER_SH","FQ1 2012","FQ1 2012","Currency=USD","Period=FQ","BEST_FPERIOD_OVERRIDE=FQ","FILING_STATUS=MR","Sort=A","Dates=H","DateFormat=P","Fill=—","Direction=H","UseDPDF=Y")</f>
        <v>0.28999999999999998</v>
      </c>
      <c r="P51" s="18">
        <f>_xll.BDH("AMZN US Equity","IS_EARN_BEF_XO_ITEMS_PER_SH","FQ2 2012","FQ2 2012","Currency=USD","Period=FQ","BEST_FPERIOD_OVERRIDE=FQ","FILING_STATUS=MR","Sort=A","Dates=H","DateFormat=P","Fill=—","Direction=H","UseDPDF=Y")</f>
        <v>0.02</v>
      </c>
      <c r="Q51" s="18">
        <f>_xll.BDH("AMZN US Equity","IS_EARN_BEF_XO_ITEMS_PER_SH","FQ3 2012","FQ3 2012","Currency=USD","Period=FQ","BEST_FPERIOD_OVERRIDE=FQ","FILING_STATUS=MR","Sort=A","Dates=H","DateFormat=P","Fill=—","Direction=H","UseDPDF=Y")</f>
        <v>-0.6</v>
      </c>
      <c r="R51" s="18">
        <f>_xll.BDH("AMZN US Equity","IS_EARN_BEF_XO_ITEMS_PER_SH","FQ4 2012","FQ4 2012","Currency=USD","Period=FQ","BEST_FPERIOD_OVERRIDE=FQ","FILING_STATUS=MR","Sort=A","Dates=H","DateFormat=P","Fill=—","Direction=H","UseDPDF=Y")</f>
        <v>0.21</v>
      </c>
      <c r="S51" s="18">
        <f>_xll.BDH("AMZN US Equity","IS_EARN_BEF_XO_ITEMS_PER_SH","FQ1 2013","FQ1 2013","Currency=USD","Period=FQ","BEST_FPERIOD_OVERRIDE=FQ","FILING_STATUS=MR","Sort=A","Dates=H","DateFormat=P","Fill=—","Direction=H","UseDPDF=Y")</f>
        <v>0.18</v>
      </c>
      <c r="T51" s="18">
        <f>_xll.BDH("AMZN US Equity","IS_EARN_BEF_XO_ITEMS_PER_SH","FQ2 2013","FQ2 2013","Currency=USD","Period=FQ","BEST_FPERIOD_OVERRIDE=FQ","FILING_STATUS=MR","Sort=A","Dates=H","DateFormat=P","Fill=—","Direction=H","UseDPDF=Y")</f>
        <v>-0.02</v>
      </c>
      <c r="U51" s="18">
        <f>_xll.BDH("AMZN US Equity","IS_EARN_BEF_XO_ITEMS_PER_SH","FQ3 2013","FQ3 2013","Currency=USD","Period=FQ","BEST_FPERIOD_OVERRIDE=FQ","FILING_STATUS=MR","Sort=A","Dates=H","DateFormat=P","Fill=—","Direction=H","UseDPDF=Y")</f>
        <v>-0.09</v>
      </c>
      <c r="V51" s="18">
        <f>_xll.BDH("AMZN US Equity","IS_EARN_BEF_XO_ITEMS_PER_SH","FQ4 2013","FQ4 2013","Currency=USD","Period=FQ","BEST_FPERIOD_OVERRIDE=FQ","FILING_STATUS=MR","Sort=A","Dates=H","DateFormat=P","Fill=—","Direction=H","UseDPDF=Y")</f>
        <v>0.52</v>
      </c>
      <c r="W51" s="18">
        <f>_xll.BDH("AMZN US Equity","IS_EARN_BEF_XO_ITEMS_PER_SH","FQ1 2014","FQ1 2014","Currency=USD","Period=FQ","BEST_FPERIOD_OVERRIDE=FQ","FILING_STATUS=MR","Sort=A","Dates=H","DateFormat=P","Fill=—","Direction=H","UseDPDF=Y")</f>
        <v>0.23</v>
      </c>
      <c r="X51" s="18">
        <f>_xll.BDH("AMZN US Equity","IS_EARN_BEF_XO_ITEMS_PER_SH","FQ2 2014","FQ2 2014","Currency=USD","Period=FQ","BEST_FPERIOD_OVERRIDE=FQ","FILING_STATUS=MR","Sort=A","Dates=H","DateFormat=P","Fill=—","Direction=H","UseDPDF=Y")</f>
        <v>-0.27</v>
      </c>
      <c r="Y51" s="18">
        <f>_xll.BDH("AMZN US Equity","IS_EARN_BEF_XO_ITEMS_PER_SH","FQ3 2014","FQ3 2014","Currency=USD","Period=FQ","BEST_FPERIOD_OVERRIDE=FQ","FILING_STATUS=MR","Sort=A","Dates=H","DateFormat=P","Fill=—","Direction=H","UseDPDF=Y")</f>
        <v>-0.95</v>
      </c>
      <c r="Z51" s="18">
        <f>_xll.BDH("AMZN US Equity","IS_EARN_BEF_XO_ITEMS_PER_SH","FQ4 2014","FQ4 2014","Currency=USD","Period=FQ","BEST_FPERIOD_OVERRIDE=FQ","FILING_STATUS=MR","Sort=A","Dates=H","DateFormat=P","Fill=—","Direction=H","UseDPDF=Y")</f>
        <v>0.46</v>
      </c>
      <c r="AA51" s="18">
        <f>_xll.BDH("AMZN US Equity","IS_EARN_BEF_XO_ITEMS_PER_SH","FQ1 2015","FQ1 2015","Currency=USD","Period=FQ","BEST_FPERIOD_OVERRIDE=FQ","FILING_STATUS=MR","Sort=A","Dates=H","DateFormat=P","Fill=—","Direction=H","UseDPDF=Y")</f>
        <v>-0.12</v>
      </c>
      <c r="AB51" s="18">
        <f>_xll.BDH("AMZN US Equity","IS_EARN_BEF_XO_ITEMS_PER_SH","FQ2 2015","FQ2 2015","Currency=USD","Period=FQ","BEST_FPERIOD_OVERRIDE=FQ","FILING_STATUS=MR","Sort=A","Dates=H","DateFormat=P","Fill=—","Direction=H","UseDPDF=Y")</f>
        <v>0.2</v>
      </c>
      <c r="AC51" s="18">
        <f>_xll.BDH("AMZN US Equity","IS_EARN_BEF_XO_ITEMS_PER_SH","FQ3 2015","FQ3 2015","Currency=USD","Period=FQ","BEST_FPERIOD_OVERRIDE=FQ","FILING_STATUS=MR","Sort=A","Dates=H","DateFormat=P","Fill=—","Direction=H","UseDPDF=Y")</f>
        <v>0.17</v>
      </c>
      <c r="AD51" s="18">
        <f>_xll.BDH("AMZN US Equity","IS_EARN_BEF_XO_ITEMS_PER_SH","FQ4 2015","FQ4 2015","Currency=USD","Period=FQ","BEST_FPERIOD_OVERRIDE=FQ","FILING_STATUS=MR","Sort=A","Dates=H","DateFormat=P","Fill=—","Direction=H","UseDPDF=Y")</f>
        <v>1.03</v>
      </c>
      <c r="AE51" s="18">
        <f>_xll.BDH("AMZN US Equity","IS_EARN_BEF_XO_ITEMS_PER_SH","FQ1 2016","FQ1 2016","Currency=USD","Period=FQ","BEST_FPERIOD_OVERRIDE=FQ","FILING_STATUS=MR","Sort=A","Dates=H","DateFormat=P","Fill=—","Direction=H","UseDPDF=Y")</f>
        <v>1.0900000000000001</v>
      </c>
      <c r="AF51" s="18">
        <f>_xll.BDH("AMZN US Equity","IS_EARN_BEF_XO_ITEMS_PER_SH","FQ2 2016","FQ2 2016","Currency=USD","Period=FQ","BEST_FPERIOD_OVERRIDE=FQ","FILING_STATUS=MR","Sort=A","Dates=H","DateFormat=P","Fill=—","Direction=H","UseDPDF=Y")</f>
        <v>1.81</v>
      </c>
      <c r="AG51" s="18">
        <f>_xll.BDH("AMZN US Equity","IS_EARN_BEF_XO_ITEMS_PER_SH","FQ3 2016","FQ3 2016","Currency=USD","Period=FQ","BEST_FPERIOD_OVERRIDE=FQ","FILING_STATUS=MR","Sort=A","Dates=H","DateFormat=P","Fill=—","Direction=H","UseDPDF=Y")</f>
        <v>0.53</v>
      </c>
      <c r="AH51" s="18">
        <f>_xll.BDH("AMZN US Equity","IS_EARN_BEF_XO_ITEMS_PER_SH","FQ4 2016","FQ4 2016","Currency=USD","Period=FQ","BEST_FPERIOD_OVERRIDE=FQ","FILING_STATUS=MR","Sort=A","Dates=H","DateFormat=P","Fill=—","Direction=H","UseDPDF=Y")</f>
        <v>1.5699999999999998</v>
      </c>
      <c r="AI51" s="18">
        <f>_xll.BDH("AMZN US Equity","IS_EARN_BEF_XO_ITEMS_PER_SH","FQ1 2017","FQ1 2017","Currency=USD","Period=FQ","BEST_FPERIOD_OVERRIDE=FQ","FILING_STATUS=MR","Sort=A","Dates=H","DateFormat=P","Fill=—","Direction=H","UseDPDF=Y")</f>
        <v>1.52</v>
      </c>
      <c r="AJ51" s="18">
        <f>_xll.BDH("AMZN US Equity","IS_EARN_BEF_XO_ITEMS_PER_SH","FQ2 2017","FQ2 2017","Currency=USD","Period=FQ","BEST_FPERIOD_OVERRIDE=FQ","FILING_STATUS=MR","Sort=A","Dates=H","DateFormat=P","Fill=—","Direction=H","UseDPDF=Y")</f>
        <v>0.41</v>
      </c>
      <c r="AK51" s="18">
        <f>_xll.BDH("AMZN US Equity","IS_EARN_BEF_XO_ITEMS_PER_SH","FQ3 2017","FQ3 2017","Currency=USD","Period=FQ","BEST_FPERIOD_OVERRIDE=FQ","FILING_STATUS=MR","Sort=A","Dates=H","DateFormat=P","Fill=—","Direction=H","UseDPDF=Y")</f>
        <v>0.53</v>
      </c>
      <c r="AL51" s="18">
        <f>_xll.BDH("AMZN US Equity","IS_EARN_BEF_XO_ITEMS_PER_SH","FQ4 2017","FQ4 2017","Currency=USD","Period=FQ","BEST_FPERIOD_OVERRIDE=FQ","FILING_STATUS=MR","Sort=A","Dates=H","DateFormat=P","Fill=—","Direction=H","UseDPDF=Y")</f>
        <v>3.85</v>
      </c>
      <c r="AM51" s="18">
        <f>_xll.BDH("AMZN US Equity","IS_EARN_BEF_XO_ITEMS_PER_SH","FQ1 2018","FQ1 2018","Currency=USD","Period=FQ","BEST_FPERIOD_OVERRIDE=FQ","FILING_STATUS=MR","Sort=A","Dates=H","DateFormat=P","Fill=—","Direction=H","UseDPDF=Y")</f>
        <v>3.36</v>
      </c>
      <c r="AN51" s="18">
        <f>_xll.BDH("AMZN US Equity","IS_EARN_BEF_XO_ITEMS_PER_SH","FQ2 2018","FQ2 2018","Currency=USD","Period=FQ","BEST_FPERIOD_OVERRIDE=FQ","FILING_STATUS=MR","Sort=A","Dates=H","DateFormat=P","Fill=—","Direction=H","UseDPDF=Y")</f>
        <v>5.21</v>
      </c>
      <c r="AO51" s="18">
        <v>3.113</v>
      </c>
      <c r="AP51" s="18">
        <v>5.7939999999999996</v>
      </c>
    </row>
    <row r="52" spans="1:42" x14ac:dyDescent="0.25">
      <c r="A52" s="6" t="s">
        <v>171</v>
      </c>
      <c r="B52" s="6" t="s">
        <v>172</v>
      </c>
      <c r="C52" s="18">
        <f>_xll.BDH("AMZN US Equity","IS_BASIC_EPS_CONT_OPS","FQ1 2009","FQ1 2009","Currency=USD","Period=FQ","BEST_FPERIOD_OVERRIDE=FQ","FILING_STATUS=MR","Sort=A","Dates=H","DateFormat=P","Fill=—","Direction=H","UseDPDF=Y")</f>
        <v>0.40960000000000002</v>
      </c>
      <c r="D52" s="18">
        <f>_xll.BDH("AMZN US Equity","IS_BASIC_EPS_CONT_OPS","FQ2 2009","FQ2 2009","Currency=USD","Period=FQ","BEST_FPERIOD_OVERRIDE=FQ","FILING_STATUS=MR","Sort=A","Dates=H","DateFormat=P","Fill=—","Direction=H","UseDPDF=Y")</f>
        <v>0.40339999999999998</v>
      </c>
      <c r="E52" s="18">
        <f>_xll.BDH("AMZN US Equity","IS_BASIC_EPS_CONT_OPS","FQ3 2009","FQ3 2009","Currency=USD","Period=FQ","BEST_FPERIOD_OVERRIDE=FQ","FILING_STATUS=MR","Sort=A","Dates=H","DateFormat=P","Fill=—","Direction=H","UseDPDF=Y")</f>
        <v>0.45910000000000001</v>
      </c>
      <c r="F52" s="18">
        <f>_xll.BDH("AMZN US Equity","IS_BASIC_EPS_CONT_OPS","FQ4 2009","FQ4 2009","Currency=USD","Period=FQ","BEST_FPERIOD_OVERRIDE=FQ","FILING_STATUS=MR","Sort=A","Dates=H","DateFormat=P","Fill=—","Direction=H","UseDPDF=Y")</f>
        <v>0.87419999999999998</v>
      </c>
      <c r="G52" s="18">
        <f>_xll.BDH("AMZN US Equity","IS_BASIC_EPS_CONT_OPS","FQ1 2010","FQ1 2010","Currency=USD","Period=FQ","BEST_FPERIOD_OVERRIDE=FQ","FILING_STATUS=MR","Sort=A","Dates=H","DateFormat=P","Fill=—","Direction=H","UseDPDF=Y")</f>
        <v>0.67</v>
      </c>
      <c r="H52" s="18">
        <f>_xll.BDH("AMZN US Equity","IS_BASIC_EPS_CONT_OPS","FQ2 2010","FQ2 2010","Currency=USD","Period=FQ","BEST_FPERIOD_OVERRIDE=FQ","FILING_STATUS=MR","Sort=A","Dates=H","DateFormat=P","Fill=—","Direction=H","UseDPDF=Y")</f>
        <v>0.46</v>
      </c>
      <c r="I52" s="18">
        <f>_xll.BDH("AMZN US Equity","IS_BASIC_EPS_CONT_OPS","FQ3 2010","FQ3 2010","Currency=USD","Period=FQ","BEST_FPERIOD_OVERRIDE=FQ","FILING_STATUS=MR","Sort=A","Dates=H","DateFormat=P","Fill=—","Direction=H","UseDPDF=Y")</f>
        <v>0.51</v>
      </c>
      <c r="J52" s="18">
        <f>_xll.BDH("AMZN US Equity","IS_BASIC_EPS_CONT_OPS","FQ4 2010","FQ4 2010","Currency=USD","Period=FQ","BEST_FPERIOD_OVERRIDE=FQ","FILING_STATUS=MR","Sort=A","Dates=H","DateFormat=P","Fill=—","Direction=H","UseDPDF=Y")</f>
        <v>0.93</v>
      </c>
      <c r="K52" s="18">
        <f>_xll.BDH("AMZN US Equity","IS_BASIC_EPS_CONT_OPS","FQ1 2011","FQ1 2011","Currency=USD","Period=FQ","BEST_FPERIOD_OVERRIDE=FQ","FILING_STATUS=MR","Sort=A","Dates=H","DateFormat=P","Fill=—","Direction=H","UseDPDF=Y")</f>
        <v>0.44</v>
      </c>
      <c r="L52" s="18">
        <f>_xll.BDH("AMZN US Equity","IS_BASIC_EPS_CONT_OPS","FQ2 2011","FQ2 2011","Currency=USD","Period=FQ","BEST_FPERIOD_OVERRIDE=FQ","FILING_STATUS=MR","Sort=A","Dates=H","DateFormat=P","Fill=—","Direction=H","UseDPDF=Y")</f>
        <v>0.42</v>
      </c>
      <c r="M52" s="18">
        <f>_xll.BDH("AMZN US Equity","IS_BASIC_EPS_CONT_OPS","FQ3 2011","FQ3 2011","Currency=USD","Period=FQ","BEST_FPERIOD_OVERRIDE=FQ","FILING_STATUS=MR","Sort=A","Dates=H","DateFormat=P","Fill=—","Direction=H","UseDPDF=Y")</f>
        <v>0.14000000000000001</v>
      </c>
      <c r="N52" s="18">
        <f>_xll.BDH("AMZN US Equity","IS_BASIC_EPS_CONT_OPS","FQ4 2011","FQ4 2011","Currency=USD","Period=FQ","BEST_FPERIOD_OVERRIDE=FQ","FILING_STATUS=MR","Sort=A","Dates=H","DateFormat=P","Fill=—","Direction=H","UseDPDF=Y")</f>
        <v>0.39</v>
      </c>
      <c r="O52" s="18">
        <f>_xll.BDH("AMZN US Equity","IS_BASIC_EPS_CONT_OPS","FQ1 2012","FQ1 2012","Currency=USD","Period=FQ","BEST_FPERIOD_OVERRIDE=FQ","FILING_STATUS=MR","Sort=A","Dates=H","DateFormat=P","Fill=—","Direction=H","UseDPDF=Y")</f>
        <v>0.28999999999999998</v>
      </c>
      <c r="P52" s="18">
        <f>_xll.BDH("AMZN US Equity","IS_BASIC_EPS_CONT_OPS","FQ2 2012","FQ2 2012","Currency=USD","Period=FQ","BEST_FPERIOD_OVERRIDE=FQ","FILING_STATUS=MR","Sort=A","Dates=H","DateFormat=P","Fill=—","Direction=H","UseDPDF=Y")</f>
        <v>0.15959999999999999</v>
      </c>
      <c r="Q52" s="18">
        <f>_xll.BDH("AMZN US Equity","IS_BASIC_EPS_CONT_OPS","FQ3 2012","FQ3 2012","Currency=USD","Period=FQ","BEST_FPERIOD_OVERRIDE=FQ","FILING_STATUS=MR","Sort=A","Dates=H","DateFormat=P","Fill=—","Direction=H","UseDPDF=Y")</f>
        <v>-0.28539999999999999</v>
      </c>
      <c r="R52" s="18">
        <f>_xll.BDH("AMZN US Equity","IS_BASIC_EPS_CONT_OPS","FQ4 2012","FQ4 2012","Currency=USD","Period=FQ","BEST_FPERIOD_OVERRIDE=FQ","FILING_STATUS=MR","Sort=A","Dates=H","DateFormat=P","Fill=—","Direction=H","UseDPDF=Y")</f>
        <v>0.26869999999999999</v>
      </c>
      <c r="S52" s="18">
        <f>_xll.BDH("AMZN US Equity","IS_BASIC_EPS_CONT_OPS","FQ1 2013","FQ1 2013","Currency=USD","Period=FQ","BEST_FPERIOD_OVERRIDE=FQ","FILING_STATUS=MR","Sort=A","Dates=H","DateFormat=P","Fill=—","Direction=H","UseDPDF=Y")</f>
        <v>0.18</v>
      </c>
      <c r="T52" s="18">
        <f>_xll.BDH("AMZN US Equity","IS_BASIC_EPS_CONT_OPS","FQ2 2013","FQ2 2013","Currency=USD","Period=FQ","BEST_FPERIOD_OVERRIDE=FQ","FILING_STATUS=MR","Sort=A","Dates=H","DateFormat=P","Fill=—","Direction=H","UseDPDF=Y")</f>
        <v>-0.02</v>
      </c>
      <c r="U52" s="18">
        <f>_xll.BDH("AMZN US Equity","IS_BASIC_EPS_CONT_OPS","FQ3 2013","FQ3 2013","Currency=USD","Period=FQ","BEST_FPERIOD_OVERRIDE=FQ","FILING_STATUS=MR","Sort=A","Dates=H","DateFormat=P","Fill=—","Direction=H","UseDPDF=Y")</f>
        <v>-0.09</v>
      </c>
      <c r="V52" s="18">
        <f>_xll.BDH("AMZN US Equity","IS_BASIC_EPS_CONT_OPS","FQ4 2013","FQ4 2013","Currency=USD","Period=FQ","BEST_FPERIOD_OVERRIDE=FQ","FILING_STATUS=MR","Sort=A","Dates=H","DateFormat=P","Fill=—","Direction=H","UseDPDF=Y")</f>
        <v>0.52</v>
      </c>
      <c r="W52" s="18">
        <f>_xll.BDH("AMZN US Equity","IS_BASIC_EPS_CONT_OPS","FQ1 2014","FQ1 2014","Currency=USD","Period=FQ","BEST_FPERIOD_OVERRIDE=FQ","FILING_STATUS=MR","Sort=A","Dates=H","DateFormat=P","Fill=—","Direction=H","UseDPDF=Y")</f>
        <v>0.23</v>
      </c>
      <c r="X52" s="18">
        <f>_xll.BDH("AMZN US Equity","IS_BASIC_EPS_CONT_OPS","FQ2 2014","FQ2 2014","Currency=USD","Period=FQ","BEST_FPERIOD_OVERRIDE=FQ","FILING_STATUS=MR","Sort=A","Dates=H","DateFormat=P","Fill=—","Direction=H","UseDPDF=Y")</f>
        <v>-0.27</v>
      </c>
      <c r="Y52" s="18">
        <f>_xll.BDH("AMZN US Equity","IS_BASIC_EPS_CONT_OPS","FQ3 2014","FQ3 2014","Currency=USD","Period=FQ","BEST_FPERIOD_OVERRIDE=FQ","FILING_STATUS=MR","Sort=A","Dates=H","DateFormat=P","Fill=—","Direction=H","UseDPDF=Y")</f>
        <v>-0.70520000000000005</v>
      </c>
      <c r="Z52" s="18">
        <f>_xll.BDH("AMZN US Equity","IS_BASIC_EPS_CONT_OPS","FQ4 2014","FQ4 2014","Currency=USD","Period=FQ","BEST_FPERIOD_OVERRIDE=FQ","FILING_STATUS=MR","Sort=A","Dates=H","DateFormat=P","Fill=—","Direction=H","UseDPDF=Y")</f>
        <v>0.46</v>
      </c>
      <c r="AA52" s="18">
        <f>_xll.BDH("AMZN US Equity","IS_BASIC_EPS_CONT_OPS","FQ1 2015","FQ1 2015","Currency=USD","Period=FQ","BEST_FPERIOD_OVERRIDE=FQ","FILING_STATUS=MR","Sort=A","Dates=H","DateFormat=P","Fill=—","Direction=H","UseDPDF=Y")</f>
        <v>-0.1212</v>
      </c>
      <c r="AB52" s="18">
        <f>_xll.BDH("AMZN US Equity","IS_BASIC_EPS_CONT_OPS","FQ2 2015","FQ2 2015","Currency=USD","Period=FQ","BEST_FPERIOD_OVERRIDE=FQ","FILING_STATUS=MR","Sort=A","Dates=H","DateFormat=P","Fill=—","Direction=H","UseDPDF=Y")</f>
        <v>0.19839999999999999</v>
      </c>
      <c r="AC52" s="18">
        <f>_xll.BDH("AMZN US Equity","IS_BASIC_EPS_CONT_OPS","FQ3 2015","FQ3 2015","Currency=USD","Period=FQ","BEST_FPERIOD_OVERRIDE=FQ","FILING_STATUS=MR","Sort=A","Dates=H","DateFormat=P","Fill=—","Direction=H","UseDPDF=Y")</f>
        <v>0.17</v>
      </c>
      <c r="AD52" s="18">
        <f>_xll.BDH("AMZN US Equity","IS_BASIC_EPS_CONT_OPS","FQ4 2015","FQ4 2015","Currency=USD","Period=FQ","BEST_FPERIOD_OVERRIDE=FQ","FILING_STATUS=MR","Sort=A","Dates=H","DateFormat=P","Fill=—","Direction=H","UseDPDF=Y")</f>
        <v>1.0297000000000001</v>
      </c>
      <c r="AE52" s="18">
        <f>_xll.BDH("AMZN US Equity","IS_BASIC_EPS_CONT_OPS","FQ1 2016","FQ1 2016","Currency=USD","Period=FQ","BEST_FPERIOD_OVERRIDE=FQ","FILING_STATUS=MR","Sort=A","Dates=H","DateFormat=P","Fill=—","Direction=H","UseDPDF=Y")</f>
        <v>1.0900000000000001</v>
      </c>
      <c r="AF52" s="18">
        <f>_xll.BDH("AMZN US Equity","IS_BASIC_EPS_CONT_OPS","FQ2 2016","FQ2 2016","Currency=USD","Period=FQ","BEST_FPERIOD_OVERRIDE=FQ","FILING_STATUS=MR","Sort=A","Dates=H","DateFormat=P","Fill=—","Direction=H","UseDPDF=Y")</f>
        <v>1.81</v>
      </c>
      <c r="AG52" s="18">
        <f>_xll.BDH("AMZN US Equity","IS_BASIC_EPS_CONT_OPS","FQ3 2016","FQ3 2016","Currency=USD","Period=FQ","BEST_FPERIOD_OVERRIDE=FQ","FILING_STATUS=MR","Sort=A","Dates=H","DateFormat=P","Fill=—","Direction=H","UseDPDF=Y")</f>
        <v>0.53</v>
      </c>
      <c r="AH52" s="18">
        <f>_xll.BDH("AMZN US Equity","IS_BASIC_EPS_CONT_OPS","FQ4 2016","FQ4 2016","Currency=USD","Period=FQ","BEST_FPERIOD_OVERRIDE=FQ","FILING_STATUS=MR","Sort=A","Dates=H","DateFormat=P","Fill=—","Direction=H","UseDPDF=Y")</f>
        <v>1.5804</v>
      </c>
      <c r="AI52" s="18">
        <f>_xll.BDH("AMZN US Equity","IS_BASIC_EPS_CONT_OPS","FQ1 2017","FQ1 2017","Currency=USD","Period=FQ","BEST_FPERIOD_OVERRIDE=FQ","FILING_STATUS=MR","Sort=A","Dates=H","DateFormat=P","Fill=—","Direction=H","UseDPDF=Y")</f>
        <v>1.52</v>
      </c>
      <c r="AJ52" s="18">
        <f>_xll.BDH("AMZN US Equity","IS_BASIC_EPS_CONT_OPS","FQ2 2017","FQ2 2017","Currency=USD","Period=FQ","BEST_FPERIOD_OVERRIDE=FQ","FILING_STATUS=MR","Sort=A","Dates=H","DateFormat=P","Fill=—","Direction=H","UseDPDF=Y")</f>
        <v>0.41</v>
      </c>
      <c r="AK52" s="18">
        <f>_xll.BDH("AMZN US Equity","IS_BASIC_EPS_CONT_OPS","FQ3 2017","FQ3 2017","Currency=USD","Period=FQ","BEST_FPERIOD_OVERRIDE=FQ","FILING_STATUS=MR","Sort=A","Dates=H","DateFormat=P","Fill=—","Direction=H","UseDPDF=Y")</f>
        <v>0.53</v>
      </c>
      <c r="AL52" s="18">
        <f>_xll.BDH("AMZN US Equity","IS_BASIC_EPS_CONT_OPS","FQ4 2017","FQ4 2017","Currency=USD","Period=FQ","BEST_FPERIOD_OVERRIDE=FQ","FILING_STATUS=MR","Sort=A","Dates=H","DateFormat=P","Fill=—","Direction=H","UseDPDF=Y")</f>
        <v>2.2090999999999998</v>
      </c>
      <c r="AM52" s="18">
        <f>_xll.BDH("AMZN US Equity","IS_BASIC_EPS_CONT_OPS","FQ1 2018","FQ1 2018","Currency=USD","Period=FQ","BEST_FPERIOD_OVERRIDE=FQ","FILING_STATUS=MR","Sort=A","Dates=H","DateFormat=P","Fill=—","Direction=H","UseDPDF=Y")</f>
        <v>3.36</v>
      </c>
      <c r="AN52" s="18">
        <f>_xll.BDH("AMZN US Equity","IS_BASIC_EPS_CONT_OPS","FQ2 2018","FQ2 2018","Currency=USD","Period=FQ","BEST_FPERIOD_OVERRIDE=FQ","FILING_STATUS=MR","Sort=A","Dates=H","DateFormat=P","Fill=—","Direction=H","UseDPDF=Y")</f>
        <v>3.9877000000000002</v>
      </c>
      <c r="AO52" s="18">
        <v>5.6219999999999999</v>
      </c>
      <c r="AP52" s="18">
        <v>8.5449999999999999</v>
      </c>
    </row>
    <row r="53" spans="1:42" x14ac:dyDescent="0.25">
      <c r="A53" s="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</row>
    <row r="54" spans="1:42" x14ac:dyDescent="0.25">
      <c r="A54" s="10" t="s">
        <v>173</v>
      </c>
      <c r="B54" s="10" t="s">
        <v>174</v>
      </c>
      <c r="C54" s="13">
        <f>_xll.BDH("AMZN US Equity","IS_SH_FOR_DILUTED_EPS","FQ1 2009","FQ1 2009","Currency=USD","Period=FQ","BEST_FPERIOD_OVERRIDE=FQ","FILING_STATUS=MR","Sort=A","Dates=H","DateFormat=P","Fill=—","Direction=H","UseDPDF=Y")</f>
        <v>437</v>
      </c>
      <c r="D54" s="13">
        <f>_xll.BDH("AMZN US Equity","IS_SH_FOR_DILUTED_EPS","FQ2 2009","FQ2 2009","Currency=USD","Period=FQ","BEST_FPERIOD_OVERRIDE=FQ","FILING_STATUS=MR","Sort=A","Dates=H","DateFormat=P","Fill=—","Direction=H","UseDPDF=Y")</f>
        <v>440</v>
      </c>
      <c r="E54" s="13">
        <f>_xll.BDH("AMZN US Equity","IS_SH_FOR_DILUTED_EPS","FQ3 2009","FQ3 2009","Currency=USD","Period=FQ","BEST_FPERIOD_OVERRIDE=FQ","FILING_STATUS=MR","Sort=A","Dates=H","DateFormat=P","Fill=—","Direction=H","UseDPDF=Y")</f>
        <v>441</v>
      </c>
      <c r="F54" s="13">
        <f>_xll.BDH("AMZN US Equity","IS_SH_FOR_DILUTED_EPS","FQ4 2009","FQ4 2009","Currency=USD","Period=FQ","BEST_FPERIOD_OVERRIDE=FQ","FILING_STATUS=MR","Sort=A","Dates=H","DateFormat=P","Fill=—","Direction=H","UseDPDF=Y")</f>
        <v>450</v>
      </c>
      <c r="G54" s="13">
        <f>_xll.BDH("AMZN US Equity","IS_SH_FOR_DILUTED_EPS","FQ1 2010","FQ1 2010","Currency=USD","Period=FQ","BEST_FPERIOD_OVERRIDE=FQ","FILING_STATUS=MR","Sort=A","Dates=H","DateFormat=P","Fill=—","Direction=H","UseDPDF=Y")</f>
        <v>454</v>
      </c>
      <c r="H54" s="13">
        <f>_xll.BDH("AMZN US Equity","IS_SH_FOR_DILUTED_EPS","FQ2 2010","FQ2 2010","Currency=USD","Period=FQ","BEST_FPERIOD_OVERRIDE=FQ","FILING_STATUS=MR","Sort=A","Dates=H","DateFormat=P","Fill=—","Direction=H","UseDPDF=Y")</f>
        <v>455</v>
      </c>
      <c r="I54" s="13">
        <f>_xll.BDH("AMZN US Equity","IS_SH_FOR_DILUTED_EPS","FQ3 2010","FQ3 2010","Currency=USD","Period=FQ","BEST_FPERIOD_OVERRIDE=FQ","FILING_STATUS=MR","Sort=A","Dates=H","DateFormat=P","Fill=—","Direction=H","UseDPDF=Y")</f>
        <v>456</v>
      </c>
      <c r="J54" s="13">
        <f>_xll.BDH("AMZN US Equity","IS_SH_FOR_DILUTED_EPS","FQ4 2010","FQ4 2010","Currency=USD","Period=FQ","BEST_FPERIOD_OVERRIDE=FQ","FILING_STATUS=MR","Sort=A","Dates=H","DateFormat=P","Fill=—","Direction=H","UseDPDF=Y")</f>
        <v>458</v>
      </c>
      <c r="K54" s="13">
        <f>_xll.BDH("AMZN US Equity","IS_SH_FOR_DILUTED_EPS","FQ1 2011","FQ1 2011","Currency=USD","Period=FQ","BEST_FPERIOD_OVERRIDE=FQ","FILING_STATUS=MR","Sort=A","Dates=H","DateFormat=P","Fill=—","Direction=H","UseDPDF=Y")</f>
        <v>459</v>
      </c>
      <c r="L54" s="13">
        <f>_xll.BDH("AMZN US Equity","IS_SH_FOR_DILUTED_EPS","FQ2 2011","FQ2 2011","Currency=USD","Period=FQ","BEST_FPERIOD_OVERRIDE=FQ","FILING_STATUS=MR","Sort=A","Dates=H","DateFormat=P","Fill=—","Direction=H","UseDPDF=Y")</f>
        <v>460</v>
      </c>
      <c r="M54" s="13">
        <f>_xll.BDH("AMZN US Equity","IS_SH_FOR_DILUTED_EPS","FQ3 2011","FQ3 2011","Currency=USD","Period=FQ","BEST_FPERIOD_OVERRIDE=FQ","FILING_STATUS=MR","Sort=A","Dates=H","DateFormat=P","Fill=—","Direction=H","UseDPDF=Y")</f>
        <v>461</v>
      </c>
      <c r="N54" s="13">
        <f>_xll.BDH("AMZN US Equity","IS_SH_FOR_DILUTED_EPS","FQ4 2011","FQ4 2011","Currency=USD","Period=FQ","BEST_FPERIOD_OVERRIDE=FQ","FILING_STATUS=MR","Sort=A","Dates=H","DateFormat=P","Fill=—","Direction=H","UseDPDF=Y")</f>
        <v>462</v>
      </c>
      <c r="O54" s="13">
        <f>_xll.BDH("AMZN US Equity","IS_SH_FOR_DILUTED_EPS","FQ1 2012","FQ1 2012","Currency=USD","Period=FQ","BEST_FPERIOD_OVERRIDE=FQ","FILING_STATUS=MR","Sort=A","Dates=H","DateFormat=P","Fill=—","Direction=H","UseDPDF=Y")</f>
        <v>460</v>
      </c>
      <c r="P54" s="13">
        <f>_xll.BDH("AMZN US Equity","IS_SH_FOR_DILUTED_EPS","FQ2 2012","FQ2 2012","Currency=USD","Period=FQ","BEST_FPERIOD_OVERRIDE=FQ","FILING_STATUS=MR","Sort=A","Dates=H","DateFormat=P","Fill=—","Direction=H","UseDPDF=Y")</f>
        <v>458</v>
      </c>
      <c r="Q54" s="13">
        <f>_xll.BDH("AMZN US Equity","IS_SH_FOR_DILUTED_EPS","FQ3 2012","FQ3 2012","Currency=USD","Period=FQ","BEST_FPERIOD_OVERRIDE=FQ","FILING_STATUS=MR","Sort=A","Dates=H","DateFormat=P","Fill=—","Direction=H","UseDPDF=Y")</f>
        <v>460</v>
      </c>
      <c r="R54" s="13">
        <f>_xll.BDH("AMZN US Equity","IS_SH_FOR_DILUTED_EPS","FQ4 2012","FQ4 2012","Currency=USD","Period=FQ","BEST_FPERIOD_OVERRIDE=FQ","FILING_STATUS=MR","Sort=A","Dates=H","DateFormat=P","Fill=—","Direction=H","UseDPDF=Y")</f>
        <v>461</v>
      </c>
      <c r="S54" s="13">
        <f>_xll.BDH("AMZN US Equity","IS_SH_FOR_DILUTED_EPS","FQ1 2013","FQ1 2013","Currency=USD","Period=FQ","BEST_FPERIOD_OVERRIDE=FQ","FILING_STATUS=MR","Sort=A","Dates=H","DateFormat=P","Fill=—","Direction=H","UseDPDF=Y")</f>
        <v>463</v>
      </c>
      <c r="T54" s="13">
        <f>_xll.BDH("AMZN US Equity","IS_SH_FOR_DILUTED_EPS","FQ2 2013","FQ2 2013","Currency=USD","Period=FQ","BEST_FPERIOD_OVERRIDE=FQ","FILING_STATUS=MR","Sort=A","Dates=H","DateFormat=P","Fill=—","Direction=H","UseDPDF=Y")</f>
        <v>456</v>
      </c>
      <c r="U54" s="13">
        <f>_xll.BDH("AMZN US Equity","IS_SH_FOR_DILUTED_EPS","FQ3 2013","FQ3 2013","Currency=USD","Period=FQ","BEST_FPERIOD_OVERRIDE=FQ","FILING_STATUS=MR","Sort=A","Dates=H","DateFormat=P","Fill=—","Direction=H","UseDPDF=Y")</f>
        <v>457</v>
      </c>
      <c r="V54" s="13">
        <f>_xll.BDH("AMZN US Equity","IS_SH_FOR_DILUTED_EPS","FQ4 2013","FQ4 2013","Currency=USD","Period=FQ","BEST_FPERIOD_OVERRIDE=FQ","FILING_STATUS=MR","Sort=A","Dates=H","DateFormat=P","Fill=—","Direction=H","UseDPDF=Y")</f>
        <v>467</v>
      </c>
      <c r="W54" s="13">
        <f>_xll.BDH("AMZN US Equity","IS_SH_FOR_DILUTED_EPS","FQ1 2014","FQ1 2014","Currency=USD","Period=FQ","BEST_FPERIOD_OVERRIDE=FQ","FILING_STATUS=MR","Sort=A","Dates=H","DateFormat=P","Fill=—","Direction=H","UseDPDF=Y")</f>
        <v>468</v>
      </c>
      <c r="X54" s="13">
        <f>_xll.BDH("AMZN US Equity","IS_SH_FOR_DILUTED_EPS","FQ2 2014","FQ2 2014","Currency=USD","Period=FQ","BEST_FPERIOD_OVERRIDE=FQ","FILING_STATUS=MR","Sort=A","Dates=H","DateFormat=P","Fill=—","Direction=H","UseDPDF=Y")</f>
        <v>461</v>
      </c>
      <c r="Y54" s="13">
        <f>_xll.BDH("AMZN US Equity","IS_SH_FOR_DILUTED_EPS","FQ3 2014","FQ3 2014","Currency=USD","Period=FQ","BEST_FPERIOD_OVERRIDE=FQ","FILING_STATUS=MR","Sort=A","Dates=H","DateFormat=P","Fill=—","Direction=H","UseDPDF=Y")</f>
        <v>463</v>
      </c>
      <c r="Z54" s="13">
        <f>_xll.BDH("AMZN US Equity","IS_SH_FOR_DILUTED_EPS","FQ4 2014","FQ4 2014","Currency=USD","Period=FQ","BEST_FPERIOD_OVERRIDE=FQ","FILING_STATUS=MR","Sort=A","Dates=H","DateFormat=P","Fill=—","Direction=H","UseDPDF=Y")</f>
        <v>472</v>
      </c>
      <c r="AA54" s="13">
        <f>_xll.BDH("AMZN US Equity","IS_SH_FOR_DILUTED_EPS","FQ1 2015","FQ1 2015","Currency=USD","Period=FQ","BEST_FPERIOD_OVERRIDE=FQ","FILING_STATUS=MR","Sort=A","Dates=H","DateFormat=P","Fill=—","Direction=H","UseDPDF=Y")</f>
        <v>465</v>
      </c>
      <c r="AB54" s="13">
        <f>_xll.BDH("AMZN US Equity","IS_SH_FOR_DILUTED_EPS","FQ2 2015","FQ2 2015","Currency=USD","Period=FQ","BEST_FPERIOD_OVERRIDE=FQ","FILING_STATUS=MR","Sort=A","Dates=H","DateFormat=P","Fill=—","Direction=H","UseDPDF=Y")</f>
        <v>476</v>
      </c>
      <c r="AC54" s="13">
        <f>_xll.BDH("AMZN US Equity","IS_SH_FOR_DILUTED_EPS","FQ3 2015","FQ3 2015","Currency=USD","Period=FQ","BEST_FPERIOD_OVERRIDE=FQ","FILING_STATUS=MR","Sort=A","Dates=H","DateFormat=P","Fill=—","Direction=H","UseDPDF=Y")</f>
        <v>478</v>
      </c>
      <c r="AD54" s="13">
        <f>_xll.BDH("AMZN US Equity","IS_SH_FOR_DILUTED_EPS","FQ4 2015","FQ4 2015","Currency=USD","Period=FQ","BEST_FPERIOD_OVERRIDE=FQ","FILING_STATUS=MR","Sort=A","Dates=H","DateFormat=P","Fill=—","Direction=H","UseDPDF=Y")</f>
        <v>481</v>
      </c>
      <c r="AE54" s="13">
        <f>_xll.BDH("AMZN US Equity","IS_SH_FOR_DILUTED_EPS","FQ1 2016","FQ1 2016","Currency=USD","Period=FQ","BEST_FPERIOD_OVERRIDE=FQ","FILING_STATUS=MR","Sort=A","Dates=H","DateFormat=P","Fill=—","Direction=H","UseDPDF=Y")</f>
        <v>481</v>
      </c>
      <c r="AF54" s="13">
        <f>_xll.BDH("AMZN US Equity","IS_SH_FOR_DILUTED_EPS","FQ2 2016","FQ2 2016","Currency=USD","Period=FQ","BEST_FPERIOD_OVERRIDE=FQ","FILING_STATUS=MR","Sort=A","Dates=H","DateFormat=P","Fill=—","Direction=H","UseDPDF=Y")</f>
        <v>483</v>
      </c>
      <c r="AG54" s="13">
        <f>_xll.BDH("AMZN US Equity","IS_SH_FOR_DILUTED_EPS","FQ3 2016","FQ3 2016","Currency=USD","Period=FQ","BEST_FPERIOD_OVERRIDE=FQ","FILING_STATUS=MR","Sort=A","Dates=H","DateFormat=P","Fill=—","Direction=H","UseDPDF=Y")</f>
        <v>485</v>
      </c>
      <c r="AH54" s="13">
        <f>_xll.BDH("AMZN US Equity","IS_SH_FOR_DILUTED_EPS","FQ4 2016","FQ4 2016","Currency=USD","Period=FQ","BEST_FPERIOD_OVERRIDE=FQ","FILING_STATUS=MR","Sort=A","Dates=H","DateFormat=P","Fill=—","Direction=H","UseDPDF=Y")</f>
        <v>486</v>
      </c>
      <c r="AI54" s="13">
        <f>_xll.BDH("AMZN US Equity","IS_SH_FOR_DILUTED_EPS","FQ1 2017","FQ1 2017","Currency=USD","Period=FQ","BEST_FPERIOD_OVERRIDE=FQ","FILING_STATUS=MR","Sort=A","Dates=H","DateFormat=P","Fill=—","Direction=H","UseDPDF=Y")</f>
        <v>490</v>
      </c>
      <c r="AJ54" s="13">
        <f>_xll.BDH("AMZN US Equity","IS_SH_FOR_DILUTED_EPS","FQ2 2017","FQ2 2017","Currency=USD","Period=FQ","BEST_FPERIOD_OVERRIDE=FQ","FILING_STATUS=MR","Sort=A","Dates=H","DateFormat=P","Fill=—","Direction=H","UseDPDF=Y")</f>
        <v>492</v>
      </c>
      <c r="AK54" s="13">
        <f>_xll.BDH("AMZN US Equity","IS_SH_FOR_DILUTED_EPS","FQ3 2017","FQ3 2017","Currency=USD","Period=FQ","BEST_FPERIOD_OVERRIDE=FQ","FILING_STATUS=MR","Sort=A","Dates=H","DateFormat=P","Fill=—","Direction=H","UseDPDF=Y")</f>
        <v>494</v>
      </c>
      <c r="AL54" s="13">
        <f>_xll.BDH("AMZN US Equity","IS_SH_FOR_DILUTED_EPS","FQ4 2017","FQ4 2017","Currency=USD","Period=FQ","BEST_FPERIOD_OVERRIDE=FQ","FILING_STATUS=MR","Sort=A","Dates=H","DateFormat=P","Fill=—","Direction=H","UseDPDF=Y")</f>
        <v>496</v>
      </c>
      <c r="AM54" s="13">
        <f>_xll.BDH("AMZN US Equity","IS_SH_FOR_DILUTED_EPS","FQ1 2018","FQ1 2018","Currency=USD","Period=FQ","BEST_FPERIOD_OVERRIDE=FQ","FILING_STATUS=MR","Sort=A","Dates=H","DateFormat=P","Fill=—","Direction=H","UseDPDF=Y")</f>
        <v>498</v>
      </c>
      <c r="AN54" s="13">
        <f>_xll.BDH("AMZN US Equity","IS_SH_FOR_DILUTED_EPS","FQ2 2018","FQ2 2018","Currency=USD","Period=FQ","BEST_FPERIOD_OVERRIDE=FQ","FILING_STATUS=MR","Sort=A","Dates=H","DateFormat=P","Fill=—","Direction=H","UseDPDF=Y")</f>
        <v>500</v>
      </c>
      <c r="AO54" s="13"/>
      <c r="AP54" s="13"/>
    </row>
    <row r="55" spans="1:42" x14ac:dyDescent="0.25">
      <c r="A55" s="6" t="s">
        <v>175</v>
      </c>
      <c r="B55" s="6" t="s">
        <v>176</v>
      </c>
      <c r="C55" s="18">
        <f>_xll.BDH("AMZN US Equity","IS_DILUTED_EPS","FQ1 2009","FQ1 2009","Currency=USD","Period=FQ","BEST_FPERIOD_OVERRIDE=FQ","FILING_STATUS=MR","FA_ADJUSTED=GAAP","Sort=A","Dates=H","DateFormat=P","Fill=—","Direction=H","UseDPDF=Y")</f>
        <v>0.41</v>
      </c>
      <c r="D55" s="18">
        <f>_xll.BDH("AMZN US Equity","IS_DILUTED_EPS","FQ2 2009","FQ2 2009","Currency=USD","Period=FQ","BEST_FPERIOD_OVERRIDE=FQ","FILING_STATUS=MR","FA_ADJUSTED=GAAP","Sort=A","Dates=H","DateFormat=P","Fill=—","Direction=H","UseDPDF=Y")</f>
        <v>0.32</v>
      </c>
      <c r="E55" s="18">
        <f>_xll.BDH("AMZN US Equity","IS_DILUTED_EPS","FQ3 2009","FQ3 2009","Currency=USD","Period=FQ","BEST_FPERIOD_OVERRIDE=FQ","FILING_STATUS=MR","FA_ADJUSTED=GAAP","Sort=A","Dates=H","DateFormat=P","Fill=—","Direction=H","UseDPDF=Y")</f>
        <v>0.45</v>
      </c>
      <c r="F55" s="18">
        <f>_xll.BDH("AMZN US Equity","IS_DILUTED_EPS","FQ4 2009","FQ4 2009","Currency=USD","Period=FQ","BEST_FPERIOD_OVERRIDE=FQ","FILING_STATUS=MR","FA_ADJUSTED=GAAP","Sort=A","Dates=H","DateFormat=P","Fill=—","Direction=H","UseDPDF=Y")</f>
        <v>0.85</v>
      </c>
      <c r="G55" s="18">
        <f>_xll.BDH("AMZN US Equity","IS_DILUTED_EPS","FQ1 2010","FQ1 2010","Currency=USD","Period=FQ","BEST_FPERIOD_OVERRIDE=FQ","FILING_STATUS=MR","FA_ADJUSTED=GAAP","Sort=A","Dates=H","DateFormat=P","Fill=—","Direction=H","UseDPDF=Y")</f>
        <v>0.66</v>
      </c>
      <c r="H55" s="18">
        <f>_xll.BDH("AMZN US Equity","IS_DILUTED_EPS","FQ2 2010","FQ2 2010","Currency=USD","Period=FQ","BEST_FPERIOD_OVERRIDE=FQ","FILING_STATUS=MR","FA_ADJUSTED=GAAP","Sort=A","Dates=H","DateFormat=P","Fill=—","Direction=H","UseDPDF=Y")</f>
        <v>0.45</v>
      </c>
      <c r="I55" s="18">
        <f>_xll.BDH("AMZN US Equity","IS_DILUTED_EPS","FQ3 2010","FQ3 2010","Currency=USD","Period=FQ","BEST_FPERIOD_OVERRIDE=FQ","FILING_STATUS=MR","FA_ADJUSTED=GAAP","Sort=A","Dates=H","DateFormat=P","Fill=—","Direction=H","UseDPDF=Y")</f>
        <v>0.51</v>
      </c>
      <c r="J55" s="18">
        <f>_xll.BDH("AMZN US Equity","IS_DILUTED_EPS","FQ4 2010","FQ4 2010","Currency=USD","Period=FQ","BEST_FPERIOD_OVERRIDE=FQ","FILING_STATUS=MR","FA_ADJUSTED=GAAP","Sort=A","Dates=H","DateFormat=P","Fill=—","Direction=H","UseDPDF=Y")</f>
        <v>0.91</v>
      </c>
      <c r="K55" s="18">
        <f>_xll.BDH("AMZN US Equity","IS_DILUTED_EPS","FQ1 2011","FQ1 2011","Currency=USD","Period=FQ","BEST_FPERIOD_OVERRIDE=FQ","FILING_STATUS=MR","FA_ADJUSTED=GAAP","Sort=A","Dates=H","DateFormat=P","Fill=—","Direction=H","UseDPDF=Y")</f>
        <v>0.44</v>
      </c>
      <c r="L55" s="18">
        <f>_xll.BDH("AMZN US Equity","IS_DILUTED_EPS","FQ2 2011","FQ2 2011","Currency=USD","Period=FQ","BEST_FPERIOD_OVERRIDE=FQ","FILING_STATUS=MR","FA_ADJUSTED=GAAP","Sort=A","Dates=H","DateFormat=P","Fill=—","Direction=H","UseDPDF=Y")</f>
        <v>0.41</v>
      </c>
      <c r="M55" s="18">
        <f>_xll.BDH("AMZN US Equity","IS_DILUTED_EPS","FQ3 2011","FQ3 2011","Currency=USD","Period=FQ","BEST_FPERIOD_OVERRIDE=FQ","FILING_STATUS=MR","FA_ADJUSTED=GAAP","Sort=A","Dates=H","DateFormat=P","Fill=—","Direction=H","UseDPDF=Y")</f>
        <v>0.14000000000000001</v>
      </c>
      <c r="N55" s="18">
        <f>_xll.BDH("AMZN US Equity","IS_DILUTED_EPS","FQ4 2011","FQ4 2011","Currency=USD","Period=FQ","BEST_FPERIOD_OVERRIDE=FQ","FILING_STATUS=MR","FA_ADJUSTED=GAAP","Sort=A","Dates=H","DateFormat=P","Fill=—","Direction=H","UseDPDF=Y")</f>
        <v>0.38</v>
      </c>
      <c r="O55" s="18">
        <f>_xll.BDH("AMZN US Equity","IS_DILUTED_EPS","FQ1 2012","FQ1 2012","Currency=USD","Period=FQ","BEST_FPERIOD_OVERRIDE=FQ","FILING_STATUS=MR","FA_ADJUSTED=GAAP","Sort=A","Dates=H","DateFormat=P","Fill=—","Direction=H","UseDPDF=Y")</f>
        <v>0.28000000000000003</v>
      </c>
      <c r="P55" s="18">
        <f>_xll.BDH("AMZN US Equity","IS_DILUTED_EPS","FQ2 2012","FQ2 2012","Currency=USD","Period=FQ","BEST_FPERIOD_OVERRIDE=FQ","FILING_STATUS=MR","FA_ADJUSTED=GAAP","Sort=A","Dates=H","DateFormat=P","Fill=—","Direction=H","UseDPDF=Y")</f>
        <v>0.01</v>
      </c>
      <c r="Q55" s="18">
        <f>_xll.BDH("AMZN US Equity","IS_DILUTED_EPS","FQ3 2012","FQ3 2012","Currency=USD","Period=FQ","BEST_FPERIOD_OVERRIDE=FQ","FILING_STATUS=MR","FA_ADJUSTED=GAAP","Sort=A","Dates=H","DateFormat=P","Fill=—","Direction=H","UseDPDF=Y")</f>
        <v>-0.6</v>
      </c>
      <c r="R55" s="18">
        <f>_xll.BDH("AMZN US Equity","IS_DILUTED_EPS","FQ4 2012","FQ4 2012","Currency=USD","Period=FQ","BEST_FPERIOD_OVERRIDE=FQ","FILING_STATUS=MR","FA_ADJUSTED=GAAP","Sort=A","Dates=H","DateFormat=P","Fill=—","Direction=H","UseDPDF=Y")</f>
        <v>0.21</v>
      </c>
      <c r="S55" s="18">
        <f>_xll.BDH("AMZN US Equity","IS_DILUTED_EPS","FQ1 2013","FQ1 2013","Currency=USD","Period=FQ","BEST_FPERIOD_OVERRIDE=FQ","FILING_STATUS=MR","FA_ADJUSTED=GAAP","Sort=A","Dates=H","DateFormat=P","Fill=—","Direction=H","UseDPDF=Y")</f>
        <v>0.18</v>
      </c>
      <c r="T55" s="18">
        <f>_xll.BDH("AMZN US Equity","IS_DILUTED_EPS","FQ2 2013","FQ2 2013","Currency=USD","Period=FQ","BEST_FPERIOD_OVERRIDE=FQ","FILING_STATUS=MR","FA_ADJUSTED=GAAP","Sort=A","Dates=H","DateFormat=P","Fill=—","Direction=H","UseDPDF=Y")</f>
        <v>-0.02</v>
      </c>
      <c r="U55" s="18">
        <f>_xll.BDH("AMZN US Equity","IS_DILUTED_EPS","FQ3 2013","FQ3 2013","Currency=USD","Period=FQ","BEST_FPERIOD_OVERRIDE=FQ","FILING_STATUS=MR","FA_ADJUSTED=GAAP","Sort=A","Dates=H","DateFormat=P","Fill=—","Direction=H","UseDPDF=Y")</f>
        <v>-0.09</v>
      </c>
      <c r="V55" s="18">
        <f>_xll.BDH("AMZN US Equity","IS_DILUTED_EPS","FQ4 2013","FQ4 2013","Currency=USD","Period=FQ","BEST_FPERIOD_OVERRIDE=FQ","FILING_STATUS=MR","FA_ADJUSTED=GAAP","Sort=A","Dates=H","DateFormat=P","Fill=—","Direction=H","UseDPDF=Y")</f>
        <v>0.51</v>
      </c>
      <c r="W55" s="18">
        <f>_xll.BDH("AMZN US Equity","IS_DILUTED_EPS","FQ1 2014","FQ1 2014","Currency=USD","Period=FQ","BEST_FPERIOD_OVERRIDE=FQ","FILING_STATUS=MR","FA_ADJUSTED=GAAP","Sort=A","Dates=H","DateFormat=P","Fill=—","Direction=H","UseDPDF=Y")</f>
        <v>0.23</v>
      </c>
      <c r="X55" s="18">
        <f>_xll.BDH("AMZN US Equity","IS_DILUTED_EPS","FQ2 2014","FQ2 2014","Currency=USD","Period=FQ","BEST_FPERIOD_OVERRIDE=FQ","FILING_STATUS=MR","FA_ADJUSTED=GAAP","Sort=A","Dates=H","DateFormat=P","Fill=—","Direction=H","UseDPDF=Y")</f>
        <v>-0.27</v>
      </c>
      <c r="Y55" s="18">
        <f>_xll.BDH("AMZN US Equity","IS_DILUTED_EPS","FQ3 2014","FQ3 2014","Currency=USD","Period=FQ","BEST_FPERIOD_OVERRIDE=FQ","FILING_STATUS=MR","FA_ADJUSTED=GAAP","Sort=A","Dates=H","DateFormat=P","Fill=—","Direction=H","UseDPDF=Y")</f>
        <v>-0.95</v>
      </c>
      <c r="Z55" s="18">
        <f>_xll.BDH("AMZN US Equity","IS_DILUTED_EPS","FQ4 2014","FQ4 2014","Currency=USD","Period=FQ","BEST_FPERIOD_OVERRIDE=FQ","FILING_STATUS=MR","FA_ADJUSTED=GAAP","Sort=A","Dates=H","DateFormat=P","Fill=—","Direction=H","UseDPDF=Y")</f>
        <v>0.45</v>
      </c>
      <c r="AA55" s="18">
        <f>_xll.BDH("AMZN US Equity","IS_DILUTED_EPS","FQ1 2015","FQ1 2015","Currency=USD","Period=FQ","BEST_FPERIOD_OVERRIDE=FQ","FILING_STATUS=MR","FA_ADJUSTED=GAAP","Sort=A","Dates=H","DateFormat=P","Fill=—","Direction=H","UseDPDF=Y")</f>
        <v>-0.12</v>
      </c>
      <c r="AB55" s="18">
        <f>_xll.BDH("AMZN US Equity","IS_DILUTED_EPS","FQ2 2015","FQ2 2015","Currency=USD","Period=FQ","BEST_FPERIOD_OVERRIDE=FQ","FILING_STATUS=MR","FA_ADJUSTED=GAAP","Sort=A","Dates=H","DateFormat=P","Fill=—","Direction=H","UseDPDF=Y")</f>
        <v>0.19</v>
      </c>
      <c r="AC55" s="18">
        <f>_xll.BDH("AMZN US Equity","IS_DILUTED_EPS","FQ3 2015","FQ3 2015","Currency=USD","Period=FQ","BEST_FPERIOD_OVERRIDE=FQ","FILING_STATUS=MR","FA_ADJUSTED=GAAP","Sort=A","Dates=H","DateFormat=P","Fill=—","Direction=H","UseDPDF=Y")</f>
        <v>0.17</v>
      </c>
      <c r="AD55" s="18">
        <f>_xll.BDH("AMZN US Equity","IS_DILUTED_EPS","FQ4 2015","FQ4 2015","Currency=USD","Period=FQ","BEST_FPERIOD_OVERRIDE=FQ","FILING_STATUS=MR","FA_ADJUSTED=GAAP","Sort=A","Dates=H","DateFormat=P","Fill=—","Direction=H","UseDPDF=Y")</f>
        <v>1</v>
      </c>
      <c r="AE55" s="18">
        <f>_xll.BDH("AMZN US Equity","IS_DILUTED_EPS","FQ1 2016","FQ1 2016","Currency=USD","Period=FQ","BEST_FPERIOD_OVERRIDE=FQ","FILING_STATUS=MR","FA_ADJUSTED=GAAP","Sort=A","Dates=H","DateFormat=P","Fill=—","Direction=H","UseDPDF=Y")</f>
        <v>1.07</v>
      </c>
      <c r="AF55" s="18">
        <f>_xll.BDH("AMZN US Equity","IS_DILUTED_EPS","FQ2 2016","FQ2 2016","Currency=USD","Period=FQ","BEST_FPERIOD_OVERRIDE=FQ","FILING_STATUS=MR","FA_ADJUSTED=GAAP","Sort=A","Dates=H","DateFormat=P","Fill=—","Direction=H","UseDPDF=Y")</f>
        <v>1.78</v>
      </c>
      <c r="AG55" s="18">
        <f>_xll.BDH("AMZN US Equity","IS_DILUTED_EPS","FQ3 2016","FQ3 2016","Currency=USD","Period=FQ","BEST_FPERIOD_OVERRIDE=FQ","FILING_STATUS=MR","FA_ADJUSTED=GAAP","Sort=A","Dates=H","DateFormat=P","Fill=—","Direction=H","UseDPDF=Y")</f>
        <v>0.52</v>
      </c>
      <c r="AH55" s="18">
        <f>_xll.BDH("AMZN US Equity","IS_DILUTED_EPS","FQ4 2016","FQ4 2016","Currency=USD","Period=FQ","BEST_FPERIOD_OVERRIDE=FQ","FILING_STATUS=MR","FA_ADJUSTED=GAAP","Sort=A","Dates=H","DateFormat=P","Fill=—","Direction=H","UseDPDF=Y")</f>
        <v>1.54</v>
      </c>
      <c r="AI55" s="18">
        <f>_xll.BDH("AMZN US Equity","IS_DILUTED_EPS","FQ1 2017","FQ1 2017","Currency=USD","Period=FQ","BEST_FPERIOD_OVERRIDE=FQ","FILING_STATUS=MR","FA_ADJUSTED=GAAP","Sort=A","Dates=H","DateFormat=P","Fill=—","Direction=H","UseDPDF=Y")</f>
        <v>1.48</v>
      </c>
      <c r="AJ55" s="18">
        <f>_xll.BDH("AMZN US Equity","IS_DILUTED_EPS","FQ2 2017","FQ2 2017","Currency=USD","Period=FQ","BEST_FPERIOD_OVERRIDE=FQ","FILING_STATUS=MR","FA_ADJUSTED=GAAP","Sort=A","Dates=H","DateFormat=P","Fill=—","Direction=H","UseDPDF=Y")</f>
        <v>0.4</v>
      </c>
      <c r="AK55" s="18">
        <f>_xll.BDH("AMZN US Equity","IS_DILUTED_EPS","FQ3 2017","FQ3 2017","Currency=USD","Period=FQ","BEST_FPERIOD_OVERRIDE=FQ","FILING_STATUS=MR","FA_ADJUSTED=GAAP","Sort=A","Dates=H","DateFormat=P","Fill=—","Direction=H","UseDPDF=Y")</f>
        <v>0.52</v>
      </c>
      <c r="AL55" s="18">
        <f>_xll.BDH("AMZN US Equity","IS_DILUTED_EPS","FQ4 2017","FQ4 2017","Currency=USD","Period=FQ","BEST_FPERIOD_OVERRIDE=FQ","FILING_STATUS=MR","FA_ADJUSTED=GAAP","Sort=A","Dates=H","DateFormat=P","Fill=—","Direction=H","UseDPDF=Y")</f>
        <v>3.75</v>
      </c>
      <c r="AM55" s="18">
        <f>_xll.BDH("AMZN US Equity","IS_DILUTED_EPS","FQ1 2018","FQ1 2018","Currency=USD","Period=FQ","BEST_FPERIOD_OVERRIDE=FQ","FILING_STATUS=MR","FA_ADJUSTED=GAAP","Sort=A","Dates=H","DateFormat=P","Fill=—","Direction=H","UseDPDF=Y")</f>
        <v>3.27</v>
      </c>
      <c r="AN55" s="18">
        <f>_xll.BDH("AMZN US Equity","IS_DILUTED_EPS","FQ2 2018","FQ2 2018","Currency=USD","Period=FQ","BEST_FPERIOD_OVERRIDE=FQ","FILING_STATUS=MR","FA_ADJUSTED=GAAP","Sort=A","Dates=H","DateFormat=P","Fill=—","Direction=H","UseDPDF=Y")</f>
        <v>5.07</v>
      </c>
      <c r="AO55" s="18">
        <v>3.113</v>
      </c>
      <c r="AP55" s="18">
        <v>5.7939999999999996</v>
      </c>
    </row>
    <row r="56" spans="1:42" x14ac:dyDescent="0.25">
      <c r="A56" s="6" t="s">
        <v>177</v>
      </c>
      <c r="B56" s="6" t="s">
        <v>178</v>
      </c>
      <c r="C56" s="18">
        <f>_xll.BDH("AMZN US Equity","IS_DIL_EPS_BEF_XO","FQ1 2009","FQ1 2009","Currency=USD","Period=FQ","BEST_FPERIOD_OVERRIDE=FQ","FILING_STATUS=MR","Sort=A","Dates=H","DateFormat=P","Fill=—","Direction=H","UseDPDF=Y")</f>
        <v>0.41</v>
      </c>
      <c r="D56" s="18">
        <f>_xll.BDH("AMZN US Equity","IS_DIL_EPS_BEF_XO","FQ2 2009","FQ2 2009","Currency=USD","Period=FQ","BEST_FPERIOD_OVERRIDE=FQ","FILING_STATUS=MR","Sort=A","Dates=H","DateFormat=P","Fill=—","Direction=H","UseDPDF=Y")</f>
        <v>0.32</v>
      </c>
      <c r="E56" s="18">
        <f>_xll.BDH("AMZN US Equity","IS_DIL_EPS_BEF_XO","FQ3 2009","FQ3 2009","Currency=USD","Period=FQ","BEST_FPERIOD_OVERRIDE=FQ","FILING_STATUS=MR","Sort=A","Dates=H","DateFormat=P","Fill=—","Direction=H","UseDPDF=Y")</f>
        <v>0.45</v>
      </c>
      <c r="F56" s="18">
        <f>_xll.BDH("AMZN US Equity","IS_DIL_EPS_BEF_XO","FQ4 2009","FQ4 2009","Currency=USD","Period=FQ","BEST_FPERIOD_OVERRIDE=FQ","FILING_STATUS=MR","Sort=A","Dates=H","DateFormat=P","Fill=—","Direction=H","UseDPDF=Y")</f>
        <v>0.85</v>
      </c>
      <c r="G56" s="18">
        <f>_xll.BDH("AMZN US Equity","IS_DIL_EPS_BEF_XO","FQ1 2010","FQ1 2010","Currency=USD","Period=FQ","BEST_FPERIOD_OVERRIDE=FQ","FILING_STATUS=MR","Sort=A","Dates=H","DateFormat=P","Fill=—","Direction=H","UseDPDF=Y")</f>
        <v>0.66</v>
      </c>
      <c r="H56" s="18">
        <f>_xll.BDH("AMZN US Equity","IS_DIL_EPS_BEF_XO","FQ2 2010","FQ2 2010","Currency=USD","Period=FQ","BEST_FPERIOD_OVERRIDE=FQ","FILING_STATUS=MR","Sort=A","Dates=H","DateFormat=P","Fill=—","Direction=H","UseDPDF=Y")</f>
        <v>0.45</v>
      </c>
      <c r="I56" s="18">
        <f>_xll.BDH("AMZN US Equity","IS_DIL_EPS_BEF_XO","FQ3 2010","FQ3 2010","Currency=USD","Period=FQ","BEST_FPERIOD_OVERRIDE=FQ","FILING_STATUS=MR","Sort=A","Dates=H","DateFormat=P","Fill=—","Direction=H","UseDPDF=Y")</f>
        <v>0.51</v>
      </c>
      <c r="J56" s="18">
        <f>_xll.BDH("AMZN US Equity","IS_DIL_EPS_BEF_XO","FQ4 2010","FQ4 2010","Currency=USD","Period=FQ","BEST_FPERIOD_OVERRIDE=FQ","FILING_STATUS=MR","Sort=A","Dates=H","DateFormat=P","Fill=—","Direction=H","UseDPDF=Y")</f>
        <v>0.91</v>
      </c>
      <c r="K56" s="18">
        <f>_xll.BDH("AMZN US Equity","IS_DIL_EPS_BEF_XO","FQ1 2011","FQ1 2011","Currency=USD","Period=FQ","BEST_FPERIOD_OVERRIDE=FQ","FILING_STATUS=MR","Sort=A","Dates=H","DateFormat=P","Fill=—","Direction=H","UseDPDF=Y")</f>
        <v>0.44</v>
      </c>
      <c r="L56" s="18">
        <f>_xll.BDH("AMZN US Equity","IS_DIL_EPS_BEF_XO","FQ2 2011","FQ2 2011","Currency=USD","Period=FQ","BEST_FPERIOD_OVERRIDE=FQ","FILING_STATUS=MR","Sort=A","Dates=H","DateFormat=P","Fill=—","Direction=H","UseDPDF=Y")</f>
        <v>0.41</v>
      </c>
      <c r="M56" s="18">
        <f>_xll.BDH("AMZN US Equity","IS_DIL_EPS_BEF_XO","FQ3 2011","FQ3 2011","Currency=USD","Period=FQ","BEST_FPERIOD_OVERRIDE=FQ","FILING_STATUS=MR","Sort=A","Dates=H","DateFormat=P","Fill=—","Direction=H","UseDPDF=Y")</f>
        <v>0.14000000000000001</v>
      </c>
      <c r="N56" s="18">
        <f>_xll.BDH("AMZN US Equity","IS_DIL_EPS_BEF_XO","FQ4 2011","FQ4 2011","Currency=USD","Period=FQ","BEST_FPERIOD_OVERRIDE=FQ","FILING_STATUS=MR","Sort=A","Dates=H","DateFormat=P","Fill=—","Direction=H","UseDPDF=Y")</f>
        <v>0.38</v>
      </c>
      <c r="O56" s="18">
        <f>_xll.BDH("AMZN US Equity","IS_DIL_EPS_BEF_XO","FQ1 2012","FQ1 2012","Currency=USD","Period=FQ","BEST_FPERIOD_OVERRIDE=FQ","FILING_STATUS=MR","Sort=A","Dates=H","DateFormat=P","Fill=—","Direction=H","UseDPDF=Y")</f>
        <v>0.28000000000000003</v>
      </c>
      <c r="P56" s="18">
        <f>_xll.BDH("AMZN US Equity","IS_DIL_EPS_BEF_XO","FQ2 2012","FQ2 2012","Currency=USD","Period=FQ","BEST_FPERIOD_OVERRIDE=FQ","FILING_STATUS=MR","Sort=A","Dates=H","DateFormat=P","Fill=—","Direction=H","UseDPDF=Y")</f>
        <v>0.01</v>
      </c>
      <c r="Q56" s="18">
        <f>_xll.BDH("AMZN US Equity","IS_DIL_EPS_BEF_XO","FQ3 2012","FQ3 2012","Currency=USD","Period=FQ","BEST_FPERIOD_OVERRIDE=FQ","FILING_STATUS=MR","Sort=A","Dates=H","DateFormat=P","Fill=—","Direction=H","UseDPDF=Y")</f>
        <v>-0.6</v>
      </c>
      <c r="R56" s="18">
        <f>_xll.BDH("AMZN US Equity","IS_DIL_EPS_BEF_XO","FQ4 2012","FQ4 2012","Currency=USD","Period=FQ","BEST_FPERIOD_OVERRIDE=FQ","FILING_STATUS=MR","Sort=A","Dates=H","DateFormat=P","Fill=—","Direction=H","UseDPDF=Y")</f>
        <v>0.21</v>
      </c>
      <c r="S56" s="18">
        <f>_xll.BDH("AMZN US Equity","IS_DIL_EPS_BEF_XO","FQ1 2013","FQ1 2013","Currency=USD","Period=FQ","BEST_FPERIOD_OVERRIDE=FQ","FILING_STATUS=MR","Sort=A","Dates=H","DateFormat=P","Fill=—","Direction=H","UseDPDF=Y")</f>
        <v>0.18</v>
      </c>
      <c r="T56" s="18">
        <f>_xll.BDH("AMZN US Equity","IS_DIL_EPS_BEF_XO","FQ2 2013","FQ2 2013","Currency=USD","Period=FQ","BEST_FPERIOD_OVERRIDE=FQ","FILING_STATUS=MR","Sort=A","Dates=H","DateFormat=P","Fill=—","Direction=H","UseDPDF=Y")</f>
        <v>-0.02</v>
      </c>
      <c r="U56" s="18">
        <f>_xll.BDH("AMZN US Equity","IS_DIL_EPS_BEF_XO","FQ3 2013","FQ3 2013","Currency=USD","Period=FQ","BEST_FPERIOD_OVERRIDE=FQ","FILING_STATUS=MR","Sort=A","Dates=H","DateFormat=P","Fill=—","Direction=H","UseDPDF=Y")</f>
        <v>-0.09</v>
      </c>
      <c r="V56" s="18">
        <f>_xll.BDH("AMZN US Equity","IS_DIL_EPS_BEF_XO","FQ4 2013","FQ4 2013","Currency=USD","Period=FQ","BEST_FPERIOD_OVERRIDE=FQ","FILING_STATUS=MR","Sort=A","Dates=H","DateFormat=P","Fill=—","Direction=H","UseDPDF=Y")</f>
        <v>0.51</v>
      </c>
      <c r="W56" s="18">
        <f>_xll.BDH("AMZN US Equity","IS_DIL_EPS_BEF_XO","FQ1 2014","FQ1 2014","Currency=USD","Period=FQ","BEST_FPERIOD_OVERRIDE=FQ","FILING_STATUS=MR","Sort=A","Dates=H","DateFormat=P","Fill=—","Direction=H","UseDPDF=Y")</f>
        <v>0.23</v>
      </c>
      <c r="X56" s="18">
        <f>_xll.BDH("AMZN US Equity","IS_DIL_EPS_BEF_XO","FQ2 2014","FQ2 2014","Currency=USD","Period=FQ","BEST_FPERIOD_OVERRIDE=FQ","FILING_STATUS=MR","Sort=A","Dates=H","DateFormat=P","Fill=—","Direction=H","UseDPDF=Y")</f>
        <v>-0.27</v>
      </c>
      <c r="Y56" s="18">
        <f>_xll.BDH("AMZN US Equity","IS_DIL_EPS_BEF_XO","FQ3 2014","FQ3 2014","Currency=USD","Period=FQ","BEST_FPERIOD_OVERRIDE=FQ","FILING_STATUS=MR","Sort=A","Dates=H","DateFormat=P","Fill=—","Direction=H","UseDPDF=Y")</f>
        <v>-0.95</v>
      </c>
      <c r="Z56" s="18">
        <f>_xll.BDH("AMZN US Equity","IS_DIL_EPS_BEF_XO","FQ4 2014","FQ4 2014","Currency=USD","Period=FQ","BEST_FPERIOD_OVERRIDE=FQ","FILING_STATUS=MR","Sort=A","Dates=H","DateFormat=P","Fill=—","Direction=H","UseDPDF=Y")</f>
        <v>0.45</v>
      </c>
      <c r="AA56" s="18">
        <f>_xll.BDH("AMZN US Equity","IS_DIL_EPS_BEF_XO","FQ1 2015","FQ1 2015","Currency=USD","Period=FQ","BEST_FPERIOD_OVERRIDE=FQ","FILING_STATUS=MR","Sort=A","Dates=H","DateFormat=P","Fill=—","Direction=H","UseDPDF=Y")</f>
        <v>-0.12</v>
      </c>
      <c r="AB56" s="18">
        <f>_xll.BDH("AMZN US Equity","IS_DIL_EPS_BEF_XO","FQ2 2015","FQ2 2015","Currency=USD","Period=FQ","BEST_FPERIOD_OVERRIDE=FQ","FILING_STATUS=MR","Sort=A","Dates=H","DateFormat=P","Fill=—","Direction=H","UseDPDF=Y")</f>
        <v>0.19</v>
      </c>
      <c r="AC56" s="18">
        <f>_xll.BDH("AMZN US Equity","IS_DIL_EPS_BEF_XO","FQ3 2015","FQ3 2015","Currency=USD","Period=FQ","BEST_FPERIOD_OVERRIDE=FQ","FILING_STATUS=MR","Sort=A","Dates=H","DateFormat=P","Fill=—","Direction=H","UseDPDF=Y")</f>
        <v>0.17</v>
      </c>
      <c r="AD56" s="18">
        <f>_xll.BDH("AMZN US Equity","IS_DIL_EPS_BEF_XO","FQ4 2015","FQ4 2015","Currency=USD","Period=FQ","BEST_FPERIOD_OVERRIDE=FQ","FILING_STATUS=MR","Sort=A","Dates=H","DateFormat=P","Fill=—","Direction=H","UseDPDF=Y")</f>
        <v>1</v>
      </c>
      <c r="AE56" s="18">
        <f>_xll.BDH("AMZN US Equity","IS_DIL_EPS_BEF_XO","FQ1 2016","FQ1 2016","Currency=USD","Period=FQ","BEST_FPERIOD_OVERRIDE=FQ","FILING_STATUS=MR","Sort=A","Dates=H","DateFormat=P","Fill=—","Direction=H","UseDPDF=Y")</f>
        <v>1.07</v>
      </c>
      <c r="AF56" s="18">
        <f>_xll.BDH("AMZN US Equity","IS_DIL_EPS_BEF_XO","FQ2 2016","FQ2 2016","Currency=USD","Period=FQ","BEST_FPERIOD_OVERRIDE=FQ","FILING_STATUS=MR","Sort=A","Dates=H","DateFormat=P","Fill=—","Direction=H","UseDPDF=Y")</f>
        <v>1.78</v>
      </c>
      <c r="AG56" s="18">
        <f>_xll.BDH("AMZN US Equity","IS_DIL_EPS_BEF_XO","FQ3 2016","FQ3 2016","Currency=USD","Period=FQ","BEST_FPERIOD_OVERRIDE=FQ","FILING_STATUS=MR","Sort=A","Dates=H","DateFormat=P","Fill=—","Direction=H","UseDPDF=Y")</f>
        <v>0.52</v>
      </c>
      <c r="AH56" s="18">
        <f>_xll.BDH("AMZN US Equity","IS_DIL_EPS_BEF_XO","FQ4 2016","FQ4 2016","Currency=USD","Period=FQ","BEST_FPERIOD_OVERRIDE=FQ","FILING_STATUS=MR","Sort=A","Dates=H","DateFormat=P","Fill=—","Direction=H","UseDPDF=Y")</f>
        <v>1.54</v>
      </c>
      <c r="AI56" s="18">
        <f>_xll.BDH("AMZN US Equity","IS_DIL_EPS_BEF_XO","FQ1 2017","FQ1 2017","Currency=USD","Period=FQ","BEST_FPERIOD_OVERRIDE=FQ","FILING_STATUS=MR","Sort=A","Dates=H","DateFormat=P","Fill=—","Direction=H","UseDPDF=Y")</f>
        <v>1.48</v>
      </c>
      <c r="AJ56" s="18">
        <f>_xll.BDH("AMZN US Equity","IS_DIL_EPS_BEF_XO","FQ2 2017","FQ2 2017","Currency=USD","Period=FQ","BEST_FPERIOD_OVERRIDE=FQ","FILING_STATUS=MR","Sort=A","Dates=H","DateFormat=P","Fill=—","Direction=H","UseDPDF=Y")</f>
        <v>0.4</v>
      </c>
      <c r="AK56" s="18">
        <f>_xll.BDH("AMZN US Equity","IS_DIL_EPS_BEF_XO","FQ3 2017","FQ3 2017","Currency=USD","Period=FQ","BEST_FPERIOD_OVERRIDE=FQ","FILING_STATUS=MR","Sort=A","Dates=H","DateFormat=P","Fill=—","Direction=H","UseDPDF=Y")</f>
        <v>0.52</v>
      </c>
      <c r="AL56" s="18">
        <f>_xll.BDH("AMZN US Equity","IS_DIL_EPS_BEF_XO","FQ4 2017","FQ4 2017","Currency=USD","Period=FQ","BEST_FPERIOD_OVERRIDE=FQ","FILING_STATUS=MR","Sort=A","Dates=H","DateFormat=P","Fill=—","Direction=H","UseDPDF=Y")</f>
        <v>3.75</v>
      </c>
      <c r="AM56" s="18">
        <f>_xll.BDH("AMZN US Equity","IS_DIL_EPS_BEF_XO","FQ1 2018","FQ1 2018","Currency=USD","Period=FQ","BEST_FPERIOD_OVERRIDE=FQ","FILING_STATUS=MR","Sort=A","Dates=H","DateFormat=P","Fill=—","Direction=H","UseDPDF=Y")</f>
        <v>3.27</v>
      </c>
      <c r="AN56" s="18">
        <f>_xll.BDH("AMZN US Equity","IS_DIL_EPS_BEF_XO","FQ2 2018","FQ2 2018","Currency=USD","Period=FQ","BEST_FPERIOD_OVERRIDE=FQ","FILING_STATUS=MR","Sort=A","Dates=H","DateFormat=P","Fill=—","Direction=H","UseDPDF=Y")</f>
        <v>5.07</v>
      </c>
      <c r="AO56" s="18">
        <v>3.113</v>
      </c>
      <c r="AP56" s="18">
        <v>5.7939999999999996</v>
      </c>
    </row>
    <row r="57" spans="1:42" x14ac:dyDescent="0.25">
      <c r="A57" s="6" t="s">
        <v>179</v>
      </c>
      <c r="B57" s="6" t="s">
        <v>180</v>
      </c>
      <c r="C57" s="18">
        <f>_xll.BDH("AMZN US Equity","IS_DIL_EPS_CONT_OPS","FQ1 2009","FQ1 2009","Currency=USD","Period=FQ","BEST_FPERIOD_OVERRIDE=FQ","FILING_STATUS=MR","Sort=A","Dates=H","DateFormat=P","Fill=—","Direction=H","UseDPDF=Y")</f>
        <v>0.40699999999999997</v>
      </c>
      <c r="D57" s="18">
        <f>_xll.BDH("AMZN US Equity","IS_DIL_EPS_CONT_OPS","FQ2 2009","FQ2 2009","Currency=USD","Period=FQ","BEST_FPERIOD_OVERRIDE=FQ","FILING_STATUS=MR","Sort=A","Dates=H","DateFormat=P","Fill=—","Direction=H","UseDPDF=Y")</f>
        <v>0.39240000000000003</v>
      </c>
      <c r="E57" s="18">
        <f>_xll.BDH("AMZN US Equity","IS_DIL_EPS_CONT_OPS","FQ3 2009","FQ3 2009","Currency=USD","Period=FQ","BEST_FPERIOD_OVERRIDE=FQ","FILING_STATUS=MR","Sort=A","Dates=H","DateFormat=P","Fill=—","Direction=H","UseDPDF=Y")</f>
        <v>0.44850000000000001</v>
      </c>
      <c r="F57" s="18">
        <f>_xll.BDH("AMZN US Equity","IS_DIL_EPS_CONT_OPS","FQ4 2009","FQ4 2009","Currency=USD","Period=FQ","BEST_FPERIOD_OVERRIDE=FQ","FILING_STATUS=MR","Sort=A","Dates=H","DateFormat=P","Fill=—","Direction=H","UseDPDF=Y")</f>
        <v>0.85140000000000005</v>
      </c>
      <c r="G57" s="18">
        <f>_xll.BDH("AMZN US Equity","IS_DIL_EPS_CONT_OPS","FQ1 2010","FQ1 2010","Currency=USD","Period=FQ","BEST_FPERIOD_OVERRIDE=FQ","FILING_STATUS=MR","Sort=A","Dates=H","DateFormat=P","Fill=—","Direction=H","UseDPDF=Y")</f>
        <v>0.66</v>
      </c>
      <c r="H57" s="18">
        <f>_xll.BDH("AMZN US Equity","IS_DIL_EPS_CONT_OPS","FQ2 2010","FQ2 2010","Currency=USD","Period=FQ","BEST_FPERIOD_OVERRIDE=FQ","FILING_STATUS=MR","Sort=A","Dates=H","DateFormat=P","Fill=—","Direction=H","UseDPDF=Y")</f>
        <v>0.45</v>
      </c>
      <c r="I57" s="18">
        <f>_xll.BDH("AMZN US Equity","IS_DIL_EPS_CONT_OPS","FQ3 2010","FQ3 2010","Currency=USD","Period=FQ","BEST_FPERIOD_OVERRIDE=FQ","FILING_STATUS=MR","Sort=A","Dates=H","DateFormat=P","Fill=—","Direction=H","UseDPDF=Y")</f>
        <v>0.51</v>
      </c>
      <c r="J57" s="18">
        <f>_xll.BDH("AMZN US Equity","IS_DIL_EPS_CONT_OPS","FQ4 2010","FQ4 2010","Currency=USD","Period=FQ","BEST_FPERIOD_OVERRIDE=FQ","FILING_STATUS=MR","Sort=A","Dates=H","DateFormat=P","Fill=—","Direction=H","UseDPDF=Y")</f>
        <v>0.91</v>
      </c>
      <c r="K57" s="18">
        <f>_xll.BDH("AMZN US Equity","IS_DIL_EPS_CONT_OPS","FQ1 2011","FQ1 2011","Currency=USD","Period=FQ","BEST_FPERIOD_OVERRIDE=FQ","FILING_STATUS=MR","Sort=A","Dates=H","DateFormat=P","Fill=—","Direction=H","UseDPDF=Y")</f>
        <v>0.44</v>
      </c>
      <c r="L57" s="18">
        <f>_xll.BDH("AMZN US Equity","IS_DIL_EPS_CONT_OPS","FQ2 2011","FQ2 2011","Currency=USD","Period=FQ","BEST_FPERIOD_OVERRIDE=FQ","FILING_STATUS=MR","Sort=A","Dates=H","DateFormat=P","Fill=—","Direction=H","UseDPDF=Y")</f>
        <v>0.41</v>
      </c>
      <c r="M57" s="18">
        <f>_xll.BDH("AMZN US Equity","IS_DIL_EPS_CONT_OPS","FQ3 2011","FQ3 2011","Currency=USD","Period=FQ","BEST_FPERIOD_OVERRIDE=FQ","FILING_STATUS=MR","Sort=A","Dates=H","DateFormat=P","Fill=—","Direction=H","UseDPDF=Y")</f>
        <v>0.14000000000000001</v>
      </c>
      <c r="N57" s="18">
        <f>_xll.BDH("AMZN US Equity","IS_DIL_EPS_CONT_OPS","FQ4 2011","FQ4 2011","Currency=USD","Period=FQ","BEST_FPERIOD_OVERRIDE=FQ","FILING_STATUS=MR","Sort=A","Dates=H","DateFormat=P","Fill=—","Direction=H","UseDPDF=Y")</f>
        <v>0.38</v>
      </c>
      <c r="O57" s="18">
        <f>_xll.BDH("AMZN US Equity","IS_DIL_EPS_CONT_OPS","FQ1 2012","FQ1 2012","Currency=USD","Period=FQ","BEST_FPERIOD_OVERRIDE=FQ","FILING_STATUS=MR","Sort=A","Dates=H","DateFormat=P","Fill=—","Direction=H","UseDPDF=Y")</f>
        <v>0.28000000000000003</v>
      </c>
      <c r="P57" s="18">
        <f>_xll.BDH("AMZN US Equity","IS_DIL_EPS_CONT_OPS","FQ2 2012","FQ2 2012","Currency=USD","Period=FQ","BEST_FPERIOD_OVERRIDE=FQ","FILING_STATUS=MR","Sort=A","Dates=H","DateFormat=P","Fill=—","Direction=H","UseDPDF=Y")</f>
        <v>0.15190000000000001</v>
      </c>
      <c r="Q57" s="18">
        <f>_xll.BDH("AMZN US Equity","IS_DIL_EPS_CONT_OPS","FQ3 2012","FQ3 2012","Currency=USD","Period=FQ","BEST_FPERIOD_OVERRIDE=FQ","FILING_STATUS=MR","Sort=A","Dates=H","DateFormat=P","Fill=—","Direction=H","UseDPDF=Y")</f>
        <v>-0.28539999999999999</v>
      </c>
      <c r="R57" s="18">
        <f>_xll.BDH("AMZN US Equity","IS_DIL_EPS_CONT_OPS","FQ4 2012","FQ4 2012","Currency=USD","Period=FQ","BEST_FPERIOD_OVERRIDE=FQ","FILING_STATUS=MR","Sort=A","Dates=H","DateFormat=P","Fill=—","Direction=H","UseDPDF=Y")</f>
        <v>0.26419999999999999</v>
      </c>
      <c r="S57" s="18">
        <f>_xll.BDH("AMZN US Equity","IS_DIL_EPS_CONT_OPS","FQ1 2013","FQ1 2013","Currency=USD","Period=FQ","BEST_FPERIOD_OVERRIDE=FQ","FILING_STATUS=MR","Sort=A","Dates=H","DateFormat=P","Fill=—","Direction=H","UseDPDF=Y")</f>
        <v>0.18</v>
      </c>
      <c r="T57" s="18">
        <f>_xll.BDH("AMZN US Equity","IS_DIL_EPS_CONT_OPS","FQ2 2013","FQ2 2013","Currency=USD","Period=FQ","BEST_FPERIOD_OVERRIDE=FQ","FILING_STATUS=MR","Sort=A","Dates=H","DateFormat=P","Fill=—","Direction=H","UseDPDF=Y")</f>
        <v>-0.02</v>
      </c>
      <c r="U57" s="18">
        <f>_xll.BDH("AMZN US Equity","IS_DIL_EPS_CONT_OPS","FQ3 2013","FQ3 2013","Currency=USD","Period=FQ","BEST_FPERIOD_OVERRIDE=FQ","FILING_STATUS=MR","Sort=A","Dates=H","DateFormat=P","Fill=—","Direction=H","UseDPDF=Y")</f>
        <v>-0.09</v>
      </c>
      <c r="V57" s="18">
        <f>_xll.BDH("AMZN US Equity","IS_DIL_EPS_CONT_OPS","FQ4 2013","FQ4 2013","Currency=USD","Period=FQ","BEST_FPERIOD_OVERRIDE=FQ","FILING_STATUS=MR","Sort=A","Dates=H","DateFormat=P","Fill=—","Direction=H","UseDPDF=Y")</f>
        <v>0.51</v>
      </c>
      <c r="W57" s="18">
        <f>_xll.BDH("AMZN US Equity","IS_DIL_EPS_CONT_OPS","FQ1 2014","FQ1 2014","Currency=USD","Period=FQ","BEST_FPERIOD_OVERRIDE=FQ","FILING_STATUS=MR","Sort=A","Dates=H","DateFormat=P","Fill=—","Direction=H","UseDPDF=Y")</f>
        <v>0.23</v>
      </c>
      <c r="X57" s="18">
        <f>_xll.BDH("AMZN US Equity","IS_DIL_EPS_CONT_OPS","FQ2 2014","FQ2 2014","Currency=USD","Period=FQ","BEST_FPERIOD_OVERRIDE=FQ","FILING_STATUS=MR","Sort=A","Dates=H","DateFormat=P","Fill=—","Direction=H","UseDPDF=Y")</f>
        <v>-0.27</v>
      </c>
      <c r="Y57" s="18">
        <f>_xll.BDH("AMZN US Equity","IS_DIL_EPS_CONT_OPS","FQ3 2014","FQ3 2014","Currency=USD","Period=FQ","BEST_FPERIOD_OVERRIDE=FQ","FILING_STATUS=MR","Sort=A","Dates=H","DateFormat=P","Fill=—","Direction=H","UseDPDF=Y")</f>
        <v>-0.71130000000000004</v>
      </c>
      <c r="Z57" s="18">
        <f>_xll.BDH("AMZN US Equity","IS_DIL_EPS_CONT_OPS","FQ4 2014","FQ4 2014","Currency=USD","Period=FQ","BEST_FPERIOD_OVERRIDE=FQ","FILING_STATUS=MR","Sort=A","Dates=H","DateFormat=P","Fill=—","Direction=H","UseDPDF=Y")</f>
        <v>0.45</v>
      </c>
      <c r="AA57" s="18">
        <f>_xll.BDH("AMZN US Equity","IS_DIL_EPS_CONT_OPS","FQ1 2015","FQ1 2015","Currency=USD","Period=FQ","BEST_FPERIOD_OVERRIDE=FQ","FILING_STATUS=MR","Sort=A","Dates=H","DateFormat=P","Fill=—","Direction=H","UseDPDF=Y")</f>
        <v>-0.1212</v>
      </c>
      <c r="AB57" s="18">
        <f>_xll.BDH("AMZN US Equity","IS_DIL_EPS_CONT_OPS","FQ2 2015","FQ2 2015","Currency=USD","Period=FQ","BEST_FPERIOD_OVERRIDE=FQ","FILING_STATUS=MR","Sort=A","Dates=H","DateFormat=P","Fill=—","Direction=H","UseDPDF=Y")</f>
        <v>0.19139999999999999</v>
      </c>
      <c r="AC57" s="18">
        <f>_xll.BDH("AMZN US Equity","IS_DIL_EPS_CONT_OPS","FQ3 2015","FQ3 2015","Currency=USD","Period=FQ","BEST_FPERIOD_OVERRIDE=FQ","FILING_STATUS=MR","Sort=A","Dates=H","DateFormat=P","Fill=—","Direction=H","UseDPDF=Y")</f>
        <v>0.17</v>
      </c>
      <c r="AD57" s="18">
        <f>_xll.BDH("AMZN US Equity","IS_DIL_EPS_CONT_OPS","FQ4 2015","FQ4 2015","Currency=USD","Period=FQ","BEST_FPERIOD_OVERRIDE=FQ","FILING_STATUS=MR","Sort=A","Dates=H","DateFormat=P","Fill=—","Direction=H","UseDPDF=Y")</f>
        <v>1.0041</v>
      </c>
      <c r="AE57" s="18">
        <f>_xll.BDH("AMZN US Equity","IS_DIL_EPS_CONT_OPS","FQ1 2016","FQ1 2016","Currency=USD","Period=FQ","BEST_FPERIOD_OVERRIDE=FQ","FILING_STATUS=MR","Sort=A","Dates=H","DateFormat=P","Fill=—","Direction=H","UseDPDF=Y")</f>
        <v>1.07</v>
      </c>
      <c r="AF57" s="18">
        <f>_xll.BDH("AMZN US Equity","IS_DIL_EPS_CONT_OPS","FQ2 2016","FQ2 2016","Currency=USD","Period=FQ","BEST_FPERIOD_OVERRIDE=FQ","FILING_STATUS=MR","Sort=A","Dates=H","DateFormat=P","Fill=—","Direction=H","UseDPDF=Y")</f>
        <v>1.78</v>
      </c>
      <c r="AG57" s="18">
        <f>_xll.BDH("AMZN US Equity","IS_DIL_EPS_CONT_OPS","FQ3 2016","FQ3 2016","Currency=USD","Period=FQ","BEST_FPERIOD_OVERRIDE=FQ","FILING_STATUS=MR","Sort=A","Dates=H","DateFormat=P","Fill=—","Direction=H","UseDPDF=Y")</f>
        <v>0.52</v>
      </c>
      <c r="AH57" s="18">
        <f>_xll.BDH("AMZN US Equity","IS_DIL_EPS_CONT_OPS","FQ4 2016","FQ4 2016","Currency=USD","Period=FQ","BEST_FPERIOD_OVERRIDE=FQ","FILING_STATUS=MR","Sort=A","Dates=H","DateFormat=P","Fill=—","Direction=H","UseDPDF=Y")</f>
        <v>1.5467</v>
      </c>
      <c r="AI57" s="18">
        <f>_xll.BDH("AMZN US Equity","IS_DIL_EPS_CONT_OPS","FQ1 2017","FQ1 2017","Currency=USD","Period=FQ","BEST_FPERIOD_OVERRIDE=FQ","FILING_STATUS=MR","Sort=A","Dates=H","DateFormat=P","Fill=—","Direction=H","UseDPDF=Y")</f>
        <v>1.48</v>
      </c>
      <c r="AJ57" s="18">
        <f>_xll.BDH("AMZN US Equity","IS_DIL_EPS_CONT_OPS","FQ2 2017","FQ2 2017","Currency=USD","Period=FQ","BEST_FPERIOD_OVERRIDE=FQ","FILING_STATUS=MR","Sort=A","Dates=H","DateFormat=P","Fill=—","Direction=H","UseDPDF=Y")</f>
        <v>0.4</v>
      </c>
      <c r="AK57" s="18">
        <f>_xll.BDH("AMZN US Equity","IS_DIL_EPS_CONT_OPS","FQ3 2017","FQ3 2017","Currency=USD","Period=FQ","BEST_FPERIOD_OVERRIDE=FQ","FILING_STATUS=MR","Sort=A","Dates=H","DateFormat=P","Fill=—","Direction=H","UseDPDF=Y")</f>
        <v>0.52</v>
      </c>
      <c r="AL57" s="18">
        <f>_xll.BDH("AMZN US Equity","IS_DIL_EPS_CONT_OPS","FQ4 2017","FQ4 2017","Currency=USD","Period=FQ","BEST_FPERIOD_OVERRIDE=FQ","FILING_STATUS=MR","Sort=A","Dates=H","DateFormat=P","Fill=—","Direction=H","UseDPDF=Y")</f>
        <v>2.1593</v>
      </c>
      <c r="AM57" s="18">
        <f>_xll.BDH("AMZN US Equity","IS_DIL_EPS_CONT_OPS","FQ1 2018","FQ1 2018","Currency=USD","Period=FQ","BEST_FPERIOD_OVERRIDE=FQ","FILING_STATUS=MR","Sort=A","Dates=H","DateFormat=P","Fill=—","Direction=H","UseDPDF=Y")</f>
        <v>3.27</v>
      </c>
      <c r="AN57" s="18">
        <f>_xll.BDH("AMZN US Equity","IS_DIL_EPS_CONT_OPS","FQ2 2018","FQ2 2018","Currency=USD","Period=FQ","BEST_FPERIOD_OVERRIDE=FQ","FILING_STATUS=MR","Sort=A","Dates=H","DateFormat=P","Fill=—","Direction=H","UseDPDF=Y")</f>
        <v>3.8780000000000001</v>
      </c>
      <c r="AO57" s="18">
        <v>5.6219999999999999</v>
      </c>
      <c r="AP57" s="18">
        <v>8.5449999999999999</v>
      </c>
    </row>
    <row r="58" spans="1:42" x14ac:dyDescent="0.25">
      <c r="A58" s="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</row>
    <row r="59" spans="1:42" x14ac:dyDescent="0.25">
      <c r="A59" s="6" t="s">
        <v>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</row>
    <row r="60" spans="1:42" x14ac:dyDescent="0.25">
      <c r="A60" s="10" t="s">
        <v>181</v>
      </c>
      <c r="B60" s="10" t="s">
        <v>182</v>
      </c>
      <c r="C60" s="12" t="s">
        <v>183</v>
      </c>
      <c r="D60" s="12" t="s">
        <v>183</v>
      </c>
      <c r="E60" s="12" t="s">
        <v>183</v>
      </c>
      <c r="F60" s="12" t="s">
        <v>183</v>
      </c>
      <c r="G60" s="12" t="s">
        <v>183</v>
      </c>
      <c r="H60" s="12" t="s">
        <v>183</v>
      </c>
      <c r="I60" s="12" t="s">
        <v>183</v>
      </c>
      <c r="J60" s="12" t="s">
        <v>183</v>
      </c>
      <c r="K60" s="12" t="s">
        <v>183</v>
      </c>
      <c r="L60" s="12" t="s">
        <v>183</v>
      </c>
      <c r="M60" s="12" t="s">
        <v>183</v>
      </c>
      <c r="N60" s="12" t="s">
        <v>183</v>
      </c>
      <c r="O60" s="12" t="s">
        <v>183</v>
      </c>
      <c r="P60" s="12" t="s">
        <v>183</v>
      </c>
      <c r="Q60" s="12" t="s">
        <v>183</v>
      </c>
      <c r="R60" s="12" t="s">
        <v>183</v>
      </c>
      <c r="S60" s="12" t="s">
        <v>183</v>
      </c>
      <c r="T60" s="12" t="s">
        <v>183</v>
      </c>
      <c r="U60" s="12" t="s">
        <v>183</v>
      </c>
      <c r="V60" s="12" t="s">
        <v>183</v>
      </c>
      <c r="W60" s="12" t="s">
        <v>183</v>
      </c>
      <c r="X60" s="12" t="s">
        <v>183</v>
      </c>
      <c r="Y60" s="12" t="s">
        <v>183</v>
      </c>
      <c r="Z60" s="12" t="s">
        <v>183</v>
      </c>
      <c r="AA60" s="12" t="s">
        <v>183</v>
      </c>
      <c r="AB60" s="12" t="s">
        <v>183</v>
      </c>
      <c r="AC60" s="12" t="s">
        <v>183</v>
      </c>
      <c r="AD60" s="12" t="s">
        <v>183</v>
      </c>
      <c r="AE60" s="12" t="s">
        <v>183</v>
      </c>
      <c r="AF60" s="12" t="s">
        <v>183</v>
      </c>
      <c r="AG60" s="12" t="s">
        <v>183</v>
      </c>
      <c r="AH60" s="12" t="s">
        <v>183</v>
      </c>
      <c r="AI60" s="12" t="s">
        <v>183</v>
      </c>
      <c r="AJ60" s="12" t="s">
        <v>183</v>
      </c>
      <c r="AK60" s="12" t="s">
        <v>183</v>
      </c>
      <c r="AL60" s="12" t="s">
        <v>183</v>
      </c>
      <c r="AM60" s="12" t="s">
        <v>183</v>
      </c>
      <c r="AN60" s="12" t="s">
        <v>183</v>
      </c>
      <c r="AO60" s="12"/>
      <c r="AP60" s="12"/>
    </row>
    <row r="61" spans="1:42" x14ac:dyDescent="0.25">
      <c r="A61" s="10" t="s">
        <v>184</v>
      </c>
      <c r="B61" s="10" t="s">
        <v>184</v>
      </c>
      <c r="C61" s="13">
        <f>_xll.BDH("AMZN US Equity","EBITDA","FQ1 2009","FQ1 2009","Currency=USD","Period=FQ","BEST_FPERIOD_OVERRIDE=FQ","FILING_STATUS=MR","SCALING_FORMAT=MLN","FA_ADJUSTED=Adjusted","Sort=A","Dates=H","DateFormat=P","Fill=—","Direction=H","UseDPDF=Y")</f>
        <v>333</v>
      </c>
      <c r="D61" s="13">
        <f>_xll.BDH("AMZN US Equity","EBITDA","FQ2 2009","FQ2 2009","Currency=USD","Period=FQ","BEST_FPERIOD_OVERRIDE=FQ","FILING_STATUS=MR","SCALING_FORMAT=MLN","FA_ADJUSTED=Adjusted","Sort=A","Dates=H","DateFormat=P","Fill=—","Direction=H","UseDPDF=Y")</f>
        <v>301</v>
      </c>
      <c r="E61" s="13">
        <f>_xll.BDH("AMZN US Equity","EBITDA","FQ3 2009","FQ3 2009","Currency=USD","Period=FQ","BEST_FPERIOD_OVERRIDE=FQ","FILING_STATUS=MR","SCALING_FORMAT=MLN","FA_ADJUSTED=Adjusted","Sort=A","Dates=H","DateFormat=P","Fill=—","Direction=H","UseDPDF=Y")</f>
        <v>347</v>
      </c>
      <c r="F61" s="13">
        <f>_xll.BDH("AMZN US Equity","EBITDA","FQ4 2009","FQ4 2009","Currency=USD","Period=FQ","BEST_FPERIOD_OVERRIDE=FQ","FILING_STATUS=MR","SCALING_FORMAT=MLN","FA_ADJUSTED=Adjusted","Sort=A","Dates=H","DateFormat=P","Fill=—","Direction=H","UseDPDF=Y")</f>
        <v>588</v>
      </c>
      <c r="G61" s="13">
        <f>_xll.BDH("AMZN US Equity","EBITDA","FQ1 2010","FQ1 2010","Currency=USD","Period=FQ","BEST_FPERIOD_OVERRIDE=FQ","FILING_STATUS=MR","SCALING_FORMAT=MLN","FA_ADJUSTED=Adjusted","Sort=A","Dates=H","DateFormat=P","Fill=—","Direction=H","UseDPDF=Y")</f>
        <v>513</v>
      </c>
      <c r="H61" s="13">
        <f>_xll.BDH("AMZN US Equity","EBITDA","FQ2 2010","FQ2 2010","Currency=USD","Period=FQ","BEST_FPERIOD_OVERRIDE=FQ","FILING_STATUS=MR","SCALING_FORMAT=MLN","FA_ADJUSTED=Adjusted","Sort=A","Dates=H","DateFormat=P","Fill=—","Direction=H","UseDPDF=Y")</f>
        <v>399</v>
      </c>
      <c r="I61" s="13">
        <f>_xll.BDH("AMZN US Equity","EBITDA","FQ3 2010","FQ3 2010","Currency=USD","Period=FQ","BEST_FPERIOD_OVERRIDE=FQ","FILING_STATUS=MR","SCALING_FORMAT=MLN","FA_ADJUSTED=Adjusted","Sort=A","Dates=H","DateFormat=P","Fill=—","Direction=H","UseDPDF=Y")</f>
        <v>418</v>
      </c>
      <c r="J61" s="13">
        <f>_xll.BDH("AMZN US Equity","EBITDA","FQ4 2010","FQ4 2010","Currency=USD","Period=FQ","BEST_FPERIOD_OVERRIDE=FQ","FILING_STATUS=MR","SCALING_FORMAT=MLN","FA_ADJUSTED=Adjusted","Sort=A","Dates=H","DateFormat=P","Fill=—","Direction=H","UseDPDF=Y")</f>
        <v>644</v>
      </c>
      <c r="K61" s="13">
        <f>_xll.BDH("AMZN US Equity","EBITDA","FQ1 2011","FQ1 2011","Currency=USD","Period=FQ","BEST_FPERIOD_OVERRIDE=FQ","FILING_STATUS=MR","SCALING_FORMAT=MLN","FA_ADJUSTED=Adjusted","Sort=A","Dates=H","DateFormat=P","Fill=—","Direction=H","UseDPDF=Y")</f>
        <v>524</v>
      </c>
      <c r="L61" s="13">
        <f>_xll.BDH("AMZN US Equity","EBITDA","FQ2 2011","FQ2 2011","Currency=USD","Period=FQ","BEST_FPERIOD_OVERRIDE=FQ","FILING_STATUS=MR","SCALING_FORMAT=MLN","FA_ADJUSTED=Adjusted","Sort=A","Dates=H","DateFormat=P","Fill=—","Direction=H","UseDPDF=Y")</f>
        <v>445</v>
      </c>
      <c r="M61" s="13">
        <f>_xll.BDH("AMZN US Equity","EBITDA","FQ3 2011","FQ3 2011","Currency=USD","Period=FQ","BEST_FPERIOD_OVERRIDE=FQ","FILING_STATUS=MR","SCALING_FORMAT=MLN","FA_ADJUSTED=Adjusted","Sort=A","Dates=H","DateFormat=P","Fill=—","Direction=H","UseDPDF=Y")</f>
        <v>357</v>
      </c>
      <c r="N61" s="13">
        <f>_xll.BDH("AMZN US Equity","EBITDA","FQ4 2011","FQ4 2011","Currency=USD","Period=FQ","BEST_FPERIOD_OVERRIDE=FQ","FILING_STATUS=MR","SCALING_FORMAT=MLN","FA_ADJUSTED=Adjusted","Sort=A","Dates=H","DateFormat=P","Fill=—","Direction=H","UseDPDF=Y")</f>
        <v>619</v>
      </c>
      <c r="O61" s="13">
        <f>_xll.BDH("AMZN US Equity","EBITDA","FQ1 2012","FQ1 2012","Currency=USD","Period=FQ","BEST_FPERIOD_OVERRIDE=FQ","FILING_STATUS=MR","SCALING_FORMAT=MLN","FA_ADJUSTED=Adjusted","Sort=A","Dates=H","DateFormat=P","Fill=—","Direction=H","UseDPDF=Y")</f>
        <v>649</v>
      </c>
      <c r="P61" s="13">
        <f>_xll.BDH("AMZN US Equity","EBITDA","FQ2 2012","FQ2 2012","Currency=USD","Period=FQ","BEST_FPERIOD_OVERRIDE=FQ","FILING_STATUS=MR","SCALING_FORMAT=MLN","FA_ADJUSTED=Adjusted","Sort=A","Dates=H","DateFormat=P","Fill=—","Direction=H","UseDPDF=Y")</f>
        <v>692</v>
      </c>
      <c r="Q61" s="13">
        <f>_xll.BDH("AMZN US Equity","EBITDA","FQ3 2012","FQ3 2012","Currency=USD","Period=FQ","BEST_FPERIOD_OVERRIDE=FQ","FILING_STATUS=MR","SCALING_FORMAT=MLN","FA_ADJUSTED=Adjusted","Sort=A","Dates=H","DateFormat=P","Fill=—","Direction=H","UseDPDF=Y")</f>
        <v>526</v>
      </c>
      <c r="R61" s="13">
        <f>_xll.BDH("AMZN US Equity","EBITDA","FQ4 2012","FQ4 2012","Currency=USD","Period=FQ","BEST_FPERIOD_OVERRIDE=FQ","FILING_STATUS=MR","SCALING_FORMAT=MLN","FA_ADJUSTED=Adjusted","Sort=A","Dates=H","DateFormat=P","Fill=—","Direction=H","UseDPDF=Y")</f>
        <v>1067</v>
      </c>
      <c r="S61" s="13">
        <f>_xll.BDH("AMZN US Equity","EBITDA","FQ1 2013","FQ1 2013","Currency=USD","Period=FQ","BEST_FPERIOD_OVERRIDE=FQ","FILING_STATUS=MR","SCALING_FORMAT=MLN","FA_ADJUSTED=Adjusted","Sort=A","Dates=H","DateFormat=P","Fill=—","Direction=H","UseDPDF=Y")</f>
        <v>881</v>
      </c>
      <c r="T61" s="13">
        <f>_xll.BDH("AMZN US Equity","EBITDA","FQ2 2013","FQ2 2013","Currency=USD","Period=FQ","BEST_FPERIOD_OVERRIDE=FQ","FILING_STATUS=MR","SCALING_FORMAT=MLN","FA_ADJUSTED=Adjusted","Sort=A","Dates=H","DateFormat=P","Fill=—","Direction=H","UseDPDF=Y")</f>
        <v>835</v>
      </c>
      <c r="U61" s="13">
        <f>_xll.BDH("AMZN US Equity","EBITDA","FQ3 2013","FQ3 2013","Currency=USD","Period=FQ","BEST_FPERIOD_OVERRIDE=FQ","FILING_STATUS=MR","SCALING_FORMAT=MLN","FA_ADJUSTED=Adjusted","Sort=A","Dates=H","DateFormat=P","Fill=—","Direction=H","UseDPDF=Y")</f>
        <v>809</v>
      </c>
      <c r="V61" s="13">
        <f>_xll.BDH("AMZN US Equity","EBITDA","FQ4 2013","FQ4 2013","Currency=USD","Period=FQ","BEST_FPERIOD_OVERRIDE=FQ","FILING_STATUS=MR","SCALING_FORMAT=MLN","FA_ADJUSTED=Adjusted","Sort=A","Dates=H","DateFormat=P","Fill=—","Direction=H","UseDPDF=Y")</f>
        <v>1473</v>
      </c>
      <c r="W61" s="13">
        <f>_xll.BDH("AMZN US Equity","EBITDA","FQ1 2014","FQ1 2014","Currency=USD","Period=FQ","BEST_FPERIOD_OVERRIDE=FQ","FILING_STATUS=MR","SCALING_FORMAT=MLN","FA_ADJUSTED=Adjusted","Sort=A","Dates=H","DateFormat=P","Fill=—","Direction=H","UseDPDF=Y")</f>
        <v>1156</v>
      </c>
      <c r="X61" s="13">
        <f>_xll.BDH("AMZN US Equity","EBITDA","FQ2 2014","FQ2 2014","Currency=USD","Period=FQ","BEST_FPERIOD_OVERRIDE=FQ","FILING_STATUS=MR","SCALING_FORMAT=MLN","FA_ADJUSTED=Adjusted","Sort=A","Dates=H","DateFormat=P","Fill=—","Direction=H","UseDPDF=Y")</f>
        <v>1094</v>
      </c>
      <c r="Y61" s="13">
        <f>_xll.BDH("AMZN US Equity","EBITDA","FQ3 2014","FQ3 2014","Currency=USD","Period=FQ","BEST_FPERIOD_OVERRIDE=FQ","FILING_STATUS=MR","SCALING_FORMAT=MLN","FA_ADJUSTED=Adjusted","Sort=A","Dates=H","DateFormat=P","Fill=—","Direction=H","UseDPDF=Y")</f>
        <v>873</v>
      </c>
      <c r="Z61" s="13">
        <f>_xll.BDH("AMZN US Equity","EBITDA","FQ4 2014","FQ4 2014","Currency=USD","Period=FQ","BEST_FPERIOD_OVERRIDE=FQ","FILING_STATUS=MR","SCALING_FORMAT=MLN","FA_ADJUSTED=Adjusted","Sort=A","Dates=H","DateFormat=P","Fill=—","Direction=H","UseDPDF=Y")</f>
        <v>1970</v>
      </c>
      <c r="AA61" s="13">
        <f>_xll.BDH("AMZN US Equity","EBITDA","FQ1 2015","FQ1 2015","Currency=USD","Period=FQ","BEST_FPERIOD_OVERRIDE=FQ","FILING_STATUS=MR","SCALING_FORMAT=MLN","FA_ADJUSTED=Adjusted","Sort=A","Dates=H","DateFormat=P","Fill=—","Direction=H","UseDPDF=Y")</f>
        <v>1681</v>
      </c>
      <c r="AB61" s="13">
        <f>_xll.BDH("AMZN US Equity","EBITDA","FQ2 2015","FQ2 2015","Currency=USD","Period=FQ","BEST_FPERIOD_OVERRIDE=FQ","FILING_STATUS=MR","SCALING_FORMAT=MLN","FA_ADJUSTED=Adjusted","Sort=A","Dates=H","DateFormat=P","Fill=—","Direction=H","UseDPDF=Y")</f>
        <v>1968</v>
      </c>
      <c r="AC61" s="13">
        <f>_xll.BDH("AMZN US Equity","EBITDA","FQ3 2015","FQ3 2015","Currency=USD","Period=FQ","BEST_FPERIOD_OVERRIDE=FQ","FILING_STATUS=MR","SCALING_FORMAT=MLN","FA_ADJUSTED=Adjusted","Sort=A","Dates=H","DateFormat=P","Fill=—","Direction=H","UseDPDF=Y")</f>
        <v>2005</v>
      </c>
      <c r="AD61" s="13">
        <f>_xll.BDH("AMZN US Equity","EBITDA","FQ4 2015","FQ4 2015","Currency=USD","Period=FQ","BEST_FPERIOD_OVERRIDE=FQ","FILING_STATUS=MR","SCALING_FORMAT=MLN","FA_ADJUSTED=Adjusted","Sort=A","Dates=H","DateFormat=P","Fill=—","Direction=H","UseDPDF=Y")</f>
        <v>2860</v>
      </c>
      <c r="AE61" s="13">
        <f>_xll.BDH("AMZN US Equity","EBITDA","FQ1 2016","FQ1 2016","Currency=USD","Period=FQ","BEST_FPERIOD_OVERRIDE=FQ","FILING_STATUS=MR","SCALING_FORMAT=MLN","FA_ADJUSTED=Adjusted","Sort=A","Dates=H","DateFormat=P","Fill=—","Direction=H","UseDPDF=Y")</f>
        <v>2898</v>
      </c>
      <c r="AF61" s="13">
        <f>_xll.BDH("AMZN US Equity","EBITDA","FQ2 2016","FQ2 2016","Currency=USD","Period=FQ","BEST_FPERIOD_OVERRIDE=FQ","FILING_STATUS=MR","SCALING_FORMAT=MLN","FA_ADJUSTED=Adjusted","Sort=A","Dates=H","DateFormat=P","Fill=—","Direction=H","UseDPDF=Y")</f>
        <v>3194</v>
      </c>
      <c r="AG61" s="13">
        <f>_xll.BDH("AMZN US Equity","EBITDA","FQ3 2016","FQ3 2016","Currency=USD","Period=FQ","BEST_FPERIOD_OVERRIDE=FQ","FILING_STATUS=MR","SCALING_FORMAT=MLN","FA_ADJUSTED=Adjusted","Sort=A","Dates=H","DateFormat=P","Fill=—","Direction=H","UseDPDF=Y")</f>
        <v>2659</v>
      </c>
      <c r="AH61" s="13">
        <f>_xll.BDH("AMZN US Equity","EBITDA","FQ4 2016","FQ4 2016","Currency=USD","Period=FQ","BEST_FPERIOD_OVERRIDE=FQ","FILING_STATUS=MR","SCALING_FORMAT=MLN","FA_ADJUSTED=Adjusted","Sort=A","Dates=H","DateFormat=P","Fill=—","Direction=H","UseDPDF=Y")</f>
        <v>3552</v>
      </c>
      <c r="AI61" s="13">
        <f>_xll.BDH("AMZN US Equity","EBITDA","FQ1 2017","FQ1 2017","Currency=USD","Period=FQ","BEST_FPERIOD_OVERRIDE=FQ","FILING_STATUS=MR","SCALING_FORMAT=MLN","FA_ADJUSTED=Adjusted","Sort=A","Dates=H","DateFormat=P","Fill=—","Direction=H","UseDPDF=Y")</f>
        <v>3440</v>
      </c>
      <c r="AJ61" s="13">
        <f>_xll.BDH("AMZN US Equity","EBITDA","FQ2 2017","FQ2 2017","Currency=USD","Period=FQ","BEST_FPERIOD_OVERRIDE=FQ","FILING_STATUS=MR","SCALING_FORMAT=MLN","FA_ADJUSTED=Adjusted","Sort=A","Dates=H","DateFormat=P","Fill=—","Direction=H","UseDPDF=Y")</f>
        <v>3261</v>
      </c>
      <c r="AK61" s="13">
        <f>_xll.BDH("AMZN US Equity","EBITDA","FQ3 2017","FQ3 2017","Currency=USD","Period=FQ","BEST_FPERIOD_OVERRIDE=FQ","FILING_STATUS=MR","SCALING_FORMAT=MLN","FA_ADJUSTED=Adjusted","Sort=A","Dates=H","DateFormat=P","Fill=—","Direction=H","UseDPDF=Y")</f>
        <v>3259</v>
      </c>
      <c r="AL61" s="13">
        <f>_xll.BDH("AMZN US Equity","EBITDA","FQ4 2017","FQ4 2017","Currency=USD","Period=FQ","BEST_FPERIOD_OVERRIDE=FQ","FILING_STATUS=MR","SCALING_FORMAT=MLN","FA_ADJUSTED=Adjusted","Sort=A","Dates=H","DateFormat=P","Fill=—","Direction=H","UseDPDF=Y")</f>
        <v>5625</v>
      </c>
      <c r="AM61" s="13">
        <f>_xll.BDH("AMZN US Equity","EBITDA","FQ1 2018","FQ1 2018","Currency=USD","Period=FQ","BEST_FPERIOD_OVERRIDE=FQ","FILING_STATUS=MR","SCALING_FORMAT=MLN","FA_ADJUSTED=Adjusted","Sort=A","Dates=H","DateFormat=P","Fill=—","Direction=H","UseDPDF=Y")</f>
        <v>5598</v>
      </c>
      <c r="AN61" s="13">
        <f>_xll.BDH("AMZN US Equity","EBITDA","FQ2 2018","FQ2 2018","Currency=USD","Period=FQ","BEST_FPERIOD_OVERRIDE=FQ","FILING_STATUS=MR","SCALING_FORMAT=MLN","FA_ADJUSTED=Adjusted","Sort=A","Dates=H","DateFormat=P","Fill=—","Direction=H","UseDPDF=Y")</f>
        <v>6613</v>
      </c>
      <c r="AO61" s="13">
        <v>7524.0450000000001</v>
      </c>
      <c r="AP61" s="13">
        <v>9522.6360000000004</v>
      </c>
    </row>
    <row r="62" spans="1:42" x14ac:dyDescent="0.25">
      <c r="A62" s="10" t="s">
        <v>185</v>
      </c>
      <c r="B62" s="10" t="s">
        <v>186</v>
      </c>
      <c r="C62" s="14">
        <f>_xll.BDH("AMZN US Equity","EBITDA_MARGIN","FQ1 2009","FQ1 2009","Currency=USD","Period=FQ","BEST_FPERIOD_OVERRIDE=FQ","FILING_STATUS=MR","FA_ADJUSTED=Adjusted","Sort=A","Dates=H","DateFormat=P","Fill=—","Direction=H","UseDPDF=Y")</f>
        <v>6.0190999999999999</v>
      </c>
      <c r="D62" s="14">
        <f>_xll.BDH("AMZN US Equity","EBITDA_MARGIN","FQ2 2009","FQ2 2009","Currency=USD","Period=FQ","BEST_FPERIOD_OVERRIDE=FQ","FILING_STATUS=MR","FA_ADJUSTED=Adjusted","Sort=A","Dates=H","DateFormat=P","Fill=—","Direction=H","UseDPDF=Y")</f>
        <v>5.9147999999999996</v>
      </c>
      <c r="E62" s="14">
        <f>_xll.BDH("AMZN US Equity","EBITDA_MARGIN","FQ3 2009","FQ3 2009","Currency=USD","Period=FQ","BEST_FPERIOD_OVERRIDE=FQ","FILING_STATUS=MR","FA_ADJUSTED=Adjusted","Sort=A","Dates=H","DateFormat=P","Fill=—","Direction=H","UseDPDF=Y")</f>
        <v>6.1310000000000002</v>
      </c>
      <c r="F62" s="14">
        <f>_xll.BDH("AMZN US Equity","EBITDA_MARGIN","FQ4 2009","FQ4 2009","Currency=USD","Period=FQ","BEST_FPERIOD_OVERRIDE=FQ","FILING_STATUS=MR","FA_ADJUSTED=Adjusted","Sort=A","Dates=H","DateFormat=P","Fill=—","Direction=H","UseDPDF=Y")</f>
        <v>6.4020000000000001</v>
      </c>
      <c r="G62" s="14">
        <f>_xll.BDH("AMZN US Equity","EBITDA_MARGIN","FQ1 2010","FQ1 2010","Currency=USD","Period=FQ","BEST_FPERIOD_OVERRIDE=FQ","FILING_STATUS=MR","FA_ADJUSTED=Adjusted","Sort=A","Dates=H","DateFormat=P","Fill=—","Direction=H","UseDPDF=Y")</f>
        <v>6.5382999999999996</v>
      </c>
      <c r="H62" s="14">
        <f>_xll.BDH("AMZN US Equity","EBITDA_MARGIN","FQ2 2010","FQ2 2010","Currency=USD","Period=FQ","BEST_FPERIOD_OVERRIDE=FQ","FILING_STATUS=MR","FA_ADJUSTED=Adjusted","Sort=A","Dates=H","DateFormat=P","Fill=—","Direction=H","UseDPDF=Y")</f>
        <v>6.4434000000000005</v>
      </c>
      <c r="I62" s="14">
        <f>_xll.BDH("AMZN US Equity","EBITDA_MARGIN","FQ3 2010","FQ3 2010","Currency=USD","Period=FQ","BEST_FPERIOD_OVERRIDE=FQ","FILING_STATUS=MR","FA_ADJUSTED=Adjusted","Sort=A","Dates=H","DateFormat=P","Fill=—","Direction=H","UseDPDF=Y")</f>
        <v>6.2321</v>
      </c>
      <c r="J62" s="14">
        <f>_xll.BDH("AMZN US Equity","EBITDA_MARGIN","FQ4 2010","FQ4 2010","Currency=USD","Period=FQ","BEST_FPERIOD_OVERRIDE=FQ","FILING_STATUS=MR","FA_ADJUSTED=Adjusted","Sort=A","Dates=H","DateFormat=P","Fill=—","Direction=H","UseDPDF=Y")</f>
        <v>5.7710999999999997</v>
      </c>
      <c r="K62" s="14">
        <f>_xll.BDH("AMZN US Equity","EBITDA_MARGIN","FQ1 2011","FQ1 2011","Currency=USD","Period=FQ","BEST_FPERIOD_OVERRIDE=FQ","FILING_STATUS=MR","FA_ADJUSTED=Adjusted","Sort=A","Dates=H","DateFormat=P","Fill=—","Direction=H","UseDPDF=Y")</f>
        <v>5.3749000000000002</v>
      </c>
      <c r="L62" s="14">
        <f>_xll.BDH("AMZN US Equity","EBITDA_MARGIN","FQ2 2011","FQ2 2011","Currency=USD","Period=FQ","BEST_FPERIOD_OVERRIDE=FQ","FILING_STATUS=MR","FA_ADJUSTED=Adjusted","Sort=A","Dates=H","DateFormat=P","Fill=—","Direction=H","UseDPDF=Y")</f>
        <v>5.0425000000000004</v>
      </c>
      <c r="M62" s="14">
        <f>_xll.BDH("AMZN US Equity","EBITDA_MARGIN","FQ3 2011","FQ3 2011","Currency=USD","Period=FQ","BEST_FPERIOD_OVERRIDE=FQ","FILING_STATUS=MR","FA_ADJUSTED=Adjusted","Sort=A","Dates=H","DateFormat=P","Fill=—","Direction=H","UseDPDF=Y")</f>
        <v>4.5190000000000001</v>
      </c>
      <c r="N62" s="14">
        <f>_xll.BDH("AMZN US Equity","EBITDA_MARGIN","FQ4 2011","FQ4 2011","Currency=USD","Period=FQ","BEST_FPERIOD_OVERRIDE=FQ","FILING_STATUS=MR","FA_ADJUSTED=Adjusted","Sort=A","Dates=H","DateFormat=P","Fill=—","Direction=H","UseDPDF=Y")</f>
        <v>4.0456000000000003</v>
      </c>
      <c r="O62" s="14">
        <f>_xll.BDH("AMZN US Equity","EBITDA_MARGIN","FQ1 2012","FQ1 2012","Currency=USD","Period=FQ","BEST_FPERIOD_OVERRIDE=FQ","FILING_STATUS=MR","FA_ADJUSTED=Adjusted","Sort=A","Dates=H","DateFormat=P","Fill=—","Direction=H","UseDPDF=Y")</f>
        <v>4.0267999999999997</v>
      </c>
      <c r="P62" s="14">
        <f>_xll.BDH("AMZN US Equity","EBITDA_MARGIN","FQ2 2012","FQ2 2012","Currency=USD","Period=FQ","BEST_FPERIOD_OVERRIDE=FQ","FILING_STATUS=MR","FA_ADJUSTED=Adjusted","Sort=A","Dates=H","DateFormat=P","Fill=—","Direction=H","UseDPDF=Y")</f>
        <v>4.2649999999999997</v>
      </c>
      <c r="Q62" s="14">
        <f>_xll.BDH("AMZN US Equity","EBITDA_MARGIN","FQ3 2012","FQ3 2012","Currency=USD","Period=FQ","BEST_FPERIOD_OVERRIDE=FQ","FILING_STATUS=MR","FA_ADJUSTED=Adjusted","Sort=A","Dates=H","DateFormat=P","Fill=—","Direction=H","UseDPDF=Y")</f>
        <v>4.3418999999999999</v>
      </c>
      <c r="R62" s="14">
        <f>_xll.BDH("AMZN US Equity","EBITDA_MARGIN","FQ4 2012","FQ4 2012","Currency=USD","Period=FQ","BEST_FPERIOD_OVERRIDE=FQ","FILING_STATUS=MR","FA_ADJUSTED=Adjusted","Sort=A","Dates=H","DateFormat=P","Fill=—","Direction=H","UseDPDF=Y")</f>
        <v>4.8025000000000002</v>
      </c>
      <c r="S62" s="14">
        <f>_xll.BDH("AMZN US Equity","EBITDA_MARGIN","FQ1 2013","FQ1 2013","Currency=USD","Period=FQ","BEST_FPERIOD_OVERRIDE=FQ","FILING_STATUS=MR","FA_ADJUSTED=Adjusted","Sort=A","Dates=H","DateFormat=P","Fill=—","Direction=H","UseDPDF=Y")</f>
        <v>4.9485999999999999</v>
      </c>
      <c r="T62" s="14">
        <f>_xll.BDH("AMZN US Equity","EBITDA_MARGIN","FQ2 2013","FQ2 2013","Currency=USD","Period=FQ","BEST_FPERIOD_OVERRIDE=FQ","FILING_STATUS=MR","FA_ADJUSTED=Adjusted","Sort=A","Dates=H","DateFormat=P","Fill=—","Direction=H","UseDPDF=Y")</f>
        <v>4.95</v>
      </c>
      <c r="U62" s="14">
        <f>_xll.BDH("AMZN US Equity","EBITDA_MARGIN","FQ3 2013","FQ3 2013","Currency=USD","Period=FQ","BEST_FPERIOD_OVERRIDE=FQ","FILING_STATUS=MR","FA_ADJUSTED=Adjusted","Sort=A","Dates=H","DateFormat=P","Fill=—","Direction=H","UseDPDF=Y")</f>
        <v>5.1215999999999999</v>
      </c>
      <c r="V62" s="14">
        <f>_xll.BDH("AMZN US Equity","EBITDA_MARGIN","FQ4 2013","FQ4 2013","Currency=USD","Period=FQ","BEST_FPERIOD_OVERRIDE=FQ","FILING_STATUS=MR","FA_ADJUSTED=Adjusted","Sort=A","Dates=H","DateFormat=P","Fill=—","Direction=H","UseDPDF=Y")</f>
        <v>5.3697999999999997</v>
      </c>
      <c r="W62" s="14">
        <f>_xll.BDH("AMZN US Equity","EBITDA_MARGIN","FQ1 2014","FQ1 2014","Currency=USD","Period=FQ","BEST_FPERIOD_OVERRIDE=FQ","FILING_STATUS=MR","FA_ADJUSTED=Adjusted","Sort=A","Dates=H","DateFormat=P","Fill=—","Direction=H","UseDPDF=Y")</f>
        <v>5.4695</v>
      </c>
      <c r="X62" s="14">
        <f>_xll.BDH("AMZN US Equity","EBITDA_MARGIN","FQ2 2014","FQ2 2014","Currency=USD","Period=FQ","BEST_FPERIOD_OVERRIDE=FQ","FILING_STATUS=MR","FA_ADJUSTED=Adjusted","Sort=A","Dates=H","DateFormat=P","Fill=—","Direction=H","UseDPDF=Y")</f>
        <v>5.5430999999999999</v>
      </c>
      <c r="Y62" s="14">
        <f>_xll.BDH("AMZN US Equity","EBITDA_MARGIN","FQ3 2014","FQ3 2014","Currency=USD","Period=FQ","BEST_FPERIOD_OVERRIDE=FQ","FILING_STATUS=MR","FA_ADJUSTED=Adjusted","Sort=A","Dates=H","DateFormat=P","Fill=—","Direction=H","UseDPDF=Y")</f>
        <v>5.3914</v>
      </c>
      <c r="Z62" s="14">
        <f>_xll.BDH("AMZN US Equity","EBITDA_MARGIN","FQ4 2014","FQ4 2014","Currency=USD","Period=FQ","BEST_FPERIOD_OVERRIDE=FQ","FILING_STATUS=MR","FA_ADJUSTED=Adjusted","Sort=A","Dates=H","DateFormat=P","Fill=—","Direction=H","UseDPDF=Y")</f>
        <v>5.7232000000000003</v>
      </c>
      <c r="AA62" s="14">
        <f>_xll.BDH("AMZN US Equity","EBITDA_MARGIN","FQ1 2015","FQ1 2015","Currency=USD","Period=FQ","BEST_FPERIOD_OVERRIDE=FQ","FILING_STATUS=MR","FA_ADJUSTED=Adjusted","Sort=A","Dates=H","DateFormat=P","Fill=—","Direction=H","UseDPDF=Y")</f>
        <v>6.1089000000000002</v>
      </c>
      <c r="AB62" s="14">
        <f>_xll.BDH("AMZN US Equity","EBITDA_MARGIN","FQ2 2015","FQ2 2015","Currency=USD","Period=FQ","BEST_FPERIOD_OVERRIDE=FQ","FILING_STATUS=MR","FA_ADJUSTED=Adjusted","Sort=A","Dates=H","DateFormat=P","Fill=—","Direction=H","UseDPDF=Y")</f>
        <v>6.7759999999999998</v>
      </c>
      <c r="AC62" s="14">
        <f>_xll.BDH("AMZN US Equity","EBITDA_MARGIN","FQ3 2015","FQ3 2015","Currency=USD","Period=FQ","BEST_FPERIOD_OVERRIDE=FQ","FILING_STATUS=MR","FA_ADJUSTED=Adjusted","Sort=A","Dates=H","DateFormat=P","Fill=—","Direction=H","UseDPDF=Y")</f>
        <v>7.5793999999999997</v>
      </c>
      <c r="AD62" s="14">
        <f>_xll.BDH("AMZN US Equity","EBITDA_MARGIN","FQ4 2015","FQ4 2015","Currency=USD","Period=FQ","BEST_FPERIOD_OVERRIDE=FQ","FILING_STATUS=MR","FA_ADJUSTED=Adjusted","Sort=A","Dates=H","DateFormat=P","Fill=—","Direction=H","UseDPDF=Y")</f>
        <v>7.9565000000000001</v>
      </c>
      <c r="AE62" s="14">
        <f>_xll.BDH("AMZN US Equity","EBITDA_MARGIN","FQ1 2016","FQ1 2016","Currency=USD","Period=FQ","BEST_FPERIOD_OVERRIDE=FQ","FILING_STATUS=MR","FA_ADJUSTED=Adjusted","Sort=A","Dates=H","DateFormat=P","Fill=—","Direction=H","UseDPDF=Y")</f>
        <v>8.5798000000000005</v>
      </c>
      <c r="AF62" s="14">
        <f>_xll.BDH("AMZN US Equity","EBITDA_MARGIN","FQ2 2016","FQ2 2016","Currency=USD","Period=FQ","BEST_FPERIOD_OVERRIDE=FQ","FILING_STATUS=MR","FA_ADJUSTED=Adjusted","Sort=A","Dates=H","DateFormat=P","Fill=—","Direction=H","UseDPDF=Y")</f>
        <v>9.0825999999999993</v>
      </c>
      <c r="AG62" s="14">
        <f>_xll.BDH("AMZN US Equity","EBITDA_MARGIN","FQ3 2016","FQ3 2016","Currency=USD","Period=FQ","BEST_FPERIOD_OVERRIDE=FQ","FILING_STATUS=MR","FA_ADJUSTED=Adjusted","Sort=A","Dates=H","DateFormat=P","Fill=—","Direction=H","UseDPDF=Y")</f>
        <v>9.0716000000000001</v>
      </c>
      <c r="AH62" s="14">
        <f>_xll.BDH("AMZN US Equity","EBITDA_MARGIN","FQ4 2016","FQ4 2016","Currency=USD","Period=FQ","BEST_FPERIOD_OVERRIDE=FQ","FILING_STATUS=MR","FA_ADJUSTED=Adjusted","Sort=A","Dates=H","DateFormat=P","Fill=—","Direction=H","UseDPDF=Y")</f>
        <v>9.0472000000000001</v>
      </c>
      <c r="AI62" s="14">
        <f>_xll.BDH("AMZN US Equity","EBITDA_MARGIN","FQ1 2017","FQ1 2017","Currency=USD","Period=FQ","BEST_FPERIOD_OVERRIDE=FQ","FILING_STATUS=MR","FA_ADJUSTED=Adjusted","Sort=A","Dates=H","DateFormat=P","Fill=—","Direction=H","UseDPDF=Y")</f>
        <v>9.0093999999999994</v>
      </c>
      <c r="AJ62" s="14">
        <f>_xll.BDH("AMZN US Equity","EBITDA_MARGIN","FQ2 2017","FQ2 2017","Currency=USD","Period=FQ","BEST_FPERIOD_OVERRIDE=FQ","FILING_STATUS=MR","FA_ADJUSTED=Adjusted","Sort=A","Dates=H","DateFormat=P","Fill=—","Direction=H","UseDPDF=Y")</f>
        <v>8.6008999999999993</v>
      </c>
      <c r="AK62" s="14">
        <f>_xll.BDH("AMZN US Equity","EBITDA_MARGIN","FQ3 2017","FQ3 2017","Currency=USD","Period=FQ","BEST_FPERIOD_OVERRIDE=FQ","FILING_STATUS=MR","FA_ADJUSTED=Adjusted","Sort=A","Dates=H","DateFormat=P","Fill=—","Direction=H","UseDPDF=Y")</f>
        <v>8.3844999999999992</v>
      </c>
      <c r="AL62" s="14">
        <f>_xll.BDH("AMZN US Equity","EBITDA_MARGIN","FQ4 2017","FQ4 2017","Currency=USD","Period=FQ","BEST_FPERIOD_OVERRIDE=FQ","FILING_STATUS=MR","FA_ADJUSTED=Adjusted","Sort=A","Dates=H","DateFormat=P","Fill=—","Direction=H","UseDPDF=Y")</f>
        <v>8.7622</v>
      </c>
      <c r="AM62" s="14">
        <f>_xll.BDH("AMZN US Equity","EBITDA_MARGIN","FQ1 2018","FQ1 2018","Currency=USD","Period=FQ","BEST_FPERIOD_OVERRIDE=FQ","FILING_STATUS=MR","FA_ADJUSTED=Adjusted","Sort=A","Dates=H","DateFormat=P","Fill=—","Direction=H","UseDPDF=Y")</f>
        <v>9.1839999999999993</v>
      </c>
      <c r="AN62" s="14">
        <f>_xll.BDH("AMZN US Equity","EBITDA_MARGIN","FQ2 2018","FQ2 2018","Currency=USD","Period=FQ","BEST_FPERIOD_OVERRIDE=FQ","FILING_STATUS=MR","FA_ADJUSTED=Adjusted","Sort=A","Dates=H","DateFormat=P","Fill=—","Direction=H","UseDPDF=Y")</f>
        <v>10.1357</v>
      </c>
      <c r="AO62" s="14">
        <v>14.159078927914299</v>
      </c>
      <c r="AP62" s="14">
        <v>14.4652956747186</v>
      </c>
    </row>
    <row r="63" spans="1:42" x14ac:dyDescent="0.25">
      <c r="A63" s="10" t="s">
        <v>187</v>
      </c>
      <c r="B63" s="10" t="s">
        <v>187</v>
      </c>
      <c r="C63" s="13">
        <f>_xll.BDH("AMZN US Equity","EBITA","FQ1 2009","FQ1 2009","Currency=USD","Period=FQ","BEST_FPERIOD_OVERRIDE=FQ","FILING_STATUS=MR","SCALING_FORMAT=MLN","FA_ADJUSTED=Adjusted","Sort=A","Dates=H","DateFormat=P","Fill=—","Direction=H","UseDPDF=Y")</f>
        <v>244</v>
      </c>
      <c r="D63" s="13">
        <f>_xll.BDH("AMZN US Equity","EBITA","FQ2 2009","FQ2 2009","Currency=USD","Period=FQ","BEST_FPERIOD_OVERRIDE=FQ","FILING_STATUS=MR","SCALING_FORMAT=MLN","FA_ADJUSTED=Adjusted","Sort=A","Dates=H","DateFormat=P","Fill=—","Direction=H","UseDPDF=Y")</f>
        <v>210</v>
      </c>
      <c r="E63" s="13">
        <f>_xll.BDH("AMZN US Equity","EBITA","FQ3 2009","FQ3 2009","Currency=USD","Period=FQ","BEST_FPERIOD_OVERRIDE=FQ","FILING_STATUS=MR","SCALING_FORMAT=MLN","FA_ADJUSTED=Adjusted","Sort=A","Dates=H","DateFormat=P","Fill=—","Direction=H","UseDPDF=Y")</f>
        <v>251</v>
      </c>
      <c r="F63" s="13">
        <f>_xll.BDH("AMZN US Equity","EBITA","FQ4 2009","FQ4 2009","Currency=USD","Period=FQ","BEST_FPERIOD_OVERRIDE=FQ","FILING_STATUS=MR","SCALING_FORMAT=MLN","FA_ADJUSTED=Adjusted","Sort=A","Dates=H","DateFormat=P","Fill=—","Direction=H","UseDPDF=Y")</f>
        <v>480</v>
      </c>
      <c r="G63" s="13" t="str">
        <f>_xll.BDH("AMZN US Equity","EBITA","FQ1 2010","FQ1 2010","Currency=USD","Period=FQ","BEST_FPERIOD_OVERRIDE=FQ","FILING_STATUS=MR","SCALING_FORMAT=MLN","FA_ADJUSTED=Adjusted","Sort=A","Dates=H","DateFormat=P","Fill=—","Direction=H","UseDPDF=Y")</f>
        <v>—</v>
      </c>
      <c r="H63" s="13" t="str">
        <f>_xll.BDH("AMZN US Equity","EBITA","FQ2 2010","FQ2 2010","Currency=USD","Period=FQ","BEST_FPERIOD_OVERRIDE=FQ","FILING_STATUS=MR","SCALING_FORMAT=MLN","FA_ADJUSTED=Adjusted","Sort=A","Dates=H","DateFormat=P","Fill=—","Direction=H","UseDPDF=Y")</f>
        <v>—</v>
      </c>
      <c r="I63" s="13" t="str">
        <f>_xll.BDH("AMZN US Equity","EBITA","FQ3 2010","FQ3 2010","Currency=USD","Period=FQ","BEST_FPERIOD_OVERRIDE=FQ","FILING_STATUS=MR","SCALING_FORMAT=MLN","FA_ADJUSTED=Adjusted","Sort=A","Dates=H","DateFormat=P","Fill=—","Direction=H","UseDPDF=Y")</f>
        <v>—</v>
      </c>
      <c r="J63" s="13" t="str">
        <f>_xll.BDH("AMZN US Equity","EBITA","FQ4 2010","FQ4 2010","Currency=USD","Period=FQ","BEST_FPERIOD_OVERRIDE=FQ","FILING_STATUS=MR","SCALING_FORMAT=MLN","FA_ADJUSTED=Adjusted","Sort=A","Dates=H","DateFormat=P","Fill=—","Direction=H","UseDPDF=Y")</f>
        <v>—</v>
      </c>
      <c r="K63" s="13" t="str">
        <f>_xll.BDH("AMZN US Equity","EBITA","FQ1 2011","FQ1 2011","Currency=USD","Period=FQ","BEST_FPERIOD_OVERRIDE=FQ","FILING_STATUS=MR","SCALING_FORMAT=MLN","FA_ADJUSTED=Adjusted","Sort=A","Dates=H","DateFormat=P","Fill=—","Direction=H","UseDPDF=Y")</f>
        <v>—</v>
      </c>
      <c r="L63" s="13" t="str">
        <f>_xll.BDH("AMZN US Equity","EBITA","FQ2 2011","FQ2 2011","Currency=USD","Period=FQ","BEST_FPERIOD_OVERRIDE=FQ","FILING_STATUS=MR","SCALING_FORMAT=MLN","FA_ADJUSTED=Adjusted","Sort=A","Dates=H","DateFormat=P","Fill=—","Direction=H","UseDPDF=Y")</f>
        <v>—</v>
      </c>
      <c r="M63" s="13" t="str">
        <f>_xll.BDH("AMZN US Equity","EBITA","FQ3 2011","FQ3 2011","Currency=USD","Period=FQ","BEST_FPERIOD_OVERRIDE=FQ","FILING_STATUS=MR","SCALING_FORMAT=MLN","FA_ADJUSTED=Adjusted","Sort=A","Dates=H","DateFormat=P","Fill=—","Direction=H","UseDPDF=Y")</f>
        <v>—</v>
      </c>
      <c r="N63" s="13" t="str">
        <f>_xll.BDH("AMZN US Equity","EBITA","FQ4 2011","FQ4 2011","Currency=USD","Period=FQ","BEST_FPERIOD_OVERRIDE=FQ","FILING_STATUS=MR","SCALING_FORMAT=MLN","FA_ADJUSTED=Adjusted","Sort=A","Dates=H","DateFormat=P","Fill=—","Direction=H","UseDPDF=Y")</f>
        <v>—</v>
      </c>
      <c r="O63" s="13" t="str">
        <f>_xll.BDH("AMZN US Equity","EBITA","FQ1 2012","FQ1 2012","Currency=USD","Period=FQ","BEST_FPERIOD_OVERRIDE=FQ","FILING_STATUS=MR","SCALING_FORMAT=MLN","FA_ADJUSTED=Adjusted","Sort=A","Dates=H","DateFormat=P","Fill=—","Direction=H","UseDPDF=Y")</f>
        <v>—</v>
      </c>
      <c r="P63" s="13" t="str">
        <f>_xll.BDH("AMZN US Equity","EBITA","FQ2 2012","FQ2 2012","Currency=USD","Period=FQ","BEST_FPERIOD_OVERRIDE=FQ","FILING_STATUS=MR","SCALING_FORMAT=MLN","FA_ADJUSTED=Adjusted","Sort=A","Dates=H","DateFormat=P","Fill=—","Direction=H","UseDPDF=Y")</f>
        <v>—</v>
      </c>
      <c r="Q63" s="13" t="str">
        <f>_xll.BDH("AMZN US Equity","EBITA","FQ3 2012","FQ3 2012","Currency=USD","Period=FQ","BEST_FPERIOD_OVERRIDE=FQ","FILING_STATUS=MR","SCALING_FORMAT=MLN","FA_ADJUSTED=Adjusted","Sort=A","Dates=H","DateFormat=P","Fill=—","Direction=H","UseDPDF=Y")</f>
        <v>—</v>
      </c>
      <c r="R63" s="13" t="str">
        <f>_xll.BDH("AMZN US Equity","EBITA","FQ4 2012","FQ4 2012","Currency=USD","Period=FQ","BEST_FPERIOD_OVERRIDE=FQ","FILING_STATUS=MR","SCALING_FORMAT=MLN","FA_ADJUSTED=Adjusted","Sort=A","Dates=H","DateFormat=P","Fill=—","Direction=H","UseDPDF=Y")</f>
        <v>—</v>
      </c>
      <c r="S63" s="13" t="str">
        <f>_xll.BDH("AMZN US Equity","EBITA","FQ1 2013","FQ1 2013","Currency=USD","Period=FQ","BEST_FPERIOD_OVERRIDE=FQ","FILING_STATUS=MR","SCALING_FORMAT=MLN","FA_ADJUSTED=Adjusted","Sort=A","Dates=H","DateFormat=P","Fill=—","Direction=H","UseDPDF=Y")</f>
        <v>—</v>
      </c>
      <c r="T63" s="13" t="str">
        <f>_xll.BDH("AMZN US Equity","EBITA","FQ2 2013","FQ2 2013","Currency=USD","Period=FQ","BEST_FPERIOD_OVERRIDE=FQ","FILING_STATUS=MR","SCALING_FORMAT=MLN","FA_ADJUSTED=Adjusted","Sort=A","Dates=H","DateFormat=P","Fill=—","Direction=H","UseDPDF=Y")</f>
        <v>—</v>
      </c>
      <c r="U63" s="13" t="str">
        <f>_xll.BDH("AMZN US Equity","EBITA","FQ3 2013","FQ3 2013","Currency=USD","Period=FQ","BEST_FPERIOD_OVERRIDE=FQ","FILING_STATUS=MR","SCALING_FORMAT=MLN","FA_ADJUSTED=Adjusted","Sort=A","Dates=H","DateFormat=P","Fill=—","Direction=H","UseDPDF=Y")</f>
        <v>—</v>
      </c>
      <c r="V63" s="13" t="str">
        <f>_xll.BDH("AMZN US Equity","EBITA","FQ4 2013","FQ4 2013","Currency=USD","Period=FQ","BEST_FPERIOD_OVERRIDE=FQ","FILING_STATUS=MR","SCALING_FORMAT=MLN","FA_ADJUSTED=Adjusted","Sort=A","Dates=H","DateFormat=P","Fill=—","Direction=H","UseDPDF=Y")</f>
        <v>—</v>
      </c>
      <c r="W63" s="13" t="str">
        <f>_xll.BDH("AMZN US Equity","EBITA","FQ1 2014","FQ1 2014","Currency=USD","Period=FQ","BEST_FPERIOD_OVERRIDE=FQ","FILING_STATUS=MR","SCALING_FORMAT=MLN","FA_ADJUSTED=Adjusted","Sort=A","Dates=H","DateFormat=P","Fill=—","Direction=H","UseDPDF=Y")</f>
        <v>—</v>
      </c>
      <c r="X63" s="13" t="str">
        <f>_xll.BDH("AMZN US Equity","EBITA","FQ2 2014","FQ2 2014","Currency=USD","Period=FQ","BEST_FPERIOD_OVERRIDE=FQ","FILING_STATUS=MR","SCALING_FORMAT=MLN","FA_ADJUSTED=Adjusted","Sort=A","Dates=H","DateFormat=P","Fill=—","Direction=H","UseDPDF=Y")</f>
        <v>—</v>
      </c>
      <c r="Y63" s="13" t="str">
        <f>_xll.BDH("AMZN US Equity","EBITA","FQ3 2014","FQ3 2014","Currency=USD","Period=FQ","BEST_FPERIOD_OVERRIDE=FQ","FILING_STATUS=MR","SCALING_FORMAT=MLN","FA_ADJUSTED=Adjusted","Sort=A","Dates=H","DateFormat=P","Fill=—","Direction=H","UseDPDF=Y")</f>
        <v>—</v>
      </c>
      <c r="Z63" s="13" t="str">
        <f>_xll.BDH("AMZN US Equity","EBITA","FQ4 2014","FQ4 2014","Currency=USD","Period=FQ","BEST_FPERIOD_OVERRIDE=FQ","FILING_STATUS=MR","SCALING_FORMAT=MLN","FA_ADJUSTED=Adjusted","Sort=A","Dates=H","DateFormat=P","Fill=—","Direction=H","UseDPDF=Y")</f>
        <v>—</v>
      </c>
      <c r="AA63" s="13" t="str">
        <f>_xll.BDH("AMZN US Equity","EBITA","FQ1 2015","FQ1 2015","Currency=USD","Period=FQ","BEST_FPERIOD_OVERRIDE=FQ","FILING_STATUS=MR","SCALING_FORMAT=MLN","FA_ADJUSTED=Adjusted","Sort=A","Dates=H","DateFormat=P","Fill=—","Direction=H","UseDPDF=Y")</f>
        <v>—</v>
      </c>
      <c r="AB63" s="13" t="str">
        <f>_xll.BDH("AMZN US Equity","EBITA","FQ2 2015","FQ2 2015","Currency=USD","Period=FQ","BEST_FPERIOD_OVERRIDE=FQ","FILING_STATUS=MR","SCALING_FORMAT=MLN","FA_ADJUSTED=Adjusted","Sort=A","Dates=H","DateFormat=P","Fill=—","Direction=H","UseDPDF=Y")</f>
        <v>—</v>
      </c>
      <c r="AC63" s="13" t="str">
        <f>_xll.BDH("AMZN US Equity","EBITA","FQ3 2015","FQ3 2015","Currency=USD","Period=FQ","BEST_FPERIOD_OVERRIDE=FQ","FILING_STATUS=MR","SCALING_FORMAT=MLN","FA_ADJUSTED=Adjusted","Sort=A","Dates=H","DateFormat=P","Fill=—","Direction=H","UseDPDF=Y")</f>
        <v>—</v>
      </c>
      <c r="AD63" s="13" t="str">
        <f>_xll.BDH("AMZN US Equity","EBITA","FQ4 2015","FQ4 2015","Currency=USD","Period=FQ","BEST_FPERIOD_OVERRIDE=FQ","FILING_STATUS=MR","SCALING_FORMAT=MLN","FA_ADJUSTED=Adjusted","Sort=A","Dates=H","DateFormat=P","Fill=—","Direction=H","UseDPDF=Y")</f>
        <v>—</v>
      </c>
      <c r="AE63" s="13" t="str">
        <f>_xll.BDH("AMZN US Equity","EBITA","FQ1 2016","FQ1 2016","Currency=USD","Period=FQ","BEST_FPERIOD_OVERRIDE=FQ","FILING_STATUS=MR","SCALING_FORMAT=MLN","FA_ADJUSTED=Adjusted","Sort=A","Dates=H","DateFormat=P","Fill=—","Direction=H","UseDPDF=Y")</f>
        <v>—</v>
      </c>
      <c r="AF63" s="13" t="str">
        <f>_xll.BDH("AMZN US Equity","EBITA","FQ2 2016","FQ2 2016","Currency=USD","Period=FQ","BEST_FPERIOD_OVERRIDE=FQ","FILING_STATUS=MR","SCALING_FORMAT=MLN","FA_ADJUSTED=Adjusted","Sort=A","Dates=H","DateFormat=P","Fill=—","Direction=H","UseDPDF=Y")</f>
        <v>—</v>
      </c>
      <c r="AG63" s="13" t="str">
        <f>_xll.BDH("AMZN US Equity","EBITA","FQ3 2016","FQ3 2016","Currency=USD","Period=FQ","BEST_FPERIOD_OVERRIDE=FQ","FILING_STATUS=MR","SCALING_FORMAT=MLN","FA_ADJUSTED=Adjusted","Sort=A","Dates=H","DateFormat=P","Fill=—","Direction=H","UseDPDF=Y")</f>
        <v>—</v>
      </c>
      <c r="AH63" s="13" t="str">
        <f>_xll.BDH("AMZN US Equity","EBITA","FQ4 2016","FQ4 2016","Currency=USD","Period=FQ","BEST_FPERIOD_OVERRIDE=FQ","FILING_STATUS=MR","SCALING_FORMAT=MLN","FA_ADJUSTED=Adjusted","Sort=A","Dates=H","DateFormat=P","Fill=—","Direction=H","UseDPDF=Y")</f>
        <v>—</v>
      </c>
      <c r="AI63" s="13" t="str">
        <f>_xll.BDH("AMZN US Equity","EBITA","FQ1 2017","FQ1 2017","Currency=USD","Period=FQ","BEST_FPERIOD_OVERRIDE=FQ","FILING_STATUS=MR","SCALING_FORMAT=MLN","FA_ADJUSTED=Adjusted","Sort=A","Dates=H","DateFormat=P","Fill=—","Direction=H","UseDPDF=Y")</f>
        <v>—</v>
      </c>
      <c r="AJ63" s="13" t="str">
        <f>_xll.BDH("AMZN US Equity","EBITA","FQ2 2017","FQ2 2017","Currency=USD","Period=FQ","BEST_FPERIOD_OVERRIDE=FQ","FILING_STATUS=MR","SCALING_FORMAT=MLN","FA_ADJUSTED=Adjusted","Sort=A","Dates=H","DateFormat=P","Fill=—","Direction=H","UseDPDF=Y")</f>
        <v>—</v>
      </c>
      <c r="AK63" s="13" t="str">
        <f>_xll.BDH("AMZN US Equity","EBITA","FQ3 2017","FQ3 2017","Currency=USD","Period=FQ","BEST_FPERIOD_OVERRIDE=FQ","FILING_STATUS=MR","SCALING_FORMAT=MLN","FA_ADJUSTED=Adjusted","Sort=A","Dates=H","DateFormat=P","Fill=—","Direction=H","UseDPDF=Y")</f>
        <v>—</v>
      </c>
      <c r="AL63" s="13" t="str">
        <f>_xll.BDH("AMZN US Equity","EBITA","FQ4 2017","FQ4 2017","Currency=USD","Period=FQ","BEST_FPERIOD_OVERRIDE=FQ","FILING_STATUS=MR","SCALING_FORMAT=MLN","FA_ADJUSTED=Adjusted","Sort=A","Dates=H","DateFormat=P","Fill=—","Direction=H","UseDPDF=Y")</f>
        <v>—</v>
      </c>
      <c r="AM63" s="13" t="str">
        <f>_xll.BDH("AMZN US Equity","EBITA","FQ1 2018","FQ1 2018","Currency=USD","Period=FQ","BEST_FPERIOD_OVERRIDE=FQ","FILING_STATUS=MR","SCALING_FORMAT=MLN","FA_ADJUSTED=Adjusted","Sort=A","Dates=H","DateFormat=P","Fill=—","Direction=H","UseDPDF=Y")</f>
        <v>—</v>
      </c>
      <c r="AN63" s="13" t="str">
        <f>_xll.BDH("AMZN US Equity","EBITA","FQ2 2018","FQ2 2018","Currency=USD","Period=FQ","BEST_FPERIOD_OVERRIDE=FQ","FILING_STATUS=MR","SCALING_FORMAT=MLN","FA_ADJUSTED=Adjusted","Sort=A","Dates=H","DateFormat=P","Fill=—","Direction=H","UseDPDF=Y")</f>
        <v>—</v>
      </c>
      <c r="AO63" s="13"/>
      <c r="AP63" s="13"/>
    </row>
    <row r="64" spans="1:42" x14ac:dyDescent="0.25">
      <c r="A64" s="10" t="s">
        <v>188</v>
      </c>
      <c r="B64" s="10" t="s">
        <v>188</v>
      </c>
      <c r="C64" s="13">
        <f>_xll.BDH("AMZN US Equity","EBIT","FQ1 2009","FQ1 2009","Currency=USD","Period=FQ","BEST_FPERIOD_OVERRIDE=FQ","FILING_STATUS=MR","SCALING_FORMAT=MLN","FA_ADJUSTED=Adjusted","Sort=A","Dates=H","DateFormat=P","Fill=—","Direction=H","UseDPDF=Y")</f>
        <v>244</v>
      </c>
      <c r="D64" s="13">
        <f>_xll.BDH("AMZN US Equity","EBIT","FQ2 2009","FQ2 2009","Currency=USD","Period=FQ","BEST_FPERIOD_OVERRIDE=FQ","FILING_STATUS=MR","SCALING_FORMAT=MLN","FA_ADJUSTED=Adjusted","Sort=A","Dates=H","DateFormat=P","Fill=—","Direction=H","UseDPDF=Y")</f>
        <v>210</v>
      </c>
      <c r="E64" s="13">
        <f>_xll.BDH("AMZN US Equity","EBIT","FQ3 2009","FQ3 2009","Currency=USD","Period=FQ","BEST_FPERIOD_OVERRIDE=FQ","FILING_STATUS=MR","SCALING_FORMAT=MLN","FA_ADJUSTED=Adjusted","Sort=A","Dates=H","DateFormat=P","Fill=—","Direction=H","UseDPDF=Y")</f>
        <v>251</v>
      </c>
      <c r="F64" s="13">
        <f>_xll.BDH("AMZN US Equity","EBIT","FQ4 2009","FQ4 2009","Currency=USD","Period=FQ","BEST_FPERIOD_OVERRIDE=FQ","FILING_STATUS=MR","SCALING_FORMAT=MLN","FA_ADJUSTED=Adjusted","Sort=A","Dates=H","DateFormat=P","Fill=—","Direction=H","UseDPDF=Y")</f>
        <v>476</v>
      </c>
      <c r="G64" s="13">
        <f>_xll.BDH("AMZN US Equity","EBIT","FQ1 2010","FQ1 2010","Currency=USD","Period=FQ","BEST_FPERIOD_OVERRIDE=FQ","FILING_STATUS=MR","SCALING_FORMAT=MLN","FA_ADJUSTED=Adjusted","Sort=A","Dates=H","DateFormat=P","Fill=—","Direction=H","UseDPDF=Y")</f>
        <v>394</v>
      </c>
      <c r="H64" s="13">
        <f>_xll.BDH("AMZN US Equity","EBIT","FQ2 2010","FQ2 2010","Currency=USD","Period=FQ","BEST_FPERIOD_OVERRIDE=FQ","FILING_STATUS=MR","SCALING_FORMAT=MLN","FA_ADJUSTED=Adjusted","Sort=A","Dates=H","DateFormat=P","Fill=—","Direction=H","UseDPDF=Y")</f>
        <v>270</v>
      </c>
      <c r="I64" s="13">
        <f>_xll.BDH("AMZN US Equity","EBIT","FQ3 2010","FQ3 2010","Currency=USD","Period=FQ","BEST_FPERIOD_OVERRIDE=FQ","FILING_STATUS=MR","SCALING_FORMAT=MLN","FA_ADJUSTED=Adjusted","Sort=A","Dates=H","DateFormat=P","Fill=—","Direction=H","UseDPDF=Y")</f>
        <v>268</v>
      </c>
      <c r="J64" s="13">
        <f>_xll.BDH("AMZN US Equity","EBIT","FQ4 2010","FQ4 2010","Currency=USD","Period=FQ","BEST_FPERIOD_OVERRIDE=FQ","FILING_STATUS=MR","SCALING_FORMAT=MLN","FA_ADJUSTED=Adjusted","Sort=A","Dates=H","DateFormat=P","Fill=—","Direction=H","UseDPDF=Y")</f>
        <v>474</v>
      </c>
      <c r="K64" s="13">
        <f>_xll.BDH("AMZN US Equity","EBIT","FQ1 2011","FQ1 2011","Currency=USD","Period=FQ","BEST_FPERIOD_OVERRIDE=FQ","FILING_STATUS=MR","SCALING_FORMAT=MLN","FA_ADJUSTED=Adjusted","Sort=A","Dates=H","DateFormat=P","Fill=—","Direction=H","UseDPDF=Y")</f>
        <v>322</v>
      </c>
      <c r="L64" s="13">
        <f>_xll.BDH("AMZN US Equity","EBIT","FQ2 2011","FQ2 2011","Currency=USD","Period=FQ","BEST_FPERIOD_OVERRIDE=FQ","FILING_STATUS=MR","SCALING_FORMAT=MLN","FA_ADJUSTED=Adjusted","Sort=A","Dates=H","DateFormat=P","Fill=—","Direction=H","UseDPDF=Y")</f>
        <v>201</v>
      </c>
      <c r="M64" s="13">
        <f>_xll.BDH("AMZN US Equity","EBIT","FQ3 2011","FQ3 2011","Currency=USD","Period=FQ","BEST_FPERIOD_OVERRIDE=FQ","FILING_STATUS=MR","SCALING_FORMAT=MLN","FA_ADJUSTED=Adjusted","Sort=A","Dates=H","DateFormat=P","Fill=—","Direction=H","UseDPDF=Y")</f>
        <v>79</v>
      </c>
      <c r="N64" s="13">
        <f>_xll.BDH("AMZN US Equity","EBIT","FQ4 2011","FQ4 2011","Currency=USD","Period=FQ","BEST_FPERIOD_OVERRIDE=FQ","FILING_STATUS=MR","SCALING_FORMAT=MLN","FA_ADJUSTED=Adjusted","Sort=A","Dates=H","DateFormat=P","Fill=—","Direction=H","UseDPDF=Y")</f>
        <v>260</v>
      </c>
      <c r="O64" s="13">
        <f>_xll.BDH("AMZN US Equity","EBIT","FQ1 2012","FQ1 2012","Currency=USD","Period=FQ","BEST_FPERIOD_OVERRIDE=FQ","FILING_STATUS=MR","SCALING_FORMAT=MLN","FA_ADJUSTED=Adjusted","Sort=A","Dates=H","DateFormat=P","Fill=—","Direction=H","UseDPDF=Y")</f>
        <v>192</v>
      </c>
      <c r="P64" s="13">
        <f>_xll.BDH("AMZN US Equity","EBIT","FQ2 2012","FQ2 2012","Currency=USD","Period=FQ","BEST_FPERIOD_OVERRIDE=FQ","FILING_STATUS=MR","SCALING_FORMAT=MLN","FA_ADJUSTED=Adjusted","Sort=A","Dates=H","DateFormat=P","Fill=—","Direction=H","UseDPDF=Y")</f>
        <v>207</v>
      </c>
      <c r="Q64" s="13">
        <f>_xll.BDH("AMZN US Equity","EBIT","FQ3 2012","FQ3 2012","Currency=USD","Period=FQ","BEST_FPERIOD_OVERRIDE=FQ","FILING_STATUS=MR","SCALING_FORMAT=MLN","FA_ADJUSTED=Adjusted","Sort=A","Dates=H","DateFormat=P","Fill=—","Direction=H","UseDPDF=Y")</f>
        <v>-28</v>
      </c>
      <c r="R64" s="13">
        <f>_xll.BDH("AMZN US Equity","EBIT","FQ4 2012","FQ4 2012","Currency=USD","Period=FQ","BEST_FPERIOD_OVERRIDE=FQ","FILING_STATUS=MR","SCALING_FORMAT=MLN","FA_ADJUSTED=Adjusted","Sort=A","Dates=H","DateFormat=P","Fill=—","Direction=H","UseDPDF=Y")</f>
        <v>405</v>
      </c>
      <c r="S64" s="13">
        <f>_xll.BDH("AMZN US Equity","EBIT","FQ1 2013","FQ1 2013","Currency=USD","Period=FQ","BEST_FPERIOD_OVERRIDE=FQ","FILING_STATUS=MR","SCALING_FORMAT=MLN","FA_ADJUSTED=Adjusted","Sort=A","Dates=H","DateFormat=P","Fill=—","Direction=H","UseDPDF=Y")</f>
        <v>181</v>
      </c>
      <c r="T64" s="13">
        <f>_xll.BDH("AMZN US Equity","EBIT","FQ2 2013","FQ2 2013","Currency=USD","Period=FQ","BEST_FPERIOD_OVERRIDE=FQ","FILING_STATUS=MR","SCALING_FORMAT=MLN","FA_ADJUSTED=Adjusted","Sort=A","Dates=H","DateFormat=P","Fill=—","Direction=H","UseDPDF=Y")</f>
        <v>79</v>
      </c>
      <c r="U64" s="13">
        <f>_xll.BDH("AMZN US Equity","EBIT","FQ3 2013","FQ3 2013","Currency=USD","Period=FQ","BEST_FPERIOD_OVERRIDE=FQ","FILING_STATUS=MR","SCALING_FORMAT=MLN","FA_ADJUSTED=Adjusted","Sort=A","Dates=H","DateFormat=P","Fill=—","Direction=H","UseDPDF=Y")</f>
        <v>-25</v>
      </c>
      <c r="V64" s="13">
        <f>_xll.BDH("AMZN US Equity","EBIT","FQ4 2013","FQ4 2013","Currency=USD","Period=FQ","BEST_FPERIOD_OVERRIDE=FQ","FILING_STATUS=MR","SCALING_FORMAT=MLN","FA_ADJUSTED=Adjusted","Sort=A","Dates=H","DateFormat=P","Fill=—","Direction=H","UseDPDF=Y")</f>
        <v>510</v>
      </c>
      <c r="W64" s="13">
        <f>_xll.BDH("AMZN US Equity","EBIT","FQ1 2014","FQ1 2014","Currency=USD","Period=FQ","BEST_FPERIOD_OVERRIDE=FQ","FILING_STATUS=MR","SCALING_FORMAT=MLN","FA_ADJUSTED=Adjusted","Sort=A","Dates=H","DateFormat=P","Fill=—","Direction=H","UseDPDF=Y")</f>
        <v>146</v>
      </c>
      <c r="X64" s="13">
        <f>_xll.BDH("AMZN US Equity","EBIT","FQ2 2014","FQ2 2014","Currency=USD","Period=FQ","BEST_FPERIOD_OVERRIDE=FQ","FILING_STATUS=MR","SCALING_FORMAT=MLN","FA_ADJUSTED=Adjusted","Sort=A","Dates=H","DateFormat=P","Fill=—","Direction=H","UseDPDF=Y")</f>
        <v>-15</v>
      </c>
      <c r="Y64" s="13">
        <f>_xll.BDH("AMZN US Equity","EBIT","FQ3 2014","FQ3 2014","Currency=USD","Period=FQ","BEST_FPERIOD_OVERRIDE=FQ","FILING_STATUS=MR","SCALING_FORMAT=MLN","FA_ADJUSTED=Adjusted","Sort=A","Dates=H","DateFormat=P","Fill=—","Direction=H","UseDPDF=Y")</f>
        <v>-374</v>
      </c>
      <c r="Z64" s="13">
        <f>_xll.BDH("AMZN US Equity","EBIT","FQ4 2014","FQ4 2014","Currency=USD","Period=FQ","BEST_FPERIOD_OVERRIDE=FQ","FILING_STATUS=MR","SCALING_FORMAT=MLN","FA_ADJUSTED=Adjusted","Sort=A","Dates=H","DateFormat=P","Fill=—","Direction=H","UseDPDF=Y")</f>
        <v>591</v>
      </c>
      <c r="AA64" s="13">
        <f>_xll.BDH("AMZN US Equity","EBIT","FQ1 2015","FQ1 2015","Currency=USD","Period=FQ","BEST_FPERIOD_OVERRIDE=FQ","FILING_STATUS=MR","SCALING_FORMAT=MLN","FA_ADJUSTED=Adjusted","Sort=A","Dates=H","DateFormat=P","Fill=—","Direction=H","UseDPDF=Y")</f>
        <v>255</v>
      </c>
      <c r="AB64" s="13">
        <f>_xll.BDH("AMZN US Equity","EBIT","FQ2 2015","FQ2 2015","Currency=USD","Period=FQ","BEST_FPERIOD_OVERRIDE=FQ","FILING_STATUS=MR","SCALING_FORMAT=MLN","FA_ADJUSTED=Adjusted","Sort=A","Dates=H","DateFormat=P","Fill=—","Direction=H","UseDPDF=Y")</f>
        <v>464</v>
      </c>
      <c r="AC64" s="13">
        <f>_xll.BDH("AMZN US Equity","EBIT","FQ3 2015","FQ3 2015","Currency=USD","Period=FQ","BEST_FPERIOD_OVERRIDE=FQ","FILING_STATUS=MR","SCALING_FORMAT=MLN","FA_ADJUSTED=Adjusted","Sort=A","Dates=H","DateFormat=P","Fill=—","Direction=H","UseDPDF=Y")</f>
        <v>406</v>
      </c>
      <c r="AD64" s="13">
        <f>_xll.BDH("AMZN US Equity","EBIT","FQ4 2015","FQ4 2015","Currency=USD","Period=FQ","BEST_FPERIOD_OVERRIDE=FQ","FILING_STATUS=MR","SCALING_FORMAT=MLN","FA_ADJUSTED=Adjusted","Sort=A","Dates=H","DateFormat=P","Fill=—","Direction=H","UseDPDF=Y")</f>
        <v>1108</v>
      </c>
      <c r="AE64" s="13">
        <f>_xll.BDH("AMZN US Equity","EBIT","FQ1 2016","FQ1 2016","Currency=USD","Period=FQ","BEST_FPERIOD_OVERRIDE=FQ","FILING_STATUS=MR","SCALING_FORMAT=MLN","FA_ADJUSTED=Adjusted","Sort=A","Dates=H","DateFormat=P","Fill=—","Direction=H","UseDPDF=Y")</f>
        <v>1071</v>
      </c>
      <c r="AF64" s="13">
        <f>_xll.BDH("AMZN US Equity","EBIT","FQ2 2016","FQ2 2016","Currency=USD","Period=FQ","BEST_FPERIOD_OVERRIDE=FQ","FILING_STATUS=MR","SCALING_FORMAT=MLN","FA_ADJUSTED=Adjusted","Sort=A","Dates=H","DateFormat=P","Fill=—","Direction=H","UseDPDF=Y")</f>
        <v>1285</v>
      </c>
      <c r="AG64" s="13">
        <f>_xll.BDH("AMZN US Equity","EBIT","FQ3 2016","FQ3 2016","Currency=USD","Period=FQ","BEST_FPERIOD_OVERRIDE=FQ","FILING_STATUS=MR","SCALING_FORMAT=MLN","FA_ADJUSTED=Adjusted","Sort=A","Dates=H","DateFormat=P","Fill=—","Direction=H","UseDPDF=Y")</f>
        <v>575</v>
      </c>
      <c r="AH64" s="13">
        <f>_xll.BDH("AMZN US Equity","EBIT","FQ4 2016","FQ4 2016","Currency=USD","Period=FQ","BEST_FPERIOD_OVERRIDE=FQ","FILING_STATUS=MR","SCALING_FORMAT=MLN","FA_ADJUSTED=Adjusted","Sort=A","Dates=H","DateFormat=P","Fill=—","Direction=H","UseDPDF=Y")</f>
        <v>1255</v>
      </c>
      <c r="AI64" s="13">
        <f>_xll.BDH("AMZN US Equity","EBIT","FQ1 2017","FQ1 2017","Currency=USD","Period=FQ","BEST_FPERIOD_OVERRIDE=FQ","FILING_STATUS=MR","SCALING_FORMAT=MLN","FA_ADJUSTED=Adjusted","Sort=A","Dates=H","DateFormat=P","Fill=—","Direction=H","UseDPDF=Y")</f>
        <v>1005</v>
      </c>
      <c r="AJ64" s="13">
        <f>_xll.BDH("AMZN US Equity","EBIT","FQ2 2017","FQ2 2017","Currency=USD","Period=FQ","BEST_FPERIOD_OVERRIDE=FQ","FILING_STATUS=MR","SCALING_FORMAT=MLN","FA_ADJUSTED=Adjusted","Sort=A","Dates=H","DateFormat=P","Fill=—","Direction=H","UseDPDF=Y")</f>
        <v>628</v>
      </c>
      <c r="AK64" s="13">
        <f>_xll.BDH("AMZN US Equity","EBIT","FQ3 2017","FQ3 2017","Currency=USD","Period=FQ","BEST_FPERIOD_OVERRIDE=FQ","FILING_STATUS=MR","SCALING_FORMAT=MLN","FA_ADJUSTED=Adjusted","Sort=A","Dates=H","DateFormat=P","Fill=—","Direction=H","UseDPDF=Y")</f>
        <v>347</v>
      </c>
      <c r="AL64" s="13">
        <f>_xll.BDH("AMZN US Equity","EBIT","FQ4 2017","FQ4 2017","Currency=USD","Period=FQ","BEST_FPERIOD_OVERRIDE=FQ","FILING_STATUS=MR","SCALING_FORMAT=MLN","FA_ADJUSTED=Adjusted","Sort=A","Dates=H","DateFormat=P","Fill=—","Direction=H","UseDPDF=Y")</f>
        <v>2127</v>
      </c>
      <c r="AM64" s="13">
        <f>_xll.BDH("AMZN US Equity","EBIT","FQ1 2018","FQ1 2018","Currency=USD","Period=FQ","BEST_FPERIOD_OVERRIDE=FQ","FILING_STATUS=MR","SCALING_FORMAT=MLN","FA_ADJUSTED=Adjusted","Sort=A","Dates=H","DateFormat=P","Fill=—","Direction=H","UseDPDF=Y")</f>
        <v>1927</v>
      </c>
      <c r="AN64" s="13">
        <f>_xll.BDH("AMZN US Equity","EBIT","FQ2 2018","FQ2 2018","Currency=USD","Period=FQ","BEST_FPERIOD_OVERRIDE=FQ","FILING_STATUS=MR","SCALING_FORMAT=MLN","FA_ADJUSTED=Adjusted","Sort=A","Dates=H","DateFormat=P","Fill=—","Direction=H","UseDPDF=Y")</f>
        <v>2983</v>
      </c>
      <c r="AO64" s="13">
        <v>2131.6190000000001</v>
      </c>
      <c r="AP64" s="13">
        <v>3986.9090000000001</v>
      </c>
    </row>
    <row r="65" spans="1:42" x14ac:dyDescent="0.25">
      <c r="A65" s="10" t="s">
        <v>189</v>
      </c>
      <c r="B65" s="10" t="s">
        <v>190</v>
      </c>
      <c r="C65" s="14">
        <f>_xll.BDH("AMZN US Equity","GROSS_MARGIN","FQ1 2009","FQ1 2009","Currency=USD","Period=FQ","BEST_FPERIOD_OVERRIDE=FQ","FILING_STATUS=MR","FA_ADJUSTED=Adjusted","Sort=A","Dates=H","DateFormat=P","Fill=—","Direction=H","UseDPDF=Y")</f>
        <v>23.481300000000001</v>
      </c>
      <c r="D65" s="14">
        <f>_xll.BDH("AMZN US Equity","GROSS_MARGIN","FQ2 2009","FQ2 2009","Currency=USD","Period=FQ","BEST_FPERIOD_OVERRIDE=FQ","FILING_STATUS=MR","FA_ADJUSTED=Adjusted","Sort=A","Dates=H","DateFormat=P","Fill=—","Direction=H","UseDPDF=Y")</f>
        <v>24.360399999999998</v>
      </c>
      <c r="E65" s="14">
        <f>_xll.BDH("AMZN US Equity","GROSS_MARGIN","FQ3 2009","FQ3 2009","Currency=USD","Period=FQ","BEST_FPERIOD_OVERRIDE=FQ","FILING_STATUS=MR","FA_ADJUSTED=Adjusted","Sort=A","Dates=H","DateFormat=P","Fill=—","Direction=H","UseDPDF=Y")</f>
        <v>23.362100000000002</v>
      </c>
      <c r="F65" s="14">
        <f>_xll.BDH("AMZN US Equity","GROSS_MARGIN","FQ4 2009","FQ4 2009","Currency=USD","Period=FQ","BEST_FPERIOD_OVERRIDE=FQ","FILING_STATUS=MR","FA_ADJUSTED=Adjusted","Sort=A","Dates=H","DateFormat=P","Fill=—","Direction=H","UseDPDF=Y")</f>
        <v>20.758500000000002</v>
      </c>
      <c r="G65" s="14">
        <f>_xll.BDH("AMZN US Equity","GROSS_MARGIN","FQ1 2010","FQ1 2010","Currency=USD","Period=FQ","BEST_FPERIOD_OVERRIDE=FQ","FILING_STATUS=MR","FA_ADJUSTED=Adjusted","Sort=A","Dates=H","DateFormat=P","Fill=—","Direction=H","UseDPDF=Y")</f>
        <v>22.857900000000001</v>
      </c>
      <c r="H65" s="14">
        <f>_xll.BDH("AMZN US Equity","GROSS_MARGIN","FQ2 2010","FQ2 2010","Currency=USD","Period=FQ","BEST_FPERIOD_OVERRIDE=FQ","FILING_STATUS=MR","FA_ADJUSTED=Adjusted","Sort=A","Dates=H","DateFormat=P","Fill=—","Direction=H","UseDPDF=Y")</f>
        <v>24.504999999999999</v>
      </c>
      <c r="I65" s="14">
        <f>_xll.BDH("AMZN US Equity","GROSS_MARGIN","FQ3 2010","FQ3 2010","Currency=USD","Period=FQ","BEST_FPERIOD_OVERRIDE=FQ","FILING_STATUS=MR","FA_ADJUSTED=Adjusted","Sort=A","Dates=H","DateFormat=P","Fill=—","Direction=H","UseDPDF=Y")</f>
        <v>23.465599999999998</v>
      </c>
      <c r="J65" s="14">
        <f>_xll.BDH("AMZN US Equity","GROSS_MARGIN","FQ4 2010","FQ4 2010","Currency=USD","Period=FQ","BEST_FPERIOD_OVERRIDE=FQ","FILING_STATUS=MR","FA_ADJUSTED=Adjusted","Sort=A","Dates=H","DateFormat=P","Fill=—","Direction=H","UseDPDF=Y")</f>
        <v>20.319700000000001</v>
      </c>
      <c r="K65" s="14">
        <f>_xll.BDH("AMZN US Equity","GROSS_MARGIN","FQ1 2011","FQ1 2011","Currency=USD","Period=FQ","BEST_FPERIOD_OVERRIDE=FQ","FILING_STATUS=MR","FA_ADJUSTED=Adjusted","Sort=A","Dates=H","DateFormat=P","Fill=—","Direction=H","UseDPDF=Y")</f>
        <v>22.816299999999998</v>
      </c>
      <c r="L65" s="14">
        <f>_xll.BDH("AMZN US Equity","GROSS_MARGIN","FQ2 2011","FQ2 2011","Currency=USD","Period=FQ","BEST_FPERIOD_OVERRIDE=FQ","FILING_STATUS=MR","FA_ADJUSTED=Adjusted","Sort=A","Dates=H","DateFormat=P","Fill=—","Direction=H","UseDPDF=Y")</f>
        <v>24.089600000000001</v>
      </c>
      <c r="M65" s="14">
        <f>_xll.BDH("AMZN US Equity","GROSS_MARGIN","FQ3 2011","FQ3 2011","Currency=USD","Period=FQ","BEST_FPERIOD_OVERRIDE=FQ","FILING_STATUS=MR","FA_ADJUSTED=Adjusted","Sort=A","Dates=H","DateFormat=P","Fill=—","Direction=H","UseDPDF=Y")</f>
        <v>23.455300000000001</v>
      </c>
      <c r="N65" s="14">
        <f>_xll.BDH("AMZN US Equity","GROSS_MARGIN","FQ4 2011","FQ4 2011","Currency=USD","Period=FQ","BEST_FPERIOD_OVERRIDE=FQ","FILING_STATUS=MR","FA_ADJUSTED=Adjusted","Sort=A","Dates=H","DateFormat=P","Fill=—","Direction=H","UseDPDF=Y")</f>
        <v>20.6586</v>
      </c>
      <c r="O65" s="14">
        <f>_xll.BDH("AMZN US Equity","GROSS_MARGIN","FQ1 2012","FQ1 2012","Currency=USD","Period=FQ","BEST_FPERIOD_OVERRIDE=FQ","FILING_STATUS=MR","FA_ADJUSTED=Adjusted","Sort=A","Dates=H","DateFormat=P","Fill=—","Direction=H","UseDPDF=Y")</f>
        <v>23.951499999999999</v>
      </c>
      <c r="P65" s="14">
        <f>_xll.BDH("AMZN US Equity","GROSS_MARGIN","FQ2 2012","FQ2 2012","Currency=USD","Period=FQ","BEST_FPERIOD_OVERRIDE=FQ","FILING_STATUS=MR","FA_ADJUSTED=Adjusted","Sort=A","Dates=H","DateFormat=P","Fill=—","Direction=H","UseDPDF=Y")</f>
        <v>26.071400000000001</v>
      </c>
      <c r="Q65" s="14">
        <f>_xll.BDH("AMZN US Equity","GROSS_MARGIN","FQ3 2012","FQ3 2012","Currency=USD","Period=FQ","BEST_FPERIOD_OVERRIDE=FQ","FILING_STATUS=MR","FA_ADJUSTED=Adjusted","Sort=A","Dates=H","DateFormat=P","Fill=—","Direction=H","UseDPDF=Y")</f>
        <v>25.257100000000001</v>
      </c>
      <c r="R65" s="14">
        <f>_xll.BDH("AMZN US Equity","GROSS_MARGIN","FQ4 2012","FQ4 2012","Currency=USD","Period=FQ","BEST_FPERIOD_OVERRIDE=FQ","FILING_STATUS=MR","FA_ADJUSTED=Adjusted","Sort=A","Dates=H","DateFormat=P","Fill=—","Direction=H","UseDPDF=Y")</f>
        <v>24.130099999999999</v>
      </c>
      <c r="S65" s="14">
        <f>_xll.BDH("AMZN US Equity","GROSS_MARGIN","FQ1 2013","FQ1 2013","Currency=USD","Period=FQ","BEST_FPERIOD_OVERRIDE=FQ","FILING_STATUS=MR","FA_ADJUSTED=Adjusted","Sort=A","Dates=H","DateFormat=P","Fill=—","Direction=H","UseDPDF=Y")</f>
        <v>26.565000000000001</v>
      </c>
      <c r="T65" s="14">
        <f>_xll.BDH("AMZN US Equity","GROSS_MARGIN","FQ2 2013","FQ2 2013","Currency=USD","Period=FQ","BEST_FPERIOD_OVERRIDE=FQ","FILING_STATUS=MR","FA_ADJUSTED=Adjusted","Sort=A","Dates=H","DateFormat=P","Fill=—","Direction=H","UseDPDF=Y")</f>
        <v>28.6233</v>
      </c>
      <c r="U65" s="14">
        <f>_xll.BDH("AMZN US Equity","GROSS_MARGIN","FQ3 2013","FQ3 2013","Currency=USD","Period=FQ","BEST_FPERIOD_OVERRIDE=FQ","FILING_STATUS=MR","FA_ADJUSTED=Adjusted","Sort=A","Dates=H","DateFormat=P","Fill=—","Direction=H","UseDPDF=Y")</f>
        <v>27.650400000000001</v>
      </c>
      <c r="V65" s="14">
        <f>_xll.BDH("AMZN US Equity","GROSS_MARGIN","FQ4 2013","FQ4 2013","Currency=USD","Period=FQ","BEST_FPERIOD_OVERRIDE=FQ","FILING_STATUS=MR","FA_ADJUSTED=Adjusted","Sort=A","Dates=H","DateFormat=P","Fill=—","Direction=H","UseDPDF=Y")</f>
        <v>26.5017</v>
      </c>
      <c r="W65" s="14">
        <f>_xll.BDH("AMZN US Equity","GROSS_MARGIN","FQ1 2014","FQ1 2014","Currency=USD","Period=FQ","BEST_FPERIOD_OVERRIDE=FQ","FILING_STATUS=MR","FA_ADJUSTED=Adjusted","Sort=A","Dates=H","DateFormat=P","Fill=—","Direction=H","UseDPDF=Y")</f>
        <v>28.803000000000001</v>
      </c>
      <c r="X65" s="14">
        <f>_xll.BDH("AMZN US Equity","GROSS_MARGIN","FQ2 2014","FQ2 2014","Currency=USD","Period=FQ","BEST_FPERIOD_OVERRIDE=FQ","FILING_STATUS=MR","FA_ADJUSTED=Adjusted","Sort=A","Dates=H","DateFormat=P","Fill=—","Direction=H","UseDPDF=Y")</f>
        <v>30.718699999999998</v>
      </c>
      <c r="Y65" s="14">
        <f>_xll.BDH("AMZN US Equity","GROSS_MARGIN","FQ3 2014","FQ3 2014","Currency=USD","Period=FQ","BEST_FPERIOD_OVERRIDE=FQ","FILING_STATUS=MR","FA_ADJUSTED=Adjusted","Sort=A","Dates=H","DateFormat=P","Fill=—","Direction=H","UseDPDF=Y")</f>
        <v>29.748799999999999</v>
      </c>
      <c r="Z65" s="14">
        <f>_xll.BDH("AMZN US Equity","GROSS_MARGIN","FQ4 2014","FQ4 2014","Currency=USD","Period=FQ","BEST_FPERIOD_OVERRIDE=FQ","FILING_STATUS=MR","FA_ADJUSTED=Adjusted","Sort=A","Dates=H","DateFormat=P","Fill=—","Direction=H","UseDPDF=Y")</f>
        <v>29.517900000000001</v>
      </c>
      <c r="AA65" s="14">
        <f>_xll.BDH("AMZN US Equity","GROSS_MARGIN","FQ1 2015","FQ1 2015","Currency=USD","Period=FQ","BEST_FPERIOD_OVERRIDE=FQ","FILING_STATUS=MR","FA_ADJUSTED=Adjusted","Sort=A","Dates=H","DateFormat=P","Fill=—","Direction=H","UseDPDF=Y")</f>
        <v>32.231400000000001</v>
      </c>
      <c r="AB65" s="14">
        <f>_xll.BDH("AMZN US Equity","GROSS_MARGIN","FQ2 2015","FQ2 2015","Currency=USD","Period=FQ","BEST_FPERIOD_OVERRIDE=FQ","FILING_STATUS=MR","FA_ADJUSTED=Adjusted","Sort=A","Dates=H","DateFormat=P","Fill=—","Direction=H","UseDPDF=Y")</f>
        <v>34.612900000000003</v>
      </c>
      <c r="AC65" s="14">
        <f>_xll.BDH("AMZN US Equity","GROSS_MARGIN","FQ3 2015","FQ3 2015","Currency=USD","Period=FQ","BEST_FPERIOD_OVERRIDE=FQ","FILING_STATUS=MR","FA_ADJUSTED=Adjusted","Sort=A","Dates=H","DateFormat=P","Fill=—","Direction=H","UseDPDF=Y")</f>
        <v>33.926200000000001</v>
      </c>
      <c r="AD65" s="14">
        <f>_xll.BDH("AMZN US Equity","GROSS_MARGIN","FQ4 2015","FQ4 2015","Currency=USD","Period=FQ","BEST_FPERIOD_OVERRIDE=FQ","FILING_STATUS=MR","FA_ADJUSTED=Adjusted","Sort=A","Dates=H","DateFormat=P","Fill=—","Direction=H","UseDPDF=Y")</f>
        <v>31.907599999999999</v>
      </c>
      <c r="AE65" s="14">
        <f>_xll.BDH("AMZN US Equity","GROSS_MARGIN","FQ1 2016","FQ1 2016","Currency=USD","Period=FQ","BEST_FPERIOD_OVERRIDE=FQ","FILING_STATUS=MR","FA_ADJUSTED=Adjusted","Sort=A","Dates=H","DateFormat=P","Fill=—","Direction=H","UseDPDF=Y")</f>
        <v>35.230699999999999</v>
      </c>
      <c r="AF65" s="14">
        <f>_xll.BDH("AMZN US Equity","GROSS_MARGIN","FQ2 2016","FQ2 2016","Currency=USD","Period=FQ","BEST_FPERIOD_OVERRIDE=FQ","FILING_STATUS=MR","FA_ADJUSTED=Adjusted","Sort=A","Dates=H","DateFormat=P","Fill=—","Direction=H","UseDPDF=Y")</f>
        <v>36.916200000000003</v>
      </c>
      <c r="AG65" s="14">
        <f>_xll.BDH("AMZN US Equity","GROSS_MARGIN","FQ3 2016","FQ3 2016","Currency=USD","Period=FQ","BEST_FPERIOD_OVERRIDE=FQ","FILING_STATUS=MR","FA_ADJUSTED=Adjusted","Sort=A","Dates=H","DateFormat=P","Fill=—","Direction=H","UseDPDF=Y")</f>
        <v>35.012500000000003</v>
      </c>
      <c r="AH65" s="14">
        <f>_xll.BDH("AMZN US Equity","GROSS_MARGIN","FQ4 2016","FQ4 2016","Currency=USD","Period=FQ","BEST_FPERIOD_OVERRIDE=FQ","FILING_STATUS=MR","FA_ADJUSTED=Adjusted","Sort=A","Dates=H","DateFormat=P","Fill=—","Direction=H","UseDPDF=Y")</f>
        <v>33.796700000000001</v>
      </c>
      <c r="AI65" s="14">
        <f>_xll.BDH("AMZN US Equity","GROSS_MARGIN","FQ1 2017","FQ1 2017","Currency=USD","Period=FQ","BEST_FPERIOD_OVERRIDE=FQ","FILING_STATUS=MR","FA_ADJUSTED=Adjusted","Sort=A","Dates=H","DateFormat=P","Fill=—","Direction=H","UseDPDF=Y")</f>
        <v>37.167499999999997</v>
      </c>
      <c r="AJ65" s="14">
        <f>_xll.BDH("AMZN US Equity","GROSS_MARGIN","FQ2 2017","FQ2 2017","Currency=USD","Period=FQ","BEST_FPERIOD_OVERRIDE=FQ","FILING_STATUS=MR","FA_ADJUSTED=Adjusted","Sort=A","Dates=H","DateFormat=P","Fill=—","Direction=H","UseDPDF=Y")</f>
        <v>38.213700000000003</v>
      </c>
      <c r="AK65" s="14">
        <f>_xll.BDH("AMZN US Equity","GROSS_MARGIN","FQ3 2017","FQ3 2017","Currency=USD","Period=FQ","BEST_FPERIOD_OVERRIDE=FQ","FILING_STATUS=MR","FA_ADJUSTED=Adjusted","Sort=A","Dates=H","DateFormat=P","Fill=—","Direction=H","UseDPDF=Y")</f>
        <v>37.022199999999998</v>
      </c>
      <c r="AL65" s="14">
        <f>_xll.BDH("AMZN US Equity","GROSS_MARGIN","FQ4 2017","FQ4 2017","Currency=USD","Period=FQ","BEST_FPERIOD_OVERRIDE=FQ","FILING_STATUS=MR","FA_ADJUSTED=Adjusted","Sort=A","Dates=H","DateFormat=P","Fill=—","Direction=H","UseDPDF=Y")</f>
        <v>36.324100000000001</v>
      </c>
      <c r="AM65" s="14">
        <f>_xll.BDH("AMZN US Equity","GROSS_MARGIN","FQ1 2018","FQ1 2018","Currency=USD","Period=FQ","BEST_FPERIOD_OVERRIDE=FQ","FILING_STATUS=MR","FA_ADJUSTED=Adjusted","Sort=A","Dates=H","DateFormat=P","Fill=—","Direction=H","UseDPDF=Y")</f>
        <v>39.7849</v>
      </c>
      <c r="AN65" s="14">
        <f>_xll.BDH("AMZN US Equity","GROSS_MARGIN","FQ2 2018","FQ2 2018","Currency=USD","Period=FQ","BEST_FPERIOD_OVERRIDE=FQ","FILING_STATUS=MR","FA_ADJUSTED=Adjusted","Sort=A","Dates=H","DateFormat=P","Fill=—","Direction=H","UseDPDF=Y")</f>
        <v>42.0792</v>
      </c>
      <c r="AO65" s="14">
        <v>39.743000000000002</v>
      </c>
      <c r="AP65" s="14">
        <v>39.286000000000001</v>
      </c>
    </row>
    <row r="66" spans="1:42" x14ac:dyDescent="0.25">
      <c r="A66" s="10" t="s">
        <v>191</v>
      </c>
      <c r="B66" s="10" t="s">
        <v>192</v>
      </c>
      <c r="C66" s="14">
        <f>_xll.BDH("AMZN US Equity","OPER_MARGIN","FQ1 2009","FQ1 2009","Currency=USD","Period=FQ","BEST_FPERIOD_OVERRIDE=FQ","FILING_STATUS=MR","FA_ADJUSTED=Adjusted","Sort=A","Dates=H","DateFormat=P","Fill=—","Direction=H","UseDPDF=Y")</f>
        <v>4.9908000000000001</v>
      </c>
      <c r="D66" s="14">
        <f>_xll.BDH("AMZN US Equity","OPER_MARGIN","FQ2 2009","FQ2 2009","Currency=USD","Period=FQ","BEST_FPERIOD_OVERRIDE=FQ","FILING_STATUS=MR","FA_ADJUSTED=Adjusted","Sort=A","Dates=H","DateFormat=P","Fill=—","Direction=H","UseDPDF=Y")</f>
        <v>4.5152000000000001</v>
      </c>
      <c r="E66" s="14">
        <f>_xll.BDH("AMZN US Equity","OPER_MARGIN","FQ3 2009","FQ3 2009","Currency=USD","Period=FQ","BEST_FPERIOD_OVERRIDE=FQ","FILING_STATUS=MR","FA_ADJUSTED=Adjusted","Sort=A","Dates=H","DateFormat=P","Fill=—","Direction=H","UseDPDF=Y")</f>
        <v>4.6063000000000001</v>
      </c>
      <c r="F66" s="14">
        <f>_xll.BDH("AMZN US Equity","OPER_MARGIN","FQ4 2009","FQ4 2009","Currency=USD","Period=FQ","BEST_FPERIOD_OVERRIDE=FQ","FILING_STATUS=MR","FA_ADJUSTED=Adjusted","Sort=A","Dates=H","DateFormat=P","Fill=—","Direction=H","UseDPDF=Y")</f>
        <v>5.0004999999999997</v>
      </c>
      <c r="G66" s="14">
        <f>_xll.BDH("AMZN US Equity","OPER_MARGIN","FQ1 2010","FQ1 2010","Currency=USD","Period=FQ","BEST_FPERIOD_OVERRIDE=FQ","FILING_STATUS=MR","FA_ADJUSTED=Adjusted","Sort=A","Dates=H","DateFormat=P","Fill=—","Direction=H","UseDPDF=Y")</f>
        <v>5.5251999999999999</v>
      </c>
      <c r="H66" s="14">
        <f>_xll.BDH("AMZN US Equity","OPER_MARGIN","FQ2 2010","FQ2 2010","Currency=USD","Period=FQ","BEST_FPERIOD_OVERRIDE=FQ","FILING_STATUS=MR","FA_ADJUSTED=Adjusted","Sort=A","Dates=H","DateFormat=P","Fill=—","Direction=H","UseDPDF=Y")</f>
        <v>4.1120999999999999</v>
      </c>
      <c r="I66" s="14">
        <f>_xll.BDH("AMZN US Equity","OPER_MARGIN","FQ3 2010","FQ3 2010","Currency=USD","Period=FQ","BEST_FPERIOD_OVERRIDE=FQ","FILING_STATUS=MR","FA_ADJUSTED=Adjusted","Sort=A","Dates=H","DateFormat=P","Fill=—","Direction=H","UseDPDF=Y")</f>
        <v>3.5449999999999999</v>
      </c>
      <c r="J66" s="14">
        <f>_xll.BDH("AMZN US Equity","OPER_MARGIN","FQ4 2010","FQ4 2010","Currency=USD","Period=FQ","BEST_FPERIOD_OVERRIDE=FQ","FILING_STATUS=MR","FA_ADJUSTED=Adjusted","Sort=A","Dates=H","DateFormat=P","Fill=—","Direction=H","UseDPDF=Y")</f>
        <v>3.6608000000000001</v>
      </c>
      <c r="K66" s="14">
        <f>_xll.BDH("AMZN US Equity","OPER_MARGIN","FQ1 2011","FQ1 2011","Currency=USD","Period=FQ","BEST_FPERIOD_OVERRIDE=FQ","FILING_STATUS=MR","FA_ADJUSTED=Adjusted","Sort=A","Dates=H","DateFormat=P","Fill=—","Direction=H","UseDPDF=Y")</f>
        <v>3.2667000000000002</v>
      </c>
      <c r="L66" s="14">
        <f>_xll.BDH("AMZN US Equity","OPER_MARGIN","FQ2 2011","FQ2 2011","Currency=USD","Period=FQ","BEST_FPERIOD_OVERRIDE=FQ","FILING_STATUS=MR","FA_ADJUSTED=Adjusted","Sort=A","Dates=H","DateFormat=P","Fill=—","Direction=H","UseDPDF=Y")</f>
        <v>2.0276000000000001</v>
      </c>
      <c r="M66" s="14">
        <f>_xll.BDH("AMZN US Equity","OPER_MARGIN","FQ3 2011","FQ3 2011","Currency=USD","Period=FQ","BEST_FPERIOD_OVERRIDE=FQ","FILING_STATUS=MR","FA_ADJUSTED=Adjusted","Sort=A","Dates=H","DateFormat=P","Fill=—","Direction=H","UseDPDF=Y")</f>
        <v>0.72640000000000005</v>
      </c>
      <c r="N66" s="14">
        <f>_xll.BDH("AMZN US Equity","OPER_MARGIN","FQ4 2011","FQ4 2011","Currency=USD","Period=FQ","BEST_FPERIOD_OVERRIDE=FQ","FILING_STATUS=MR","FA_ADJUSTED=Adjusted","Sort=A","Dates=H","DateFormat=P","Fill=—","Direction=H","UseDPDF=Y")</f>
        <v>1.4916</v>
      </c>
      <c r="O66" s="14">
        <f>_xll.BDH("AMZN US Equity","OPER_MARGIN","FQ1 2012","FQ1 2012","Currency=USD","Period=FQ","BEST_FPERIOD_OVERRIDE=FQ","FILING_STATUS=MR","FA_ADJUSTED=Adjusted","Sort=A","Dates=H","DateFormat=P","Fill=—","Direction=H","UseDPDF=Y")</f>
        <v>1.4561999999999999</v>
      </c>
      <c r="P66" s="14">
        <f>_xll.BDH("AMZN US Equity","OPER_MARGIN","FQ2 2012","FQ2 2012","Currency=USD","Period=FQ","BEST_FPERIOD_OVERRIDE=FQ","FILING_STATUS=MR","FA_ADJUSTED=Adjusted","Sort=A","Dates=H","DateFormat=P","Fill=—","Direction=H","UseDPDF=Y")</f>
        <v>1.6129</v>
      </c>
      <c r="Q66" s="14">
        <f>_xll.BDH("AMZN US Equity","OPER_MARGIN","FQ3 2012","FQ3 2012","Currency=USD","Period=FQ","BEST_FPERIOD_OVERRIDE=FQ","FILING_STATUS=MR","FA_ADJUSTED=Adjusted","Sort=A","Dates=H","DateFormat=P","Fill=—","Direction=H","UseDPDF=Y")</f>
        <v>-0.20280000000000001</v>
      </c>
      <c r="R66" s="14">
        <f>_xll.BDH("AMZN US Equity","OPER_MARGIN","FQ4 2012","FQ4 2012","Currency=USD","Period=FQ","BEST_FPERIOD_OVERRIDE=FQ","FILING_STATUS=MR","FA_ADJUSTED=Adjusted","Sort=A","Dates=H","DateFormat=P","Fill=—","Direction=H","UseDPDF=Y")</f>
        <v>1.9043000000000001</v>
      </c>
      <c r="S66" s="14">
        <f>_xll.BDH("AMZN US Equity","OPER_MARGIN","FQ1 2013","FQ1 2013","Currency=USD","Period=FQ","BEST_FPERIOD_OVERRIDE=FQ","FILING_STATUS=MR","FA_ADJUSTED=Adjusted","Sort=A","Dates=H","DateFormat=P","Fill=—","Direction=H","UseDPDF=Y")</f>
        <v>1.1263000000000001</v>
      </c>
      <c r="T66" s="14">
        <f>_xll.BDH("AMZN US Equity","OPER_MARGIN","FQ2 2013","FQ2 2013","Currency=USD","Period=FQ","BEST_FPERIOD_OVERRIDE=FQ","FILING_STATUS=MR","FA_ADJUSTED=Adjusted","Sort=A","Dates=H","DateFormat=P","Fill=—","Direction=H","UseDPDF=Y")</f>
        <v>0.50309999999999999</v>
      </c>
      <c r="U66" s="14">
        <f>_xll.BDH("AMZN US Equity","OPER_MARGIN","FQ3 2013","FQ3 2013","Currency=USD","Period=FQ","BEST_FPERIOD_OVERRIDE=FQ","FILING_STATUS=MR","FA_ADJUSTED=Adjusted","Sort=A","Dates=H","DateFormat=P","Fill=—","Direction=H","UseDPDF=Y")</f>
        <v>-0.14630000000000001</v>
      </c>
      <c r="V66" s="14">
        <f>_xll.BDH("AMZN US Equity","OPER_MARGIN","FQ4 2013","FQ4 2013","Currency=USD","Period=FQ","BEST_FPERIOD_OVERRIDE=FQ","FILING_STATUS=MR","FA_ADJUSTED=Adjusted","Sort=A","Dates=H","DateFormat=P","Fill=—","Direction=H","UseDPDF=Y")</f>
        <v>1.9931999999999999</v>
      </c>
      <c r="W66" s="14">
        <f>_xll.BDH("AMZN US Equity","OPER_MARGIN","FQ1 2014","FQ1 2014","Currency=USD","Period=FQ","BEST_FPERIOD_OVERRIDE=FQ","FILING_STATUS=MR","FA_ADJUSTED=Adjusted","Sort=A","Dates=H","DateFormat=P","Fill=—","Direction=H","UseDPDF=Y")</f>
        <v>0.73960000000000004</v>
      </c>
      <c r="X66" s="14">
        <f>_xll.BDH("AMZN US Equity","OPER_MARGIN","FQ2 2014","FQ2 2014","Currency=USD","Period=FQ","BEST_FPERIOD_OVERRIDE=FQ","FILING_STATUS=MR","FA_ADJUSTED=Adjusted","Sort=A","Dates=H","DateFormat=P","Fill=—","Direction=H","UseDPDF=Y")</f>
        <v>-7.7600000000000002E-2</v>
      </c>
      <c r="Y66" s="14">
        <f>_xll.BDH("AMZN US Equity","OPER_MARGIN","FQ3 2014","FQ3 2014","Currency=USD","Period=FQ","BEST_FPERIOD_OVERRIDE=FQ","FILING_STATUS=MR","FA_ADJUSTED=Adjusted","Sort=A","Dates=H","DateFormat=P","Fill=—","Direction=H","UseDPDF=Y")</f>
        <v>-1.8174000000000001</v>
      </c>
      <c r="Z66" s="14">
        <f>_xll.BDH("AMZN US Equity","OPER_MARGIN","FQ4 2014","FQ4 2014","Currency=USD","Period=FQ","BEST_FPERIOD_OVERRIDE=FQ","FILING_STATUS=MR","FA_ADJUSTED=Adjusted","Sort=A","Dates=H","DateFormat=P","Fill=—","Direction=H","UseDPDF=Y")</f>
        <v>2.0150999999999999</v>
      </c>
      <c r="AA66" s="14">
        <f>_xll.BDH("AMZN US Equity","OPER_MARGIN","FQ1 2015","FQ1 2015","Currency=USD","Period=FQ","BEST_FPERIOD_OVERRIDE=FQ","FILING_STATUS=MR","FA_ADJUSTED=Adjusted","Sort=A","Dates=H","DateFormat=P","Fill=—","Direction=H","UseDPDF=Y")</f>
        <v>1.1225000000000001</v>
      </c>
      <c r="AB66" s="14">
        <f>_xll.BDH("AMZN US Equity","OPER_MARGIN","FQ2 2015","FQ2 2015","Currency=USD","Period=FQ","BEST_FPERIOD_OVERRIDE=FQ","FILING_STATUS=MR","FA_ADJUSTED=Adjusted","Sort=A","Dates=H","DateFormat=P","Fill=—","Direction=H","UseDPDF=Y")</f>
        <v>2.0013000000000001</v>
      </c>
      <c r="AC66" s="14">
        <f>_xll.BDH("AMZN US Equity","OPER_MARGIN","FQ3 2015","FQ3 2015","Currency=USD","Period=FQ","BEST_FPERIOD_OVERRIDE=FQ","FILING_STATUS=MR","FA_ADJUSTED=Adjusted","Sort=A","Dates=H","DateFormat=P","Fill=—","Direction=H","UseDPDF=Y")</f>
        <v>1.6011</v>
      </c>
      <c r="AD66" s="14">
        <f>_xll.BDH("AMZN US Equity","OPER_MARGIN","FQ4 2015","FQ4 2015","Currency=USD","Period=FQ","BEST_FPERIOD_OVERRIDE=FQ","FILING_STATUS=MR","FA_ADJUSTED=Adjusted","Sort=A","Dates=H","DateFormat=P","Fill=—","Direction=H","UseDPDF=Y")</f>
        <v>3.0996000000000001</v>
      </c>
      <c r="AE66" s="14">
        <f>_xll.BDH("AMZN US Equity","OPER_MARGIN","FQ1 2016","FQ1 2016","Currency=USD","Period=FQ","BEST_FPERIOD_OVERRIDE=FQ","FILING_STATUS=MR","FA_ADJUSTED=Adjusted","Sort=A","Dates=H","DateFormat=P","Fill=—","Direction=H","UseDPDF=Y")</f>
        <v>3.6768999999999998</v>
      </c>
      <c r="AF66" s="14">
        <f>_xll.BDH("AMZN US Equity","OPER_MARGIN","FQ2 2016","FQ2 2016","Currency=USD","Period=FQ","BEST_FPERIOD_OVERRIDE=FQ","FILING_STATUS=MR","FA_ADJUSTED=Adjusted","Sort=A","Dates=H","DateFormat=P","Fill=—","Direction=H","UseDPDF=Y")</f>
        <v>4.2263999999999999</v>
      </c>
      <c r="AG66" s="14">
        <f>_xll.BDH("AMZN US Equity","OPER_MARGIN","FQ3 2016","FQ3 2016","Currency=USD","Period=FQ","BEST_FPERIOD_OVERRIDE=FQ","FILING_STATUS=MR","FA_ADJUSTED=Adjusted","Sort=A","Dates=H","DateFormat=P","Fill=—","Direction=H","UseDPDF=Y")</f>
        <v>1.7577</v>
      </c>
      <c r="AH66" s="14">
        <f>_xll.BDH("AMZN US Equity","OPER_MARGIN","FQ4 2016","FQ4 2016","Currency=USD","Period=FQ","BEST_FPERIOD_OVERRIDE=FQ","FILING_STATUS=MR","FA_ADJUSTED=Adjusted","Sort=A","Dates=H","DateFormat=P","Fill=—","Direction=H","UseDPDF=Y")</f>
        <v>2.8692000000000002</v>
      </c>
      <c r="AI66" s="14">
        <f>_xll.BDH("AMZN US Equity","OPER_MARGIN","FQ1 2017","FQ1 2017","Currency=USD","Period=FQ","BEST_FPERIOD_OVERRIDE=FQ","FILING_STATUS=MR","FA_ADJUSTED=Adjusted","Sort=A","Dates=H","DateFormat=P","Fill=—","Direction=H","UseDPDF=Y")</f>
        <v>2.8140000000000001</v>
      </c>
      <c r="AJ66" s="14">
        <f>_xll.BDH("AMZN US Equity","OPER_MARGIN","FQ2 2017","FQ2 2017","Currency=USD","Period=FQ","BEST_FPERIOD_OVERRIDE=FQ","FILING_STATUS=MR","FA_ADJUSTED=Adjusted","Sort=A","Dates=H","DateFormat=P","Fill=—","Direction=H","UseDPDF=Y")</f>
        <v>1.6545999999999998</v>
      </c>
      <c r="AK66" s="14">
        <f>_xll.BDH("AMZN US Equity","OPER_MARGIN","FQ3 2017","FQ3 2017","Currency=USD","Period=FQ","BEST_FPERIOD_OVERRIDE=FQ","FILING_STATUS=MR","FA_ADJUSTED=Adjusted","Sort=A","Dates=H","DateFormat=P","Fill=—","Direction=H","UseDPDF=Y")</f>
        <v>0.79330000000000001</v>
      </c>
      <c r="AL66" s="14">
        <f>_xll.BDH("AMZN US Equity","OPER_MARGIN","FQ4 2017","FQ4 2017","Currency=USD","Period=FQ","BEST_FPERIOD_OVERRIDE=FQ","FILING_STATUS=MR","FA_ADJUSTED=Adjusted","Sort=A","Dates=H","DateFormat=P","Fill=—","Direction=H","UseDPDF=Y")</f>
        <v>3.5183999999999997</v>
      </c>
      <c r="AM66" s="14">
        <f>_xll.BDH("AMZN US Equity","OPER_MARGIN","FQ1 2018","FQ1 2018","Currency=USD","Period=FQ","BEST_FPERIOD_OVERRIDE=FQ","FILING_STATUS=MR","FA_ADJUSTED=Adjusted","Sort=A","Dates=H","DateFormat=P","Fill=—","Direction=H","UseDPDF=Y")</f>
        <v>3.7753000000000001</v>
      </c>
      <c r="AN66" s="14">
        <f>_xll.BDH("AMZN US Equity","OPER_MARGIN","FQ2 2018","FQ2 2018","Currency=USD","Period=FQ","BEST_FPERIOD_OVERRIDE=FQ","FILING_STATUS=MR","FA_ADJUSTED=Adjusted","Sort=A","Dates=H","DateFormat=P","Fill=—","Direction=H","UseDPDF=Y")</f>
        <v>5.6403999999999996</v>
      </c>
      <c r="AO66" s="14">
        <v>3.73531148638348</v>
      </c>
      <c r="AP66" s="14">
        <v>5.4039923470565103</v>
      </c>
    </row>
    <row r="67" spans="1:42" x14ac:dyDescent="0.25">
      <c r="A67" s="10" t="s">
        <v>193</v>
      </c>
      <c r="B67" s="10" t="s">
        <v>194</v>
      </c>
      <c r="C67" s="14">
        <f>_xll.BDH("AMZN US Equity","PROF_MARGIN","FQ1 2009","FQ1 2009","Currency=USD","Period=FQ","BEST_FPERIOD_OVERRIDE=FQ","FILING_STATUS=MR","FA_ADJUSTED=Adjusted","Sort=A","Dates=H","DateFormat=P","Fill=—","Direction=H","UseDPDF=Y")</f>
        <v>3.5937999999999999</v>
      </c>
      <c r="D67" s="14">
        <f>_xll.BDH("AMZN US Equity","PROF_MARGIN","FQ2 2009","FQ2 2009","Currency=USD","Period=FQ","BEST_FPERIOD_OVERRIDE=FQ","FILING_STATUS=MR","FA_ADJUSTED=Adjusted","Sort=A","Dates=H","DateFormat=P","Fill=—","Direction=H","UseDPDF=Y")</f>
        <v>3.7378999999999998</v>
      </c>
      <c r="E67" s="14">
        <f>_xll.BDH("AMZN US Equity","PROF_MARGIN","FQ3 2009","FQ3 2009","Currency=USD","Period=FQ","BEST_FPERIOD_OVERRIDE=FQ","FILING_STATUS=MR","FA_ADJUSTED=Adjusted","Sort=A","Dates=H","DateFormat=P","Fill=—","Direction=H","UseDPDF=Y")</f>
        <v>3.6400999999999999</v>
      </c>
      <c r="F67" s="14">
        <f>_xll.BDH("AMZN US Equity","PROF_MARGIN","FQ4 2009","FQ4 2009","Currency=USD","Period=FQ","BEST_FPERIOD_OVERRIDE=FQ","FILING_STATUS=MR","FA_ADJUSTED=Adjusted","Sort=A","Dates=H","DateFormat=P","Fill=—","Direction=H","UseDPDF=Y")</f>
        <v>4.0408999999999997</v>
      </c>
      <c r="G67" s="14">
        <f>_xll.BDH("AMZN US Equity","PROF_MARGIN","FQ1 2010","FQ1 2010","Currency=USD","Period=FQ","BEST_FPERIOD_OVERRIDE=FQ","FILING_STATUS=MR","FA_ADJUSTED=Adjusted","Sort=A","Dates=H","DateFormat=P","Fill=—","Direction=H","UseDPDF=Y")</f>
        <v>4.1929999999999996</v>
      </c>
      <c r="H67" s="14">
        <f>_xll.BDH("AMZN US Equity","PROF_MARGIN","FQ2 2010","FQ2 2010","Currency=USD","Period=FQ","BEST_FPERIOD_OVERRIDE=FQ","FILING_STATUS=MR","FA_ADJUSTED=Adjusted","Sort=A","Dates=H","DateFormat=P","Fill=—","Direction=H","UseDPDF=Y")</f>
        <v>3.1526000000000001</v>
      </c>
      <c r="I67" s="14">
        <f>_xll.BDH("AMZN US Equity","PROF_MARGIN","FQ3 2010","FQ3 2010","Currency=USD","Period=FQ","BEST_FPERIOD_OVERRIDE=FQ","FILING_STATUS=MR","FA_ADJUSTED=Adjusted","Sort=A","Dates=H","DateFormat=P","Fill=—","Direction=H","UseDPDF=Y")</f>
        <v>3.0556000000000001</v>
      </c>
      <c r="J67" s="14">
        <f>_xll.BDH("AMZN US Equity","PROF_MARGIN","FQ4 2010","FQ4 2010","Currency=USD","Period=FQ","BEST_FPERIOD_OVERRIDE=FQ","FILING_STATUS=MR","FA_ADJUSTED=Adjusted","Sort=A","Dates=H","DateFormat=P","Fill=—","Direction=H","UseDPDF=Y")</f>
        <v>3.2128999999999999</v>
      </c>
      <c r="K67" s="14">
        <f>_xll.BDH("AMZN US Equity","PROF_MARGIN","FQ1 2011","FQ1 2011","Currency=USD","Period=FQ","BEST_FPERIOD_OVERRIDE=FQ","FILING_STATUS=MR","FA_ADJUSTED=Adjusted","Sort=A","Dates=H","DateFormat=P","Fill=—","Direction=H","UseDPDF=Y")</f>
        <v>2.0392000000000001</v>
      </c>
      <c r="L67" s="14">
        <f>_xll.BDH("AMZN US Equity","PROF_MARGIN","FQ2 2011","FQ2 2011","Currency=USD","Period=FQ","BEST_FPERIOD_OVERRIDE=FQ","FILING_STATUS=MR","FA_ADJUSTED=Adjusted","Sort=A","Dates=H","DateFormat=P","Fill=—","Direction=H","UseDPDF=Y")</f>
        <v>1.9268000000000001</v>
      </c>
      <c r="M67" s="14">
        <f>_xll.BDH("AMZN US Equity","PROF_MARGIN","FQ3 2011","FQ3 2011","Currency=USD","Period=FQ","BEST_FPERIOD_OVERRIDE=FQ","FILING_STATUS=MR","FA_ADJUSTED=Adjusted","Sort=A","Dates=H","DateFormat=P","Fill=—","Direction=H","UseDPDF=Y")</f>
        <v>0.57930000000000004</v>
      </c>
      <c r="N67" s="14">
        <f>_xll.BDH("AMZN US Equity","PROF_MARGIN","FQ4 2011","FQ4 2011","Currency=USD","Period=FQ","BEST_FPERIOD_OVERRIDE=FQ","FILING_STATUS=MR","FA_ADJUSTED=Adjusted","Sort=A","Dates=H","DateFormat=P","Fill=—","Direction=H","UseDPDF=Y")</f>
        <v>1.0154000000000001</v>
      </c>
      <c r="O67" s="14">
        <f>_xll.BDH("AMZN US Equity","PROF_MARGIN","FQ1 2012","FQ1 2012","Currency=USD","Period=FQ","BEST_FPERIOD_OVERRIDE=FQ","FILING_STATUS=MR","FA_ADJUSTED=Adjusted","Sort=A","Dates=H","DateFormat=P","Fill=—","Direction=H","UseDPDF=Y")</f>
        <v>0.98599999999999999</v>
      </c>
      <c r="P67" s="14">
        <f>_xll.BDH("AMZN US Equity","PROF_MARGIN","FQ2 2012","FQ2 2012","Currency=USD","Period=FQ","BEST_FPERIOD_OVERRIDE=FQ","FILING_STATUS=MR","FA_ADJUSTED=Adjusted","Sort=A","Dates=H","DateFormat=P","Fill=—","Direction=H","UseDPDF=Y")</f>
        <v>0.56100000000000005</v>
      </c>
      <c r="Q67" s="14">
        <f>_xll.BDH("AMZN US Equity","PROF_MARGIN","FQ3 2012","FQ3 2012","Currency=USD","Period=FQ","BEST_FPERIOD_OVERRIDE=FQ","FILING_STATUS=MR","FA_ADJUSTED=Adjusted","Sort=A","Dates=H","DateFormat=P","Fill=—","Direction=H","UseDPDF=Y")</f>
        <v>-0.93440000000000001</v>
      </c>
      <c r="R67" s="14">
        <f>_xll.BDH("AMZN US Equity","PROF_MARGIN","FQ4 2012","FQ4 2012","Currency=USD","Period=FQ","BEST_FPERIOD_OVERRIDE=FQ","FILING_STATUS=MR","FA_ADJUSTED=Adjusted","Sort=A","Dates=H","DateFormat=P","Fill=—","Direction=H","UseDPDF=Y")</f>
        <v>0.5736</v>
      </c>
      <c r="S67" s="14">
        <f>_xll.BDH("AMZN US Equity","PROF_MARGIN","FQ1 2013","FQ1 2013","Currency=USD","Period=FQ","BEST_FPERIOD_OVERRIDE=FQ","FILING_STATUS=MR","FA_ADJUSTED=Adjusted","Sort=A","Dates=H","DateFormat=P","Fill=—","Direction=H","UseDPDF=Y")</f>
        <v>0.51029999999999998</v>
      </c>
      <c r="T67" s="14">
        <f>_xll.BDH("AMZN US Equity","PROF_MARGIN","FQ2 2013","FQ2 2013","Currency=USD","Period=FQ","BEST_FPERIOD_OVERRIDE=FQ","FILING_STATUS=MR","FA_ADJUSTED=Adjusted","Sort=A","Dates=H","DateFormat=P","Fill=—","Direction=H","UseDPDF=Y")</f>
        <v>-4.4600000000000001E-2</v>
      </c>
      <c r="U67" s="14">
        <f>_xll.BDH("AMZN US Equity","PROF_MARGIN","FQ3 2013","FQ3 2013","Currency=USD","Period=FQ","BEST_FPERIOD_OVERRIDE=FQ","FILING_STATUS=MR","FA_ADJUSTED=Adjusted","Sort=A","Dates=H","DateFormat=P","Fill=—","Direction=H","UseDPDF=Y")</f>
        <v>-0.2399</v>
      </c>
      <c r="V67" s="14">
        <f>_xll.BDH("AMZN US Equity","PROF_MARGIN","FQ4 2013","FQ4 2013","Currency=USD","Period=FQ","BEST_FPERIOD_OVERRIDE=FQ","FILING_STATUS=MR","FA_ADJUSTED=Adjusted","Sort=A","Dates=H","DateFormat=P","Fill=—","Direction=H","UseDPDF=Y")</f>
        <v>0.93410000000000004</v>
      </c>
      <c r="W67" s="14">
        <f>_xll.BDH("AMZN US Equity","PROF_MARGIN","FQ1 2014","FQ1 2014","Currency=USD","Period=FQ","BEST_FPERIOD_OVERRIDE=FQ","FILING_STATUS=MR","FA_ADJUSTED=Adjusted","Sort=A","Dates=H","DateFormat=P","Fill=—","Direction=H","UseDPDF=Y")</f>
        <v>0.54710000000000003</v>
      </c>
      <c r="X67" s="14">
        <f>_xll.BDH("AMZN US Equity","PROF_MARGIN","FQ2 2014","FQ2 2014","Currency=USD","Period=FQ","BEST_FPERIOD_OVERRIDE=FQ","FILING_STATUS=MR","FA_ADJUSTED=Adjusted","Sort=A","Dates=H","DateFormat=P","Fill=—","Direction=H","UseDPDF=Y")</f>
        <v>-0.65149999999999997</v>
      </c>
      <c r="Y67" s="14">
        <f>_xll.BDH("AMZN US Equity","PROF_MARGIN","FQ3 2014","FQ3 2014","Currency=USD","Period=FQ","BEST_FPERIOD_OVERRIDE=FQ","FILING_STATUS=MR","FA_ADJUSTED=Adjusted","Sort=A","Dates=H","DateFormat=P","Fill=—","Direction=H","UseDPDF=Y")</f>
        <v>-1.5866</v>
      </c>
      <c r="Z67" s="14">
        <f>_xll.BDH("AMZN US Equity","PROF_MARGIN","FQ4 2014","FQ4 2014","Currency=USD","Period=FQ","BEST_FPERIOD_OVERRIDE=FQ","FILING_STATUS=MR","FA_ADJUSTED=Adjusted","Sort=A","Dates=H","DateFormat=P","Fill=—","Direction=H","UseDPDF=Y")</f>
        <v>0.72970000000000002</v>
      </c>
      <c r="AA67" s="14">
        <f>_xll.BDH("AMZN US Equity","PROF_MARGIN","FQ1 2015","FQ1 2015","Currency=USD","Period=FQ","BEST_FPERIOD_OVERRIDE=FQ","FILING_STATUS=MR","FA_ADJUSTED=Adjusted","Sort=A","Dates=H","DateFormat=P","Fill=—","Direction=H","UseDPDF=Y")</f>
        <v>-0.24809999999999999</v>
      </c>
      <c r="AB67" s="14">
        <f>_xll.BDH("AMZN US Equity","PROF_MARGIN","FQ2 2015","FQ2 2015","Currency=USD","Period=FQ","BEST_FPERIOD_OVERRIDE=FQ","FILING_STATUS=MR","FA_ADJUSTED=Adjusted","Sort=A","Dates=H","DateFormat=P","Fill=—","Direction=H","UseDPDF=Y")</f>
        <v>0.39960000000000001</v>
      </c>
      <c r="AC67" s="14">
        <f>_xll.BDH("AMZN US Equity","PROF_MARGIN","FQ3 2015","FQ3 2015","Currency=USD","Period=FQ","BEST_FPERIOD_OVERRIDE=FQ","FILING_STATUS=MR","FA_ADJUSTED=Adjusted","Sort=A","Dates=H","DateFormat=P","Fill=—","Direction=H","UseDPDF=Y")</f>
        <v>0.3115</v>
      </c>
      <c r="AD67" s="14">
        <f>_xll.BDH("AMZN US Equity","PROF_MARGIN","FQ4 2015","FQ4 2015","Currency=USD","Period=FQ","BEST_FPERIOD_OVERRIDE=FQ","FILING_STATUS=MR","FA_ADJUSTED=Adjusted","Sort=A","Dates=H","DateFormat=P","Fill=—","Direction=H","UseDPDF=Y")</f>
        <v>1.3538000000000001</v>
      </c>
      <c r="AE67" s="14">
        <f>_xll.BDH("AMZN US Equity","PROF_MARGIN","FQ1 2016","FQ1 2016","Currency=USD","Period=FQ","BEST_FPERIOD_OVERRIDE=FQ","FILING_STATUS=MR","FA_ADJUSTED=Adjusted","Sort=A","Dates=H","DateFormat=P","Fill=—","Direction=H","UseDPDF=Y")</f>
        <v>1.7612000000000001</v>
      </c>
      <c r="AF67" s="14">
        <f>_xll.BDH("AMZN US Equity","PROF_MARGIN","FQ2 2016","FQ2 2016","Currency=USD","Period=FQ","BEST_FPERIOD_OVERRIDE=FQ","FILING_STATUS=MR","FA_ADJUSTED=Adjusted","Sort=A","Dates=H","DateFormat=P","Fill=—","Direction=H","UseDPDF=Y")</f>
        <v>2.8186999999999998</v>
      </c>
      <c r="AG67" s="14">
        <f>_xll.BDH("AMZN US Equity","PROF_MARGIN","FQ3 2016","FQ3 2016","Currency=USD","Period=FQ","BEST_FPERIOD_OVERRIDE=FQ","FILING_STATUS=MR","FA_ADJUSTED=Adjusted","Sort=A","Dates=H","DateFormat=P","Fill=—","Direction=H","UseDPDF=Y")</f>
        <v>0.77029999999999998</v>
      </c>
      <c r="AH67" s="14">
        <f>_xll.BDH("AMZN US Equity","PROF_MARGIN","FQ4 2016","FQ4 2016","Currency=USD","Period=FQ","BEST_FPERIOD_OVERRIDE=FQ","FILING_STATUS=MR","FA_ADJUSTED=Adjusted","Sort=A","Dates=H","DateFormat=P","Fill=—","Direction=H","UseDPDF=Y")</f>
        <v>1.7198</v>
      </c>
      <c r="AI67" s="14">
        <f>_xll.BDH("AMZN US Equity","PROF_MARGIN","FQ1 2017","FQ1 2017","Currency=USD","Period=FQ","BEST_FPERIOD_OVERRIDE=FQ","FILING_STATUS=MR","FA_ADJUSTED=Adjusted","Sort=A","Dates=H","DateFormat=P","Fill=—","Direction=H","UseDPDF=Y")</f>
        <v>2.0272000000000001</v>
      </c>
      <c r="AJ67" s="14">
        <f>_xll.BDH("AMZN US Equity","PROF_MARGIN","FQ2 2017","FQ2 2017","Currency=USD","Period=FQ","BEST_FPERIOD_OVERRIDE=FQ","FILING_STATUS=MR","FA_ADJUSTED=Adjusted","Sort=A","Dates=H","DateFormat=P","Fill=—","Direction=H","UseDPDF=Y")</f>
        <v>0.51900000000000002</v>
      </c>
      <c r="AK67" s="14">
        <f>_xll.BDH("AMZN US Equity","PROF_MARGIN","FQ3 2017","FQ3 2017","Currency=USD","Period=FQ","BEST_FPERIOD_OVERRIDE=FQ","FILING_STATUS=MR","FA_ADJUSTED=Adjusted","Sort=A","Dates=H","DateFormat=P","Fill=—","Direction=H","UseDPDF=Y")</f>
        <v>0.58520000000000005</v>
      </c>
      <c r="AL67" s="14">
        <f>_xll.BDH("AMZN US Equity","PROF_MARGIN","FQ4 2017","FQ4 2017","Currency=USD","Period=FQ","BEST_FPERIOD_OVERRIDE=FQ","FILING_STATUS=MR","FA_ADJUSTED=Adjusted","Sort=A","Dates=H","DateFormat=P","Fill=—","Direction=H","UseDPDF=Y")</f>
        <v>1.7650000000000001</v>
      </c>
      <c r="AM67" s="14">
        <f>_xll.BDH("AMZN US Equity","PROF_MARGIN","FQ1 2018","FQ1 2018","Currency=USD","Period=FQ","BEST_FPERIOD_OVERRIDE=FQ","FILING_STATUS=MR","FA_ADJUSTED=Adjusted","Sort=A","Dates=H","DateFormat=P","Fill=—","Direction=H","UseDPDF=Y")</f>
        <v>3.1915</v>
      </c>
      <c r="AN67" s="14">
        <f>_xll.BDH("AMZN US Equity","PROF_MARGIN","FQ2 2018","FQ2 2018","Currency=USD","Period=FQ","BEST_FPERIOD_OVERRIDE=FQ","FILING_STATUS=MR","FA_ADJUSTED=Adjusted","Sort=A","Dates=H","DateFormat=P","Fill=—","Direction=H","UseDPDF=Y")</f>
        <v>3.6644999999999999</v>
      </c>
      <c r="AO67" s="14">
        <v>4.9941559613575004</v>
      </c>
      <c r="AP67" s="14">
        <v>5.8374032387799204</v>
      </c>
    </row>
    <row r="68" spans="1:42" x14ac:dyDescent="0.25">
      <c r="A68" s="10" t="s">
        <v>195</v>
      </c>
      <c r="B68" s="10" t="s">
        <v>196</v>
      </c>
      <c r="C68" s="14" t="str">
        <f>_xll.BDH("AMZN US Equity","ACTUAL_SALES_PER_EMPL","FQ1 2009","FQ1 2009","Currency=USD","Period=FQ","BEST_FPERIOD_OVERRIDE=FQ","FILING_STATUS=MR","FA_ADJUSTED=Adjusted","Sort=A","Dates=H","DateFormat=P","Fill=—","Direction=H","UseDPDF=Y")</f>
        <v>—</v>
      </c>
      <c r="D68" s="14" t="str">
        <f>_xll.BDH("AMZN US Equity","ACTUAL_SALES_PER_EMPL","FQ2 2009","FQ2 2009","Currency=USD","Period=FQ","BEST_FPERIOD_OVERRIDE=FQ","FILING_STATUS=MR","FA_ADJUSTED=Adjusted","Sort=A","Dates=H","DateFormat=P","Fill=—","Direction=H","UseDPDF=Y")</f>
        <v>—</v>
      </c>
      <c r="E68" s="14" t="str">
        <f>_xll.BDH("AMZN US Equity","ACTUAL_SALES_PER_EMPL","FQ3 2009","FQ3 2009","Currency=USD","Period=FQ","BEST_FPERIOD_OVERRIDE=FQ","FILING_STATUS=MR","FA_ADJUSTED=Adjusted","Sort=A","Dates=H","DateFormat=P","Fill=—","Direction=H","UseDPDF=Y")</f>
        <v>—</v>
      </c>
      <c r="F68" s="14">
        <f>_xll.BDH("AMZN US Equity","ACTUAL_SALES_PER_EMPL","FQ4 2009","FQ4 2009","Currency=USD","Period=FQ","BEST_FPERIOD_OVERRIDE=FQ","FILING_STATUS=MR","FA_ADJUSTED=Adjusted","Sort=A","Dates=H","DateFormat=P","Fill=—","Direction=H","UseDPDF=Y")</f>
        <v>391728.39510000002</v>
      </c>
      <c r="G68" s="14" t="str">
        <f>_xll.BDH("AMZN US Equity","ACTUAL_SALES_PER_EMPL","FQ1 2010","FQ1 2010","Currency=USD","Period=FQ","BEST_FPERIOD_OVERRIDE=FQ","FILING_STATUS=MR","FA_ADJUSTED=Adjusted","Sort=A","Dates=H","DateFormat=P","Fill=—","Direction=H","UseDPDF=Y")</f>
        <v>—</v>
      </c>
      <c r="H68" s="14" t="str">
        <f>_xll.BDH("AMZN US Equity","ACTUAL_SALES_PER_EMPL","FQ2 2010","FQ2 2010","Currency=USD","Period=FQ","BEST_FPERIOD_OVERRIDE=FQ","FILING_STATUS=MR","FA_ADJUSTED=Adjusted","Sort=A","Dates=H","DateFormat=P","Fill=—","Direction=H","UseDPDF=Y")</f>
        <v>—</v>
      </c>
      <c r="I68" s="14" t="str">
        <f>_xll.BDH("AMZN US Equity","ACTUAL_SALES_PER_EMPL","FQ3 2010","FQ3 2010","Currency=USD","Period=FQ","BEST_FPERIOD_OVERRIDE=FQ","FILING_STATUS=MR","FA_ADJUSTED=Adjusted","Sort=A","Dates=H","DateFormat=P","Fill=—","Direction=H","UseDPDF=Y")</f>
        <v>—</v>
      </c>
      <c r="J68" s="14">
        <f>_xll.BDH("AMZN US Equity","ACTUAL_SALES_PER_EMPL","FQ4 2010","FQ4 2010","Currency=USD","Period=FQ","BEST_FPERIOD_OVERRIDE=FQ","FILING_STATUS=MR","FA_ADJUSTED=Adjusted","Sort=A","Dates=H","DateFormat=P","Fill=—","Direction=H","UseDPDF=Y")</f>
        <v>384213.64990000002</v>
      </c>
      <c r="K68" s="14">
        <f>_xll.BDH("AMZN US Equity","ACTUAL_SALES_PER_EMPL","FQ1 2011","FQ1 2011","Currency=USD","Period=FQ","BEST_FPERIOD_OVERRIDE=FQ","FILING_STATUS=MR","FA_ADJUSTED=Adjusted","Sort=A","Dates=H","DateFormat=P","Fill=—","Direction=H","UseDPDF=Y")</f>
        <v>260079.1557</v>
      </c>
      <c r="L68" s="14">
        <f>_xll.BDH("AMZN US Equity","ACTUAL_SALES_PER_EMPL","FQ2 2011","FQ2 2011","Currency=USD","Period=FQ","BEST_FPERIOD_OVERRIDE=FQ","FILING_STATUS=MR","FA_ADJUSTED=Adjusted","Sort=A","Dates=H","DateFormat=P","Fill=—","Direction=H","UseDPDF=Y")</f>
        <v>229467.5926</v>
      </c>
      <c r="M68" s="14">
        <f>_xll.BDH("AMZN US Equity","ACTUAL_SALES_PER_EMPL","FQ3 2011","FQ3 2011","Currency=USD","Period=FQ","BEST_FPERIOD_OVERRIDE=FQ","FILING_STATUS=MR","FA_ADJUSTED=Adjusted","Sort=A","Dates=H","DateFormat=P","Fill=—","Direction=H","UseDPDF=Y")</f>
        <v>212007.79730000001</v>
      </c>
      <c r="N68" s="14">
        <f>_xll.BDH("AMZN US Equity","ACTUAL_SALES_PER_EMPL","FQ4 2011","FQ4 2011","Currency=USD","Period=FQ","BEST_FPERIOD_OVERRIDE=FQ","FILING_STATUS=MR","FA_ADJUSTED=Adjusted","Sort=A","Dates=H","DateFormat=P","Fill=—","Direction=H","UseDPDF=Y")</f>
        <v>310160.14230000001</v>
      </c>
      <c r="O68" s="14">
        <f>_xll.BDH("AMZN US Equity","ACTUAL_SALES_PER_EMPL","FQ1 2012","FQ1 2012","Currency=USD","Period=FQ","BEST_FPERIOD_OVERRIDE=FQ","FILING_STATUS=MR","FA_ADJUSTED=Adjusted","Sort=A","Dates=H","DateFormat=P","Fill=—","Direction=H","UseDPDF=Y")</f>
        <v>200990.85370000001</v>
      </c>
      <c r="P68" s="14">
        <f>_xll.BDH("AMZN US Equity","ACTUAL_SALES_PER_EMPL","FQ2 2012","FQ2 2012","Currency=USD","Period=FQ","BEST_FPERIOD_OVERRIDE=FQ","FILING_STATUS=MR","FA_ADJUSTED=Adjusted","Sort=A","Dates=H","DateFormat=P","Fill=—","Direction=H","UseDPDF=Y")</f>
        <v>185730.82490000001</v>
      </c>
      <c r="Q68" s="14">
        <f>_xll.BDH("AMZN US Equity","ACTUAL_SALES_PER_EMPL","FQ3 2012","FQ3 2012","Currency=USD","Period=FQ","BEST_FPERIOD_OVERRIDE=FQ","FILING_STATUS=MR","FA_ADJUSTED=Adjusted","Sort=A","Dates=H","DateFormat=P","Fill=—","Direction=H","UseDPDF=Y")</f>
        <v>169606.87959999999</v>
      </c>
      <c r="R68" s="14">
        <f>_xll.BDH("AMZN US Equity","ACTUAL_SALES_PER_EMPL","FQ4 2012","FQ4 2012","Currency=USD","Period=FQ","BEST_FPERIOD_OVERRIDE=FQ","FILING_STATUS=MR","FA_ADJUSTED=Adjusted","Sort=A","Dates=H","DateFormat=P","Fill=—","Direction=H","UseDPDF=Y")</f>
        <v>240588.2353</v>
      </c>
      <c r="S68" s="14">
        <f>_xll.BDH("AMZN US Equity","ACTUAL_SALES_PER_EMPL","FQ1 2013","FQ1 2013","Currency=USD","Period=FQ","BEST_FPERIOD_OVERRIDE=FQ","FILING_STATUS=MR","FA_ADJUSTED=Adjusted","Sort=A","Dates=H","DateFormat=P","Fill=—","Direction=H","UseDPDF=Y")</f>
        <v>176013.14350000001</v>
      </c>
      <c r="T68" s="14">
        <f>_xll.BDH("AMZN US Equity","ACTUAL_SALES_PER_EMPL","FQ2 2013","FQ2 2013","Currency=USD","Period=FQ","BEST_FPERIOD_OVERRIDE=FQ","FILING_STATUS=MR","FA_ADJUSTED=Adjusted","Sort=A","Dates=H","DateFormat=P","Fill=—","Direction=H","UseDPDF=Y")</f>
        <v>161896.90719999999</v>
      </c>
      <c r="U68" s="14">
        <f>_xll.BDH("AMZN US Equity","ACTUAL_SALES_PER_EMPL","FQ3 2013","FQ3 2013","Currency=USD","Period=FQ","BEST_FPERIOD_OVERRIDE=FQ","FILING_STATUS=MR","FA_ADJUSTED=Adjusted","Sort=A","Dates=H","DateFormat=P","Fill=—","Direction=H","UseDPDF=Y")</f>
        <v>155664.84520000001</v>
      </c>
      <c r="V68" s="14">
        <f>_xll.BDH("AMZN US Equity","ACTUAL_SALES_PER_EMPL","FQ4 2013","FQ4 2013","Currency=USD","Period=FQ","BEST_FPERIOD_OVERRIDE=FQ","FILING_STATUS=MR","FA_ADJUSTED=Adjusted","Sort=A","Dates=H","DateFormat=P","Fill=—","Direction=H","UseDPDF=Y")</f>
        <v>218132.99230000001</v>
      </c>
      <c r="W68" s="14">
        <f>_xll.BDH("AMZN US Equity","ACTUAL_SALES_PER_EMPL","FQ1 2014","FQ1 2014","Currency=USD","Period=FQ","BEST_FPERIOD_OVERRIDE=FQ","FILING_STATUS=MR","FA_ADJUSTED=Adjusted","Sort=A","Dates=H","DateFormat=P","Fill=—","Direction=H","UseDPDF=Y")</f>
        <v>158434.992</v>
      </c>
      <c r="X68" s="14">
        <f>_xll.BDH("AMZN US Equity","ACTUAL_SALES_PER_EMPL","FQ2 2014","FQ2 2014","Currency=USD","Period=FQ","BEST_FPERIOD_OVERRIDE=FQ","FILING_STATUS=MR","FA_ADJUSTED=Adjusted","Sort=A","Dates=H","DateFormat=P","Fill=—","Direction=H","UseDPDF=Y")</f>
        <v>145852.18700000001</v>
      </c>
      <c r="Y68" s="14">
        <f>_xll.BDH("AMZN US Equity","ACTUAL_SALES_PER_EMPL","FQ3 2014","FQ3 2014","Currency=USD","Period=FQ","BEST_FPERIOD_OVERRIDE=FQ","FILING_STATUS=MR","FA_ADJUSTED=Adjusted","Sort=A","Dates=H","DateFormat=P","Fill=—","Direction=H","UseDPDF=Y")</f>
        <v>137652.17389999999</v>
      </c>
      <c r="Z68" s="14">
        <f>_xll.BDH("AMZN US Equity","ACTUAL_SALES_PER_EMPL","FQ4 2014","FQ4 2014","Currency=USD","Period=FQ","BEST_FPERIOD_OVERRIDE=FQ","FILING_STATUS=MR","FA_ADJUSTED=Adjusted","Sort=A","Dates=H","DateFormat=P","Fill=—","Direction=H","UseDPDF=Y")</f>
        <v>190317.97529999999</v>
      </c>
      <c r="AA68" s="14">
        <f>_xll.BDH("AMZN US Equity","ACTUAL_SALES_PER_EMPL","FQ1 2015","FQ1 2015","Currency=USD","Period=FQ","BEST_FPERIOD_OVERRIDE=FQ","FILING_STATUS=MR","FA_ADJUSTED=Adjusted","Sort=A","Dates=H","DateFormat=P","Fill=—","Direction=H","UseDPDF=Y")</f>
        <v>137678.7879</v>
      </c>
      <c r="AB68" s="14" t="str">
        <f>_xll.BDH("AMZN US Equity","ACTUAL_SALES_PER_EMPL","FQ2 2015","FQ2 2015","Currency=USD","Period=FQ","BEST_FPERIOD_OVERRIDE=FQ","FILING_STATUS=MR","FA_ADJUSTED=Adjusted","Sort=A","Dates=H","DateFormat=P","Fill=—","Direction=H","UseDPDF=Y")</f>
        <v>—</v>
      </c>
      <c r="AC68" s="14">
        <f>_xll.BDH("AMZN US Equity","ACTUAL_SALES_PER_EMPL","FQ3 2015","FQ3 2015","Currency=USD","Period=FQ","BEST_FPERIOD_OVERRIDE=FQ","FILING_STATUS=MR","FA_ADJUSTED=Adjusted","Sort=A","Dates=H","DateFormat=P","Fill=—","Direction=H","UseDPDF=Y")</f>
        <v>114019.78419999999</v>
      </c>
      <c r="AD68" s="14">
        <f>_xll.BDH("AMZN US Equity","ACTUAL_SALES_PER_EMPL","FQ4 2015","FQ4 2015","Currency=USD","Period=FQ","BEST_FPERIOD_OVERRIDE=FQ","FILING_STATUS=MR","FA_ADJUSTED=Adjusted","Sort=A","Dates=H","DateFormat=P","Fill=—","Direction=H","UseDPDF=Y")</f>
        <v>154883.01560000001</v>
      </c>
      <c r="AE68" s="14">
        <f>_xll.BDH("AMZN US Equity","ACTUAL_SALES_PER_EMPL","FQ1 2016","FQ1 2016","Currency=USD","Period=FQ","BEST_FPERIOD_OVERRIDE=FQ","FILING_STATUS=MR","FA_ADJUSTED=Adjusted","Sort=A","Dates=H","DateFormat=P","Fill=—","Direction=H","UseDPDF=Y")</f>
        <v>118792.8222</v>
      </c>
      <c r="AF68" s="14">
        <f>_xll.BDH("AMZN US Equity","ACTUAL_SALES_PER_EMPL","FQ2 2016","FQ2 2016","Currency=USD","Period=FQ","BEST_FPERIOD_OVERRIDE=FQ","FILING_STATUS=MR","FA_ADJUSTED=Adjusted","Sort=A","Dates=H","DateFormat=P","Fill=—","Direction=H","UseDPDF=Y")</f>
        <v>113068.05499999999</v>
      </c>
      <c r="AG68" s="14">
        <f>_xll.BDH("AMZN US Equity","ACTUAL_SALES_PER_EMPL","FQ3 2016","FQ3 2016","Currency=USD","Period=FQ","BEST_FPERIOD_OVERRIDE=FQ","FILING_STATUS=MR","FA_ADJUSTED=Adjusted","Sort=A","Dates=H","DateFormat=P","Fill=—","Direction=H","UseDPDF=Y")</f>
        <v>106629.7262</v>
      </c>
      <c r="AH68" s="14">
        <f>_xll.BDH("AMZN US Equity","ACTUAL_SALES_PER_EMPL","FQ4 2016","FQ4 2016","Currency=USD","Period=FQ","BEST_FPERIOD_OVERRIDE=FQ","FILING_STATUS=MR","FA_ADJUSTED=Adjusted","Sort=A","Dates=H","DateFormat=P","Fill=—","Direction=H","UseDPDF=Y")</f>
        <v>128122.43700000001</v>
      </c>
      <c r="AI68" s="14">
        <f>_xll.BDH("AMZN US Equity","ACTUAL_SALES_PER_EMPL","FQ1 2017","FQ1 2017","Currency=USD","Period=FQ","BEST_FPERIOD_OVERRIDE=FQ","FILING_STATUS=MR","FA_ADJUSTED=Adjusted","Sort=A","Dates=H","DateFormat=P","Fill=—","Direction=H","UseDPDF=Y")</f>
        <v>101749.2877</v>
      </c>
      <c r="AJ68" s="14">
        <f>_xll.BDH("AMZN US Equity","ACTUAL_SALES_PER_EMPL","FQ2 2017","FQ2 2017","Currency=USD","Period=FQ","BEST_FPERIOD_OVERRIDE=FQ","FILING_STATUS=MR","FA_ADJUSTED=Adjusted","Sort=A","Dates=H","DateFormat=P","Fill=—","Direction=H","UseDPDF=Y")</f>
        <v>99254.7071</v>
      </c>
      <c r="AK68" s="14">
        <f>_xll.BDH("AMZN US Equity","ACTUAL_SALES_PER_EMPL","FQ3 2017","FQ3 2017","Currency=USD","Period=FQ","BEST_FPERIOD_OVERRIDE=FQ","FILING_STATUS=MR","FA_ADJUSTED=Adjusted","Sort=A","Dates=H","DateFormat=P","Fill=—","Direction=H","UseDPDF=Y")</f>
        <v>80723.380699999994</v>
      </c>
      <c r="AL68" s="14">
        <f>_xll.BDH("AMZN US Equity","ACTUAL_SALES_PER_EMPL","FQ4 2017","FQ4 2017","Currency=USD","Period=FQ","BEST_FPERIOD_OVERRIDE=FQ","FILING_STATUS=MR","FA_ADJUSTED=Adjusted","Sort=A","Dates=H","DateFormat=P","Fill=—","Direction=H","UseDPDF=Y")</f>
        <v>106807.42049999999</v>
      </c>
      <c r="AM68" s="14">
        <f>_xll.BDH("AMZN US Equity","ACTUAL_SALES_PER_EMPL","FQ1 2018","FQ1 2018","Currency=USD","Period=FQ","BEST_FPERIOD_OVERRIDE=FQ","FILING_STATUS=MR","FA_ADJUSTED=Adjusted","Sort=A","Dates=H","DateFormat=P","Fill=—","Direction=H","UseDPDF=Y")</f>
        <v>90644.645699999994</v>
      </c>
      <c r="AN68" s="14">
        <f>_xll.BDH("AMZN US Equity","ACTUAL_SALES_PER_EMPL","FQ2 2018","FQ2 2018","Currency=USD","Period=FQ","BEST_FPERIOD_OVERRIDE=FQ","FILING_STATUS=MR","FA_ADJUSTED=Adjusted","Sort=A","Dates=H","DateFormat=P","Fill=—","Direction=H","UseDPDF=Y")</f>
        <v>91863.817999999999</v>
      </c>
      <c r="AO68" s="14"/>
      <c r="AP68" s="14"/>
    </row>
    <row r="69" spans="1:42" x14ac:dyDescent="0.25">
      <c r="A69" s="10" t="s">
        <v>197</v>
      </c>
      <c r="B69" s="10" t="s">
        <v>198</v>
      </c>
      <c r="C69" s="14">
        <f>_xll.BDH("AMZN US Equity","EQY_DPS","FQ1 2009","FQ1 2009","Currency=USD","Period=FQ","BEST_FPERIOD_OVERRIDE=FQ","FILING_STATUS=MR","Sort=A","Dates=H","DateFormat=P","Fill=—","Direction=H","UseDPDF=Y")</f>
        <v>0</v>
      </c>
      <c r="D69" s="14">
        <f>_xll.BDH("AMZN US Equity","EQY_DPS","FQ2 2009","FQ2 2009","Currency=USD","Period=FQ","BEST_FPERIOD_OVERRIDE=FQ","FILING_STATUS=MR","Sort=A","Dates=H","DateFormat=P","Fill=—","Direction=H","UseDPDF=Y")</f>
        <v>0</v>
      </c>
      <c r="E69" s="14">
        <f>_xll.BDH("AMZN US Equity","EQY_DPS","FQ3 2009","FQ3 2009","Currency=USD","Period=FQ","BEST_FPERIOD_OVERRIDE=FQ","FILING_STATUS=MR","Sort=A","Dates=H","DateFormat=P","Fill=—","Direction=H","UseDPDF=Y")</f>
        <v>0</v>
      </c>
      <c r="F69" s="14">
        <f>_xll.BDH("AMZN US Equity","EQY_DPS","FQ4 2009","FQ4 2009","Currency=USD","Period=FQ","BEST_FPERIOD_OVERRIDE=FQ","FILING_STATUS=MR","Sort=A","Dates=H","DateFormat=P","Fill=—","Direction=H","UseDPDF=Y")</f>
        <v>0</v>
      </c>
      <c r="G69" s="14">
        <f>_xll.BDH("AMZN US Equity","EQY_DPS","FQ1 2010","FQ1 2010","Currency=USD","Period=FQ","BEST_FPERIOD_OVERRIDE=FQ","FILING_STATUS=MR","Sort=A","Dates=H","DateFormat=P","Fill=—","Direction=H","UseDPDF=Y")</f>
        <v>0</v>
      </c>
      <c r="H69" s="14">
        <f>_xll.BDH("AMZN US Equity","EQY_DPS","FQ2 2010","FQ2 2010","Currency=USD","Period=FQ","BEST_FPERIOD_OVERRIDE=FQ","FILING_STATUS=MR","Sort=A","Dates=H","DateFormat=P","Fill=—","Direction=H","UseDPDF=Y")</f>
        <v>0</v>
      </c>
      <c r="I69" s="14">
        <f>_xll.BDH("AMZN US Equity","EQY_DPS","FQ3 2010","FQ3 2010","Currency=USD","Period=FQ","BEST_FPERIOD_OVERRIDE=FQ","FILING_STATUS=MR","Sort=A","Dates=H","DateFormat=P","Fill=—","Direction=H","UseDPDF=Y")</f>
        <v>0</v>
      </c>
      <c r="J69" s="14">
        <f>_xll.BDH("AMZN US Equity","EQY_DPS","FQ4 2010","FQ4 2010","Currency=USD","Period=FQ","BEST_FPERIOD_OVERRIDE=FQ","FILING_STATUS=MR","Sort=A","Dates=H","DateFormat=P","Fill=—","Direction=H","UseDPDF=Y")</f>
        <v>0</v>
      </c>
      <c r="K69" s="14">
        <f>_xll.BDH("AMZN US Equity","EQY_DPS","FQ1 2011","FQ1 2011","Currency=USD","Period=FQ","BEST_FPERIOD_OVERRIDE=FQ","FILING_STATUS=MR","Sort=A","Dates=H","DateFormat=P","Fill=—","Direction=H","UseDPDF=Y")</f>
        <v>0</v>
      </c>
      <c r="L69" s="14">
        <f>_xll.BDH("AMZN US Equity","EQY_DPS","FQ2 2011","FQ2 2011","Currency=USD","Period=FQ","BEST_FPERIOD_OVERRIDE=FQ","FILING_STATUS=MR","Sort=A","Dates=H","DateFormat=P","Fill=—","Direction=H","UseDPDF=Y")</f>
        <v>0</v>
      </c>
      <c r="M69" s="14">
        <f>_xll.BDH("AMZN US Equity","EQY_DPS","FQ3 2011","FQ3 2011","Currency=USD","Period=FQ","BEST_FPERIOD_OVERRIDE=FQ","FILING_STATUS=MR","Sort=A","Dates=H","DateFormat=P","Fill=—","Direction=H","UseDPDF=Y")</f>
        <v>0</v>
      </c>
      <c r="N69" s="14">
        <f>_xll.BDH("AMZN US Equity","EQY_DPS","FQ4 2011","FQ4 2011","Currency=USD","Period=FQ","BEST_FPERIOD_OVERRIDE=FQ","FILING_STATUS=MR","Sort=A","Dates=H","DateFormat=P","Fill=—","Direction=H","UseDPDF=Y")</f>
        <v>0</v>
      </c>
      <c r="O69" s="14">
        <f>_xll.BDH("AMZN US Equity","EQY_DPS","FQ1 2012","FQ1 2012","Currency=USD","Period=FQ","BEST_FPERIOD_OVERRIDE=FQ","FILING_STATUS=MR","Sort=A","Dates=H","DateFormat=P","Fill=—","Direction=H","UseDPDF=Y")</f>
        <v>0</v>
      </c>
      <c r="P69" s="14">
        <f>_xll.BDH("AMZN US Equity","EQY_DPS","FQ2 2012","FQ2 2012","Currency=USD","Period=FQ","BEST_FPERIOD_OVERRIDE=FQ","FILING_STATUS=MR","Sort=A","Dates=H","DateFormat=P","Fill=—","Direction=H","UseDPDF=Y")</f>
        <v>0</v>
      </c>
      <c r="Q69" s="14">
        <f>_xll.BDH("AMZN US Equity","EQY_DPS","FQ3 2012","FQ3 2012","Currency=USD","Period=FQ","BEST_FPERIOD_OVERRIDE=FQ","FILING_STATUS=MR","Sort=A","Dates=H","DateFormat=P","Fill=—","Direction=H","UseDPDF=Y")</f>
        <v>0</v>
      </c>
      <c r="R69" s="14">
        <f>_xll.BDH("AMZN US Equity","EQY_DPS","FQ4 2012","FQ4 2012","Currency=USD","Period=FQ","BEST_FPERIOD_OVERRIDE=FQ","FILING_STATUS=MR","Sort=A","Dates=H","DateFormat=P","Fill=—","Direction=H","UseDPDF=Y")</f>
        <v>0</v>
      </c>
      <c r="S69" s="14">
        <f>_xll.BDH("AMZN US Equity","EQY_DPS","FQ1 2013","FQ1 2013","Currency=USD","Period=FQ","BEST_FPERIOD_OVERRIDE=FQ","FILING_STATUS=MR","Sort=A","Dates=H","DateFormat=P","Fill=—","Direction=H","UseDPDF=Y")</f>
        <v>0</v>
      </c>
      <c r="T69" s="14">
        <f>_xll.BDH("AMZN US Equity","EQY_DPS","FQ2 2013","FQ2 2013","Currency=USD","Period=FQ","BEST_FPERIOD_OVERRIDE=FQ","FILING_STATUS=MR","Sort=A","Dates=H","DateFormat=P","Fill=—","Direction=H","UseDPDF=Y")</f>
        <v>0</v>
      </c>
      <c r="U69" s="14">
        <f>_xll.BDH("AMZN US Equity","EQY_DPS","FQ3 2013","FQ3 2013","Currency=USD","Period=FQ","BEST_FPERIOD_OVERRIDE=FQ","FILING_STATUS=MR","Sort=A","Dates=H","DateFormat=P","Fill=—","Direction=H","UseDPDF=Y")</f>
        <v>0</v>
      </c>
      <c r="V69" s="14">
        <f>_xll.BDH("AMZN US Equity","EQY_DPS","FQ4 2013","FQ4 2013","Currency=USD","Period=FQ","BEST_FPERIOD_OVERRIDE=FQ","FILING_STATUS=MR","Sort=A","Dates=H","DateFormat=P","Fill=—","Direction=H","UseDPDF=Y")</f>
        <v>0</v>
      </c>
      <c r="W69" s="14">
        <f>_xll.BDH("AMZN US Equity","EQY_DPS","FQ1 2014","FQ1 2014","Currency=USD","Period=FQ","BEST_FPERIOD_OVERRIDE=FQ","FILING_STATUS=MR","Sort=A","Dates=H","DateFormat=P","Fill=—","Direction=H","UseDPDF=Y")</f>
        <v>0</v>
      </c>
      <c r="X69" s="14">
        <f>_xll.BDH("AMZN US Equity","EQY_DPS","FQ2 2014","FQ2 2014","Currency=USD","Period=FQ","BEST_FPERIOD_OVERRIDE=FQ","FILING_STATUS=MR","Sort=A","Dates=H","DateFormat=P","Fill=—","Direction=H","UseDPDF=Y")</f>
        <v>0</v>
      </c>
      <c r="Y69" s="14">
        <f>_xll.BDH("AMZN US Equity","EQY_DPS","FQ3 2014","FQ3 2014","Currency=USD","Period=FQ","BEST_FPERIOD_OVERRIDE=FQ","FILING_STATUS=MR","Sort=A","Dates=H","DateFormat=P","Fill=—","Direction=H","UseDPDF=Y")</f>
        <v>0</v>
      </c>
      <c r="Z69" s="14">
        <f>_xll.BDH("AMZN US Equity","EQY_DPS","FQ4 2014","FQ4 2014","Currency=USD","Period=FQ","BEST_FPERIOD_OVERRIDE=FQ","FILING_STATUS=MR","Sort=A","Dates=H","DateFormat=P","Fill=—","Direction=H","UseDPDF=Y")</f>
        <v>0</v>
      </c>
      <c r="AA69" s="14">
        <f>_xll.BDH("AMZN US Equity","EQY_DPS","FQ1 2015","FQ1 2015","Currency=USD","Period=FQ","BEST_FPERIOD_OVERRIDE=FQ","FILING_STATUS=MR","Sort=A","Dates=H","DateFormat=P","Fill=—","Direction=H","UseDPDF=Y")</f>
        <v>0</v>
      </c>
      <c r="AB69" s="14">
        <f>_xll.BDH("AMZN US Equity","EQY_DPS","FQ2 2015","FQ2 2015","Currency=USD","Period=FQ","BEST_FPERIOD_OVERRIDE=FQ","FILING_STATUS=MR","Sort=A","Dates=H","DateFormat=P","Fill=—","Direction=H","UseDPDF=Y")</f>
        <v>0</v>
      </c>
      <c r="AC69" s="14">
        <f>_xll.BDH("AMZN US Equity","EQY_DPS","FQ3 2015","FQ3 2015","Currency=USD","Period=FQ","BEST_FPERIOD_OVERRIDE=FQ","FILING_STATUS=MR","Sort=A","Dates=H","DateFormat=P","Fill=—","Direction=H","UseDPDF=Y")</f>
        <v>0</v>
      </c>
      <c r="AD69" s="14">
        <f>_xll.BDH("AMZN US Equity","EQY_DPS","FQ4 2015","FQ4 2015","Currency=USD","Period=FQ","BEST_FPERIOD_OVERRIDE=FQ","FILING_STATUS=MR","Sort=A","Dates=H","DateFormat=P","Fill=—","Direction=H","UseDPDF=Y")</f>
        <v>0</v>
      </c>
      <c r="AE69" s="14">
        <f>_xll.BDH("AMZN US Equity","EQY_DPS","FQ1 2016","FQ1 2016","Currency=USD","Period=FQ","BEST_FPERIOD_OVERRIDE=FQ","FILING_STATUS=MR","Sort=A","Dates=H","DateFormat=P","Fill=—","Direction=H","UseDPDF=Y")</f>
        <v>0</v>
      </c>
      <c r="AF69" s="14">
        <f>_xll.BDH("AMZN US Equity","EQY_DPS","FQ2 2016","FQ2 2016","Currency=USD","Period=FQ","BEST_FPERIOD_OVERRIDE=FQ","FILING_STATUS=MR","Sort=A","Dates=H","DateFormat=P","Fill=—","Direction=H","UseDPDF=Y")</f>
        <v>0</v>
      </c>
      <c r="AG69" s="14">
        <f>_xll.BDH("AMZN US Equity","EQY_DPS","FQ3 2016","FQ3 2016","Currency=USD","Period=FQ","BEST_FPERIOD_OVERRIDE=FQ","FILING_STATUS=MR","Sort=A","Dates=H","DateFormat=P","Fill=—","Direction=H","UseDPDF=Y")</f>
        <v>0</v>
      </c>
      <c r="AH69" s="14">
        <f>_xll.BDH("AMZN US Equity","EQY_DPS","FQ4 2016","FQ4 2016","Currency=USD","Period=FQ","BEST_FPERIOD_OVERRIDE=FQ","FILING_STATUS=MR","Sort=A","Dates=H","DateFormat=P","Fill=—","Direction=H","UseDPDF=Y")</f>
        <v>0</v>
      </c>
      <c r="AI69" s="14">
        <f>_xll.BDH("AMZN US Equity","EQY_DPS","FQ1 2017","FQ1 2017","Currency=USD","Period=FQ","BEST_FPERIOD_OVERRIDE=FQ","FILING_STATUS=MR","Sort=A","Dates=H","DateFormat=P","Fill=—","Direction=H","UseDPDF=Y")</f>
        <v>0</v>
      </c>
      <c r="AJ69" s="14">
        <f>_xll.BDH("AMZN US Equity","EQY_DPS","FQ2 2017","FQ2 2017","Currency=USD","Period=FQ","BEST_FPERIOD_OVERRIDE=FQ","FILING_STATUS=MR","Sort=A","Dates=H","DateFormat=P","Fill=—","Direction=H","UseDPDF=Y")</f>
        <v>0</v>
      </c>
      <c r="AK69" s="14">
        <f>_xll.BDH("AMZN US Equity","EQY_DPS","FQ3 2017","FQ3 2017","Currency=USD","Period=FQ","BEST_FPERIOD_OVERRIDE=FQ","FILING_STATUS=MR","Sort=A","Dates=H","DateFormat=P","Fill=—","Direction=H","UseDPDF=Y")</f>
        <v>0</v>
      </c>
      <c r="AL69" s="14">
        <f>_xll.BDH("AMZN US Equity","EQY_DPS","FQ4 2017","FQ4 2017","Currency=USD","Period=FQ","BEST_FPERIOD_OVERRIDE=FQ","FILING_STATUS=MR","Sort=A","Dates=H","DateFormat=P","Fill=—","Direction=H","UseDPDF=Y")</f>
        <v>0</v>
      </c>
      <c r="AM69" s="14">
        <f>_xll.BDH("AMZN US Equity","EQY_DPS","FQ1 2018","FQ1 2018","Currency=USD","Period=FQ","BEST_FPERIOD_OVERRIDE=FQ","FILING_STATUS=MR","Sort=A","Dates=H","DateFormat=P","Fill=—","Direction=H","UseDPDF=Y")</f>
        <v>0</v>
      </c>
      <c r="AN69" s="14">
        <f>_xll.BDH("AMZN US Equity","EQY_DPS","FQ2 2018","FQ2 2018","Currency=USD","Period=FQ","BEST_FPERIOD_OVERRIDE=FQ","FILING_STATUS=MR","Sort=A","Dates=H","DateFormat=P","Fill=—","Direction=H","UseDPDF=Y")</f>
        <v>0</v>
      </c>
      <c r="AO69" s="14"/>
      <c r="AP69" s="14"/>
    </row>
    <row r="70" spans="1:42" x14ac:dyDescent="0.25">
      <c r="A70" s="10" t="s">
        <v>199</v>
      </c>
      <c r="B70" s="10" t="s">
        <v>200</v>
      </c>
      <c r="C70" s="13">
        <f>_xll.BDH("AMZN US Equity","IS_TOT_CASH_COM_DVD","FQ1 2009","FQ1 2009","Currency=USD","Period=FQ","BEST_FPERIOD_OVERRIDE=FQ","FILING_STATUS=MR","SCALING_FORMAT=MLN","Sort=A","Dates=H","DateFormat=P","Fill=—","Direction=H","UseDPDF=Y")</f>
        <v>0</v>
      </c>
      <c r="D70" s="13">
        <f>_xll.BDH("AMZN US Equity","IS_TOT_CASH_COM_DVD","FQ2 2009","FQ2 2009","Currency=USD","Period=FQ","BEST_FPERIOD_OVERRIDE=FQ","FILING_STATUS=MR","SCALING_FORMAT=MLN","Sort=A","Dates=H","DateFormat=P","Fill=—","Direction=H","UseDPDF=Y")</f>
        <v>0</v>
      </c>
      <c r="E70" s="13">
        <f>_xll.BDH("AMZN US Equity","IS_TOT_CASH_COM_DVD","FQ3 2009","FQ3 2009","Currency=USD","Period=FQ","BEST_FPERIOD_OVERRIDE=FQ","FILING_STATUS=MR","SCALING_FORMAT=MLN","Sort=A","Dates=H","DateFormat=P","Fill=—","Direction=H","UseDPDF=Y")</f>
        <v>0</v>
      </c>
      <c r="F70" s="13">
        <f>_xll.BDH("AMZN US Equity","IS_TOT_CASH_COM_DVD","FQ4 2009","FQ4 2009","Currency=USD","Period=FQ","BEST_FPERIOD_OVERRIDE=FQ","FILING_STATUS=MR","SCALING_FORMAT=MLN","Sort=A","Dates=H","DateFormat=P","Fill=—","Direction=H","UseDPDF=Y")</f>
        <v>0</v>
      </c>
      <c r="G70" s="13">
        <f>_xll.BDH("AMZN US Equity","IS_TOT_CASH_COM_DVD","FQ1 2010","FQ1 2010","Currency=USD","Period=FQ","BEST_FPERIOD_OVERRIDE=FQ","FILING_STATUS=MR","SCALING_FORMAT=MLN","Sort=A","Dates=H","DateFormat=P","Fill=—","Direction=H","UseDPDF=Y")</f>
        <v>0</v>
      </c>
      <c r="H70" s="13">
        <f>_xll.BDH("AMZN US Equity","IS_TOT_CASH_COM_DVD","FQ2 2010","FQ2 2010","Currency=USD","Period=FQ","BEST_FPERIOD_OVERRIDE=FQ","FILING_STATUS=MR","SCALING_FORMAT=MLN","Sort=A","Dates=H","DateFormat=P","Fill=—","Direction=H","UseDPDF=Y")</f>
        <v>0</v>
      </c>
      <c r="I70" s="13">
        <f>_xll.BDH("AMZN US Equity","IS_TOT_CASH_COM_DVD","FQ3 2010","FQ3 2010","Currency=USD","Period=FQ","BEST_FPERIOD_OVERRIDE=FQ","FILING_STATUS=MR","SCALING_FORMAT=MLN","Sort=A","Dates=H","DateFormat=P","Fill=—","Direction=H","UseDPDF=Y")</f>
        <v>0</v>
      </c>
      <c r="J70" s="13">
        <f>_xll.BDH("AMZN US Equity","IS_TOT_CASH_COM_DVD","FQ4 2010","FQ4 2010","Currency=USD","Period=FQ","BEST_FPERIOD_OVERRIDE=FQ","FILING_STATUS=MR","SCALING_FORMAT=MLN","Sort=A","Dates=H","DateFormat=P","Fill=—","Direction=H","UseDPDF=Y")</f>
        <v>0</v>
      </c>
      <c r="K70" s="13">
        <f>_xll.BDH("AMZN US Equity","IS_TOT_CASH_COM_DVD","FQ1 2011","FQ1 2011","Currency=USD","Period=FQ","BEST_FPERIOD_OVERRIDE=FQ","FILING_STATUS=MR","SCALING_FORMAT=MLN","Sort=A","Dates=H","DateFormat=P","Fill=—","Direction=H","UseDPDF=Y")</f>
        <v>0</v>
      </c>
      <c r="L70" s="13">
        <f>_xll.BDH("AMZN US Equity","IS_TOT_CASH_COM_DVD","FQ2 2011","FQ2 2011","Currency=USD","Period=FQ","BEST_FPERIOD_OVERRIDE=FQ","FILING_STATUS=MR","SCALING_FORMAT=MLN","Sort=A","Dates=H","DateFormat=P","Fill=—","Direction=H","UseDPDF=Y")</f>
        <v>0</v>
      </c>
      <c r="M70" s="13">
        <f>_xll.BDH("AMZN US Equity","IS_TOT_CASH_COM_DVD","FQ3 2011","FQ3 2011","Currency=USD","Period=FQ","BEST_FPERIOD_OVERRIDE=FQ","FILING_STATUS=MR","SCALING_FORMAT=MLN","Sort=A","Dates=H","DateFormat=P","Fill=—","Direction=H","UseDPDF=Y")</f>
        <v>0</v>
      </c>
      <c r="N70" s="13">
        <f>_xll.BDH("AMZN US Equity","IS_TOT_CASH_COM_DVD","FQ4 2011","FQ4 2011","Currency=USD","Period=FQ","BEST_FPERIOD_OVERRIDE=FQ","FILING_STATUS=MR","SCALING_FORMAT=MLN","Sort=A","Dates=H","DateFormat=P","Fill=—","Direction=H","UseDPDF=Y")</f>
        <v>0</v>
      </c>
      <c r="O70" s="13">
        <f>_xll.BDH("AMZN US Equity","IS_TOT_CASH_COM_DVD","FQ1 2012","FQ1 2012","Currency=USD","Period=FQ","BEST_FPERIOD_OVERRIDE=FQ","FILING_STATUS=MR","SCALING_FORMAT=MLN","Sort=A","Dates=H","DateFormat=P","Fill=—","Direction=H","UseDPDF=Y")</f>
        <v>0</v>
      </c>
      <c r="P70" s="13">
        <f>_xll.BDH("AMZN US Equity","IS_TOT_CASH_COM_DVD","FQ2 2012","FQ2 2012","Currency=USD","Period=FQ","BEST_FPERIOD_OVERRIDE=FQ","FILING_STATUS=MR","SCALING_FORMAT=MLN","Sort=A","Dates=H","DateFormat=P","Fill=—","Direction=H","UseDPDF=Y")</f>
        <v>0</v>
      </c>
      <c r="Q70" s="13">
        <f>_xll.BDH("AMZN US Equity","IS_TOT_CASH_COM_DVD","FQ3 2012","FQ3 2012","Currency=USD","Period=FQ","BEST_FPERIOD_OVERRIDE=FQ","FILING_STATUS=MR","SCALING_FORMAT=MLN","Sort=A","Dates=H","DateFormat=P","Fill=—","Direction=H","UseDPDF=Y")</f>
        <v>0</v>
      </c>
      <c r="R70" s="13">
        <f>_xll.BDH("AMZN US Equity","IS_TOT_CASH_COM_DVD","FQ4 2012","FQ4 2012","Currency=USD","Period=FQ","BEST_FPERIOD_OVERRIDE=FQ","FILING_STATUS=MR","SCALING_FORMAT=MLN","Sort=A","Dates=H","DateFormat=P","Fill=—","Direction=H","UseDPDF=Y")</f>
        <v>0</v>
      </c>
      <c r="S70" s="13">
        <f>_xll.BDH("AMZN US Equity","IS_TOT_CASH_COM_DVD","FQ1 2013","FQ1 2013","Currency=USD","Period=FQ","BEST_FPERIOD_OVERRIDE=FQ","FILING_STATUS=MR","SCALING_FORMAT=MLN","Sort=A","Dates=H","DateFormat=P","Fill=—","Direction=H","UseDPDF=Y")</f>
        <v>0</v>
      </c>
      <c r="T70" s="13">
        <f>_xll.BDH("AMZN US Equity","IS_TOT_CASH_COM_DVD","FQ2 2013","FQ2 2013","Currency=USD","Period=FQ","BEST_FPERIOD_OVERRIDE=FQ","FILING_STATUS=MR","SCALING_FORMAT=MLN","Sort=A","Dates=H","DateFormat=P","Fill=—","Direction=H","UseDPDF=Y")</f>
        <v>0</v>
      </c>
      <c r="U70" s="13">
        <f>_xll.BDH("AMZN US Equity","IS_TOT_CASH_COM_DVD","FQ3 2013","FQ3 2013","Currency=USD","Period=FQ","BEST_FPERIOD_OVERRIDE=FQ","FILING_STATUS=MR","SCALING_FORMAT=MLN","Sort=A","Dates=H","DateFormat=P","Fill=—","Direction=H","UseDPDF=Y")</f>
        <v>0</v>
      </c>
      <c r="V70" s="13">
        <f>_xll.BDH("AMZN US Equity","IS_TOT_CASH_COM_DVD","FQ4 2013","FQ4 2013","Currency=USD","Period=FQ","BEST_FPERIOD_OVERRIDE=FQ","FILING_STATUS=MR","SCALING_FORMAT=MLN","Sort=A","Dates=H","DateFormat=P","Fill=—","Direction=H","UseDPDF=Y")</f>
        <v>0</v>
      </c>
      <c r="W70" s="13">
        <f>_xll.BDH("AMZN US Equity","IS_TOT_CASH_COM_DVD","FQ1 2014","FQ1 2014","Currency=USD","Period=FQ","BEST_FPERIOD_OVERRIDE=FQ","FILING_STATUS=MR","SCALING_FORMAT=MLN","Sort=A","Dates=H","DateFormat=P","Fill=—","Direction=H","UseDPDF=Y")</f>
        <v>0</v>
      </c>
      <c r="X70" s="13">
        <f>_xll.BDH("AMZN US Equity","IS_TOT_CASH_COM_DVD","FQ2 2014","FQ2 2014","Currency=USD","Period=FQ","BEST_FPERIOD_OVERRIDE=FQ","FILING_STATUS=MR","SCALING_FORMAT=MLN","Sort=A","Dates=H","DateFormat=P","Fill=—","Direction=H","UseDPDF=Y")</f>
        <v>0</v>
      </c>
      <c r="Y70" s="13">
        <f>_xll.BDH("AMZN US Equity","IS_TOT_CASH_COM_DVD","FQ3 2014","FQ3 2014","Currency=USD","Period=FQ","BEST_FPERIOD_OVERRIDE=FQ","FILING_STATUS=MR","SCALING_FORMAT=MLN","Sort=A","Dates=H","DateFormat=P","Fill=—","Direction=H","UseDPDF=Y")</f>
        <v>0</v>
      </c>
      <c r="Z70" s="13">
        <f>_xll.BDH("AMZN US Equity","IS_TOT_CASH_COM_DVD","FQ4 2014","FQ4 2014","Currency=USD","Period=FQ","BEST_FPERIOD_OVERRIDE=FQ","FILING_STATUS=MR","SCALING_FORMAT=MLN","Sort=A","Dates=H","DateFormat=P","Fill=—","Direction=H","UseDPDF=Y")</f>
        <v>0</v>
      </c>
      <c r="AA70" s="13">
        <f>_xll.BDH("AMZN US Equity","IS_TOT_CASH_COM_DVD","FQ1 2015","FQ1 2015","Currency=USD","Period=FQ","BEST_FPERIOD_OVERRIDE=FQ","FILING_STATUS=MR","SCALING_FORMAT=MLN","Sort=A","Dates=H","DateFormat=P","Fill=—","Direction=H","UseDPDF=Y")</f>
        <v>0</v>
      </c>
      <c r="AB70" s="13">
        <f>_xll.BDH("AMZN US Equity","IS_TOT_CASH_COM_DVD","FQ2 2015","FQ2 2015","Currency=USD","Period=FQ","BEST_FPERIOD_OVERRIDE=FQ","FILING_STATUS=MR","SCALING_FORMAT=MLN","Sort=A","Dates=H","DateFormat=P","Fill=—","Direction=H","UseDPDF=Y")</f>
        <v>0</v>
      </c>
      <c r="AC70" s="13">
        <f>_xll.BDH("AMZN US Equity","IS_TOT_CASH_COM_DVD","FQ3 2015","FQ3 2015","Currency=USD","Period=FQ","BEST_FPERIOD_OVERRIDE=FQ","FILING_STATUS=MR","SCALING_FORMAT=MLN","Sort=A","Dates=H","DateFormat=P","Fill=—","Direction=H","UseDPDF=Y")</f>
        <v>0</v>
      </c>
      <c r="AD70" s="13">
        <f>_xll.BDH("AMZN US Equity","IS_TOT_CASH_COM_DVD","FQ4 2015","FQ4 2015","Currency=USD","Period=FQ","BEST_FPERIOD_OVERRIDE=FQ","FILING_STATUS=MR","SCALING_FORMAT=MLN","Sort=A","Dates=H","DateFormat=P","Fill=—","Direction=H","UseDPDF=Y")</f>
        <v>0</v>
      </c>
      <c r="AE70" s="13">
        <f>_xll.BDH("AMZN US Equity","IS_TOT_CASH_COM_DVD","FQ1 2016","FQ1 2016","Currency=USD","Period=FQ","BEST_FPERIOD_OVERRIDE=FQ","FILING_STATUS=MR","SCALING_FORMAT=MLN","Sort=A","Dates=H","DateFormat=P","Fill=—","Direction=H","UseDPDF=Y")</f>
        <v>0</v>
      </c>
      <c r="AF70" s="13">
        <f>_xll.BDH("AMZN US Equity","IS_TOT_CASH_COM_DVD","FQ2 2016","FQ2 2016","Currency=USD","Period=FQ","BEST_FPERIOD_OVERRIDE=FQ","FILING_STATUS=MR","SCALING_FORMAT=MLN","Sort=A","Dates=H","DateFormat=P","Fill=—","Direction=H","UseDPDF=Y")</f>
        <v>0</v>
      </c>
      <c r="AG70" s="13">
        <f>_xll.BDH("AMZN US Equity","IS_TOT_CASH_COM_DVD","FQ3 2016","FQ3 2016","Currency=USD","Period=FQ","BEST_FPERIOD_OVERRIDE=FQ","FILING_STATUS=MR","SCALING_FORMAT=MLN","Sort=A","Dates=H","DateFormat=P","Fill=—","Direction=H","UseDPDF=Y")</f>
        <v>0</v>
      </c>
      <c r="AH70" s="13">
        <f>_xll.BDH("AMZN US Equity","IS_TOT_CASH_COM_DVD","FQ4 2016","FQ4 2016","Currency=USD","Period=FQ","BEST_FPERIOD_OVERRIDE=FQ","FILING_STATUS=MR","SCALING_FORMAT=MLN","Sort=A","Dates=H","DateFormat=P","Fill=—","Direction=H","UseDPDF=Y")</f>
        <v>0</v>
      </c>
      <c r="AI70" s="13">
        <f>_xll.BDH("AMZN US Equity","IS_TOT_CASH_COM_DVD","FQ1 2017","FQ1 2017","Currency=USD","Period=FQ","BEST_FPERIOD_OVERRIDE=FQ","FILING_STATUS=MR","SCALING_FORMAT=MLN","Sort=A","Dates=H","DateFormat=P","Fill=—","Direction=H","UseDPDF=Y")</f>
        <v>0</v>
      </c>
      <c r="AJ70" s="13">
        <f>_xll.BDH("AMZN US Equity","IS_TOT_CASH_COM_DVD","FQ2 2017","FQ2 2017","Currency=USD","Period=FQ","BEST_FPERIOD_OVERRIDE=FQ","FILING_STATUS=MR","SCALING_FORMAT=MLN","Sort=A","Dates=H","DateFormat=P","Fill=—","Direction=H","UseDPDF=Y")</f>
        <v>0</v>
      </c>
      <c r="AK70" s="13">
        <f>_xll.BDH("AMZN US Equity","IS_TOT_CASH_COM_DVD","FQ3 2017","FQ3 2017","Currency=USD","Period=FQ","BEST_FPERIOD_OVERRIDE=FQ","FILING_STATUS=MR","SCALING_FORMAT=MLN","Sort=A","Dates=H","DateFormat=P","Fill=—","Direction=H","UseDPDF=Y")</f>
        <v>0</v>
      </c>
      <c r="AL70" s="13">
        <f>_xll.BDH("AMZN US Equity","IS_TOT_CASH_COM_DVD","FQ4 2017","FQ4 2017","Currency=USD","Period=FQ","BEST_FPERIOD_OVERRIDE=FQ","FILING_STATUS=MR","SCALING_FORMAT=MLN","Sort=A","Dates=H","DateFormat=P","Fill=—","Direction=H","UseDPDF=Y")</f>
        <v>0</v>
      </c>
      <c r="AM70" s="13">
        <f>_xll.BDH("AMZN US Equity","IS_TOT_CASH_COM_DVD","FQ1 2018","FQ1 2018","Currency=USD","Period=FQ","BEST_FPERIOD_OVERRIDE=FQ","FILING_STATUS=MR","SCALING_FORMAT=MLN","Sort=A","Dates=H","DateFormat=P","Fill=—","Direction=H","UseDPDF=Y")</f>
        <v>0</v>
      </c>
      <c r="AN70" s="13">
        <f>_xll.BDH("AMZN US Equity","IS_TOT_CASH_COM_DVD","FQ2 2018","FQ2 2018","Currency=USD","Period=FQ","BEST_FPERIOD_OVERRIDE=FQ","FILING_STATUS=MR","SCALING_FORMAT=MLN","Sort=A","Dates=H","DateFormat=P","Fill=—","Direction=H","UseDPDF=Y")</f>
        <v>0</v>
      </c>
      <c r="AO70" s="13"/>
      <c r="AP70" s="13"/>
    </row>
    <row r="71" spans="1:42" x14ac:dyDescent="0.25">
      <c r="A71" s="10" t="s">
        <v>201</v>
      </c>
      <c r="B71" s="10" t="s">
        <v>202</v>
      </c>
      <c r="C71" s="13" t="str">
        <f>_xll.BDH("AMZN US Equity","IS_CAP_INT_EXP","FQ1 2009","FQ1 2009","Currency=USD","Period=FQ","BEST_FPERIOD_OVERRIDE=FQ","FILING_STATUS=MR","SCALING_FORMAT=MLN","Sort=A","Dates=H","DateFormat=P","Fill=—","Direction=H","UseDPDF=Y")</f>
        <v>—</v>
      </c>
      <c r="D71" s="13" t="str">
        <f>_xll.BDH("AMZN US Equity","IS_CAP_INT_EXP","FQ2 2009","FQ2 2009","Currency=USD","Period=FQ","BEST_FPERIOD_OVERRIDE=FQ","FILING_STATUS=MR","SCALING_FORMAT=MLN","Sort=A","Dates=H","DateFormat=P","Fill=—","Direction=H","UseDPDF=Y")</f>
        <v>—</v>
      </c>
      <c r="E71" s="13" t="str">
        <f>_xll.BDH("AMZN US Equity","IS_CAP_INT_EXP","FQ3 2009","FQ3 2009","Currency=USD","Period=FQ","BEST_FPERIOD_OVERRIDE=FQ","FILING_STATUS=MR","SCALING_FORMAT=MLN","Sort=A","Dates=H","DateFormat=P","Fill=—","Direction=H","UseDPDF=Y")</f>
        <v>—</v>
      </c>
      <c r="F71" s="13" t="str">
        <f>_xll.BDH("AMZN US Equity","IS_CAP_INT_EXP","FQ4 2009","FQ4 2009","Currency=USD","Period=FQ","BEST_FPERIOD_OVERRIDE=FQ","FILING_STATUS=MR","SCALING_FORMAT=MLN","Sort=A","Dates=H","DateFormat=P","Fill=—","Direction=H","UseDPDF=Y")</f>
        <v>—</v>
      </c>
      <c r="G71" s="13" t="str">
        <f>_xll.BDH("AMZN US Equity","IS_CAP_INT_EXP","FQ1 2010","FQ1 2010","Currency=USD","Period=FQ","BEST_FPERIOD_OVERRIDE=FQ","FILING_STATUS=MR","SCALING_FORMAT=MLN","Sort=A","Dates=H","DateFormat=P","Fill=—","Direction=H","UseDPDF=Y")</f>
        <v>—</v>
      </c>
      <c r="H71" s="13" t="str">
        <f>_xll.BDH("AMZN US Equity","IS_CAP_INT_EXP","FQ2 2010","FQ2 2010","Currency=USD","Period=FQ","BEST_FPERIOD_OVERRIDE=FQ","FILING_STATUS=MR","SCALING_FORMAT=MLN","Sort=A","Dates=H","DateFormat=P","Fill=—","Direction=H","UseDPDF=Y")</f>
        <v>—</v>
      </c>
      <c r="I71" s="13" t="str">
        <f>_xll.BDH("AMZN US Equity","IS_CAP_INT_EXP","FQ3 2010","FQ3 2010","Currency=USD","Period=FQ","BEST_FPERIOD_OVERRIDE=FQ","FILING_STATUS=MR","SCALING_FORMAT=MLN","Sort=A","Dates=H","DateFormat=P","Fill=—","Direction=H","UseDPDF=Y")</f>
        <v>—</v>
      </c>
      <c r="J71" s="13" t="str">
        <f>_xll.BDH("AMZN US Equity","IS_CAP_INT_EXP","FQ4 2010","FQ4 2010","Currency=USD","Period=FQ","BEST_FPERIOD_OVERRIDE=FQ","FILING_STATUS=MR","SCALING_FORMAT=MLN","Sort=A","Dates=H","DateFormat=P","Fill=—","Direction=H","UseDPDF=Y")</f>
        <v>—</v>
      </c>
      <c r="K71" s="13" t="str">
        <f>_xll.BDH("AMZN US Equity","IS_CAP_INT_EXP","FQ1 2011","FQ1 2011","Currency=USD","Period=FQ","BEST_FPERIOD_OVERRIDE=FQ","FILING_STATUS=MR","SCALING_FORMAT=MLN","Sort=A","Dates=H","DateFormat=P","Fill=—","Direction=H","UseDPDF=Y")</f>
        <v>—</v>
      </c>
      <c r="L71" s="13" t="str">
        <f>_xll.BDH("AMZN US Equity","IS_CAP_INT_EXP","FQ2 2011","FQ2 2011","Currency=USD","Period=FQ","BEST_FPERIOD_OVERRIDE=FQ","FILING_STATUS=MR","SCALING_FORMAT=MLN","Sort=A","Dates=H","DateFormat=P","Fill=—","Direction=H","UseDPDF=Y")</f>
        <v>—</v>
      </c>
      <c r="M71" s="13" t="str">
        <f>_xll.BDH("AMZN US Equity","IS_CAP_INT_EXP","FQ3 2011","FQ3 2011","Currency=USD","Period=FQ","BEST_FPERIOD_OVERRIDE=FQ","FILING_STATUS=MR","SCALING_FORMAT=MLN","Sort=A","Dates=H","DateFormat=P","Fill=—","Direction=H","UseDPDF=Y")</f>
        <v>—</v>
      </c>
      <c r="N71" s="13" t="str">
        <f>_xll.BDH("AMZN US Equity","IS_CAP_INT_EXP","FQ4 2011","FQ4 2011","Currency=USD","Period=FQ","BEST_FPERIOD_OVERRIDE=FQ","FILING_STATUS=MR","SCALING_FORMAT=MLN","Sort=A","Dates=H","DateFormat=P","Fill=—","Direction=H","UseDPDF=Y")</f>
        <v>—</v>
      </c>
      <c r="O71" s="13" t="str">
        <f>_xll.BDH("AMZN US Equity","IS_CAP_INT_EXP","FQ1 2012","FQ1 2012","Currency=USD","Period=FQ","BEST_FPERIOD_OVERRIDE=FQ","FILING_STATUS=MR","SCALING_FORMAT=MLN","Sort=A","Dates=H","DateFormat=P","Fill=—","Direction=H","UseDPDF=Y")</f>
        <v>—</v>
      </c>
      <c r="P71" s="13">
        <f>_xll.BDH("AMZN US Equity","IS_CAP_INT_EXP","FQ2 2012","FQ2 2012","Currency=USD","Period=FQ","BEST_FPERIOD_OVERRIDE=FQ","FILING_STATUS=MR","SCALING_FORMAT=MLN","Sort=A","Dates=H","DateFormat=P","Fill=—","Direction=H","UseDPDF=Y")</f>
        <v>0</v>
      </c>
      <c r="Q71" s="13">
        <f>_xll.BDH("AMZN US Equity","IS_CAP_INT_EXP","FQ3 2012","FQ3 2012","Currency=USD","Period=FQ","BEST_FPERIOD_OVERRIDE=FQ","FILING_STATUS=MR","SCALING_FORMAT=MLN","Sort=A","Dates=H","DateFormat=P","Fill=—","Direction=H","UseDPDF=Y")</f>
        <v>0</v>
      </c>
      <c r="R71" s="13" t="str">
        <f>_xll.BDH("AMZN US Equity","IS_CAP_INT_EXP","FQ4 2012","FQ4 2012","Currency=USD","Period=FQ","BEST_FPERIOD_OVERRIDE=FQ","FILING_STATUS=MR","SCALING_FORMAT=MLN","Sort=A","Dates=H","DateFormat=P","Fill=—","Direction=H","UseDPDF=Y")</f>
        <v>—</v>
      </c>
      <c r="S71" s="13" t="str">
        <f>_xll.BDH("AMZN US Equity","IS_CAP_INT_EXP","FQ1 2013","FQ1 2013","Currency=USD","Period=FQ","BEST_FPERIOD_OVERRIDE=FQ","FILING_STATUS=MR","SCALING_FORMAT=MLN","Sort=A","Dates=H","DateFormat=P","Fill=—","Direction=H","UseDPDF=Y")</f>
        <v>—</v>
      </c>
      <c r="T71" s="13" t="str">
        <f>_xll.BDH("AMZN US Equity","IS_CAP_INT_EXP","FQ2 2013","FQ2 2013","Currency=USD","Period=FQ","BEST_FPERIOD_OVERRIDE=FQ","FILING_STATUS=MR","SCALING_FORMAT=MLN","Sort=A","Dates=H","DateFormat=P","Fill=—","Direction=H","UseDPDF=Y")</f>
        <v>—</v>
      </c>
      <c r="U71" s="13" t="str">
        <f>_xll.BDH("AMZN US Equity","IS_CAP_INT_EXP","FQ3 2013","FQ3 2013","Currency=USD","Period=FQ","BEST_FPERIOD_OVERRIDE=FQ","FILING_STATUS=MR","SCALING_FORMAT=MLN","Sort=A","Dates=H","DateFormat=P","Fill=—","Direction=H","UseDPDF=Y")</f>
        <v>—</v>
      </c>
      <c r="V71" s="13" t="str">
        <f>_xll.BDH("AMZN US Equity","IS_CAP_INT_EXP","FQ4 2013","FQ4 2013","Currency=USD","Period=FQ","BEST_FPERIOD_OVERRIDE=FQ","FILING_STATUS=MR","SCALING_FORMAT=MLN","Sort=A","Dates=H","DateFormat=P","Fill=—","Direction=H","UseDPDF=Y")</f>
        <v>—</v>
      </c>
      <c r="W71" s="13" t="str">
        <f>_xll.BDH("AMZN US Equity","IS_CAP_INT_EXP","FQ1 2014","FQ1 2014","Currency=USD","Period=FQ","BEST_FPERIOD_OVERRIDE=FQ","FILING_STATUS=MR","SCALING_FORMAT=MLN","Sort=A","Dates=H","DateFormat=P","Fill=—","Direction=H","UseDPDF=Y")</f>
        <v>—</v>
      </c>
      <c r="X71" s="13" t="str">
        <f>_xll.BDH("AMZN US Equity","IS_CAP_INT_EXP","FQ2 2014","FQ2 2014","Currency=USD","Period=FQ","BEST_FPERIOD_OVERRIDE=FQ","FILING_STATUS=MR","SCALING_FORMAT=MLN","Sort=A","Dates=H","DateFormat=P","Fill=—","Direction=H","UseDPDF=Y")</f>
        <v>—</v>
      </c>
      <c r="Y71" s="13" t="str">
        <f>_xll.BDH("AMZN US Equity","IS_CAP_INT_EXP","FQ3 2014","FQ3 2014","Currency=USD","Period=FQ","BEST_FPERIOD_OVERRIDE=FQ","FILING_STATUS=MR","SCALING_FORMAT=MLN","Sort=A","Dates=H","DateFormat=P","Fill=—","Direction=H","UseDPDF=Y")</f>
        <v>—</v>
      </c>
      <c r="Z71" s="13" t="str">
        <f>_xll.BDH("AMZN US Equity","IS_CAP_INT_EXP","FQ4 2014","FQ4 2014","Currency=USD","Period=FQ","BEST_FPERIOD_OVERRIDE=FQ","FILING_STATUS=MR","SCALING_FORMAT=MLN","Sort=A","Dates=H","DateFormat=P","Fill=—","Direction=H","UseDPDF=Y")</f>
        <v>—</v>
      </c>
      <c r="AA71" s="13" t="str">
        <f>_xll.BDH("AMZN US Equity","IS_CAP_INT_EXP","FQ1 2015","FQ1 2015","Currency=USD","Period=FQ","BEST_FPERIOD_OVERRIDE=FQ","FILING_STATUS=MR","SCALING_FORMAT=MLN","Sort=A","Dates=H","DateFormat=P","Fill=—","Direction=H","UseDPDF=Y")</f>
        <v>—</v>
      </c>
      <c r="AB71" s="13" t="str">
        <f>_xll.BDH("AMZN US Equity","IS_CAP_INT_EXP","FQ2 2015","FQ2 2015","Currency=USD","Period=FQ","BEST_FPERIOD_OVERRIDE=FQ","FILING_STATUS=MR","SCALING_FORMAT=MLN","Sort=A","Dates=H","DateFormat=P","Fill=—","Direction=H","UseDPDF=Y")</f>
        <v>—</v>
      </c>
      <c r="AC71" s="13" t="str">
        <f>_xll.BDH("AMZN US Equity","IS_CAP_INT_EXP","FQ3 2015","FQ3 2015","Currency=USD","Period=FQ","BEST_FPERIOD_OVERRIDE=FQ","FILING_STATUS=MR","SCALING_FORMAT=MLN","Sort=A","Dates=H","DateFormat=P","Fill=—","Direction=H","UseDPDF=Y")</f>
        <v>—</v>
      </c>
      <c r="AD71" s="13" t="str">
        <f>_xll.BDH("AMZN US Equity","IS_CAP_INT_EXP","FQ4 2015","FQ4 2015","Currency=USD","Period=FQ","BEST_FPERIOD_OVERRIDE=FQ","FILING_STATUS=MR","SCALING_FORMAT=MLN","Sort=A","Dates=H","DateFormat=P","Fill=—","Direction=H","UseDPDF=Y")</f>
        <v>—</v>
      </c>
      <c r="AE71" s="13" t="str">
        <f>_xll.BDH("AMZN US Equity","IS_CAP_INT_EXP","FQ1 2016","FQ1 2016","Currency=USD","Period=FQ","BEST_FPERIOD_OVERRIDE=FQ","FILING_STATUS=MR","SCALING_FORMAT=MLN","Sort=A","Dates=H","DateFormat=P","Fill=—","Direction=H","UseDPDF=Y")</f>
        <v>—</v>
      </c>
      <c r="AF71" s="13" t="str">
        <f>_xll.BDH("AMZN US Equity","IS_CAP_INT_EXP","FQ2 2016","FQ2 2016","Currency=USD","Period=FQ","BEST_FPERIOD_OVERRIDE=FQ","FILING_STATUS=MR","SCALING_FORMAT=MLN","Sort=A","Dates=H","DateFormat=P","Fill=—","Direction=H","UseDPDF=Y")</f>
        <v>—</v>
      </c>
      <c r="AG71" s="13" t="str">
        <f>_xll.BDH("AMZN US Equity","IS_CAP_INT_EXP","FQ3 2016","FQ3 2016","Currency=USD","Period=FQ","BEST_FPERIOD_OVERRIDE=FQ","FILING_STATUS=MR","SCALING_FORMAT=MLN","Sort=A","Dates=H","DateFormat=P","Fill=—","Direction=H","UseDPDF=Y")</f>
        <v>—</v>
      </c>
      <c r="AH71" s="13" t="str">
        <f>_xll.BDH("AMZN US Equity","IS_CAP_INT_EXP","FQ4 2016","FQ4 2016","Currency=USD","Period=FQ","BEST_FPERIOD_OVERRIDE=FQ","FILING_STATUS=MR","SCALING_FORMAT=MLN","Sort=A","Dates=H","DateFormat=P","Fill=—","Direction=H","UseDPDF=Y")</f>
        <v>—</v>
      </c>
      <c r="AI71" s="13" t="str">
        <f>_xll.BDH("AMZN US Equity","IS_CAP_INT_EXP","FQ1 2017","FQ1 2017","Currency=USD","Period=FQ","BEST_FPERIOD_OVERRIDE=FQ","FILING_STATUS=MR","SCALING_FORMAT=MLN","Sort=A","Dates=H","DateFormat=P","Fill=—","Direction=H","UseDPDF=Y")</f>
        <v>—</v>
      </c>
      <c r="AJ71" s="13" t="str">
        <f>_xll.BDH("AMZN US Equity","IS_CAP_INT_EXP","FQ2 2017","FQ2 2017","Currency=USD","Period=FQ","BEST_FPERIOD_OVERRIDE=FQ","FILING_STATUS=MR","SCALING_FORMAT=MLN","Sort=A","Dates=H","DateFormat=P","Fill=—","Direction=H","UseDPDF=Y")</f>
        <v>—</v>
      </c>
      <c r="AK71" s="13" t="str">
        <f>_xll.BDH("AMZN US Equity","IS_CAP_INT_EXP","FQ3 2017","FQ3 2017","Currency=USD","Period=FQ","BEST_FPERIOD_OVERRIDE=FQ","FILING_STATUS=MR","SCALING_FORMAT=MLN","Sort=A","Dates=H","DateFormat=P","Fill=—","Direction=H","UseDPDF=Y")</f>
        <v>—</v>
      </c>
      <c r="AL71" s="13" t="str">
        <f>_xll.BDH("AMZN US Equity","IS_CAP_INT_EXP","FQ4 2017","FQ4 2017","Currency=USD","Period=FQ","BEST_FPERIOD_OVERRIDE=FQ","FILING_STATUS=MR","SCALING_FORMAT=MLN","Sort=A","Dates=H","DateFormat=P","Fill=—","Direction=H","UseDPDF=Y")</f>
        <v>—</v>
      </c>
      <c r="AM71" s="13" t="str">
        <f>_xll.BDH("AMZN US Equity","IS_CAP_INT_EXP","FQ1 2018","FQ1 2018","Currency=USD","Period=FQ","BEST_FPERIOD_OVERRIDE=FQ","FILING_STATUS=MR","SCALING_FORMAT=MLN","Sort=A","Dates=H","DateFormat=P","Fill=—","Direction=H","UseDPDF=Y")</f>
        <v>—</v>
      </c>
      <c r="AN71" s="13" t="str">
        <f>_xll.BDH("AMZN US Equity","IS_CAP_INT_EXP","FQ2 2018","FQ2 2018","Currency=USD","Period=FQ","BEST_FPERIOD_OVERRIDE=FQ","FILING_STATUS=MR","SCALING_FORMAT=MLN","Sort=A","Dates=H","DateFormat=P","Fill=—","Direction=H","UseDPDF=Y")</f>
        <v>—</v>
      </c>
      <c r="AO71" s="13"/>
      <c r="AP71" s="13"/>
    </row>
    <row r="72" spans="1:42" x14ac:dyDescent="0.25">
      <c r="A72" s="10" t="s">
        <v>203</v>
      </c>
      <c r="B72" s="10" t="s">
        <v>204</v>
      </c>
      <c r="C72" s="13">
        <f>_xll.BDH("AMZN US Equity","IS_DEPR_EXP","FQ1 2009","FQ1 2009","Currency=USD","Period=FQ","BEST_FPERIOD_OVERRIDE=FQ","FILING_STATUS=MR","SCALING_FORMAT=MLN","Sort=A","Dates=H","DateFormat=P","Fill=—","Direction=H","UseDPDF=Y")</f>
        <v>89</v>
      </c>
      <c r="D72" s="13">
        <f>_xll.BDH("AMZN US Equity","IS_DEPR_EXP","FQ2 2009","FQ2 2009","Currency=USD","Period=FQ","BEST_FPERIOD_OVERRIDE=FQ","FILING_STATUS=MR","SCALING_FORMAT=MLN","Sort=A","Dates=H","DateFormat=P","Fill=—","Direction=H","UseDPDF=Y")</f>
        <v>91</v>
      </c>
      <c r="E72" s="13">
        <f>_xll.BDH("AMZN US Equity","IS_DEPR_EXP","FQ3 2009","FQ3 2009","Currency=USD","Period=FQ","BEST_FPERIOD_OVERRIDE=FQ","FILING_STATUS=MR","SCALING_FORMAT=MLN","Sort=A","Dates=H","DateFormat=P","Fill=—","Direction=H","UseDPDF=Y")</f>
        <v>96</v>
      </c>
      <c r="F72" s="13">
        <f>_xll.BDH("AMZN US Equity","IS_DEPR_EXP","FQ4 2009","FQ4 2009","Currency=USD","Period=FQ","BEST_FPERIOD_OVERRIDE=FQ","FILING_STATUS=MR","SCALING_FORMAT=MLN","Sort=A","Dates=H","DateFormat=P","Fill=—","Direction=H","UseDPDF=Y")</f>
        <v>108</v>
      </c>
      <c r="G72" s="13" t="str">
        <f>_xll.BDH("AMZN US Equity","IS_DEPR_EXP","FQ1 2010","FQ1 2010","Currency=USD","Period=FQ","BEST_FPERIOD_OVERRIDE=FQ","FILING_STATUS=MR","SCALING_FORMAT=MLN","Sort=A","Dates=H","DateFormat=P","Fill=—","Direction=H","UseDPDF=Y")</f>
        <v>—</v>
      </c>
      <c r="H72" s="13" t="str">
        <f>_xll.BDH("AMZN US Equity","IS_DEPR_EXP","FQ2 2010","FQ2 2010","Currency=USD","Period=FQ","BEST_FPERIOD_OVERRIDE=FQ","FILING_STATUS=MR","SCALING_FORMAT=MLN","Sort=A","Dates=H","DateFormat=P","Fill=—","Direction=H","UseDPDF=Y")</f>
        <v>—</v>
      </c>
      <c r="I72" s="13" t="str">
        <f>_xll.BDH("AMZN US Equity","IS_DEPR_EXP","FQ3 2010","FQ3 2010","Currency=USD","Period=FQ","BEST_FPERIOD_OVERRIDE=FQ","FILING_STATUS=MR","SCALING_FORMAT=MLN","Sort=A","Dates=H","DateFormat=P","Fill=—","Direction=H","UseDPDF=Y")</f>
        <v>—</v>
      </c>
      <c r="J72" s="13" t="str">
        <f>_xll.BDH("AMZN US Equity","IS_DEPR_EXP","FQ4 2010","FQ4 2010","Currency=USD","Period=FQ","BEST_FPERIOD_OVERRIDE=FQ","FILING_STATUS=MR","SCALING_FORMAT=MLN","Sort=A","Dates=H","DateFormat=P","Fill=—","Direction=H","UseDPDF=Y")</f>
        <v>—</v>
      </c>
      <c r="K72" s="13" t="str">
        <f>_xll.BDH("AMZN US Equity","IS_DEPR_EXP","FQ1 2011","FQ1 2011","Currency=USD","Period=FQ","BEST_FPERIOD_OVERRIDE=FQ","FILING_STATUS=MR","SCALING_FORMAT=MLN","Sort=A","Dates=H","DateFormat=P","Fill=—","Direction=H","UseDPDF=Y")</f>
        <v>—</v>
      </c>
      <c r="L72" s="13" t="str">
        <f>_xll.BDH("AMZN US Equity","IS_DEPR_EXP","FQ2 2011","FQ2 2011","Currency=USD","Period=FQ","BEST_FPERIOD_OVERRIDE=FQ","FILING_STATUS=MR","SCALING_FORMAT=MLN","Sort=A","Dates=H","DateFormat=P","Fill=—","Direction=H","UseDPDF=Y")</f>
        <v>—</v>
      </c>
      <c r="M72" s="13" t="str">
        <f>_xll.BDH("AMZN US Equity","IS_DEPR_EXP","FQ3 2011","FQ3 2011","Currency=USD","Period=FQ","BEST_FPERIOD_OVERRIDE=FQ","FILING_STATUS=MR","SCALING_FORMAT=MLN","Sort=A","Dates=H","DateFormat=P","Fill=—","Direction=H","UseDPDF=Y")</f>
        <v>—</v>
      </c>
      <c r="N72" s="13" t="str">
        <f>_xll.BDH("AMZN US Equity","IS_DEPR_EXP","FQ4 2011","FQ4 2011","Currency=USD","Period=FQ","BEST_FPERIOD_OVERRIDE=FQ","FILING_STATUS=MR","SCALING_FORMAT=MLN","Sort=A","Dates=H","DateFormat=P","Fill=—","Direction=H","UseDPDF=Y")</f>
        <v>—</v>
      </c>
      <c r="O72" s="13" t="str">
        <f>_xll.BDH("AMZN US Equity","IS_DEPR_EXP","FQ1 2012","FQ1 2012","Currency=USD","Period=FQ","BEST_FPERIOD_OVERRIDE=FQ","FILING_STATUS=MR","SCALING_FORMAT=MLN","Sort=A","Dates=H","DateFormat=P","Fill=—","Direction=H","UseDPDF=Y")</f>
        <v>—</v>
      </c>
      <c r="P72" s="13" t="str">
        <f>_xll.BDH("AMZN US Equity","IS_DEPR_EXP","FQ2 2012","FQ2 2012","Currency=USD","Period=FQ","BEST_FPERIOD_OVERRIDE=FQ","FILING_STATUS=MR","SCALING_FORMAT=MLN","Sort=A","Dates=H","DateFormat=P","Fill=—","Direction=H","UseDPDF=Y")</f>
        <v>—</v>
      </c>
      <c r="Q72" s="13" t="str">
        <f>_xll.BDH("AMZN US Equity","IS_DEPR_EXP","FQ3 2012","FQ3 2012","Currency=USD","Period=FQ","BEST_FPERIOD_OVERRIDE=FQ","FILING_STATUS=MR","SCALING_FORMAT=MLN","Sort=A","Dates=H","DateFormat=P","Fill=—","Direction=H","UseDPDF=Y")</f>
        <v>—</v>
      </c>
      <c r="R72" s="13" t="str">
        <f>_xll.BDH("AMZN US Equity","IS_DEPR_EXP","FQ4 2012","FQ4 2012","Currency=USD","Period=FQ","BEST_FPERIOD_OVERRIDE=FQ","FILING_STATUS=MR","SCALING_FORMAT=MLN","Sort=A","Dates=H","DateFormat=P","Fill=—","Direction=H","UseDPDF=Y")</f>
        <v>—</v>
      </c>
      <c r="S72" s="13" t="str">
        <f>_xll.BDH("AMZN US Equity","IS_DEPR_EXP","FQ1 2013","FQ1 2013","Currency=USD","Period=FQ","BEST_FPERIOD_OVERRIDE=FQ","FILING_STATUS=MR","SCALING_FORMAT=MLN","Sort=A","Dates=H","DateFormat=P","Fill=—","Direction=H","UseDPDF=Y")</f>
        <v>—</v>
      </c>
      <c r="T72" s="13" t="str">
        <f>_xll.BDH("AMZN US Equity","IS_DEPR_EXP","FQ2 2013","FQ2 2013","Currency=USD","Period=FQ","BEST_FPERIOD_OVERRIDE=FQ","FILING_STATUS=MR","SCALING_FORMAT=MLN","Sort=A","Dates=H","DateFormat=P","Fill=—","Direction=H","UseDPDF=Y")</f>
        <v>—</v>
      </c>
      <c r="U72" s="13" t="str">
        <f>_xll.BDH("AMZN US Equity","IS_DEPR_EXP","FQ3 2013","FQ3 2013","Currency=USD","Period=FQ","BEST_FPERIOD_OVERRIDE=FQ","FILING_STATUS=MR","SCALING_FORMAT=MLN","Sort=A","Dates=H","DateFormat=P","Fill=—","Direction=H","UseDPDF=Y")</f>
        <v>—</v>
      </c>
      <c r="V72" s="13" t="str">
        <f>_xll.BDH("AMZN US Equity","IS_DEPR_EXP","FQ4 2013","FQ4 2013","Currency=USD","Period=FQ","BEST_FPERIOD_OVERRIDE=FQ","FILING_STATUS=MR","SCALING_FORMAT=MLN","Sort=A","Dates=H","DateFormat=P","Fill=—","Direction=H","UseDPDF=Y")</f>
        <v>—</v>
      </c>
      <c r="W72" s="13" t="str">
        <f>_xll.BDH("AMZN US Equity","IS_DEPR_EXP","FQ1 2014","FQ1 2014","Currency=USD","Period=FQ","BEST_FPERIOD_OVERRIDE=FQ","FILING_STATUS=MR","SCALING_FORMAT=MLN","Sort=A","Dates=H","DateFormat=P","Fill=—","Direction=H","UseDPDF=Y")</f>
        <v>—</v>
      </c>
      <c r="X72" s="13" t="str">
        <f>_xll.BDH("AMZN US Equity","IS_DEPR_EXP","FQ2 2014","FQ2 2014","Currency=USD","Period=FQ","BEST_FPERIOD_OVERRIDE=FQ","FILING_STATUS=MR","SCALING_FORMAT=MLN","Sort=A","Dates=H","DateFormat=P","Fill=—","Direction=H","UseDPDF=Y")</f>
        <v>—</v>
      </c>
      <c r="Y72" s="13" t="str">
        <f>_xll.BDH("AMZN US Equity","IS_DEPR_EXP","FQ3 2014","FQ3 2014","Currency=USD","Period=FQ","BEST_FPERIOD_OVERRIDE=FQ","FILING_STATUS=MR","SCALING_FORMAT=MLN","Sort=A","Dates=H","DateFormat=P","Fill=—","Direction=H","UseDPDF=Y")</f>
        <v>—</v>
      </c>
      <c r="Z72" s="13" t="str">
        <f>_xll.BDH("AMZN US Equity","IS_DEPR_EXP","FQ4 2014","FQ4 2014","Currency=USD","Period=FQ","BEST_FPERIOD_OVERRIDE=FQ","FILING_STATUS=MR","SCALING_FORMAT=MLN","Sort=A","Dates=H","DateFormat=P","Fill=—","Direction=H","UseDPDF=Y")</f>
        <v>—</v>
      </c>
      <c r="AA72" s="13" t="str">
        <f>_xll.BDH("AMZN US Equity","IS_DEPR_EXP","FQ1 2015","FQ1 2015","Currency=USD","Period=FQ","BEST_FPERIOD_OVERRIDE=FQ","FILING_STATUS=MR","SCALING_FORMAT=MLN","Sort=A","Dates=H","DateFormat=P","Fill=—","Direction=H","UseDPDF=Y")</f>
        <v>—</v>
      </c>
      <c r="AB72" s="13" t="str">
        <f>_xll.BDH("AMZN US Equity","IS_DEPR_EXP","FQ2 2015","FQ2 2015","Currency=USD","Period=FQ","BEST_FPERIOD_OVERRIDE=FQ","FILING_STATUS=MR","SCALING_FORMAT=MLN","Sort=A","Dates=H","DateFormat=P","Fill=—","Direction=H","UseDPDF=Y")</f>
        <v>—</v>
      </c>
      <c r="AC72" s="13" t="str">
        <f>_xll.BDH("AMZN US Equity","IS_DEPR_EXP","FQ3 2015","FQ3 2015","Currency=USD","Period=FQ","BEST_FPERIOD_OVERRIDE=FQ","FILING_STATUS=MR","SCALING_FORMAT=MLN","Sort=A","Dates=H","DateFormat=P","Fill=—","Direction=H","UseDPDF=Y")</f>
        <v>—</v>
      </c>
      <c r="AD72" s="13" t="str">
        <f>_xll.BDH("AMZN US Equity","IS_DEPR_EXP","FQ4 2015","FQ4 2015","Currency=USD","Period=FQ","BEST_FPERIOD_OVERRIDE=FQ","FILING_STATUS=MR","SCALING_FORMAT=MLN","Sort=A","Dates=H","DateFormat=P","Fill=—","Direction=H","UseDPDF=Y")</f>
        <v>—</v>
      </c>
      <c r="AE72" s="13" t="str">
        <f>_xll.BDH("AMZN US Equity","IS_DEPR_EXP","FQ1 2016","FQ1 2016","Currency=USD","Period=FQ","BEST_FPERIOD_OVERRIDE=FQ","FILING_STATUS=MR","SCALING_FORMAT=MLN","Sort=A","Dates=H","DateFormat=P","Fill=—","Direction=H","UseDPDF=Y")</f>
        <v>—</v>
      </c>
      <c r="AF72" s="13" t="str">
        <f>_xll.BDH("AMZN US Equity","IS_DEPR_EXP","FQ2 2016","FQ2 2016","Currency=USD","Period=FQ","BEST_FPERIOD_OVERRIDE=FQ","FILING_STATUS=MR","SCALING_FORMAT=MLN","Sort=A","Dates=H","DateFormat=P","Fill=—","Direction=H","UseDPDF=Y")</f>
        <v>—</v>
      </c>
      <c r="AG72" s="13" t="str">
        <f>_xll.BDH("AMZN US Equity","IS_DEPR_EXP","FQ3 2016","FQ3 2016","Currency=USD","Period=FQ","BEST_FPERIOD_OVERRIDE=FQ","FILING_STATUS=MR","SCALING_FORMAT=MLN","Sort=A","Dates=H","DateFormat=P","Fill=—","Direction=H","UseDPDF=Y")</f>
        <v>—</v>
      </c>
      <c r="AH72" s="13" t="str">
        <f>_xll.BDH("AMZN US Equity","IS_DEPR_EXP","FQ4 2016","FQ4 2016","Currency=USD","Period=FQ","BEST_FPERIOD_OVERRIDE=FQ","FILING_STATUS=MR","SCALING_FORMAT=MLN","Sort=A","Dates=H","DateFormat=P","Fill=—","Direction=H","UseDPDF=Y")</f>
        <v>—</v>
      </c>
      <c r="AI72" s="13" t="str">
        <f>_xll.BDH("AMZN US Equity","IS_DEPR_EXP","FQ1 2017","FQ1 2017","Currency=USD","Period=FQ","BEST_FPERIOD_OVERRIDE=FQ","FILING_STATUS=MR","SCALING_FORMAT=MLN","Sort=A","Dates=H","DateFormat=P","Fill=—","Direction=H","UseDPDF=Y")</f>
        <v>—</v>
      </c>
      <c r="AJ72" s="13" t="str">
        <f>_xll.BDH("AMZN US Equity","IS_DEPR_EXP","FQ2 2017","FQ2 2017","Currency=USD","Period=FQ","BEST_FPERIOD_OVERRIDE=FQ","FILING_STATUS=MR","SCALING_FORMAT=MLN","Sort=A","Dates=H","DateFormat=P","Fill=—","Direction=H","UseDPDF=Y")</f>
        <v>—</v>
      </c>
      <c r="AK72" s="13" t="str">
        <f>_xll.BDH("AMZN US Equity","IS_DEPR_EXP","FQ3 2017","FQ3 2017","Currency=USD","Period=FQ","BEST_FPERIOD_OVERRIDE=FQ","FILING_STATUS=MR","SCALING_FORMAT=MLN","Sort=A","Dates=H","DateFormat=P","Fill=—","Direction=H","UseDPDF=Y")</f>
        <v>—</v>
      </c>
      <c r="AL72" s="13" t="str">
        <f>_xll.BDH("AMZN US Equity","IS_DEPR_EXP","FQ4 2017","FQ4 2017","Currency=USD","Period=FQ","BEST_FPERIOD_OVERRIDE=FQ","FILING_STATUS=MR","SCALING_FORMAT=MLN","Sort=A","Dates=H","DateFormat=P","Fill=—","Direction=H","UseDPDF=Y")</f>
        <v>—</v>
      </c>
      <c r="AM72" s="13" t="str">
        <f>_xll.BDH("AMZN US Equity","IS_DEPR_EXP","FQ1 2018","FQ1 2018","Currency=USD","Period=FQ","BEST_FPERIOD_OVERRIDE=FQ","FILING_STATUS=MR","SCALING_FORMAT=MLN","Sort=A","Dates=H","DateFormat=P","Fill=—","Direction=H","UseDPDF=Y")</f>
        <v>—</v>
      </c>
      <c r="AN72" s="13" t="str">
        <f>_xll.BDH("AMZN US Equity","IS_DEPR_EXP","FQ2 2018","FQ2 2018","Currency=USD","Period=FQ","BEST_FPERIOD_OVERRIDE=FQ","FILING_STATUS=MR","SCALING_FORMAT=MLN","Sort=A","Dates=H","DateFormat=P","Fill=—","Direction=H","UseDPDF=Y")</f>
        <v>—</v>
      </c>
      <c r="AO72" s="13"/>
      <c r="AP72" s="13"/>
    </row>
    <row r="73" spans="1:42" x14ac:dyDescent="0.25">
      <c r="A73" s="10" t="s">
        <v>205</v>
      </c>
      <c r="B73" s="10" t="s">
        <v>206</v>
      </c>
      <c r="C73" s="13">
        <f>_xll.BDH("AMZN US Equity","BS_CURR_RENTAL_EXPENSE","FQ1 2009","FQ1 2009","Currency=USD","Period=FQ","BEST_FPERIOD_OVERRIDE=FQ","FILING_STATUS=MR","SCALING_FORMAT=MLN","Sort=A","Dates=H","DateFormat=P","Fill=—","Direction=H","UseDPDF=Y")</f>
        <v>41</v>
      </c>
      <c r="D73" s="13">
        <f>_xll.BDH("AMZN US Equity","BS_CURR_RENTAL_EXPENSE","FQ2 2009","FQ2 2009","Currency=USD","Period=FQ","BEST_FPERIOD_OVERRIDE=FQ","FILING_STATUS=MR","SCALING_FORMAT=MLN","Sort=A","Dates=H","DateFormat=P","Fill=—","Direction=H","UseDPDF=Y")</f>
        <v>41</v>
      </c>
      <c r="E73" s="13">
        <f>_xll.BDH("AMZN US Equity","BS_CURR_RENTAL_EXPENSE","FQ3 2009","FQ3 2009","Currency=USD","Period=FQ","BEST_FPERIOD_OVERRIDE=FQ","FILING_STATUS=MR","SCALING_FORMAT=MLN","Sort=A","Dates=H","DateFormat=P","Fill=—","Direction=H","UseDPDF=Y")</f>
        <v>42</v>
      </c>
      <c r="F73" s="13">
        <f>_xll.BDH("AMZN US Equity","BS_CURR_RENTAL_EXPENSE","FQ4 2009","FQ4 2009","Currency=USD","Period=FQ","BEST_FPERIOD_OVERRIDE=FQ","FILING_STATUS=MR","SCALING_FORMAT=MLN","Sort=A","Dates=H","DateFormat=P","Fill=—","Direction=H","UseDPDF=Y")</f>
        <v>47</v>
      </c>
      <c r="G73" s="13">
        <f>_xll.BDH("AMZN US Equity","BS_CURR_RENTAL_EXPENSE","FQ1 2010","FQ1 2010","Currency=USD","Period=FQ","BEST_FPERIOD_OVERRIDE=FQ","FILING_STATUS=MR","SCALING_FORMAT=MLN","Sort=A","Dates=H","DateFormat=P","Fill=—","Direction=H","UseDPDF=Y")</f>
        <v>48</v>
      </c>
      <c r="H73" s="13">
        <f>_xll.BDH("AMZN US Equity","BS_CURR_RENTAL_EXPENSE","FQ2 2010","FQ2 2010","Currency=USD","Period=FQ","BEST_FPERIOD_OVERRIDE=FQ","FILING_STATUS=MR","SCALING_FORMAT=MLN","Sort=A","Dates=H","DateFormat=P","Fill=—","Direction=H","UseDPDF=Y")</f>
        <v>53</v>
      </c>
      <c r="I73" s="13">
        <f>_xll.BDH("AMZN US Equity","BS_CURR_RENTAL_EXPENSE","FQ3 2010","FQ3 2010","Currency=USD","Period=FQ","BEST_FPERIOD_OVERRIDE=FQ","FILING_STATUS=MR","SCALING_FORMAT=MLN","Sort=A","Dates=H","DateFormat=P","Fill=—","Direction=H","UseDPDF=Y")</f>
        <v>55</v>
      </c>
      <c r="J73" s="13">
        <f>_xll.BDH("AMZN US Equity","BS_CURR_RENTAL_EXPENSE","FQ4 2010","FQ4 2010","Currency=USD","Period=FQ","BEST_FPERIOD_OVERRIDE=FQ","FILING_STATUS=MR","SCALING_FORMAT=MLN","Sort=A","Dates=H","DateFormat=P","Fill=—","Direction=H","UseDPDF=Y")</f>
        <v>69</v>
      </c>
      <c r="K73" s="13">
        <f>_xll.BDH("AMZN US Equity","BS_CURR_RENTAL_EXPENSE","FQ1 2011","FQ1 2011","Currency=USD","Period=FQ","BEST_FPERIOD_OVERRIDE=FQ","FILING_STATUS=MR","SCALING_FORMAT=MLN","Sort=A","Dates=H","DateFormat=P","Fill=—","Direction=H","UseDPDF=Y")</f>
        <v>74</v>
      </c>
      <c r="L73" s="13">
        <f>_xll.BDH("AMZN US Equity","BS_CURR_RENTAL_EXPENSE","FQ2 2011","FQ2 2011","Currency=USD","Period=FQ","BEST_FPERIOD_OVERRIDE=FQ","FILING_STATUS=MR","SCALING_FORMAT=MLN","Sort=A","Dates=H","DateFormat=P","Fill=—","Direction=H","UseDPDF=Y")</f>
        <v>85</v>
      </c>
      <c r="M73" s="13" t="str">
        <f>_xll.BDH("AMZN US Equity","BS_CURR_RENTAL_EXPENSE","FQ3 2011","FQ3 2011","Currency=USD","Period=FQ","BEST_FPERIOD_OVERRIDE=FQ","FILING_STATUS=MR","SCALING_FORMAT=MLN","Sort=A","Dates=H","DateFormat=P","Fill=—","Direction=H","UseDPDF=Y")</f>
        <v>—</v>
      </c>
      <c r="N73" s="13">
        <f>_xll.BDH("AMZN US Equity","BS_CURR_RENTAL_EXPENSE","FQ4 2011","FQ4 2011","Currency=USD","Period=FQ","BEST_FPERIOD_OVERRIDE=FQ","FILING_STATUS=MR","SCALING_FORMAT=MLN","Sort=A","Dates=H","DateFormat=P","Fill=—","Direction=H","UseDPDF=Y")</f>
        <v>116</v>
      </c>
      <c r="O73" s="13">
        <f>_xll.BDH("AMZN US Equity","BS_CURR_RENTAL_EXPENSE","FQ1 2012","FQ1 2012","Currency=USD","Period=FQ","BEST_FPERIOD_OVERRIDE=FQ","FILING_STATUS=MR","SCALING_FORMAT=MLN","Sort=A","Dates=H","DateFormat=P","Fill=—","Direction=H","UseDPDF=Y")</f>
        <v>111</v>
      </c>
      <c r="P73" s="13">
        <f>_xll.BDH("AMZN US Equity","BS_CURR_RENTAL_EXPENSE","FQ2 2012","FQ2 2012","Currency=USD","Period=FQ","BEST_FPERIOD_OVERRIDE=FQ","FILING_STATUS=MR","SCALING_FORMAT=MLN","Sort=A","Dates=H","DateFormat=P","Fill=—","Direction=H","UseDPDF=Y")</f>
        <v>126</v>
      </c>
      <c r="Q73" s="13">
        <f>_xll.BDH("AMZN US Equity","BS_CURR_RENTAL_EXPENSE","FQ3 2012","FQ3 2012","Currency=USD","Period=FQ","BEST_FPERIOD_OVERRIDE=FQ","FILING_STATUS=MR","SCALING_FORMAT=MLN","Sort=A","Dates=H","DateFormat=P","Fill=—","Direction=H","UseDPDF=Y")</f>
        <v>139</v>
      </c>
      <c r="R73" s="13" t="str">
        <f>_xll.BDH("AMZN US Equity","BS_CURR_RENTAL_EXPENSE","FQ4 2012","FQ4 2012","Currency=USD","Period=FQ","BEST_FPERIOD_OVERRIDE=FQ","FILING_STATUS=MR","SCALING_FORMAT=MLN","Sort=A","Dates=H","DateFormat=P","Fill=—","Direction=H","UseDPDF=Y")</f>
        <v>—</v>
      </c>
      <c r="S73" s="13">
        <f>_xll.BDH("AMZN US Equity","BS_CURR_RENTAL_EXPENSE","FQ1 2013","FQ1 2013","Currency=USD","Period=FQ","BEST_FPERIOD_OVERRIDE=FQ","FILING_STATUS=MR","SCALING_FORMAT=MLN","Sort=A","Dates=H","DateFormat=P","Fill=—","Direction=H","UseDPDF=Y")</f>
        <v>167</v>
      </c>
      <c r="T73" s="13">
        <f>_xll.BDH("AMZN US Equity","BS_CURR_RENTAL_EXPENSE","FQ2 2013","FQ2 2013","Currency=USD","Period=FQ","BEST_FPERIOD_OVERRIDE=FQ","FILING_STATUS=MR","SCALING_FORMAT=MLN","Sort=A","Dates=H","DateFormat=P","Fill=—","Direction=H","UseDPDF=Y")</f>
        <v>180</v>
      </c>
      <c r="U73" s="13">
        <f>_xll.BDH("AMZN US Equity","BS_CURR_RENTAL_EXPENSE","FQ3 2013","FQ3 2013","Currency=USD","Period=FQ","BEST_FPERIOD_OVERRIDE=FQ","FILING_STATUS=MR","SCALING_FORMAT=MLN","Sort=A","Dates=H","DateFormat=P","Fill=—","Direction=H","UseDPDF=Y")</f>
        <v>197</v>
      </c>
      <c r="V73" s="13">
        <f>_xll.BDH("AMZN US Equity","BS_CURR_RENTAL_EXPENSE","FQ4 2013","FQ4 2013","Currency=USD","Period=FQ","BEST_FPERIOD_OVERRIDE=FQ","FILING_STATUS=MR","SCALING_FORMAT=MLN","Sort=A","Dates=H","DateFormat=P","Fill=—","Direction=H","UseDPDF=Y")</f>
        <v>215</v>
      </c>
      <c r="W73" s="13">
        <f>_xll.BDH("AMZN US Equity","BS_CURR_RENTAL_EXPENSE","FQ1 2014","FQ1 2014","Currency=USD","Period=FQ","BEST_FPERIOD_OVERRIDE=FQ","FILING_STATUS=MR","SCALING_FORMAT=MLN","Sort=A","Dates=H","DateFormat=P","Fill=—","Direction=H","UseDPDF=Y")</f>
        <v>219</v>
      </c>
      <c r="X73" s="13">
        <f>_xll.BDH("AMZN US Equity","BS_CURR_RENTAL_EXPENSE","FQ2 2014","FQ2 2014","Currency=USD","Period=FQ","BEST_FPERIOD_OVERRIDE=FQ","FILING_STATUS=MR","SCALING_FORMAT=MLN","Sort=A","Dates=H","DateFormat=P","Fill=—","Direction=H","UseDPDF=Y")</f>
        <v>229</v>
      </c>
      <c r="Y73" s="13">
        <f>_xll.BDH("AMZN US Equity","BS_CURR_RENTAL_EXPENSE","FQ3 2014","FQ3 2014","Currency=USD","Period=FQ","BEST_FPERIOD_OVERRIDE=FQ","FILING_STATUS=MR","SCALING_FORMAT=MLN","Sort=A","Dates=H","DateFormat=P","Fill=—","Direction=H","UseDPDF=Y")</f>
        <v>252</v>
      </c>
      <c r="Z73" s="13">
        <f>_xll.BDH("AMZN US Equity","BS_CURR_RENTAL_EXPENSE","FQ4 2014","FQ4 2014","Currency=USD","Period=FQ","BEST_FPERIOD_OVERRIDE=FQ","FILING_STATUS=MR","SCALING_FORMAT=MLN","Sort=A","Dates=H","DateFormat=P","Fill=—","Direction=H","UseDPDF=Y")</f>
        <v>709</v>
      </c>
      <c r="AA73" s="13">
        <f>_xll.BDH("AMZN US Equity","BS_CURR_RENTAL_EXPENSE","FQ1 2015","FQ1 2015","Currency=USD","Period=FQ","BEST_FPERIOD_OVERRIDE=FQ","FILING_STATUS=MR","SCALING_FORMAT=MLN","Sort=A","Dates=H","DateFormat=P","Fill=—","Direction=H","UseDPDF=Y")</f>
        <v>266</v>
      </c>
      <c r="AB73" s="13">
        <f>_xll.BDH("AMZN US Equity","BS_CURR_RENTAL_EXPENSE","FQ2 2015","FQ2 2015","Currency=USD","Period=FQ","BEST_FPERIOD_OVERRIDE=FQ","FILING_STATUS=MR","SCALING_FORMAT=MLN","Sort=A","Dates=H","DateFormat=P","Fill=—","Direction=H","UseDPDF=Y")</f>
        <v>267</v>
      </c>
      <c r="AC73" s="13">
        <f>_xll.BDH("AMZN US Equity","BS_CURR_RENTAL_EXPENSE","FQ3 2015","FQ3 2015","Currency=USD","Period=FQ","BEST_FPERIOD_OVERRIDE=FQ","FILING_STATUS=MR","SCALING_FORMAT=MLN","Sort=A","Dates=H","DateFormat=P","Fill=—","Direction=H","UseDPDF=Y")</f>
        <v>291</v>
      </c>
      <c r="AD73" s="13">
        <f>_xll.BDH("AMZN US Equity","BS_CURR_RENTAL_EXPENSE","FQ4 2015","FQ4 2015","Currency=USD","Period=FQ","BEST_FPERIOD_OVERRIDE=FQ","FILING_STATUS=MR","SCALING_FORMAT=MLN","Sort=A","Dates=H","DateFormat=P","Fill=—","Direction=H","UseDPDF=Y")</f>
        <v>276</v>
      </c>
      <c r="AE73" s="13">
        <f>_xll.BDH("AMZN US Equity","BS_CURR_RENTAL_EXPENSE","FQ1 2016","FQ1 2016","Currency=USD","Period=FQ","BEST_FPERIOD_OVERRIDE=FQ","FILING_STATUS=MR","SCALING_FORMAT=MLN","Sort=A","Dates=H","DateFormat=P","Fill=—","Direction=H","UseDPDF=Y")</f>
        <v>322</v>
      </c>
      <c r="AF73" s="13">
        <f>_xll.BDH("AMZN US Equity","BS_CURR_RENTAL_EXPENSE","FQ2 2016","FQ2 2016","Currency=USD","Period=FQ","BEST_FPERIOD_OVERRIDE=FQ","FILING_STATUS=MR","SCALING_FORMAT=MLN","Sort=A","Dates=H","DateFormat=P","Fill=—","Direction=H","UseDPDF=Y")</f>
        <v>336</v>
      </c>
      <c r="AG73" s="13">
        <f>_xll.BDH("AMZN US Equity","BS_CURR_RENTAL_EXPENSE","FQ3 2016","FQ3 2016","Currency=USD","Period=FQ","BEST_FPERIOD_OVERRIDE=FQ","FILING_STATUS=MR","SCALING_FORMAT=MLN","Sort=A","Dates=H","DateFormat=P","Fill=—","Direction=H","UseDPDF=Y")</f>
        <v>367</v>
      </c>
      <c r="AH73" s="13">
        <f>_xll.BDH("AMZN US Equity","BS_CURR_RENTAL_EXPENSE","FQ4 2016","FQ4 2016","Currency=USD","Period=FQ","BEST_FPERIOD_OVERRIDE=FQ","FILING_STATUS=MR","SCALING_FORMAT=MLN","Sort=A","Dates=H","DateFormat=P","Fill=—","Direction=H","UseDPDF=Y")</f>
        <v>400</v>
      </c>
      <c r="AI73" s="13">
        <f>_xll.BDH("AMZN US Equity","BS_CURR_RENTAL_EXPENSE","FQ1 2017","FQ1 2017","Currency=USD","Period=FQ","BEST_FPERIOD_OVERRIDE=FQ","FILING_STATUS=MR","SCALING_FORMAT=MLN","Sort=A","Dates=H","DateFormat=P","Fill=—","Direction=H","UseDPDF=Y")</f>
        <v>411</v>
      </c>
      <c r="AJ73" s="13">
        <f>_xll.BDH("AMZN US Equity","BS_CURR_RENTAL_EXPENSE","FQ2 2017","FQ2 2017","Currency=USD","Period=FQ","BEST_FPERIOD_OVERRIDE=FQ","FILING_STATUS=MR","SCALING_FORMAT=MLN","Sort=A","Dates=H","DateFormat=P","Fill=—","Direction=H","UseDPDF=Y")</f>
        <v>439</v>
      </c>
      <c r="AK73" s="13">
        <f>_xll.BDH("AMZN US Equity","BS_CURR_RENTAL_EXPENSE","FQ3 2017","FQ3 2017","Currency=USD","Period=FQ","BEST_FPERIOD_OVERRIDE=FQ","FILING_STATUS=MR","SCALING_FORMAT=MLN","Sort=A","Dates=H","DateFormat=P","Fill=—","Direction=H","UseDPDF=Y")</f>
        <v>553</v>
      </c>
      <c r="AL73" s="13">
        <f>_xll.BDH("AMZN US Equity","BS_CURR_RENTAL_EXPENSE","FQ4 2017","FQ4 2017","Currency=USD","Period=FQ","BEST_FPERIOD_OVERRIDE=FQ","FILING_STATUS=MR","SCALING_FORMAT=MLN","Sort=A","Dates=H","DateFormat=P","Fill=—","Direction=H","UseDPDF=Y")</f>
        <v>800</v>
      </c>
      <c r="AM73" s="13">
        <f>_xll.BDH("AMZN US Equity","BS_CURR_RENTAL_EXPENSE","FQ1 2018","FQ1 2018","Currency=USD","Period=FQ","BEST_FPERIOD_OVERRIDE=FQ","FILING_STATUS=MR","SCALING_FORMAT=MLN","Sort=A","Dates=H","DateFormat=P","Fill=—","Direction=H","UseDPDF=Y")</f>
        <v>791</v>
      </c>
      <c r="AN73" s="13">
        <f>_xll.BDH("AMZN US Equity","BS_CURR_RENTAL_EXPENSE","FQ2 2018","FQ2 2018","Currency=USD","Period=FQ","BEST_FPERIOD_OVERRIDE=FQ","FILING_STATUS=MR","SCALING_FORMAT=MLN","Sort=A","Dates=H","DateFormat=P","Fill=—","Direction=H","UseDPDF=Y")</f>
        <v>815</v>
      </c>
      <c r="AO73" s="13"/>
      <c r="AP73" s="13"/>
    </row>
    <row r="74" spans="1:42" x14ac:dyDescent="0.25">
      <c r="A74" s="7" t="s">
        <v>207</v>
      </c>
      <c r="B74" s="7"/>
      <c r="C74" s="7" t="s">
        <v>4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0"/>
  <sheetViews>
    <sheetView workbookViewId="0">
      <selection activeCell="E39" sqref="E39"/>
    </sheetView>
  </sheetViews>
  <sheetFormatPr defaultRowHeight="15" x14ac:dyDescent="0.25"/>
  <cols>
    <col min="1" max="1" width="35.140625" customWidth="1"/>
    <col min="2" max="2" width="0" hidden="1" customWidth="1"/>
    <col min="3" max="40" width="11.85546875" customWidth="1"/>
  </cols>
  <sheetData>
    <row r="1" spans="1:4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0.25" x14ac:dyDescent="0.25">
      <c r="A2" s="8" t="s">
        <v>208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</row>
    <row r="5" spans="1:40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</row>
    <row r="6" spans="1:40" x14ac:dyDescent="0.25">
      <c r="A6" s="6" t="s">
        <v>209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x14ac:dyDescent="0.25">
      <c r="A7" s="10" t="s">
        <v>210</v>
      </c>
      <c r="B7" s="10" t="s">
        <v>211</v>
      </c>
      <c r="C7" s="13">
        <f>_xll.BDH("AMZN US Equity","C&amp;CE_AND_STI_DETAILED","FQ1 2009","FQ1 2009","Currency=USD","Period=FQ","BEST_FPERIOD_OVERRIDE=FQ","FILING_STATUS=MR","SCALING_FORMAT=MLN","Sort=A","Dates=H","DateFormat=P","Fill=—","Direction=H","UseDPDF=Y")</f>
        <v>2730</v>
      </c>
      <c r="D7" s="13">
        <f>_xll.BDH("AMZN US Equity","C&amp;CE_AND_STI_DETAILED","FQ2 2009","FQ2 2009","Currency=USD","Period=FQ","BEST_FPERIOD_OVERRIDE=FQ","FILING_STATUS=MR","SCALING_FORMAT=MLN","Sort=A","Dates=H","DateFormat=P","Fill=—","Direction=H","UseDPDF=Y")</f>
        <v>3212</v>
      </c>
      <c r="E7" s="13">
        <f>_xll.BDH("AMZN US Equity","C&amp;CE_AND_STI_DETAILED","FQ3 2009","FQ3 2009","Currency=USD","Period=FQ","BEST_FPERIOD_OVERRIDE=FQ","FILING_STATUS=MR","SCALING_FORMAT=MLN","Sort=A","Dates=H","DateFormat=P","Fill=—","Direction=H","UseDPDF=Y")</f>
        <v>4001</v>
      </c>
      <c r="F7" s="13">
        <f>_xll.BDH("AMZN US Equity","C&amp;CE_AND_STI_DETAILED","FQ4 2009","FQ4 2009","Currency=USD","Period=FQ","BEST_FPERIOD_OVERRIDE=FQ","FILING_STATUS=MR","SCALING_FORMAT=MLN","Sort=A","Dates=H","DateFormat=P","Fill=—","Direction=H","UseDPDF=Y")</f>
        <v>6366</v>
      </c>
      <c r="G7" s="13">
        <f>_xll.BDH("AMZN US Equity","C&amp;CE_AND_STI_DETAILED","FQ1 2010","FQ1 2010","Currency=USD","Period=FQ","BEST_FPERIOD_OVERRIDE=FQ","FILING_STATUS=MR","SCALING_FORMAT=MLN","Sort=A","Dates=H","DateFormat=P","Fill=—","Direction=H","UseDPDF=Y")</f>
        <v>5063</v>
      </c>
      <c r="H7" s="13">
        <f>_xll.BDH("AMZN US Equity","C&amp;CE_AND_STI_DETAILED","FQ2 2010","FQ2 2010","Currency=USD","Period=FQ","BEST_FPERIOD_OVERRIDE=FQ","FILING_STATUS=MR","SCALING_FORMAT=MLN","Sort=A","Dates=H","DateFormat=P","Fill=—","Direction=H","UseDPDF=Y")</f>
        <v>5108</v>
      </c>
      <c r="I7" s="13">
        <f>_xll.BDH("AMZN US Equity","C&amp;CE_AND_STI_DETAILED","FQ3 2010","FQ3 2010","Currency=USD","Period=FQ","BEST_FPERIOD_OVERRIDE=FQ","FILING_STATUS=MR","SCALING_FORMAT=MLN","Sort=A","Dates=H","DateFormat=P","Fill=—","Direction=H","UseDPDF=Y")</f>
        <v>5885</v>
      </c>
      <c r="J7" s="13">
        <f>_xll.BDH("AMZN US Equity","C&amp;CE_AND_STI_DETAILED","FQ4 2010","FQ4 2010","Currency=USD","Period=FQ","BEST_FPERIOD_OVERRIDE=FQ","FILING_STATUS=MR","SCALING_FORMAT=MLN","Sort=A","Dates=H","DateFormat=P","Fill=—","Direction=H","UseDPDF=Y")</f>
        <v>8762</v>
      </c>
      <c r="K7" s="13">
        <f>_xll.BDH("AMZN US Equity","C&amp;CE_AND_STI_DETAILED","FQ1 2011","FQ1 2011","Currency=USD","Period=FQ","BEST_FPERIOD_OVERRIDE=FQ","FILING_STATUS=MR","SCALING_FORMAT=MLN","Sort=A","Dates=H","DateFormat=P","Fill=—","Direction=H","UseDPDF=Y")</f>
        <v>6881</v>
      </c>
      <c r="L7" s="13">
        <f>_xll.BDH("AMZN US Equity","C&amp;CE_AND_STI_DETAILED","FQ2 2011","FQ2 2011","Currency=USD","Period=FQ","BEST_FPERIOD_OVERRIDE=FQ","FILING_STATUS=MR","SCALING_FORMAT=MLN","Sort=A","Dates=H","DateFormat=P","Fill=—","Direction=H","UseDPDF=Y")</f>
        <v>6355</v>
      </c>
      <c r="M7" s="13">
        <f>_xll.BDH("AMZN US Equity","C&amp;CE_AND_STI_DETAILED","FQ3 2011","FQ3 2011","Currency=USD","Period=FQ","BEST_FPERIOD_OVERRIDE=FQ","FILING_STATUS=MR","SCALING_FORMAT=MLN","Sort=A","Dates=H","DateFormat=P","Fill=—","Direction=H","UseDPDF=Y")</f>
        <v>6326</v>
      </c>
      <c r="N7" s="13">
        <f>_xll.BDH("AMZN US Equity","C&amp;CE_AND_STI_DETAILED","FQ4 2011","FQ4 2011","Currency=USD","Period=FQ","BEST_FPERIOD_OVERRIDE=FQ","FILING_STATUS=MR","SCALING_FORMAT=MLN","Sort=A","Dates=H","DateFormat=P","Fill=—","Direction=H","UseDPDF=Y")</f>
        <v>9576</v>
      </c>
      <c r="O7" s="13">
        <f>_xll.BDH("AMZN US Equity","C&amp;CE_AND_STI_DETAILED","FQ1 2012","FQ1 2012","Currency=USD","Period=FQ","BEST_FPERIOD_OVERRIDE=FQ","FILING_STATUS=MR","SCALING_FORMAT=MLN","Sort=A","Dates=H","DateFormat=P","Fill=—","Direction=H","UseDPDF=Y")</f>
        <v>5715</v>
      </c>
      <c r="P7" s="13">
        <f>_xll.BDH("AMZN US Equity","C&amp;CE_AND_STI_DETAILED","FQ2 2012","FQ2 2012","Currency=USD","Period=FQ","BEST_FPERIOD_OVERRIDE=FQ","FILING_STATUS=MR","SCALING_FORMAT=MLN","Sort=A","Dates=H","DateFormat=P","Fill=—","Direction=H","UseDPDF=Y")</f>
        <v>4970</v>
      </c>
      <c r="Q7" s="13">
        <f>_xll.BDH("AMZN US Equity","C&amp;CE_AND_STI_DETAILED","FQ3 2012","FQ3 2012","Currency=USD","Period=FQ","BEST_FPERIOD_OVERRIDE=FQ","FILING_STATUS=MR","SCALING_FORMAT=MLN","Sort=A","Dates=H","DateFormat=P","Fill=—","Direction=H","UseDPDF=Y")</f>
        <v>5248</v>
      </c>
      <c r="R7" s="13">
        <f>_xll.BDH("AMZN US Equity","C&amp;CE_AND_STI_DETAILED","FQ4 2012","FQ4 2012","Currency=USD","Period=FQ","BEST_FPERIOD_OVERRIDE=FQ","FILING_STATUS=MR","SCALING_FORMAT=MLN","Sort=A","Dates=H","DateFormat=P","Fill=—","Direction=H","UseDPDF=Y")</f>
        <v>11448</v>
      </c>
      <c r="S7" s="13">
        <f>_xll.BDH("AMZN US Equity","C&amp;CE_AND_STI_DETAILED","FQ1 2013","FQ1 2013","Currency=USD","Period=FQ","BEST_FPERIOD_OVERRIDE=FQ","FILING_STATUS=MR","SCALING_FORMAT=MLN","Sort=A","Dates=H","DateFormat=P","Fill=—","Direction=H","UseDPDF=Y")</f>
        <v>7895</v>
      </c>
      <c r="T7" s="13">
        <f>_xll.BDH("AMZN US Equity","C&amp;CE_AND_STI_DETAILED","FQ2 2013","FQ2 2013","Currency=USD","Period=FQ","BEST_FPERIOD_OVERRIDE=FQ","FILING_STATUS=MR","SCALING_FORMAT=MLN","Sort=A","Dates=H","DateFormat=P","Fill=—","Direction=H","UseDPDF=Y")</f>
        <v>7463</v>
      </c>
      <c r="U7" s="13">
        <f>_xll.BDH("AMZN US Equity","C&amp;CE_AND_STI_DETAILED","FQ3 2013","FQ3 2013","Currency=USD","Period=FQ","BEST_FPERIOD_OVERRIDE=FQ","FILING_STATUS=MR","SCALING_FORMAT=MLN","Sort=A","Dates=H","DateFormat=P","Fill=—","Direction=H","UseDPDF=Y")</f>
        <v>7689</v>
      </c>
      <c r="V7" s="13">
        <f>_xll.BDH("AMZN US Equity","C&amp;CE_AND_STI_DETAILED","FQ4 2013","FQ4 2013","Currency=USD","Period=FQ","BEST_FPERIOD_OVERRIDE=FQ","FILING_STATUS=MR","SCALING_FORMAT=MLN","Sort=A","Dates=H","DateFormat=P","Fill=—","Direction=H","UseDPDF=Y")</f>
        <v>12447</v>
      </c>
      <c r="W7" s="13">
        <f>_xll.BDH("AMZN US Equity","C&amp;CE_AND_STI_DETAILED","FQ1 2014","FQ1 2014","Currency=USD","Period=FQ","BEST_FPERIOD_OVERRIDE=FQ","FILING_STATUS=MR","SCALING_FORMAT=MLN","Sort=A","Dates=H","DateFormat=P","Fill=—","Direction=H","UseDPDF=Y")</f>
        <v>8666</v>
      </c>
      <c r="X7" s="13">
        <f>_xll.BDH("AMZN US Equity","C&amp;CE_AND_STI_DETAILED","FQ2 2014","FQ2 2014","Currency=USD","Period=FQ","BEST_FPERIOD_OVERRIDE=FQ","FILING_STATUS=MR","SCALING_FORMAT=MLN","Sort=A","Dates=H","DateFormat=P","Fill=—","Direction=H","UseDPDF=Y")</f>
        <v>7986</v>
      </c>
      <c r="Y7" s="13">
        <f>_xll.BDH("AMZN US Equity","C&amp;CE_AND_STI_DETAILED","FQ3 2014","FQ3 2014","Currency=USD","Period=FQ","BEST_FPERIOD_OVERRIDE=FQ","FILING_STATUS=MR","SCALING_FORMAT=MLN","Sort=A","Dates=H","DateFormat=P","Fill=—","Direction=H","UseDPDF=Y")</f>
        <v>6883</v>
      </c>
      <c r="Z7" s="13">
        <f>_xll.BDH("AMZN US Equity","C&amp;CE_AND_STI_DETAILED","FQ4 2014","FQ4 2014","Currency=USD","Period=FQ","BEST_FPERIOD_OVERRIDE=FQ","FILING_STATUS=MR","SCALING_FORMAT=MLN","Sort=A","Dates=H","DateFormat=P","Fill=—","Direction=H","UseDPDF=Y")</f>
        <v>17416</v>
      </c>
      <c r="AA7" s="13">
        <f>_xll.BDH("AMZN US Equity","C&amp;CE_AND_STI_DETAILED","FQ1 2015","FQ1 2015","Currency=USD","Period=FQ","BEST_FPERIOD_OVERRIDE=FQ","FILING_STATUS=MR","SCALING_FORMAT=MLN","Sort=A","Dates=H","DateFormat=P","Fill=—","Direction=H","UseDPDF=Y")</f>
        <v>13781</v>
      </c>
      <c r="AB7" s="13">
        <f>_xll.BDH("AMZN US Equity","C&amp;CE_AND_STI_DETAILED","FQ2 2015","FQ2 2015","Currency=USD","Period=FQ","BEST_FPERIOD_OVERRIDE=FQ","FILING_STATUS=MR","SCALING_FORMAT=MLN","Sort=A","Dates=H","DateFormat=P","Fill=—","Direction=H","UseDPDF=Y")</f>
        <v>14001</v>
      </c>
      <c r="AC7" s="13">
        <f>_xll.BDH("AMZN US Equity","C&amp;CE_AND_STI_DETAILED","FQ3 2015","FQ3 2015","Currency=USD","Period=FQ","BEST_FPERIOD_OVERRIDE=FQ","FILING_STATUS=MR","SCALING_FORMAT=MLN","Sort=A","Dates=H","DateFormat=P","Fill=—","Direction=H","UseDPDF=Y")</f>
        <v>14428</v>
      </c>
      <c r="AD7" s="13">
        <f>_xll.BDH("AMZN US Equity","C&amp;CE_AND_STI_DETAILED","FQ4 2015","FQ4 2015","Currency=USD","Period=FQ","BEST_FPERIOD_OVERRIDE=FQ","FILING_STATUS=MR","SCALING_FORMAT=MLN","Sort=A","Dates=H","DateFormat=P","Fill=—","Direction=H","UseDPDF=Y")</f>
        <v>19808</v>
      </c>
      <c r="AE7" s="13">
        <f>_xll.BDH("AMZN US Equity","C&amp;CE_AND_STI_DETAILED","FQ1 2016","FQ1 2016","Currency=USD","Period=FQ","BEST_FPERIOD_OVERRIDE=FQ","FILING_STATUS=MR","SCALING_FORMAT=MLN","Sort=A","Dates=H","DateFormat=P","Fill=—","Direction=H","UseDPDF=Y")</f>
        <v>15859</v>
      </c>
      <c r="AF7" s="13">
        <f>_xll.BDH("AMZN US Equity","C&amp;CE_AND_STI_DETAILED","FQ2 2016","FQ2 2016","Currency=USD","Period=FQ","BEST_FPERIOD_OVERRIDE=FQ","FILING_STATUS=MR","SCALING_FORMAT=MLN","Sort=A","Dates=H","DateFormat=P","Fill=—","Direction=H","UseDPDF=Y")</f>
        <v>16540</v>
      </c>
      <c r="AG7" s="13">
        <f>_xll.BDH("AMZN US Equity","C&amp;CE_AND_STI_DETAILED","FQ3 2016","FQ3 2016","Currency=USD","Period=FQ","BEST_FPERIOD_OVERRIDE=FQ","FILING_STATUS=MR","SCALING_FORMAT=MLN","Sort=A","Dates=H","DateFormat=P","Fill=—","Direction=H","UseDPDF=Y")</f>
        <v>18347</v>
      </c>
      <c r="AH7" s="13">
        <f>_xll.BDH("AMZN US Equity","C&amp;CE_AND_STI_DETAILED","FQ4 2016","FQ4 2016","Currency=USD","Period=FQ","BEST_FPERIOD_OVERRIDE=FQ","FILING_STATUS=MR","SCALING_FORMAT=MLN","Sort=A","Dates=H","DateFormat=P","Fill=—","Direction=H","UseDPDF=Y")</f>
        <v>25981</v>
      </c>
      <c r="AI7" s="13">
        <f>_xll.BDH("AMZN US Equity","C&amp;CE_AND_STI_DETAILED","FQ1 2017","FQ1 2017","Currency=USD","Period=FQ","BEST_FPERIOD_OVERRIDE=FQ","FILING_STATUS=MR","SCALING_FORMAT=MLN","Sort=A","Dates=H","DateFormat=P","Fill=—","Direction=H","UseDPDF=Y")</f>
        <v>21531</v>
      </c>
      <c r="AJ7" s="13">
        <f>_xll.BDH("AMZN US Equity","C&amp;CE_AND_STI_DETAILED","FQ2 2017","FQ2 2017","Currency=USD","Period=FQ","BEST_FPERIOD_OVERRIDE=FQ","FILING_STATUS=MR","SCALING_FORMAT=MLN","Sort=A","Dates=H","DateFormat=P","Fill=—","Direction=H","UseDPDF=Y")</f>
        <v>21451</v>
      </c>
      <c r="AK7" s="13">
        <f>_xll.BDH("AMZN US Equity","C&amp;CE_AND_STI_DETAILED","FQ3 2017","FQ3 2017","Currency=USD","Period=FQ","BEST_FPERIOD_OVERRIDE=FQ","FILING_STATUS=MR","SCALING_FORMAT=MLN","Sort=A","Dates=H","DateFormat=P","Fill=—","Direction=H","UseDPDF=Y")</f>
        <v>24310</v>
      </c>
      <c r="AL7" s="13">
        <f>_xll.BDH("AMZN US Equity","C&amp;CE_AND_STI_DETAILED","FQ4 2017","FQ4 2017","Currency=USD","Period=FQ","BEST_FPERIOD_OVERRIDE=FQ","FILING_STATUS=MR","SCALING_FORMAT=MLN","Sort=A","Dates=H","DateFormat=P","Fill=—","Direction=H","UseDPDF=Y")</f>
        <v>30986</v>
      </c>
      <c r="AM7" s="13">
        <f>_xll.BDH("AMZN US Equity","C&amp;CE_AND_STI_DETAILED","FQ1 2018","FQ1 2018","Currency=USD","Period=FQ","BEST_FPERIOD_OVERRIDE=FQ","FILING_STATUS=MR","SCALING_FORMAT=MLN","Sort=A","Dates=H","DateFormat=P","Fill=—","Direction=H","UseDPDF=Y")</f>
        <v>24963</v>
      </c>
      <c r="AN7" s="13">
        <f>_xll.BDH("AMZN US Equity","C&amp;CE_AND_STI_DETAILED","FQ2 2018","FQ2 2018","Currency=USD","Period=FQ","BEST_FPERIOD_OVERRIDE=FQ","FILING_STATUS=MR","SCALING_FORMAT=MLN","Sort=A","Dates=H","DateFormat=P","Fill=—","Direction=H","UseDPDF=Y")</f>
        <v>27050</v>
      </c>
    </row>
    <row r="8" spans="1:40" x14ac:dyDescent="0.25">
      <c r="A8" s="10" t="s">
        <v>212</v>
      </c>
      <c r="B8" s="10" t="s">
        <v>213</v>
      </c>
      <c r="C8" s="13">
        <f>_xll.BDH("AMZN US Equity","BS_CASH_NEAR_CASH_ITEM","FQ1 2009","FQ1 2009","Currency=USD","Period=FQ","BEST_FPERIOD_OVERRIDE=FQ","FILING_STATUS=MR","SCALING_FORMAT=MLN","Sort=A","Dates=H","DateFormat=P","Fill=—","Direction=H","UseDPDF=Y")</f>
        <v>1701</v>
      </c>
      <c r="D8" s="13">
        <f>_xll.BDH("AMZN US Equity","BS_CASH_NEAR_CASH_ITEM","FQ2 2009","FQ2 2009","Currency=USD","Period=FQ","BEST_FPERIOD_OVERRIDE=FQ","FILING_STATUS=MR","SCALING_FORMAT=MLN","Sort=A","Dates=H","DateFormat=P","Fill=—","Direction=H","UseDPDF=Y")</f>
        <v>1936</v>
      </c>
      <c r="E8" s="13">
        <f>_xll.BDH("AMZN US Equity","BS_CASH_NEAR_CASH_ITEM","FQ3 2009","FQ3 2009","Currency=USD","Period=FQ","BEST_FPERIOD_OVERRIDE=FQ","FILING_STATUS=MR","SCALING_FORMAT=MLN","Sort=A","Dates=H","DateFormat=P","Fill=—","Direction=H","UseDPDF=Y")</f>
        <v>2514</v>
      </c>
      <c r="F8" s="13">
        <f>_xll.BDH("AMZN US Equity","BS_CASH_NEAR_CASH_ITEM","FQ4 2009","FQ4 2009","Currency=USD","Period=FQ","BEST_FPERIOD_OVERRIDE=FQ","FILING_STATUS=MR","SCALING_FORMAT=MLN","Sort=A","Dates=H","DateFormat=P","Fill=—","Direction=H","UseDPDF=Y")</f>
        <v>3444</v>
      </c>
      <c r="G8" s="13">
        <f>_xll.BDH("AMZN US Equity","BS_CASH_NEAR_CASH_ITEM","FQ1 2010","FQ1 2010","Currency=USD","Period=FQ","BEST_FPERIOD_OVERRIDE=FQ","FILING_STATUS=MR","SCALING_FORMAT=MLN","Sort=A","Dates=H","DateFormat=P","Fill=—","Direction=H","UseDPDF=Y")</f>
        <v>1844</v>
      </c>
      <c r="H8" s="13">
        <f>_xll.BDH("AMZN US Equity","BS_CASH_NEAR_CASH_ITEM","FQ2 2010","FQ2 2010","Currency=USD","Period=FQ","BEST_FPERIOD_OVERRIDE=FQ","FILING_STATUS=MR","SCALING_FORMAT=MLN","Sort=A","Dates=H","DateFormat=P","Fill=—","Direction=H","UseDPDF=Y")</f>
        <v>1629</v>
      </c>
      <c r="I8" s="13">
        <f>_xll.BDH("AMZN US Equity","BS_CASH_NEAR_CASH_ITEM","FQ3 2010","FQ3 2010","Currency=USD","Period=FQ","BEST_FPERIOD_OVERRIDE=FQ","FILING_STATUS=MR","SCALING_FORMAT=MLN","Sort=A","Dates=H","DateFormat=P","Fill=—","Direction=H","UseDPDF=Y")</f>
        <v>1539</v>
      </c>
      <c r="J8" s="13">
        <f>_xll.BDH("AMZN US Equity","BS_CASH_NEAR_CASH_ITEM","FQ4 2010","FQ4 2010","Currency=USD","Period=FQ","BEST_FPERIOD_OVERRIDE=FQ","FILING_STATUS=MR","SCALING_FORMAT=MLN","Sort=A","Dates=H","DateFormat=P","Fill=—","Direction=H","UseDPDF=Y")</f>
        <v>3777</v>
      </c>
      <c r="K8" s="13">
        <f>_xll.BDH("AMZN US Equity","BS_CASH_NEAR_CASH_ITEM","FQ1 2011","FQ1 2011","Currency=USD","Period=FQ","BEST_FPERIOD_OVERRIDE=FQ","FILING_STATUS=MR","SCALING_FORMAT=MLN","Sort=A","Dates=H","DateFormat=P","Fill=—","Direction=H","UseDPDF=Y")</f>
        <v>2641</v>
      </c>
      <c r="L8" s="13">
        <f>_xll.BDH("AMZN US Equity","BS_CASH_NEAR_CASH_ITEM","FQ2 2011","FQ2 2011","Currency=USD","Period=FQ","BEST_FPERIOD_OVERRIDE=FQ","FILING_STATUS=MR","SCALING_FORMAT=MLN","Sort=A","Dates=H","DateFormat=P","Fill=—","Direction=H","UseDPDF=Y")</f>
        <v>2047</v>
      </c>
      <c r="M8" s="13">
        <f>_xll.BDH("AMZN US Equity","BS_CASH_NEAR_CASH_ITEM","FQ3 2011","FQ3 2011","Currency=USD","Period=FQ","BEST_FPERIOD_OVERRIDE=FQ","FILING_STATUS=MR","SCALING_FORMAT=MLN","Sort=A","Dates=H","DateFormat=P","Fill=—","Direction=H","UseDPDF=Y")</f>
        <v>2823</v>
      </c>
      <c r="N8" s="13">
        <f>_xll.BDH("AMZN US Equity","BS_CASH_NEAR_CASH_ITEM","FQ4 2011","FQ4 2011","Currency=USD","Period=FQ","BEST_FPERIOD_OVERRIDE=FQ","FILING_STATUS=MR","SCALING_FORMAT=MLN","Sort=A","Dates=H","DateFormat=P","Fill=—","Direction=H","UseDPDF=Y")</f>
        <v>5269</v>
      </c>
      <c r="O8" s="13">
        <f>_xll.BDH("AMZN US Equity","BS_CASH_NEAR_CASH_ITEM","FQ1 2012","FQ1 2012","Currency=USD","Period=FQ","BEST_FPERIOD_OVERRIDE=FQ","FILING_STATUS=MR","SCALING_FORMAT=MLN","Sort=A","Dates=H","DateFormat=P","Fill=—","Direction=H","UseDPDF=Y")</f>
        <v>2288</v>
      </c>
      <c r="P8" s="13">
        <f>_xll.BDH("AMZN US Equity","BS_CASH_NEAR_CASH_ITEM","FQ2 2012","FQ2 2012","Currency=USD","Period=FQ","BEST_FPERIOD_OVERRIDE=FQ","FILING_STATUS=MR","SCALING_FORMAT=MLN","Sort=A","Dates=H","DateFormat=P","Fill=—","Direction=H","UseDPDF=Y")</f>
        <v>2335</v>
      </c>
      <c r="Q8" s="13">
        <f>_xll.BDH("AMZN US Equity","BS_CASH_NEAR_CASH_ITEM","FQ3 2012","FQ3 2012","Currency=USD","Period=FQ","BEST_FPERIOD_OVERRIDE=FQ","FILING_STATUS=MR","SCALING_FORMAT=MLN","Sort=A","Dates=H","DateFormat=P","Fill=—","Direction=H","UseDPDF=Y")</f>
        <v>2980</v>
      </c>
      <c r="R8" s="13">
        <f>_xll.BDH("AMZN US Equity","BS_CASH_NEAR_CASH_ITEM","FQ4 2012","FQ4 2012","Currency=USD","Period=FQ","BEST_FPERIOD_OVERRIDE=FQ","FILING_STATUS=MR","SCALING_FORMAT=MLN","Sort=A","Dates=H","DateFormat=P","Fill=—","Direction=H","UseDPDF=Y")</f>
        <v>8084</v>
      </c>
      <c r="S8" s="13">
        <f>_xll.BDH("AMZN US Equity","BS_CASH_NEAR_CASH_ITEM","FQ1 2013","FQ1 2013","Currency=USD","Period=FQ","BEST_FPERIOD_OVERRIDE=FQ","FILING_STATUS=MR","SCALING_FORMAT=MLN","Sort=A","Dates=H","DateFormat=P","Fill=—","Direction=H","UseDPDF=Y")</f>
        <v>4481</v>
      </c>
      <c r="T8" s="13">
        <f>_xll.BDH("AMZN US Equity","BS_CASH_NEAR_CASH_ITEM","FQ2 2013","FQ2 2013","Currency=USD","Period=FQ","BEST_FPERIOD_OVERRIDE=FQ","FILING_STATUS=MR","SCALING_FORMAT=MLN","Sort=A","Dates=H","DateFormat=P","Fill=—","Direction=H","UseDPDF=Y")</f>
        <v>3704</v>
      </c>
      <c r="U8" s="13">
        <f>_xll.BDH("AMZN US Equity","BS_CASH_NEAR_CASH_ITEM","FQ3 2013","FQ3 2013","Currency=USD","Period=FQ","BEST_FPERIOD_OVERRIDE=FQ","FILING_STATUS=MR","SCALING_FORMAT=MLN","Sort=A","Dates=H","DateFormat=P","Fill=—","Direction=H","UseDPDF=Y")</f>
        <v>3872</v>
      </c>
      <c r="V8" s="13">
        <f>_xll.BDH("AMZN US Equity","BS_CASH_NEAR_CASH_ITEM","FQ4 2013","FQ4 2013","Currency=USD","Period=FQ","BEST_FPERIOD_OVERRIDE=FQ","FILING_STATUS=MR","SCALING_FORMAT=MLN","Sort=A","Dates=H","DateFormat=P","Fill=—","Direction=H","UseDPDF=Y")</f>
        <v>8658</v>
      </c>
      <c r="W8" s="13">
        <f>_xll.BDH("AMZN US Equity","BS_CASH_NEAR_CASH_ITEM","FQ1 2014","FQ1 2014","Currency=USD","Period=FQ","BEST_FPERIOD_OVERRIDE=FQ","FILING_STATUS=MR","SCALING_FORMAT=MLN","Sort=A","Dates=H","DateFormat=P","Fill=—","Direction=H","UseDPDF=Y")</f>
        <v>5074</v>
      </c>
      <c r="X8" s="13">
        <f>_xll.BDH("AMZN US Equity","BS_CASH_NEAR_CASH_ITEM","FQ2 2014","FQ2 2014","Currency=USD","Period=FQ","BEST_FPERIOD_OVERRIDE=FQ","FILING_STATUS=MR","SCALING_FORMAT=MLN","Sort=A","Dates=H","DateFormat=P","Fill=—","Direction=H","UseDPDF=Y")</f>
        <v>5057</v>
      </c>
      <c r="Y8" s="13">
        <f>_xll.BDH("AMZN US Equity","BS_CASH_NEAR_CASH_ITEM","FQ3 2014","FQ3 2014","Currency=USD","Period=FQ","BEST_FPERIOD_OVERRIDE=FQ","FILING_STATUS=MR","SCALING_FORMAT=MLN","Sort=A","Dates=H","DateFormat=P","Fill=—","Direction=H","UseDPDF=Y")</f>
        <v>5258</v>
      </c>
      <c r="Z8" s="13">
        <f>_xll.BDH("AMZN US Equity","BS_CASH_NEAR_CASH_ITEM","FQ4 2014","FQ4 2014","Currency=USD","Period=FQ","BEST_FPERIOD_OVERRIDE=FQ","FILING_STATUS=MR","SCALING_FORMAT=MLN","Sort=A","Dates=H","DateFormat=P","Fill=—","Direction=H","UseDPDF=Y")</f>
        <v>14557</v>
      </c>
      <c r="AA8" s="13">
        <f>_xll.BDH("AMZN US Equity","BS_CASH_NEAR_CASH_ITEM","FQ1 2015","FQ1 2015","Currency=USD","Period=FQ","BEST_FPERIOD_OVERRIDE=FQ","FILING_STATUS=MR","SCALING_FORMAT=MLN","Sort=A","Dates=H","DateFormat=P","Fill=—","Direction=H","UseDPDF=Y")</f>
        <v>10237</v>
      </c>
      <c r="AB8" s="13">
        <f>_xll.BDH("AMZN US Equity","BS_CASH_NEAR_CASH_ITEM","FQ2 2015","FQ2 2015","Currency=USD","Period=FQ","BEST_FPERIOD_OVERRIDE=FQ","FILING_STATUS=MR","SCALING_FORMAT=MLN","Sort=A","Dates=H","DateFormat=P","Fill=—","Direction=H","UseDPDF=Y")</f>
        <v>10269</v>
      </c>
      <c r="AC8" s="13">
        <f>_xll.BDH("AMZN US Equity","BS_CASH_NEAR_CASH_ITEM","FQ3 2015","FQ3 2015","Currency=USD","Period=FQ","BEST_FPERIOD_OVERRIDE=FQ","FILING_STATUS=MR","SCALING_FORMAT=MLN","Sort=A","Dates=H","DateFormat=P","Fill=—","Direction=H","UseDPDF=Y")</f>
        <v>10709</v>
      </c>
      <c r="AD8" s="13">
        <f>_xll.BDH("AMZN US Equity","BS_CASH_NEAR_CASH_ITEM","FQ4 2015","FQ4 2015","Currency=USD","Period=FQ","BEST_FPERIOD_OVERRIDE=FQ","FILING_STATUS=MR","SCALING_FORMAT=MLN","Sort=A","Dates=H","DateFormat=P","Fill=—","Direction=H","UseDPDF=Y")</f>
        <v>15890</v>
      </c>
      <c r="AE8" s="13">
        <f>_xll.BDH("AMZN US Equity","BS_CASH_NEAR_CASH_ITEM","FQ1 2016","FQ1 2016","Currency=USD","Period=FQ","BEST_FPERIOD_OVERRIDE=FQ","FILING_STATUS=MR","SCALING_FORMAT=MLN","Sort=A","Dates=H","DateFormat=P","Fill=—","Direction=H","UseDPDF=Y")</f>
        <v>12470</v>
      </c>
      <c r="AF8" s="13">
        <f>_xll.BDH("AMZN US Equity","BS_CASH_NEAR_CASH_ITEM","FQ2 2016","FQ2 2016","Currency=USD","Period=FQ","BEST_FPERIOD_OVERRIDE=FQ","FILING_STATUS=MR","SCALING_FORMAT=MLN","Sort=A","Dates=H","DateFormat=P","Fill=—","Direction=H","UseDPDF=Y")</f>
        <v>12521</v>
      </c>
      <c r="AG8" s="13">
        <f>_xll.BDH("AMZN US Equity","BS_CASH_NEAR_CASH_ITEM","FQ3 2016","FQ3 2016","Currency=USD","Period=FQ","BEST_FPERIOD_OVERRIDE=FQ","FILING_STATUS=MR","SCALING_FORMAT=MLN","Sort=A","Dates=H","DateFormat=P","Fill=—","Direction=H","UseDPDF=Y")</f>
        <v>13656</v>
      </c>
      <c r="AH8" s="13">
        <f>_xll.BDH("AMZN US Equity","BS_CASH_NEAR_CASH_ITEM","FQ4 2016","FQ4 2016","Currency=USD","Period=FQ","BEST_FPERIOD_OVERRIDE=FQ","FILING_STATUS=MR","SCALING_FORMAT=MLN","Sort=A","Dates=H","DateFormat=P","Fill=—","Direction=H","UseDPDF=Y")</f>
        <v>19334</v>
      </c>
      <c r="AI8" s="13">
        <f>_xll.BDH("AMZN US Equity","BS_CASH_NEAR_CASH_ITEM","FQ1 2017","FQ1 2017","Currency=USD","Period=FQ","BEST_FPERIOD_OVERRIDE=FQ","FILING_STATUS=MR","SCALING_FORMAT=MLN","Sort=A","Dates=H","DateFormat=P","Fill=—","Direction=H","UseDPDF=Y")</f>
        <v>15440</v>
      </c>
      <c r="AJ8" s="13">
        <f>_xll.BDH("AMZN US Equity","BS_CASH_NEAR_CASH_ITEM","FQ2 2017","FQ2 2017","Currency=USD","Period=FQ","BEST_FPERIOD_OVERRIDE=FQ","FILING_STATUS=MR","SCALING_FORMAT=MLN","Sort=A","Dates=H","DateFormat=P","Fill=—","Direction=H","UseDPDF=Y")</f>
        <v>13203</v>
      </c>
      <c r="AK8" s="13">
        <f>_xll.BDH("AMZN US Equity","BS_CASH_NEAR_CASH_ITEM","FQ3 2017","FQ3 2017","Currency=USD","Period=FQ","BEST_FPERIOD_OVERRIDE=FQ","FILING_STATUS=MR","SCALING_FORMAT=MLN","Sort=A","Dates=H","DateFormat=P","Fill=—","Direction=H","UseDPDF=Y")</f>
        <v>12767</v>
      </c>
      <c r="AL8" s="13">
        <f>_xll.BDH("AMZN US Equity","BS_CASH_NEAR_CASH_ITEM","FQ4 2017","FQ4 2017","Currency=USD","Period=FQ","BEST_FPERIOD_OVERRIDE=FQ","FILING_STATUS=MR","SCALING_FORMAT=MLN","Sort=A","Dates=H","DateFormat=P","Fill=—","Direction=H","UseDPDF=Y")</f>
        <v>20522</v>
      </c>
      <c r="AM8" s="13">
        <f>_xll.BDH("AMZN US Equity","BS_CASH_NEAR_CASH_ITEM","FQ1 2018","FQ1 2018","Currency=USD","Period=FQ","BEST_FPERIOD_OVERRIDE=FQ","FILING_STATUS=MR","SCALING_FORMAT=MLN","Sort=A","Dates=H","DateFormat=P","Fill=—","Direction=H","UseDPDF=Y")</f>
        <v>16676</v>
      </c>
      <c r="AN8" s="13">
        <f>_xll.BDH("AMZN US Equity","BS_CASH_NEAR_CASH_ITEM","FQ2 2018","FQ2 2018","Currency=USD","Period=FQ","BEST_FPERIOD_OVERRIDE=FQ","FILING_STATUS=MR","SCALING_FORMAT=MLN","Sort=A","Dates=H","DateFormat=P","Fill=—","Direction=H","UseDPDF=Y")</f>
        <v>19823</v>
      </c>
    </row>
    <row r="9" spans="1:40" x14ac:dyDescent="0.25">
      <c r="A9" s="10" t="s">
        <v>214</v>
      </c>
      <c r="B9" s="10" t="s">
        <v>215</v>
      </c>
      <c r="C9" s="13">
        <f>_xll.BDH("AMZN US Equity","BS_MKT_SEC_OTHER_ST_INVEST","FQ1 2009","FQ1 2009","Currency=USD","Period=FQ","BEST_FPERIOD_OVERRIDE=FQ","FILING_STATUS=MR","SCALING_FORMAT=MLN","Sort=A","Dates=H","DateFormat=P","Fill=—","Direction=H","UseDPDF=Y")</f>
        <v>1029</v>
      </c>
      <c r="D9" s="13">
        <f>_xll.BDH("AMZN US Equity","BS_MKT_SEC_OTHER_ST_INVEST","FQ2 2009","FQ2 2009","Currency=USD","Period=FQ","BEST_FPERIOD_OVERRIDE=FQ","FILING_STATUS=MR","SCALING_FORMAT=MLN","Sort=A","Dates=H","DateFormat=P","Fill=—","Direction=H","UseDPDF=Y")</f>
        <v>1276</v>
      </c>
      <c r="E9" s="13">
        <f>_xll.BDH("AMZN US Equity","BS_MKT_SEC_OTHER_ST_INVEST","FQ3 2009","FQ3 2009","Currency=USD","Period=FQ","BEST_FPERIOD_OVERRIDE=FQ","FILING_STATUS=MR","SCALING_FORMAT=MLN","Sort=A","Dates=H","DateFormat=P","Fill=—","Direction=H","UseDPDF=Y")</f>
        <v>1487</v>
      </c>
      <c r="F9" s="13">
        <f>_xll.BDH("AMZN US Equity","BS_MKT_SEC_OTHER_ST_INVEST","FQ4 2009","FQ4 2009","Currency=USD","Period=FQ","BEST_FPERIOD_OVERRIDE=FQ","FILING_STATUS=MR","SCALING_FORMAT=MLN","Sort=A","Dates=H","DateFormat=P","Fill=—","Direction=H","UseDPDF=Y")</f>
        <v>2922</v>
      </c>
      <c r="G9" s="13">
        <f>_xll.BDH("AMZN US Equity","BS_MKT_SEC_OTHER_ST_INVEST","FQ1 2010","FQ1 2010","Currency=USD","Period=FQ","BEST_FPERIOD_OVERRIDE=FQ","FILING_STATUS=MR","SCALING_FORMAT=MLN","Sort=A","Dates=H","DateFormat=P","Fill=—","Direction=H","UseDPDF=Y")</f>
        <v>3219</v>
      </c>
      <c r="H9" s="13">
        <f>_xll.BDH("AMZN US Equity","BS_MKT_SEC_OTHER_ST_INVEST","FQ2 2010","FQ2 2010","Currency=USD","Period=FQ","BEST_FPERIOD_OVERRIDE=FQ","FILING_STATUS=MR","SCALING_FORMAT=MLN","Sort=A","Dates=H","DateFormat=P","Fill=—","Direction=H","UseDPDF=Y")</f>
        <v>3479</v>
      </c>
      <c r="I9" s="13">
        <f>_xll.BDH("AMZN US Equity","BS_MKT_SEC_OTHER_ST_INVEST","FQ3 2010","FQ3 2010","Currency=USD","Period=FQ","BEST_FPERIOD_OVERRIDE=FQ","FILING_STATUS=MR","SCALING_FORMAT=MLN","Sort=A","Dates=H","DateFormat=P","Fill=—","Direction=H","UseDPDF=Y")</f>
        <v>4346</v>
      </c>
      <c r="J9" s="13">
        <f>_xll.BDH("AMZN US Equity","BS_MKT_SEC_OTHER_ST_INVEST","FQ4 2010","FQ4 2010","Currency=USD","Period=FQ","BEST_FPERIOD_OVERRIDE=FQ","FILING_STATUS=MR","SCALING_FORMAT=MLN","Sort=A","Dates=H","DateFormat=P","Fill=—","Direction=H","UseDPDF=Y")</f>
        <v>4985</v>
      </c>
      <c r="K9" s="13">
        <f>_xll.BDH("AMZN US Equity","BS_MKT_SEC_OTHER_ST_INVEST","FQ1 2011","FQ1 2011","Currency=USD","Period=FQ","BEST_FPERIOD_OVERRIDE=FQ","FILING_STATUS=MR","SCALING_FORMAT=MLN","Sort=A","Dates=H","DateFormat=P","Fill=—","Direction=H","UseDPDF=Y")</f>
        <v>4240</v>
      </c>
      <c r="L9" s="13">
        <f>_xll.BDH("AMZN US Equity","BS_MKT_SEC_OTHER_ST_INVEST","FQ2 2011","FQ2 2011","Currency=USD","Period=FQ","BEST_FPERIOD_OVERRIDE=FQ","FILING_STATUS=MR","SCALING_FORMAT=MLN","Sort=A","Dates=H","DateFormat=P","Fill=—","Direction=H","UseDPDF=Y")</f>
        <v>4308</v>
      </c>
      <c r="M9" s="13">
        <f>_xll.BDH("AMZN US Equity","BS_MKT_SEC_OTHER_ST_INVEST","FQ3 2011","FQ3 2011","Currency=USD","Period=FQ","BEST_FPERIOD_OVERRIDE=FQ","FILING_STATUS=MR","SCALING_FORMAT=MLN","Sort=A","Dates=H","DateFormat=P","Fill=—","Direction=H","UseDPDF=Y")</f>
        <v>3503</v>
      </c>
      <c r="N9" s="13">
        <f>_xll.BDH("AMZN US Equity","BS_MKT_SEC_OTHER_ST_INVEST","FQ4 2011","FQ4 2011","Currency=USD","Period=FQ","BEST_FPERIOD_OVERRIDE=FQ","FILING_STATUS=MR","SCALING_FORMAT=MLN","Sort=A","Dates=H","DateFormat=P","Fill=—","Direction=H","UseDPDF=Y")</f>
        <v>4307</v>
      </c>
      <c r="O9" s="13">
        <f>_xll.BDH("AMZN US Equity","BS_MKT_SEC_OTHER_ST_INVEST","FQ1 2012","FQ1 2012","Currency=USD","Period=FQ","BEST_FPERIOD_OVERRIDE=FQ","FILING_STATUS=MR","SCALING_FORMAT=MLN","Sort=A","Dates=H","DateFormat=P","Fill=—","Direction=H","UseDPDF=Y")</f>
        <v>3427</v>
      </c>
      <c r="P9" s="13">
        <f>_xll.BDH("AMZN US Equity","BS_MKT_SEC_OTHER_ST_INVEST","FQ2 2012","FQ2 2012","Currency=USD","Period=FQ","BEST_FPERIOD_OVERRIDE=FQ","FILING_STATUS=MR","SCALING_FORMAT=MLN","Sort=A","Dates=H","DateFormat=P","Fill=—","Direction=H","UseDPDF=Y")</f>
        <v>2635</v>
      </c>
      <c r="Q9" s="13">
        <f>_xll.BDH("AMZN US Equity","BS_MKT_SEC_OTHER_ST_INVEST","FQ3 2012","FQ3 2012","Currency=USD","Period=FQ","BEST_FPERIOD_OVERRIDE=FQ","FILING_STATUS=MR","SCALING_FORMAT=MLN","Sort=A","Dates=H","DateFormat=P","Fill=—","Direction=H","UseDPDF=Y")</f>
        <v>2268</v>
      </c>
      <c r="R9" s="13">
        <f>_xll.BDH("AMZN US Equity","BS_MKT_SEC_OTHER_ST_INVEST","FQ4 2012","FQ4 2012","Currency=USD","Period=FQ","BEST_FPERIOD_OVERRIDE=FQ","FILING_STATUS=MR","SCALING_FORMAT=MLN","Sort=A","Dates=H","DateFormat=P","Fill=—","Direction=H","UseDPDF=Y")</f>
        <v>3364</v>
      </c>
      <c r="S9" s="13">
        <f>_xll.BDH("AMZN US Equity","BS_MKT_SEC_OTHER_ST_INVEST","FQ1 2013","FQ1 2013","Currency=USD","Period=FQ","BEST_FPERIOD_OVERRIDE=FQ","FILING_STATUS=MR","SCALING_FORMAT=MLN","Sort=A","Dates=H","DateFormat=P","Fill=—","Direction=H","UseDPDF=Y")</f>
        <v>3414</v>
      </c>
      <c r="T9" s="13">
        <f>_xll.BDH("AMZN US Equity","BS_MKT_SEC_OTHER_ST_INVEST","FQ2 2013","FQ2 2013","Currency=USD","Period=FQ","BEST_FPERIOD_OVERRIDE=FQ","FILING_STATUS=MR","SCALING_FORMAT=MLN","Sort=A","Dates=H","DateFormat=P","Fill=—","Direction=H","UseDPDF=Y")</f>
        <v>3759</v>
      </c>
      <c r="U9" s="13">
        <f>_xll.BDH("AMZN US Equity","BS_MKT_SEC_OTHER_ST_INVEST","FQ3 2013","FQ3 2013","Currency=USD","Period=FQ","BEST_FPERIOD_OVERRIDE=FQ","FILING_STATUS=MR","SCALING_FORMAT=MLN","Sort=A","Dates=H","DateFormat=P","Fill=—","Direction=H","UseDPDF=Y")</f>
        <v>3817</v>
      </c>
      <c r="V9" s="13">
        <f>_xll.BDH("AMZN US Equity","BS_MKT_SEC_OTHER_ST_INVEST","FQ4 2013","FQ4 2013","Currency=USD","Period=FQ","BEST_FPERIOD_OVERRIDE=FQ","FILING_STATUS=MR","SCALING_FORMAT=MLN","Sort=A","Dates=H","DateFormat=P","Fill=—","Direction=H","UseDPDF=Y")</f>
        <v>3789</v>
      </c>
      <c r="W9" s="13">
        <f>_xll.BDH("AMZN US Equity","BS_MKT_SEC_OTHER_ST_INVEST","FQ1 2014","FQ1 2014","Currency=USD","Period=FQ","BEST_FPERIOD_OVERRIDE=FQ","FILING_STATUS=MR","SCALING_FORMAT=MLN","Sort=A","Dates=H","DateFormat=P","Fill=—","Direction=H","UseDPDF=Y")</f>
        <v>3592</v>
      </c>
      <c r="X9" s="13">
        <f>_xll.BDH("AMZN US Equity","BS_MKT_SEC_OTHER_ST_INVEST","FQ2 2014","FQ2 2014","Currency=USD","Period=FQ","BEST_FPERIOD_OVERRIDE=FQ","FILING_STATUS=MR","SCALING_FORMAT=MLN","Sort=A","Dates=H","DateFormat=P","Fill=—","Direction=H","UseDPDF=Y")</f>
        <v>2929</v>
      </c>
      <c r="Y9" s="13">
        <f>_xll.BDH("AMZN US Equity","BS_MKT_SEC_OTHER_ST_INVEST","FQ3 2014","FQ3 2014","Currency=USD","Period=FQ","BEST_FPERIOD_OVERRIDE=FQ","FILING_STATUS=MR","SCALING_FORMAT=MLN","Sort=A","Dates=H","DateFormat=P","Fill=—","Direction=H","UseDPDF=Y")</f>
        <v>1625</v>
      </c>
      <c r="Z9" s="13">
        <f>_xll.BDH("AMZN US Equity","BS_MKT_SEC_OTHER_ST_INVEST","FQ4 2014","FQ4 2014","Currency=USD","Period=FQ","BEST_FPERIOD_OVERRIDE=FQ","FILING_STATUS=MR","SCALING_FORMAT=MLN","Sort=A","Dates=H","DateFormat=P","Fill=—","Direction=H","UseDPDF=Y")</f>
        <v>2859</v>
      </c>
      <c r="AA9" s="13">
        <f>_xll.BDH("AMZN US Equity","BS_MKT_SEC_OTHER_ST_INVEST","FQ1 2015","FQ1 2015","Currency=USD","Period=FQ","BEST_FPERIOD_OVERRIDE=FQ","FILING_STATUS=MR","SCALING_FORMAT=MLN","Sort=A","Dates=H","DateFormat=P","Fill=—","Direction=H","UseDPDF=Y")</f>
        <v>3544</v>
      </c>
      <c r="AB9" s="13">
        <f>_xll.BDH("AMZN US Equity","BS_MKT_SEC_OTHER_ST_INVEST","FQ2 2015","FQ2 2015","Currency=USD","Period=FQ","BEST_FPERIOD_OVERRIDE=FQ","FILING_STATUS=MR","SCALING_FORMAT=MLN","Sort=A","Dates=H","DateFormat=P","Fill=—","Direction=H","UseDPDF=Y")</f>
        <v>3732</v>
      </c>
      <c r="AC9" s="13">
        <f>_xll.BDH("AMZN US Equity","BS_MKT_SEC_OTHER_ST_INVEST","FQ3 2015","FQ3 2015","Currency=USD","Period=FQ","BEST_FPERIOD_OVERRIDE=FQ","FILING_STATUS=MR","SCALING_FORMAT=MLN","Sort=A","Dates=H","DateFormat=P","Fill=—","Direction=H","UseDPDF=Y")</f>
        <v>3719</v>
      </c>
      <c r="AD9" s="13">
        <f>_xll.BDH("AMZN US Equity","BS_MKT_SEC_OTHER_ST_INVEST","FQ4 2015","FQ4 2015","Currency=USD","Period=FQ","BEST_FPERIOD_OVERRIDE=FQ","FILING_STATUS=MR","SCALING_FORMAT=MLN","Sort=A","Dates=H","DateFormat=P","Fill=—","Direction=H","UseDPDF=Y")</f>
        <v>3918</v>
      </c>
      <c r="AE9" s="13">
        <f>_xll.BDH("AMZN US Equity","BS_MKT_SEC_OTHER_ST_INVEST","FQ1 2016","FQ1 2016","Currency=USD","Period=FQ","BEST_FPERIOD_OVERRIDE=FQ","FILING_STATUS=MR","SCALING_FORMAT=MLN","Sort=A","Dates=H","DateFormat=P","Fill=—","Direction=H","UseDPDF=Y")</f>
        <v>3389</v>
      </c>
      <c r="AF9" s="13">
        <f>_xll.BDH("AMZN US Equity","BS_MKT_SEC_OTHER_ST_INVEST","FQ2 2016","FQ2 2016","Currency=USD","Period=FQ","BEST_FPERIOD_OVERRIDE=FQ","FILING_STATUS=MR","SCALING_FORMAT=MLN","Sort=A","Dates=H","DateFormat=P","Fill=—","Direction=H","UseDPDF=Y")</f>
        <v>4019</v>
      </c>
      <c r="AG9" s="13">
        <f>_xll.BDH("AMZN US Equity","BS_MKT_SEC_OTHER_ST_INVEST","FQ3 2016","FQ3 2016","Currency=USD","Period=FQ","BEST_FPERIOD_OVERRIDE=FQ","FILING_STATUS=MR","SCALING_FORMAT=MLN","Sort=A","Dates=H","DateFormat=P","Fill=—","Direction=H","UseDPDF=Y")</f>
        <v>4691</v>
      </c>
      <c r="AH9" s="13">
        <f>_xll.BDH("AMZN US Equity","BS_MKT_SEC_OTHER_ST_INVEST","FQ4 2016","FQ4 2016","Currency=USD","Period=FQ","BEST_FPERIOD_OVERRIDE=FQ","FILING_STATUS=MR","SCALING_FORMAT=MLN","Sort=A","Dates=H","DateFormat=P","Fill=—","Direction=H","UseDPDF=Y")</f>
        <v>6647</v>
      </c>
      <c r="AI9" s="13">
        <f>_xll.BDH("AMZN US Equity","BS_MKT_SEC_OTHER_ST_INVEST","FQ1 2017","FQ1 2017","Currency=USD","Period=FQ","BEST_FPERIOD_OVERRIDE=FQ","FILING_STATUS=MR","SCALING_FORMAT=MLN","Sort=A","Dates=H","DateFormat=P","Fill=—","Direction=H","UseDPDF=Y")</f>
        <v>6091</v>
      </c>
      <c r="AJ9" s="13">
        <f>_xll.BDH("AMZN US Equity","BS_MKT_SEC_OTHER_ST_INVEST","FQ2 2017","FQ2 2017","Currency=USD","Period=FQ","BEST_FPERIOD_OVERRIDE=FQ","FILING_STATUS=MR","SCALING_FORMAT=MLN","Sort=A","Dates=H","DateFormat=P","Fill=—","Direction=H","UseDPDF=Y")</f>
        <v>8248</v>
      </c>
      <c r="AK9" s="13">
        <f>_xll.BDH("AMZN US Equity","BS_MKT_SEC_OTHER_ST_INVEST","FQ3 2017","FQ3 2017","Currency=USD","Period=FQ","BEST_FPERIOD_OVERRIDE=FQ","FILING_STATUS=MR","SCALING_FORMAT=MLN","Sort=A","Dates=H","DateFormat=P","Fill=—","Direction=H","UseDPDF=Y")</f>
        <v>11543</v>
      </c>
      <c r="AL9" s="13">
        <f>_xll.BDH("AMZN US Equity","BS_MKT_SEC_OTHER_ST_INVEST","FQ4 2017","FQ4 2017","Currency=USD","Period=FQ","BEST_FPERIOD_OVERRIDE=FQ","FILING_STATUS=MR","SCALING_FORMAT=MLN","Sort=A","Dates=H","DateFormat=P","Fill=—","Direction=H","UseDPDF=Y")</f>
        <v>10464</v>
      </c>
      <c r="AM9" s="13">
        <f>_xll.BDH("AMZN US Equity","BS_MKT_SEC_OTHER_ST_INVEST","FQ1 2018","FQ1 2018","Currency=USD","Period=FQ","BEST_FPERIOD_OVERRIDE=FQ","FILING_STATUS=MR","SCALING_FORMAT=MLN","Sort=A","Dates=H","DateFormat=P","Fill=—","Direction=H","UseDPDF=Y")</f>
        <v>8287</v>
      </c>
      <c r="AN9" s="13">
        <f>_xll.BDH("AMZN US Equity","BS_MKT_SEC_OTHER_ST_INVEST","FQ2 2018","FQ2 2018","Currency=USD","Period=FQ","BEST_FPERIOD_OVERRIDE=FQ","FILING_STATUS=MR","SCALING_FORMAT=MLN","Sort=A","Dates=H","DateFormat=P","Fill=—","Direction=H","UseDPDF=Y")</f>
        <v>7227</v>
      </c>
    </row>
    <row r="10" spans="1:40" x14ac:dyDescent="0.25">
      <c r="A10" s="10" t="s">
        <v>216</v>
      </c>
      <c r="B10" s="10" t="s">
        <v>217</v>
      </c>
      <c r="C10" s="13">
        <f>_xll.BDH("AMZN US Equity","BS_ACCT_NOTE_RCV","FQ1 2009","FQ1 2009","Currency=USD","Period=FQ","BEST_FPERIOD_OVERRIDE=FQ","FILING_STATUS=MR","SCALING_FORMAT=MLN","Sort=A","Dates=H","DateFormat=P","Fill=—","Direction=H","UseDPDF=Y")</f>
        <v>587</v>
      </c>
      <c r="D10" s="13">
        <f>_xll.BDH("AMZN US Equity","BS_ACCT_NOTE_RCV","FQ2 2009","FQ2 2009","Currency=USD","Period=FQ","BEST_FPERIOD_OVERRIDE=FQ","FILING_STATUS=MR","SCALING_FORMAT=MLN","Sort=A","Dates=H","DateFormat=P","Fill=—","Direction=H","UseDPDF=Y")</f>
        <v>584</v>
      </c>
      <c r="E10" s="13">
        <f>_xll.BDH("AMZN US Equity","BS_ACCT_NOTE_RCV","FQ3 2009","FQ3 2009","Currency=USD","Period=FQ","BEST_FPERIOD_OVERRIDE=FQ","FILING_STATUS=MR","SCALING_FORMAT=MLN","Sort=A","Dates=H","DateFormat=P","Fill=—","Direction=H","UseDPDF=Y")</f>
        <v>671</v>
      </c>
      <c r="F10" s="13">
        <f>_xll.BDH("AMZN US Equity","BS_ACCT_NOTE_RCV","FQ4 2009","FQ4 2009","Currency=USD","Period=FQ","BEST_FPERIOD_OVERRIDE=FQ","FILING_STATUS=MR","SCALING_FORMAT=MLN","Sort=A","Dates=H","DateFormat=P","Fill=—","Direction=H","UseDPDF=Y")</f>
        <v>988</v>
      </c>
      <c r="G10" s="13">
        <f>_xll.BDH("AMZN US Equity","BS_ACCT_NOTE_RCV","FQ1 2010","FQ1 2010","Currency=USD","Period=FQ","BEST_FPERIOD_OVERRIDE=FQ","FILING_STATUS=MR","SCALING_FORMAT=MLN","Sort=A","Dates=H","DateFormat=P","Fill=—","Direction=H","UseDPDF=Y")</f>
        <v>815</v>
      </c>
      <c r="H10" s="13">
        <f>_xll.BDH("AMZN US Equity","BS_ACCT_NOTE_RCV","FQ2 2010","FQ2 2010","Currency=USD","Period=FQ","BEST_FPERIOD_OVERRIDE=FQ","FILING_STATUS=MR","SCALING_FORMAT=MLN","Sort=A","Dates=H","DateFormat=P","Fill=—","Direction=H","UseDPDF=Y")</f>
        <v>805</v>
      </c>
      <c r="I10" s="13">
        <f>_xll.BDH("AMZN US Equity","BS_ACCT_NOTE_RCV","FQ3 2010","FQ3 2010","Currency=USD","Period=FQ","BEST_FPERIOD_OVERRIDE=FQ","FILING_STATUS=MR","SCALING_FORMAT=MLN","Sort=A","Dates=H","DateFormat=P","Fill=—","Direction=H","UseDPDF=Y")</f>
        <v>959</v>
      </c>
      <c r="J10" s="13">
        <f>_xll.BDH("AMZN US Equity","BS_ACCT_NOTE_RCV","FQ4 2010","FQ4 2010","Currency=USD","Period=FQ","BEST_FPERIOD_OVERRIDE=FQ","FILING_STATUS=MR","SCALING_FORMAT=MLN","Sort=A","Dates=H","DateFormat=P","Fill=—","Direction=H","UseDPDF=Y")</f>
        <v>1587</v>
      </c>
      <c r="K10" s="13">
        <f>_xll.BDH("AMZN US Equity","BS_ACCT_NOTE_RCV","FQ1 2011","FQ1 2011","Currency=USD","Period=FQ","BEST_FPERIOD_OVERRIDE=FQ","FILING_STATUS=MR","SCALING_FORMAT=MLN","Sort=A","Dates=H","DateFormat=P","Fill=—","Direction=H","UseDPDF=Y")</f>
        <v>1304</v>
      </c>
      <c r="L10" s="13">
        <f>_xll.BDH("AMZN US Equity","BS_ACCT_NOTE_RCV","FQ2 2011","FQ2 2011","Currency=USD","Period=FQ","BEST_FPERIOD_OVERRIDE=FQ","FILING_STATUS=MR","SCALING_FORMAT=MLN","Sort=A","Dates=H","DateFormat=P","Fill=—","Direction=H","UseDPDF=Y")</f>
        <v>1438</v>
      </c>
      <c r="M10" s="13">
        <f>_xll.BDH("AMZN US Equity","BS_ACCT_NOTE_RCV","FQ3 2011","FQ3 2011","Currency=USD","Period=FQ","BEST_FPERIOD_OVERRIDE=FQ","FILING_STATUS=MR","SCALING_FORMAT=MLN","Sort=A","Dates=H","DateFormat=P","Fill=—","Direction=H","UseDPDF=Y")</f>
        <v>1496</v>
      </c>
      <c r="N10" s="13">
        <f>_xll.BDH("AMZN US Equity","BS_ACCT_NOTE_RCV","FQ4 2011","FQ4 2011","Currency=USD","Period=FQ","BEST_FPERIOD_OVERRIDE=FQ","FILING_STATUS=MR","SCALING_FORMAT=MLN","Sort=A","Dates=H","DateFormat=P","Fill=—","Direction=H","UseDPDF=Y")</f>
        <v>2571</v>
      </c>
      <c r="O10" s="13">
        <f>_xll.BDH("AMZN US Equity","BS_ACCT_NOTE_RCV","FQ1 2012","FQ1 2012","Currency=USD","Period=FQ","BEST_FPERIOD_OVERRIDE=FQ","FILING_STATUS=MR","SCALING_FORMAT=MLN","Sort=A","Dates=H","DateFormat=P","Fill=—","Direction=H","UseDPDF=Y")</f>
        <v>1813</v>
      </c>
      <c r="P10" s="13">
        <f>_xll.BDH("AMZN US Equity","BS_ACCT_NOTE_RCV","FQ2 2012","FQ2 2012","Currency=USD","Period=FQ","BEST_FPERIOD_OVERRIDE=FQ","FILING_STATUS=MR","SCALING_FORMAT=MLN","Sort=A","Dates=H","DateFormat=P","Fill=—","Direction=H","UseDPDF=Y")</f>
        <v>2035</v>
      </c>
      <c r="Q10" s="13">
        <f>_xll.BDH("AMZN US Equity","BS_ACCT_NOTE_RCV","FQ3 2012","FQ3 2012","Currency=USD","Period=FQ","BEST_FPERIOD_OVERRIDE=FQ","FILING_STATUS=MR","SCALING_FORMAT=MLN","Sort=A","Dates=H","DateFormat=P","Fill=—","Direction=H","UseDPDF=Y")</f>
        <v>2392</v>
      </c>
      <c r="R10" s="13">
        <f>_xll.BDH("AMZN US Equity","BS_ACCT_NOTE_RCV","FQ4 2012","FQ4 2012","Currency=USD","Period=FQ","BEST_FPERIOD_OVERRIDE=FQ","FILING_STATUS=MR","SCALING_FORMAT=MLN","Sort=A","Dates=H","DateFormat=P","Fill=—","Direction=H","UseDPDF=Y")</f>
        <v>3364</v>
      </c>
      <c r="S10" s="13">
        <f>_xll.BDH("AMZN US Equity","BS_ACCT_NOTE_RCV","FQ1 2013","FQ1 2013","Currency=USD","Period=FQ","BEST_FPERIOD_OVERRIDE=FQ","FILING_STATUS=MR","SCALING_FORMAT=MLN","Sort=A","Dates=H","DateFormat=P","Fill=—","Direction=H","UseDPDF=Y")</f>
        <v>2516</v>
      </c>
      <c r="T10" s="13">
        <f>_xll.BDH("AMZN US Equity","BS_ACCT_NOTE_RCV","FQ2 2013","FQ2 2013","Currency=USD","Period=FQ","BEST_FPERIOD_OVERRIDE=FQ","FILING_STATUS=MR","SCALING_FORMAT=MLN","Sort=A","Dates=H","DateFormat=P","Fill=—","Direction=H","UseDPDF=Y")</f>
        <v>2861</v>
      </c>
      <c r="U10" s="13">
        <f>_xll.BDH("AMZN US Equity","BS_ACCT_NOTE_RCV","FQ3 2013","FQ3 2013","Currency=USD","Period=FQ","BEST_FPERIOD_OVERRIDE=FQ","FILING_STATUS=MR","SCALING_FORMAT=MLN","Sort=A","Dates=H","DateFormat=P","Fill=—","Direction=H","UseDPDF=Y")</f>
        <v>3057</v>
      </c>
      <c r="V10" s="13">
        <f>_xll.BDH("AMZN US Equity","BS_ACCT_NOTE_RCV","FQ4 2013","FQ4 2013","Currency=USD","Period=FQ","BEST_FPERIOD_OVERRIDE=FQ","FILING_STATUS=MR","SCALING_FORMAT=MLN","Sort=A","Dates=H","DateFormat=P","Fill=—","Direction=H","UseDPDF=Y")</f>
        <v>4767</v>
      </c>
      <c r="W10" s="13">
        <f>_xll.BDH("AMZN US Equity","BS_ACCT_NOTE_RCV","FQ1 2014","FQ1 2014","Currency=USD","Period=FQ","BEST_FPERIOD_OVERRIDE=FQ","FILING_STATUS=MR","SCALING_FORMAT=MLN","Sort=A","Dates=H","DateFormat=P","Fill=—","Direction=H","UseDPDF=Y")</f>
        <v>3945</v>
      </c>
      <c r="X10" s="13">
        <f>_xll.BDH("AMZN US Equity","BS_ACCT_NOTE_RCV","FQ2 2014","FQ2 2014","Currency=USD","Period=FQ","BEST_FPERIOD_OVERRIDE=FQ","FILING_STATUS=MR","SCALING_FORMAT=MLN","Sort=A","Dates=H","DateFormat=P","Fill=—","Direction=H","UseDPDF=Y")</f>
        <v>4125</v>
      </c>
      <c r="Y10" s="13">
        <f>_xll.BDH("AMZN US Equity","BS_ACCT_NOTE_RCV","FQ3 2014","FQ3 2014","Currency=USD","Period=FQ","BEST_FPERIOD_OVERRIDE=FQ","FILING_STATUS=MR","SCALING_FORMAT=MLN","Sort=A","Dates=H","DateFormat=P","Fill=—","Direction=H","UseDPDF=Y")</f>
        <v>4373</v>
      </c>
      <c r="Z10" s="13">
        <f>_xll.BDH("AMZN US Equity","BS_ACCT_NOTE_RCV","FQ4 2014","FQ4 2014","Currency=USD","Period=FQ","BEST_FPERIOD_OVERRIDE=FQ","FILING_STATUS=MR","SCALING_FORMAT=MLN","Sort=A","Dates=H","DateFormat=P","Fill=—","Direction=H","UseDPDF=Y")</f>
        <v>5612</v>
      </c>
      <c r="AA10" s="13">
        <f>_xll.BDH("AMZN US Equity","BS_ACCT_NOTE_RCV","FQ1 2015","FQ1 2015","Currency=USD","Period=FQ","BEST_FPERIOD_OVERRIDE=FQ","FILING_STATUS=MR","SCALING_FORMAT=MLN","Sort=A","Dates=H","DateFormat=P","Fill=—","Direction=H","UseDPDF=Y")</f>
        <v>4772</v>
      </c>
      <c r="AB10" s="13">
        <f>_xll.BDH("AMZN US Equity","BS_ACCT_NOTE_RCV","FQ2 2015","FQ2 2015","Currency=USD","Period=FQ","BEST_FPERIOD_OVERRIDE=FQ","FILING_STATUS=MR","SCALING_FORMAT=MLN","Sort=A","Dates=H","DateFormat=P","Fill=—","Direction=H","UseDPDF=Y")</f>
        <v>4920</v>
      </c>
      <c r="AC10" s="13">
        <f>_xll.BDH("AMZN US Equity","BS_ACCT_NOTE_RCV","FQ3 2015","FQ3 2015","Currency=USD","Period=FQ","BEST_FPERIOD_OVERRIDE=FQ","FILING_STATUS=MR","SCALING_FORMAT=MLN","Sort=A","Dates=H","DateFormat=P","Fill=—","Direction=H","UseDPDF=Y")</f>
        <v>5440</v>
      </c>
      <c r="AD10" s="13">
        <f>_xll.BDH("AMZN US Equity","BS_ACCT_NOTE_RCV","FQ4 2015","FQ4 2015","Currency=USD","Period=FQ","BEST_FPERIOD_OVERRIDE=FQ","FILING_STATUS=MR","SCALING_FORMAT=MLN","Sort=A","Dates=H","DateFormat=P","Fill=—","Direction=H","UseDPDF=Y")</f>
        <v>5654</v>
      </c>
      <c r="AE10" s="13">
        <f>_xll.BDH("AMZN US Equity","BS_ACCT_NOTE_RCV","FQ1 2016","FQ1 2016","Currency=USD","Period=FQ","BEST_FPERIOD_OVERRIDE=FQ","FILING_STATUS=MR","SCALING_FORMAT=MLN","Sort=A","Dates=H","DateFormat=P","Fill=—","Direction=H","UseDPDF=Y")</f>
        <v>5072</v>
      </c>
      <c r="AF10" s="13">
        <f>_xll.BDH("AMZN US Equity","BS_ACCT_NOTE_RCV","FQ2 2016","FQ2 2016","Currency=USD","Period=FQ","BEST_FPERIOD_OVERRIDE=FQ","FILING_STATUS=MR","SCALING_FORMAT=MLN","Sort=A","Dates=H","DateFormat=P","Fill=—","Direction=H","UseDPDF=Y")</f>
        <v>6092</v>
      </c>
      <c r="AG10" s="13">
        <f>_xll.BDH("AMZN US Equity","BS_ACCT_NOTE_RCV","FQ3 2016","FQ3 2016","Currency=USD","Period=FQ","BEST_FPERIOD_OVERRIDE=FQ","FILING_STATUS=MR","SCALING_FORMAT=MLN","Sort=A","Dates=H","DateFormat=P","Fill=—","Direction=H","UseDPDF=Y")</f>
        <v>6566</v>
      </c>
      <c r="AH10" s="13">
        <f>_xll.BDH("AMZN US Equity","BS_ACCT_NOTE_RCV","FQ4 2016","FQ4 2016","Currency=USD","Period=FQ","BEST_FPERIOD_OVERRIDE=FQ","FILING_STATUS=MR","SCALING_FORMAT=MLN","Sort=A","Dates=H","DateFormat=P","Fill=—","Direction=H","UseDPDF=Y")</f>
        <v>8339</v>
      </c>
      <c r="AI10" s="13">
        <f>_xll.BDH("AMZN US Equity","BS_ACCT_NOTE_RCV","FQ1 2017","FQ1 2017","Currency=USD","Period=FQ","BEST_FPERIOD_OVERRIDE=FQ","FILING_STATUS=MR","SCALING_FORMAT=MLN","Sort=A","Dates=H","DateFormat=P","Fill=—","Direction=H","UseDPDF=Y")</f>
        <v>7329</v>
      </c>
      <c r="AJ10" s="13">
        <f>_xll.BDH("AMZN US Equity","BS_ACCT_NOTE_RCV","FQ2 2017","FQ2 2017","Currency=USD","Period=FQ","BEST_FPERIOD_OVERRIDE=FQ","FILING_STATUS=MR","SCALING_FORMAT=MLN","Sort=A","Dates=H","DateFormat=P","Fill=—","Direction=H","UseDPDF=Y")</f>
        <v>8046</v>
      </c>
      <c r="AK10" s="13">
        <f>_xll.BDH("AMZN US Equity","BS_ACCT_NOTE_RCV","FQ3 2017","FQ3 2017","Currency=USD","Period=FQ","BEST_FPERIOD_OVERRIDE=FQ","FILING_STATUS=MR","SCALING_FORMAT=MLN","Sort=A","Dates=H","DateFormat=P","Fill=—","Direction=H","UseDPDF=Y")</f>
        <v>10557</v>
      </c>
      <c r="AL10" s="13">
        <f>_xll.BDH("AMZN US Equity","BS_ACCT_NOTE_RCV","FQ4 2017","FQ4 2017","Currency=USD","Period=FQ","BEST_FPERIOD_OVERRIDE=FQ","FILING_STATUS=MR","SCALING_FORMAT=MLN","Sort=A","Dates=H","DateFormat=P","Fill=—","Direction=H","UseDPDF=Y")</f>
        <v>13164</v>
      </c>
      <c r="AM10" s="13">
        <f>_xll.BDH("AMZN US Equity","BS_ACCT_NOTE_RCV","FQ1 2018","FQ1 2018","Currency=USD","Period=FQ","BEST_FPERIOD_OVERRIDE=FQ","FILING_STATUS=MR","SCALING_FORMAT=MLN","Sort=A","Dates=H","DateFormat=P","Fill=—","Direction=H","UseDPDF=Y")</f>
        <v>12026</v>
      </c>
      <c r="AN10" s="13">
        <f>_xll.BDH("AMZN US Equity","BS_ACCT_NOTE_RCV","FQ2 2018","FQ2 2018","Currency=USD","Period=FQ","BEST_FPERIOD_OVERRIDE=FQ","FILING_STATUS=MR","SCALING_FORMAT=MLN","Sort=A","Dates=H","DateFormat=P","Fill=—","Direction=H","UseDPDF=Y")</f>
        <v>12607</v>
      </c>
    </row>
    <row r="11" spans="1:40" x14ac:dyDescent="0.25">
      <c r="A11" s="10" t="s">
        <v>218</v>
      </c>
      <c r="B11" s="10" t="s">
        <v>219</v>
      </c>
      <c r="C11" s="13">
        <f>_xll.BDH("AMZN US Equity","BS_ACCTS_REC_EXCL_NOTES_REC","FQ1 2009","FQ1 2009","Currency=USD","Period=FQ","BEST_FPERIOD_OVERRIDE=FQ","FILING_STATUS=MR","SCALING_FORMAT=MLN","Sort=A","Dates=H","DateFormat=P","Fill=—","Direction=H","UseDPDF=Y")</f>
        <v>587</v>
      </c>
      <c r="D11" s="13">
        <f>_xll.BDH("AMZN US Equity","BS_ACCTS_REC_EXCL_NOTES_REC","FQ2 2009","FQ2 2009","Currency=USD","Period=FQ","BEST_FPERIOD_OVERRIDE=FQ","FILING_STATUS=MR","SCALING_FORMAT=MLN","Sort=A","Dates=H","DateFormat=P","Fill=—","Direction=H","UseDPDF=Y")</f>
        <v>584</v>
      </c>
      <c r="E11" s="13">
        <f>_xll.BDH("AMZN US Equity","BS_ACCTS_REC_EXCL_NOTES_REC","FQ3 2009","FQ3 2009","Currency=USD","Period=FQ","BEST_FPERIOD_OVERRIDE=FQ","FILING_STATUS=MR","SCALING_FORMAT=MLN","Sort=A","Dates=H","DateFormat=P","Fill=—","Direction=H","UseDPDF=Y")</f>
        <v>671</v>
      </c>
      <c r="F11" s="13">
        <f>_xll.BDH("AMZN US Equity","BS_ACCTS_REC_EXCL_NOTES_REC","FQ4 2009","FQ4 2009","Currency=USD","Period=FQ","BEST_FPERIOD_OVERRIDE=FQ","FILING_STATUS=MR","SCALING_FORMAT=MLN","Sort=A","Dates=H","DateFormat=P","Fill=—","Direction=H","UseDPDF=Y")</f>
        <v>988</v>
      </c>
      <c r="G11" s="13">
        <f>_xll.BDH("AMZN US Equity","BS_ACCTS_REC_EXCL_NOTES_REC","FQ1 2010","FQ1 2010","Currency=USD","Period=FQ","BEST_FPERIOD_OVERRIDE=FQ","FILING_STATUS=MR","SCALING_FORMAT=MLN","Sort=A","Dates=H","DateFormat=P","Fill=—","Direction=H","UseDPDF=Y")</f>
        <v>815</v>
      </c>
      <c r="H11" s="13">
        <f>_xll.BDH("AMZN US Equity","BS_ACCTS_REC_EXCL_NOTES_REC","FQ2 2010","FQ2 2010","Currency=USD","Period=FQ","BEST_FPERIOD_OVERRIDE=FQ","FILING_STATUS=MR","SCALING_FORMAT=MLN","Sort=A","Dates=H","DateFormat=P","Fill=—","Direction=H","UseDPDF=Y")</f>
        <v>805</v>
      </c>
      <c r="I11" s="13">
        <f>_xll.BDH("AMZN US Equity","BS_ACCTS_REC_EXCL_NOTES_REC","FQ3 2010","FQ3 2010","Currency=USD","Period=FQ","BEST_FPERIOD_OVERRIDE=FQ","FILING_STATUS=MR","SCALING_FORMAT=MLN","Sort=A","Dates=H","DateFormat=P","Fill=—","Direction=H","UseDPDF=Y")</f>
        <v>959</v>
      </c>
      <c r="J11" s="13">
        <f>_xll.BDH("AMZN US Equity","BS_ACCTS_REC_EXCL_NOTES_REC","FQ4 2010","FQ4 2010","Currency=USD","Period=FQ","BEST_FPERIOD_OVERRIDE=FQ","FILING_STATUS=MR","SCALING_FORMAT=MLN","Sort=A","Dates=H","DateFormat=P","Fill=—","Direction=H","UseDPDF=Y")</f>
        <v>1587</v>
      </c>
      <c r="K11" s="13">
        <f>_xll.BDH("AMZN US Equity","BS_ACCTS_REC_EXCL_NOTES_REC","FQ1 2011","FQ1 2011","Currency=USD","Period=FQ","BEST_FPERIOD_OVERRIDE=FQ","FILING_STATUS=MR","SCALING_FORMAT=MLN","Sort=A","Dates=H","DateFormat=P","Fill=—","Direction=H","UseDPDF=Y")</f>
        <v>1304</v>
      </c>
      <c r="L11" s="13">
        <f>_xll.BDH("AMZN US Equity","BS_ACCTS_REC_EXCL_NOTES_REC","FQ2 2011","FQ2 2011","Currency=USD","Period=FQ","BEST_FPERIOD_OVERRIDE=FQ","FILING_STATUS=MR","SCALING_FORMAT=MLN","Sort=A","Dates=H","DateFormat=P","Fill=—","Direction=H","UseDPDF=Y")</f>
        <v>1438</v>
      </c>
      <c r="M11" s="13">
        <f>_xll.BDH("AMZN US Equity","BS_ACCTS_REC_EXCL_NOTES_REC","FQ3 2011","FQ3 2011","Currency=USD","Period=FQ","BEST_FPERIOD_OVERRIDE=FQ","FILING_STATUS=MR","SCALING_FORMAT=MLN","Sort=A","Dates=H","DateFormat=P","Fill=—","Direction=H","UseDPDF=Y")</f>
        <v>1496</v>
      </c>
      <c r="N11" s="13">
        <f>_xll.BDH("AMZN US Equity","BS_ACCTS_REC_EXCL_NOTES_REC","FQ4 2011","FQ4 2011","Currency=USD","Period=FQ","BEST_FPERIOD_OVERRIDE=FQ","FILING_STATUS=MR","SCALING_FORMAT=MLN","Sort=A","Dates=H","DateFormat=P","Fill=—","Direction=H","UseDPDF=Y")</f>
        <v>2571</v>
      </c>
      <c r="O11" s="13">
        <f>_xll.BDH("AMZN US Equity","BS_ACCTS_REC_EXCL_NOTES_REC","FQ1 2012","FQ1 2012","Currency=USD","Period=FQ","BEST_FPERIOD_OVERRIDE=FQ","FILING_STATUS=MR","SCALING_FORMAT=MLN","Sort=A","Dates=H","DateFormat=P","Fill=—","Direction=H","UseDPDF=Y")</f>
        <v>1813</v>
      </c>
      <c r="P11" s="13">
        <f>_xll.BDH("AMZN US Equity","BS_ACCTS_REC_EXCL_NOTES_REC","FQ2 2012","FQ2 2012","Currency=USD","Period=FQ","BEST_FPERIOD_OVERRIDE=FQ","FILING_STATUS=MR","SCALING_FORMAT=MLN","Sort=A","Dates=H","DateFormat=P","Fill=—","Direction=H","UseDPDF=Y")</f>
        <v>2035</v>
      </c>
      <c r="Q11" s="13">
        <f>_xll.BDH("AMZN US Equity","BS_ACCTS_REC_EXCL_NOTES_REC","FQ3 2012","FQ3 2012","Currency=USD","Period=FQ","BEST_FPERIOD_OVERRIDE=FQ","FILING_STATUS=MR","SCALING_FORMAT=MLN","Sort=A","Dates=H","DateFormat=P","Fill=—","Direction=H","UseDPDF=Y")</f>
        <v>2392</v>
      </c>
      <c r="R11" s="13">
        <f>_xll.BDH("AMZN US Equity","BS_ACCTS_REC_EXCL_NOTES_REC","FQ4 2012","FQ4 2012","Currency=USD","Period=FQ","BEST_FPERIOD_OVERRIDE=FQ","FILING_STATUS=MR","SCALING_FORMAT=MLN","Sort=A","Dates=H","DateFormat=P","Fill=—","Direction=H","UseDPDF=Y")</f>
        <v>3364</v>
      </c>
      <c r="S11" s="13">
        <f>_xll.BDH("AMZN US Equity","BS_ACCTS_REC_EXCL_NOTES_REC","FQ1 2013","FQ1 2013","Currency=USD","Period=FQ","BEST_FPERIOD_OVERRIDE=FQ","FILING_STATUS=MR","SCALING_FORMAT=MLN","Sort=A","Dates=H","DateFormat=P","Fill=—","Direction=H","UseDPDF=Y")</f>
        <v>2516</v>
      </c>
      <c r="T11" s="13">
        <f>_xll.BDH("AMZN US Equity","BS_ACCTS_REC_EXCL_NOTES_REC","FQ2 2013","FQ2 2013","Currency=USD","Period=FQ","BEST_FPERIOD_OVERRIDE=FQ","FILING_STATUS=MR","SCALING_FORMAT=MLN","Sort=A","Dates=H","DateFormat=P","Fill=—","Direction=H","UseDPDF=Y")</f>
        <v>2861</v>
      </c>
      <c r="U11" s="13">
        <f>_xll.BDH("AMZN US Equity","BS_ACCTS_REC_EXCL_NOTES_REC","FQ3 2013","FQ3 2013","Currency=USD","Period=FQ","BEST_FPERIOD_OVERRIDE=FQ","FILING_STATUS=MR","SCALING_FORMAT=MLN","Sort=A","Dates=H","DateFormat=P","Fill=—","Direction=H","UseDPDF=Y")</f>
        <v>3057</v>
      </c>
      <c r="V11" s="13">
        <f>_xll.BDH("AMZN US Equity","BS_ACCTS_REC_EXCL_NOTES_REC","FQ4 2013","FQ4 2013","Currency=USD","Period=FQ","BEST_FPERIOD_OVERRIDE=FQ","FILING_STATUS=MR","SCALING_FORMAT=MLN","Sort=A","Dates=H","DateFormat=P","Fill=—","Direction=H","UseDPDF=Y")</f>
        <v>4767</v>
      </c>
      <c r="W11" s="13">
        <f>_xll.BDH("AMZN US Equity","BS_ACCTS_REC_EXCL_NOTES_REC","FQ1 2014","FQ1 2014","Currency=USD","Period=FQ","BEST_FPERIOD_OVERRIDE=FQ","FILING_STATUS=MR","SCALING_FORMAT=MLN","Sort=A","Dates=H","DateFormat=P","Fill=—","Direction=H","UseDPDF=Y")</f>
        <v>3945</v>
      </c>
      <c r="X11" s="13">
        <f>_xll.BDH("AMZN US Equity","BS_ACCTS_REC_EXCL_NOTES_REC","FQ2 2014","FQ2 2014","Currency=USD","Period=FQ","BEST_FPERIOD_OVERRIDE=FQ","FILING_STATUS=MR","SCALING_FORMAT=MLN","Sort=A","Dates=H","DateFormat=P","Fill=—","Direction=H","UseDPDF=Y")</f>
        <v>4125</v>
      </c>
      <c r="Y11" s="13">
        <f>_xll.BDH("AMZN US Equity","BS_ACCTS_REC_EXCL_NOTES_REC","FQ3 2014","FQ3 2014","Currency=USD","Period=FQ","BEST_FPERIOD_OVERRIDE=FQ","FILING_STATUS=MR","SCALING_FORMAT=MLN","Sort=A","Dates=H","DateFormat=P","Fill=—","Direction=H","UseDPDF=Y")</f>
        <v>4373</v>
      </c>
      <c r="Z11" s="13">
        <f>_xll.BDH("AMZN US Equity","BS_ACCTS_REC_EXCL_NOTES_REC","FQ4 2014","FQ4 2014","Currency=USD","Period=FQ","BEST_FPERIOD_OVERRIDE=FQ","FILING_STATUS=MR","SCALING_FORMAT=MLN","Sort=A","Dates=H","DateFormat=P","Fill=—","Direction=H","UseDPDF=Y")</f>
        <v>5612</v>
      </c>
      <c r="AA11" s="13">
        <f>_xll.BDH("AMZN US Equity","BS_ACCTS_REC_EXCL_NOTES_REC","FQ1 2015","FQ1 2015","Currency=USD","Period=FQ","BEST_FPERIOD_OVERRIDE=FQ","FILING_STATUS=MR","SCALING_FORMAT=MLN","Sort=A","Dates=H","DateFormat=P","Fill=—","Direction=H","UseDPDF=Y")</f>
        <v>4772</v>
      </c>
      <c r="AB11" s="13">
        <f>_xll.BDH("AMZN US Equity","BS_ACCTS_REC_EXCL_NOTES_REC","FQ2 2015","FQ2 2015","Currency=USD","Period=FQ","BEST_FPERIOD_OVERRIDE=FQ","FILING_STATUS=MR","SCALING_FORMAT=MLN","Sort=A","Dates=H","DateFormat=P","Fill=—","Direction=H","UseDPDF=Y")</f>
        <v>4920</v>
      </c>
      <c r="AC11" s="13">
        <f>_xll.BDH("AMZN US Equity","BS_ACCTS_REC_EXCL_NOTES_REC","FQ3 2015","FQ3 2015","Currency=USD","Period=FQ","BEST_FPERIOD_OVERRIDE=FQ","FILING_STATUS=MR","SCALING_FORMAT=MLN","Sort=A","Dates=H","DateFormat=P","Fill=—","Direction=H","UseDPDF=Y")</f>
        <v>5440</v>
      </c>
      <c r="AD11" s="13">
        <f>_xll.BDH("AMZN US Equity","BS_ACCTS_REC_EXCL_NOTES_REC","FQ4 2015","FQ4 2015","Currency=USD","Period=FQ","BEST_FPERIOD_OVERRIDE=FQ","FILING_STATUS=MR","SCALING_FORMAT=MLN","Sort=A","Dates=H","DateFormat=P","Fill=—","Direction=H","UseDPDF=Y")</f>
        <v>5654</v>
      </c>
      <c r="AE11" s="13">
        <f>_xll.BDH("AMZN US Equity","BS_ACCTS_REC_EXCL_NOTES_REC","FQ1 2016","FQ1 2016","Currency=USD","Period=FQ","BEST_FPERIOD_OVERRIDE=FQ","FILING_STATUS=MR","SCALING_FORMAT=MLN","Sort=A","Dates=H","DateFormat=P","Fill=—","Direction=H","UseDPDF=Y")</f>
        <v>5072</v>
      </c>
      <c r="AF11" s="13">
        <f>_xll.BDH("AMZN US Equity","BS_ACCTS_REC_EXCL_NOTES_REC","FQ2 2016","FQ2 2016","Currency=USD","Period=FQ","BEST_FPERIOD_OVERRIDE=FQ","FILING_STATUS=MR","SCALING_FORMAT=MLN","Sort=A","Dates=H","DateFormat=P","Fill=—","Direction=H","UseDPDF=Y")</f>
        <v>6092</v>
      </c>
      <c r="AG11" s="13">
        <f>_xll.BDH("AMZN US Equity","BS_ACCTS_REC_EXCL_NOTES_REC","FQ3 2016","FQ3 2016","Currency=USD","Period=FQ","BEST_FPERIOD_OVERRIDE=FQ","FILING_STATUS=MR","SCALING_FORMAT=MLN","Sort=A","Dates=H","DateFormat=P","Fill=—","Direction=H","UseDPDF=Y")</f>
        <v>6566</v>
      </c>
      <c r="AH11" s="13">
        <f>_xll.BDH("AMZN US Equity","BS_ACCTS_REC_EXCL_NOTES_REC","FQ4 2016","FQ4 2016","Currency=USD","Period=FQ","BEST_FPERIOD_OVERRIDE=FQ","FILING_STATUS=MR","SCALING_FORMAT=MLN","Sort=A","Dates=H","DateFormat=P","Fill=—","Direction=H","UseDPDF=Y")</f>
        <v>8339</v>
      </c>
      <c r="AI11" s="13">
        <f>_xll.BDH("AMZN US Equity","BS_ACCTS_REC_EXCL_NOTES_REC","FQ1 2017","FQ1 2017","Currency=USD","Period=FQ","BEST_FPERIOD_OVERRIDE=FQ","FILING_STATUS=MR","SCALING_FORMAT=MLN","Sort=A","Dates=H","DateFormat=P","Fill=—","Direction=H","UseDPDF=Y")</f>
        <v>7329</v>
      </c>
      <c r="AJ11" s="13">
        <f>_xll.BDH("AMZN US Equity","BS_ACCTS_REC_EXCL_NOTES_REC","FQ2 2017","FQ2 2017","Currency=USD","Period=FQ","BEST_FPERIOD_OVERRIDE=FQ","FILING_STATUS=MR","SCALING_FORMAT=MLN","Sort=A","Dates=H","DateFormat=P","Fill=—","Direction=H","UseDPDF=Y")</f>
        <v>8046</v>
      </c>
      <c r="AK11" s="13">
        <f>_xll.BDH("AMZN US Equity","BS_ACCTS_REC_EXCL_NOTES_REC","FQ3 2017","FQ3 2017","Currency=USD","Period=FQ","BEST_FPERIOD_OVERRIDE=FQ","FILING_STATUS=MR","SCALING_FORMAT=MLN","Sort=A","Dates=H","DateFormat=P","Fill=—","Direction=H","UseDPDF=Y")</f>
        <v>10557</v>
      </c>
      <c r="AL11" s="13">
        <f>_xll.BDH("AMZN US Equity","BS_ACCTS_REC_EXCL_NOTES_REC","FQ4 2017","FQ4 2017","Currency=USD","Period=FQ","BEST_FPERIOD_OVERRIDE=FQ","FILING_STATUS=MR","SCALING_FORMAT=MLN","Sort=A","Dates=H","DateFormat=P","Fill=—","Direction=H","UseDPDF=Y")</f>
        <v>13164</v>
      </c>
      <c r="AM11" s="13">
        <f>_xll.BDH("AMZN US Equity","BS_ACCTS_REC_EXCL_NOTES_REC","FQ1 2018","FQ1 2018","Currency=USD","Period=FQ","BEST_FPERIOD_OVERRIDE=FQ","FILING_STATUS=MR","SCALING_FORMAT=MLN","Sort=A","Dates=H","DateFormat=P","Fill=—","Direction=H","UseDPDF=Y")</f>
        <v>12026</v>
      </c>
      <c r="AN11" s="13">
        <f>_xll.BDH("AMZN US Equity","BS_ACCTS_REC_EXCL_NOTES_REC","FQ2 2018","FQ2 2018","Currency=USD","Period=FQ","BEST_FPERIOD_OVERRIDE=FQ","FILING_STATUS=MR","SCALING_FORMAT=MLN","Sort=A","Dates=H","DateFormat=P","Fill=—","Direction=H","UseDPDF=Y")</f>
        <v>12607</v>
      </c>
    </row>
    <row r="12" spans="1:40" x14ac:dyDescent="0.25">
      <c r="A12" s="10" t="s">
        <v>220</v>
      </c>
      <c r="B12" s="10" t="s">
        <v>221</v>
      </c>
      <c r="C12" s="13">
        <f>_xll.BDH("AMZN US Equity","NOTES_RECEIVABLE","FQ1 2009","FQ1 2009","Currency=USD","Period=FQ","BEST_FPERIOD_OVERRIDE=FQ","FILING_STATUS=MR","SCALING_FORMAT=MLN","Sort=A","Dates=H","DateFormat=P","Fill=—","Direction=H","UseDPDF=Y")</f>
        <v>0</v>
      </c>
      <c r="D12" s="13">
        <f>_xll.BDH("AMZN US Equity","NOTES_RECEIVABLE","FQ2 2009","FQ2 2009","Currency=USD","Period=FQ","BEST_FPERIOD_OVERRIDE=FQ","FILING_STATUS=MR","SCALING_FORMAT=MLN","Sort=A","Dates=H","DateFormat=P","Fill=—","Direction=H","UseDPDF=Y")</f>
        <v>0</v>
      </c>
      <c r="E12" s="13">
        <f>_xll.BDH("AMZN US Equity","NOTES_RECEIVABLE","FQ3 2009","FQ3 2009","Currency=USD","Period=FQ","BEST_FPERIOD_OVERRIDE=FQ","FILING_STATUS=MR","SCALING_FORMAT=MLN","Sort=A","Dates=H","DateFormat=P","Fill=—","Direction=H","UseDPDF=Y")</f>
        <v>0</v>
      </c>
      <c r="F12" s="13">
        <f>_xll.BDH("AMZN US Equity","NOTES_RECEIVABLE","FQ4 2009","FQ4 2009","Currency=USD","Period=FQ","BEST_FPERIOD_OVERRIDE=FQ","FILING_STATUS=MR","SCALING_FORMAT=MLN","Sort=A","Dates=H","DateFormat=P","Fill=—","Direction=H","UseDPDF=Y")</f>
        <v>0</v>
      </c>
      <c r="G12" s="13">
        <f>_xll.BDH("AMZN US Equity","NOTES_RECEIVABLE","FQ1 2010","FQ1 2010","Currency=USD","Period=FQ","BEST_FPERIOD_OVERRIDE=FQ","FILING_STATUS=MR","SCALING_FORMAT=MLN","Sort=A","Dates=H","DateFormat=P","Fill=—","Direction=H","UseDPDF=Y")</f>
        <v>0</v>
      </c>
      <c r="H12" s="13">
        <f>_xll.BDH("AMZN US Equity","NOTES_RECEIVABLE","FQ2 2010","FQ2 2010","Currency=USD","Period=FQ","BEST_FPERIOD_OVERRIDE=FQ","FILING_STATUS=MR","SCALING_FORMAT=MLN","Sort=A","Dates=H","DateFormat=P","Fill=—","Direction=H","UseDPDF=Y")</f>
        <v>0</v>
      </c>
      <c r="I12" s="13" t="str">
        <f>_xll.BDH("AMZN US Equity","NOTES_RECEIVABLE","FQ3 2010","FQ3 2010","Currency=USD","Period=FQ","BEST_FPERIOD_OVERRIDE=FQ","FILING_STATUS=MR","SCALING_FORMAT=MLN","Sort=A","Dates=H","DateFormat=P","Fill=—","Direction=H","UseDPDF=Y")</f>
        <v>—</v>
      </c>
      <c r="J12" s="13">
        <f>_xll.BDH("AMZN US Equity","NOTES_RECEIVABLE","FQ4 2010","FQ4 2010","Currency=USD","Period=FQ","BEST_FPERIOD_OVERRIDE=FQ","FILING_STATUS=MR","SCALING_FORMAT=MLN","Sort=A","Dates=H","DateFormat=P","Fill=—","Direction=H","UseDPDF=Y")</f>
        <v>0</v>
      </c>
      <c r="K12" s="13">
        <f>_xll.BDH("AMZN US Equity","NOTES_RECEIVABLE","FQ1 2011","FQ1 2011","Currency=USD","Period=FQ","BEST_FPERIOD_OVERRIDE=FQ","FILING_STATUS=MR","SCALING_FORMAT=MLN","Sort=A","Dates=H","DateFormat=P","Fill=—","Direction=H","UseDPDF=Y")</f>
        <v>0</v>
      </c>
      <c r="L12" s="13">
        <f>_xll.BDH("AMZN US Equity","NOTES_RECEIVABLE","FQ2 2011","FQ2 2011","Currency=USD","Period=FQ","BEST_FPERIOD_OVERRIDE=FQ","FILING_STATUS=MR","SCALING_FORMAT=MLN","Sort=A","Dates=H","DateFormat=P","Fill=—","Direction=H","UseDPDF=Y")</f>
        <v>0</v>
      </c>
      <c r="M12" s="13">
        <f>_xll.BDH("AMZN US Equity","NOTES_RECEIVABLE","FQ3 2011","FQ3 2011","Currency=USD","Period=FQ","BEST_FPERIOD_OVERRIDE=FQ","FILING_STATUS=MR","SCALING_FORMAT=MLN","Sort=A","Dates=H","DateFormat=P","Fill=—","Direction=H","UseDPDF=Y")</f>
        <v>0</v>
      </c>
      <c r="N12" s="13">
        <f>_xll.BDH("AMZN US Equity","NOTES_RECEIVABLE","FQ4 2011","FQ4 2011","Currency=USD","Period=FQ","BEST_FPERIOD_OVERRIDE=FQ","FILING_STATUS=MR","SCALING_FORMAT=MLN","Sort=A","Dates=H","DateFormat=P","Fill=—","Direction=H","UseDPDF=Y")</f>
        <v>0</v>
      </c>
      <c r="O12" s="13">
        <f>_xll.BDH("AMZN US Equity","NOTES_RECEIVABLE","FQ1 2012","FQ1 2012","Currency=USD","Period=FQ","BEST_FPERIOD_OVERRIDE=FQ","FILING_STATUS=MR","SCALING_FORMAT=MLN","Sort=A","Dates=H","DateFormat=P","Fill=—","Direction=H","UseDPDF=Y")</f>
        <v>0</v>
      </c>
      <c r="P12" s="13">
        <f>_xll.BDH("AMZN US Equity","NOTES_RECEIVABLE","FQ2 2012","FQ2 2012","Currency=USD","Period=FQ","BEST_FPERIOD_OVERRIDE=FQ","FILING_STATUS=MR","SCALING_FORMAT=MLN","Sort=A","Dates=H","DateFormat=P","Fill=—","Direction=H","UseDPDF=Y")</f>
        <v>0</v>
      </c>
      <c r="Q12" s="13">
        <f>_xll.BDH("AMZN US Equity","NOTES_RECEIVABLE","FQ3 2012","FQ3 2012","Currency=USD","Period=FQ","BEST_FPERIOD_OVERRIDE=FQ","FILING_STATUS=MR","SCALING_FORMAT=MLN","Sort=A","Dates=H","DateFormat=P","Fill=—","Direction=H","UseDPDF=Y")</f>
        <v>0</v>
      </c>
      <c r="R12" s="13">
        <f>_xll.BDH("AMZN US Equity","NOTES_RECEIVABLE","FQ4 2012","FQ4 2012","Currency=USD","Period=FQ","BEST_FPERIOD_OVERRIDE=FQ","FILING_STATUS=MR","SCALING_FORMAT=MLN","Sort=A","Dates=H","DateFormat=P","Fill=—","Direction=H","UseDPDF=Y")</f>
        <v>0</v>
      </c>
      <c r="S12" s="13">
        <f>_xll.BDH("AMZN US Equity","NOTES_RECEIVABLE","FQ1 2013","FQ1 2013","Currency=USD","Period=FQ","BEST_FPERIOD_OVERRIDE=FQ","FILING_STATUS=MR","SCALING_FORMAT=MLN","Sort=A","Dates=H","DateFormat=P","Fill=—","Direction=H","UseDPDF=Y")</f>
        <v>0</v>
      </c>
      <c r="T12" s="13">
        <f>_xll.BDH("AMZN US Equity","NOTES_RECEIVABLE","FQ2 2013","FQ2 2013","Currency=USD","Period=FQ","BEST_FPERIOD_OVERRIDE=FQ","FILING_STATUS=MR","SCALING_FORMAT=MLN","Sort=A","Dates=H","DateFormat=P","Fill=—","Direction=H","UseDPDF=Y")</f>
        <v>0</v>
      </c>
      <c r="U12" s="13">
        <f>_xll.BDH("AMZN US Equity","NOTES_RECEIVABLE","FQ3 2013","FQ3 2013","Currency=USD","Period=FQ","BEST_FPERIOD_OVERRIDE=FQ","FILING_STATUS=MR","SCALING_FORMAT=MLN","Sort=A","Dates=H","DateFormat=P","Fill=—","Direction=H","UseDPDF=Y")</f>
        <v>0</v>
      </c>
      <c r="V12" s="13">
        <f>_xll.BDH("AMZN US Equity","NOTES_RECEIVABLE","FQ4 2013","FQ4 2013","Currency=USD","Period=FQ","BEST_FPERIOD_OVERRIDE=FQ","FILING_STATUS=MR","SCALING_FORMAT=MLN","Sort=A","Dates=H","DateFormat=P","Fill=—","Direction=H","UseDPDF=Y")</f>
        <v>0</v>
      </c>
      <c r="W12" s="13">
        <f>_xll.BDH("AMZN US Equity","NOTES_RECEIVABLE","FQ1 2014","FQ1 2014","Currency=USD","Period=FQ","BEST_FPERIOD_OVERRIDE=FQ","FILING_STATUS=MR","SCALING_FORMAT=MLN","Sort=A","Dates=H","DateFormat=P","Fill=—","Direction=H","UseDPDF=Y")</f>
        <v>0</v>
      </c>
      <c r="X12" s="13">
        <f>_xll.BDH("AMZN US Equity","NOTES_RECEIVABLE","FQ2 2014","FQ2 2014","Currency=USD","Period=FQ","BEST_FPERIOD_OVERRIDE=FQ","FILING_STATUS=MR","SCALING_FORMAT=MLN","Sort=A","Dates=H","DateFormat=P","Fill=—","Direction=H","UseDPDF=Y")</f>
        <v>0</v>
      </c>
      <c r="Y12" s="13">
        <f>_xll.BDH("AMZN US Equity","NOTES_RECEIVABLE","FQ3 2014","FQ3 2014","Currency=USD","Period=FQ","BEST_FPERIOD_OVERRIDE=FQ","FILING_STATUS=MR","SCALING_FORMAT=MLN","Sort=A","Dates=H","DateFormat=P","Fill=—","Direction=H","UseDPDF=Y")</f>
        <v>0</v>
      </c>
      <c r="Z12" s="13">
        <f>_xll.BDH("AMZN US Equity","NOTES_RECEIVABLE","FQ4 2014","FQ4 2014","Currency=USD","Period=FQ","BEST_FPERIOD_OVERRIDE=FQ","FILING_STATUS=MR","SCALING_FORMAT=MLN","Sort=A","Dates=H","DateFormat=P","Fill=—","Direction=H","UseDPDF=Y")</f>
        <v>0</v>
      </c>
      <c r="AA12" s="13">
        <f>_xll.BDH("AMZN US Equity","NOTES_RECEIVABLE","FQ1 2015","FQ1 2015","Currency=USD","Period=FQ","BEST_FPERIOD_OVERRIDE=FQ","FILING_STATUS=MR","SCALING_FORMAT=MLN","Sort=A","Dates=H","DateFormat=P","Fill=—","Direction=H","UseDPDF=Y")</f>
        <v>0</v>
      </c>
      <c r="AB12" s="13">
        <f>_xll.BDH("AMZN US Equity","NOTES_RECEIVABLE","FQ2 2015","FQ2 2015","Currency=USD","Period=FQ","BEST_FPERIOD_OVERRIDE=FQ","FILING_STATUS=MR","SCALING_FORMAT=MLN","Sort=A","Dates=H","DateFormat=P","Fill=—","Direction=H","UseDPDF=Y")</f>
        <v>0</v>
      </c>
      <c r="AC12" s="13">
        <f>_xll.BDH("AMZN US Equity","NOTES_RECEIVABLE","FQ3 2015","FQ3 2015","Currency=USD","Period=FQ","BEST_FPERIOD_OVERRIDE=FQ","FILING_STATUS=MR","SCALING_FORMAT=MLN","Sort=A","Dates=H","DateFormat=P","Fill=—","Direction=H","UseDPDF=Y")</f>
        <v>0</v>
      </c>
      <c r="AD12" s="13">
        <f>_xll.BDH("AMZN US Equity","NOTES_RECEIVABLE","FQ4 2015","FQ4 2015","Currency=USD","Period=FQ","BEST_FPERIOD_OVERRIDE=FQ","FILING_STATUS=MR","SCALING_FORMAT=MLN","Sort=A","Dates=H","DateFormat=P","Fill=—","Direction=H","UseDPDF=Y")</f>
        <v>0</v>
      </c>
      <c r="AE12" s="13">
        <f>_xll.BDH("AMZN US Equity","NOTES_RECEIVABLE","FQ1 2016","FQ1 2016","Currency=USD","Period=FQ","BEST_FPERIOD_OVERRIDE=FQ","FILING_STATUS=MR","SCALING_FORMAT=MLN","Sort=A","Dates=H","DateFormat=P","Fill=—","Direction=H","UseDPDF=Y")</f>
        <v>0</v>
      </c>
      <c r="AF12" s="13">
        <f>_xll.BDH("AMZN US Equity","NOTES_RECEIVABLE","FQ2 2016","FQ2 2016","Currency=USD","Period=FQ","BEST_FPERIOD_OVERRIDE=FQ","FILING_STATUS=MR","SCALING_FORMAT=MLN","Sort=A","Dates=H","DateFormat=P","Fill=—","Direction=H","UseDPDF=Y")</f>
        <v>0</v>
      </c>
      <c r="AG12" s="13">
        <f>_xll.BDH("AMZN US Equity","NOTES_RECEIVABLE","FQ3 2016","FQ3 2016","Currency=USD","Period=FQ","BEST_FPERIOD_OVERRIDE=FQ","FILING_STATUS=MR","SCALING_FORMAT=MLN","Sort=A","Dates=H","DateFormat=P","Fill=—","Direction=H","UseDPDF=Y")</f>
        <v>0</v>
      </c>
      <c r="AH12" s="13">
        <f>_xll.BDH("AMZN US Equity","NOTES_RECEIVABLE","FQ4 2016","FQ4 2016","Currency=USD","Period=FQ","BEST_FPERIOD_OVERRIDE=FQ","FILING_STATUS=MR","SCALING_FORMAT=MLN","Sort=A","Dates=H","DateFormat=P","Fill=—","Direction=H","UseDPDF=Y")</f>
        <v>0</v>
      </c>
      <c r="AI12" s="13">
        <f>_xll.BDH("AMZN US Equity","NOTES_RECEIVABLE","FQ1 2017","FQ1 2017","Currency=USD","Period=FQ","BEST_FPERIOD_OVERRIDE=FQ","FILING_STATUS=MR","SCALING_FORMAT=MLN","Sort=A","Dates=H","DateFormat=P","Fill=—","Direction=H","UseDPDF=Y")</f>
        <v>0</v>
      </c>
      <c r="AJ12" s="13">
        <f>_xll.BDH("AMZN US Equity","NOTES_RECEIVABLE","FQ2 2017","FQ2 2017","Currency=USD","Period=FQ","BEST_FPERIOD_OVERRIDE=FQ","FILING_STATUS=MR","SCALING_FORMAT=MLN","Sort=A","Dates=H","DateFormat=P","Fill=—","Direction=H","UseDPDF=Y")</f>
        <v>0</v>
      </c>
      <c r="AK12" s="13">
        <f>_xll.BDH("AMZN US Equity","NOTES_RECEIVABLE","FQ3 2017","FQ3 2017","Currency=USD","Period=FQ","BEST_FPERIOD_OVERRIDE=FQ","FILING_STATUS=MR","SCALING_FORMAT=MLN","Sort=A","Dates=H","DateFormat=P","Fill=—","Direction=H","UseDPDF=Y")</f>
        <v>0</v>
      </c>
      <c r="AL12" s="13">
        <f>_xll.BDH("AMZN US Equity","NOTES_RECEIVABLE","FQ4 2017","FQ4 2017","Currency=USD","Period=FQ","BEST_FPERIOD_OVERRIDE=FQ","FILING_STATUS=MR","SCALING_FORMAT=MLN","Sort=A","Dates=H","DateFormat=P","Fill=—","Direction=H","UseDPDF=Y")</f>
        <v>0</v>
      </c>
      <c r="AM12" s="13">
        <f>_xll.BDH("AMZN US Equity","NOTES_RECEIVABLE","FQ1 2018","FQ1 2018","Currency=USD","Period=FQ","BEST_FPERIOD_OVERRIDE=FQ","FILING_STATUS=MR","SCALING_FORMAT=MLN","Sort=A","Dates=H","DateFormat=P","Fill=—","Direction=H","UseDPDF=Y")</f>
        <v>0</v>
      </c>
      <c r="AN12" s="13">
        <f>_xll.BDH("AMZN US Equity","NOTES_RECEIVABLE","FQ2 2018","FQ2 2018","Currency=USD","Period=FQ","BEST_FPERIOD_OVERRIDE=FQ","FILING_STATUS=MR","SCALING_FORMAT=MLN","Sort=A","Dates=H","DateFormat=P","Fill=—","Direction=H","UseDPDF=Y")</f>
        <v>0</v>
      </c>
    </row>
    <row r="13" spans="1:40" x14ac:dyDescent="0.25">
      <c r="A13" s="10" t="s">
        <v>222</v>
      </c>
      <c r="B13" s="10" t="s">
        <v>223</v>
      </c>
      <c r="C13" s="13">
        <f>_xll.BDH("AMZN US Equity","BS_INVENTORIES","FQ1 2009","FQ1 2009","Currency=USD","Period=FQ","BEST_FPERIOD_OVERRIDE=FQ","FILING_STATUS=MR","SCALING_FORMAT=MLN","Sort=A","Dates=H","DateFormat=P","Fill=—","Direction=H","UseDPDF=Y")</f>
        <v>1266</v>
      </c>
      <c r="D13" s="13">
        <f>_xll.BDH("AMZN US Equity","BS_INVENTORIES","FQ2 2009","FQ2 2009","Currency=USD","Period=FQ","BEST_FPERIOD_OVERRIDE=FQ","FILING_STATUS=MR","SCALING_FORMAT=MLN","Sort=A","Dates=H","DateFormat=P","Fill=—","Direction=H","UseDPDF=Y")</f>
        <v>1325</v>
      </c>
      <c r="E13" s="13">
        <f>_xll.BDH("AMZN US Equity","BS_INVENTORIES","FQ3 2009","FQ3 2009","Currency=USD","Period=FQ","BEST_FPERIOD_OVERRIDE=FQ","FILING_STATUS=MR","SCALING_FORMAT=MLN","Sort=A","Dates=H","DateFormat=P","Fill=—","Direction=H","UseDPDF=Y")</f>
        <v>1617</v>
      </c>
      <c r="F13" s="13">
        <f>_xll.BDH("AMZN US Equity","BS_INVENTORIES","FQ4 2009","FQ4 2009","Currency=USD","Period=FQ","BEST_FPERIOD_OVERRIDE=FQ","FILING_STATUS=MR","SCALING_FORMAT=MLN","Sort=A","Dates=H","DateFormat=P","Fill=—","Direction=H","UseDPDF=Y")</f>
        <v>2171</v>
      </c>
      <c r="G13" s="13">
        <f>_xll.BDH("AMZN US Equity","BS_INVENTORIES","FQ1 2010","FQ1 2010","Currency=USD","Period=FQ","BEST_FPERIOD_OVERRIDE=FQ","FILING_STATUS=MR","SCALING_FORMAT=MLN","Sort=A","Dates=H","DateFormat=P","Fill=—","Direction=H","UseDPDF=Y")</f>
        <v>1820</v>
      </c>
      <c r="H13" s="13">
        <f>_xll.BDH("AMZN US Equity","BS_INVENTORIES","FQ2 2010","FQ2 2010","Currency=USD","Period=FQ","BEST_FPERIOD_OVERRIDE=FQ","FILING_STATUS=MR","SCALING_FORMAT=MLN","Sort=A","Dates=H","DateFormat=P","Fill=—","Direction=H","UseDPDF=Y")</f>
        <v>1940</v>
      </c>
      <c r="I13" s="13">
        <f>_xll.BDH("AMZN US Equity","BS_INVENTORIES","FQ3 2010","FQ3 2010","Currency=USD","Period=FQ","BEST_FPERIOD_OVERRIDE=FQ","FILING_STATUS=MR","SCALING_FORMAT=MLN","Sort=A","Dates=H","DateFormat=P","Fill=—","Direction=H","UseDPDF=Y")</f>
        <v>2515</v>
      </c>
      <c r="J13" s="13">
        <f>_xll.BDH("AMZN US Equity","BS_INVENTORIES","FQ4 2010","FQ4 2010","Currency=USD","Period=FQ","BEST_FPERIOD_OVERRIDE=FQ","FILING_STATUS=MR","SCALING_FORMAT=MLN","Sort=A","Dates=H","DateFormat=P","Fill=—","Direction=H","UseDPDF=Y")</f>
        <v>3202</v>
      </c>
      <c r="K13" s="13">
        <f>_xll.BDH("AMZN US Equity","BS_INVENTORIES","FQ1 2011","FQ1 2011","Currency=USD","Period=FQ","BEST_FPERIOD_OVERRIDE=FQ","FILING_STATUS=MR","SCALING_FORMAT=MLN","Sort=A","Dates=H","DateFormat=P","Fill=—","Direction=H","UseDPDF=Y")</f>
        <v>2888</v>
      </c>
      <c r="L13" s="13">
        <f>_xll.BDH("AMZN US Equity","BS_INVENTORIES","FQ2 2011","FQ2 2011","Currency=USD","Period=FQ","BEST_FPERIOD_OVERRIDE=FQ","FILING_STATUS=MR","SCALING_FORMAT=MLN","Sort=A","Dates=H","DateFormat=P","Fill=—","Direction=H","UseDPDF=Y")</f>
        <v>3229</v>
      </c>
      <c r="M13" s="13">
        <f>_xll.BDH("AMZN US Equity","BS_INVENTORIES","FQ3 2011","FQ3 2011","Currency=USD","Period=FQ","BEST_FPERIOD_OVERRIDE=FQ","FILING_STATUS=MR","SCALING_FORMAT=MLN","Sort=A","Dates=H","DateFormat=P","Fill=—","Direction=H","UseDPDF=Y")</f>
        <v>3770</v>
      </c>
      <c r="N13" s="13">
        <f>_xll.BDH("AMZN US Equity","BS_INVENTORIES","FQ4 2011","FQ4 2011","Currency=USD","Period=FQ","BEST_FPERIOD_OVERRIDE=FQ","FILING_STATUS=MR","SCALING_FORMAT=MLN","Sort=A","Dates=H","DateFormat=P","Fill=—","Direction=H","UseDPDF=Y")</f>
        <v>4992</v>
      </c>
      <c r="O13" s="13">
        <f>_xll.BDH("AMZN US Equity","BS_INVENTORIES","FQ1 2012","FQ1 2012","Currency=USD","Period=FQ","BEST_FPERIOD_OVERRIDE=FQ","FILING_STATUS=MR","SCALING_FORMAT=MLN","Sort=A","Dates=H","DateFormat=P","Fill=—","Direction=H","UseDPDF=Y")</f>
        <v>4255</v>
      </c>
      <c r="P13" s="13">
        <f>_xll.BDH("AMZN US Equity","BS_INVENTORIES","FQ2 2012","FQ2 2012","Currency=USD","Period=FQ","BEST_FPERIOD_OVERRIDE=FQ","FILING_STATUS=MR","SCALING_FORMAT=MLN","Sort=A","Dates=H","DateFormat=P","Fill=—","Direction=H","UseDPDF=Y")</f>
        <v>4380</v>
      </c>
      <c r="Q13" s="13">
        <f>_xll.BDH("AMZN US Equity","BS_INVENTORIES","FQ3 2012","FQ3 2012","Currency=USD","Period=FQ","BEST_FPERIOD_OVERRIDE=FQ","FILING_STATUS=MR","SCALING_FORMAT=MLN","Sort=A","Dates=H","DateFormat=P","Fill=—","Direction=H","UseDPDF=Y")</f>
        <v>5065</v>
      </c>
      <c r="R13" s="13">
        <f>_xll.BDH("AMZN US Equity","BS_INVENTORIES","FQ4 2012","FQ4 2012","Currency=USD","Period=FQ","BEST_FPERIOD_OVERRIDE=FQ","FILING_STATUS=MR","SCALING_FORMAT=MLN","Sort=A","Dates=H","DateFormat=P","Fill=—","Direction=H","UseDPDF=Y")</f>
        <v>6031</v>
      </c>
      <c r="S13" s="13">
        <f>_xll.BDH("AMZN US Equity","BS_INVENTORIES","FQ1 2013","FQ1 2013","Currency=USD","Period=FQ","BEST_FPERIOD_OVERRIDE=FQ","FILING_STATUS=MR","SCALING_FORMAT=MLN","Sort=A","Dates=H","DateFormat=P","Fill=—","Direction=H","UseDPDF=Y")</f>
        <v>5395</v>
      </c>
      <c r="T13" s="13">
        <f>_xll.BDH("AMZN US Equity","BS_INVENTORIES","FQ2 2013","FQ2 2013","Currency=USD","Period=FQ","BEST_FPERIOD_OVERRIDE=FQ","FILING_STATUS=MR","SCALING_FORMAT=MLN","Sort=A","Dates=H","DateFormat=P","Fill=—","Direction=H","UseDPDF=Y")</f>
        <v>5420</v>
      </c>
      <c r="U13" s="13">
        <f>_xll.BDH("AMZN US Equity","BS_INVENTORIES","FQ3 2013","FQ3 2013","Currency=USD","Period=FQ","BEST_FPERIOD_OVERRIDE=FQ","FILING_STATUS=MR","SCALING_FORMAT=MLN","Sort=A","Dates=H","DateFormat=P","Fill=—","Direction=H","UseDPDF=Y")</f>
        <v>6068</v>
      </c>
      <c r="V13" s="13">
        <f>_xll.BDH("AMZN US Equity","BS_INVENTORIES","FQ4 2013","FQ4 2013","Currency=USD","Period=FQ","BEST_FPERIOD_OVERRIDE=FQ","FILING_STATUS=MR","SCALING_FORMAT=MLN","Sort=A","Dates=H","DateFormat=P","Fill=—","Direction=H","UseDPDF=Y")</f>
        <v>7411</v>
      </c>
      <c r="W13" s="13">
        <f>_xll.BDH("AMZN US Equity","BS_INVENTORIES","FQ1 2014","FQ1 2014","Currency=USD","Period=FQ","BEST_FPERIOD_OVERRIDE=FQ","FILING_STATUS=MR","SCALING_FORMAT=MLN","Sort=A","Dates=H","DateFormat=P","Fill=—","Direction=H","UseDPDF=Y")</f>
        <v>6716</v>
      </c>
      <c r="X13" s="13">
        <f>_xll.BDH("AMZN US Equity","BS_INVENTORIES","FQ2 2014","FQ2 2014","Currency=USD","Period=FQ","BEST_FPERIOD_OVERRIDE=FQ","FILING_STATUS=MR","SCALING_FORMAT=MLN","Sort=A","Dates=H","DateFormat=P","Fill=—","Direction=H","UseDPDF=Y")</f>
        <v>6644</v>
      </c>
      <c r="Y13" s="13">
        <f>_xll.BDH("AMZN US Equity","BS_INVENTORIES","FQ3 2014","FQ3 2014","Currency=USD","Period=FQ","BEST_FPERIOD_OVERRIDE=FQ","FILING_STATUS=MR","SCALING_FORMAT=MLN","Sort=A","Dates=H","DateFormat=P","Fill=—","Direction=H","UseDPDF=Y")</f>
        <v>7316</v>
      </c>
      <c r="Z13" s="13">
        <f>_xll.BDH("AMZN US Equity","BS_INVENTORIES","FQ4 2014","FQ4 2014","Currency=USD","Period=FQ","BEST_FPERIOD_OVERRIDE=FQ","FILING_STATUS=MR","SCALING_FORMAT=MLN","Sort=A","Dates=H","DateFormat=P","Fill=—","Direction=H","UseDPDF=Y")</f>
        <v>8299</v>
      </c>
      <c r="AA13" s="13">
        <f>_xll.BDH("AMZN US Equity","BS_INVENTORIES","FQ1 2015","FQ1 2015","Currency=USD","Period=FQ","BEST_FPERIOD_OVERRIDE=FQ","FILING_STATUS=MR","SCALING_FORMAT=MLN","Sort=A","Dates=H","DateFormat=P","Fill=—","Direction=H","UseDPDF=Y")</f>
        <v>7369</v>
      </c>
      <c r="AB13" s="13">
        <f>_xll.BDH("AMZN US Equity","BS_INVENTORIES","FQ2 2015","FQ2 2015","Currency=USD","Period=FQ","BEST_FPERIOD_OVERRIDE=FQ","FILING_STATUS=MR","SCALING_FORMAT=MLN","Sort=A","Dates=H","DateFormat=P","Fill=—","Direction=H","UseDPDF=Y")</f>
        <v>7470</v>
      </c>
      <c r="AC13" s="13">
        <f>_xll.BDH("AMZN US Equity","BS_INVENTORIES","FQ3 2015","FQ3 2015","Currency=USD","Period=FQ","BEST_FPERIOD_OVERRIDE=FQ","FILING_STATUS=MR","SCALING_FORMAT=MLN","Sort=A","Dates=H","DateFormat=P","Fill=—","Direction=H","UseDPDF=Y")</f>
        <v>8981</v>
      </c>
      <c r="AD13" s="13">
        <f>_xll.BDH("AMZN US Equity","BS_INVENTORIES","FQ4 2015","FQ4 2015","Currency=USD","Period=FQ","BEST_FPERIOD_OVERRIDE=FQ","FILING_STATUS=MR","SCALING_FORMAT=MLN","Sort=A","Dates=H","DateFormat=P","Fill=—","Direction=H","UseDPDF=Y")</f>
        <v>10243</v>
      </c>
      <c r="AE13" s="13">
        <f>_xll.BDH("AMZN US Equity","BS_INVENTORIES","FQ1 2016","FQ1 2016","Currency=USD","Period=FQ","BEST_FPERIOD_OVERRIDE=FQ","FILING_STATUS=MR","SCALING_FORMAT=MLN","Sort=A","Dates=H","DateFormat=P","Fill=—","Direction=H","UseDPDF=Y")</f>
        <v>9582</v>
      </c>
      <c r="AF13" s="13">
        <f>_xll.BDH("AMZN US Equity","BS_INVENTORIES","FQ2 2016","FQ2 2016","Currency=USD","Period=FQ","BEST_FPERIOD_OVERRIDE=FQ","FILING_STATUS=MR","SCALING_FORMAT=MLN","Sort=A","Dates=H","DateFormat=P","Fill=—","Direction=H","UseDPDF=Y")</f>
        <v>9588</v>
      </c>
      <c r="AG13" s="13">
        <f>_xll.BDH("AMZN US Equity","BS_INVENTORIES","FQ3 2016","FQ3 2016","Currency=USD","Period=FQ","BEST_FPERIOD_OVERRIDE=FQ","FILING_STATUS=MR","SCALING_FORMAT=MLN","Sort=A","Dates=H","DateFormat=P","Fill=—","Direction=H","UseDPDF=Y")</f>
        <v>10696</v>
      </c>
      <c r="AH13" s="13">
        <f>_xll.BDH("AMZN US Equity","BS_INVENTORIES","FQ4 2016","FQ4 2016","Currency=USD","Period=FQ","BEST_FPERIOD_OVERRIDE=FQ","FILING_STATUS=MR","SCALING_FORMAT=MLN","Sort=A","Dates=H","DateFormat=P","Fill=—","Direction=H","UseDPDF=Y")</f>
        <v>11461</v>
      </c>
      <c r="AI13" s="13">
        <f>_xll.BDH("AMZN US Equity","BS_INVENTORIES","FQ1 2017","FQ1 2017","Currency=USD","Period=FQ","BEST_FPERIOD_OVERRIDE=FQ","FILING_STATUS=MR","SCALING_FORMAT=MLN","Sort=A","Dates=H","DateFormat=P","Fill=—","Direction=H","UseDPDF=Y")</f>
        <v>10600</v>
      </c>
      <c r="AJ13" s="13">
        <f>_xll.BDH("AMZN US Equity","BS_INVENTORIES","FQ2 2017","FQ2 2017","Currency=USD","Period=FQ","BEST_FPERIOD_OVERRIDE=FQ","FILING_STATUS=MR","SCALING_FORMAT=MLN","Sort=A","Dates=H","DateFormat=P","Fill=—","Direction=H","UseDPDF=Y")</f>
        <v>11510</v>
      </c>
      <c r="AK13" s="13">
        <f>_xll.BDH("AMZN US Equity","BS_INVENTORIES","FQ3 2017","FQ3 2017","Currency=USD","Period=FQ","BEST_FPERIOD_OVERRIDE=FQ","FILING_STATUS=MR","SCALING_FORMAT=MLN","Sort=A","Dates=H","DateFormat=P","Fill=—","Direction=H","UseDPDF=Y")</f>
        <v>13711</v>
      </c>
      <c r="AL13" s="13">
        <f>_xll.BDH("AMZN US Equity","BS_INVENTORIES","FQ4 2017","FQ4 2017","Currency=USD","Period=FQ","BEST_FPERIOD_OVERRIDE=FQ","FILING_STATUS=MR","SCALING_FORMAT=MLN","Sort=A","Dates=H","DateFormat=P","Fill=—","Direction=H","UseDPDF=Y")</f>
        <v>16047</v>
      </c>
      <c r="AM13" s="13">
        <f>_xll.BDH("AMZN US Equity","BS_INVENTORIES","FQ1 2018","FQ1 2018","Currency=USD","Period=FQ","BEST_FPERIOD_OVERRIDE=FQ","FILING_STATUS=MR","SCALING_FORMAT=MLN","Sort=A","Dates=H","DateFormat=P","Fill=—","Direction=H","UseDPDF=Y")</f>
        <v>13840</v>
      </c>
      <c r="AN13" s="13">
        <f>_xll.BDH("AMZN US Equity","BS_INVENTORIES","FQ2 2018","FQ2 2018","Currency=USD","Period=FQ","BEST_FPERIOD_OVERRIDE=FQ","FILING_STATUS=MR","SCALING_FORMAT=MLN","Sort=A","Dates=H","DateFormat=P","Fill=—","Direction=H","UseDPDF=Y")</f>
        <v>14824</v>
      </c>
    </row>
    <row r="14" spans="1:40" x14ac:dyDescent="0.25">
      <c r="A14" s="10" t="s">
        <v>224</v>
      </c>
      <c r="B14" s="10" t="s">
        <v>225</v>
      </c>
      <c r="C14" s="13" t="str">
        <f>_xll.BDH("AMZN US Equity","INVTRY_RAW_MATERIALS","FQ1 2009","FQ1 2009","Currency=USD","Period=FQ","BEST_FPERIOD_OVERRIDE=FQ","FILING_STATUS=MR","SCALING_FORMAT=MLN","Sort=A","Dates=H","DateFormat=P","Fill=—","Direction=H","UseDPDF=Y")</f>
        <v>—</v>
      </c>
      <c r="D14" s="13" t="str">
        <f>_xll.BDH("AMZN US Equity","INVTRY_RAW_MATERIALS","FQ2 2009","FQ2 2009","Currency=USD","Period=FQ","BEST_FPERIOD_OVERRIDE=FQ","FILING_STATUS=MR","SCALING_FORMAT=MLN","Sort=A","Dates=H","DateFormat=P","Fill=—","Direction=H","UseDPDF=Y")</f>
        <v>—</v>
      </c>
      <c r="E14" s="13" t="str">
        <f>_xll.BDH("AMZN US Equity","INVTRY_RAW_MATERIALS","FQ3 2009","FQ3 2009","Currency=USD","Period=FQ","BEST_FPERIOD_OVERRIDE=FQ","FILING_STATUS=MR","SCALING_FORMAT=MLN","Sort=A","Dates=H","DateFormat=P","Fill=—","Direction=H","UseDPDF=Y")</f>
        <v>—</v>
      </c>
      <c r="F14" s="13" t="str">
        <f>_xll.BDH("AMZN US Equity","INVTRY_RAW_MATERIALS","FQ4 2009","FQ4 2009","Currency=USD","Period=FQ","BEST_FPERIOD_OVERRIDE=FQ","FILING_STATUS=MR","SCALING_FORMAT=MLN","Sort=A","Dates=H","DateFormat=P","Fill=—","Direction=H","UseDPDF=Y")</f>
        <v>—</v>
      </c>
      <c r="G14" s="13" t="str">
        <f>_xll.BDH("AMZN US Equity","INVTRY_RAW_MATERIALS","FQ1 2010","FQ1 2010","Currency=USD","Period=FQ","BEST_FPERIOD_OVERRIDE=FQ","FILING_STATUS=MR","SCALING_FORMAT=MLN","Sort=A","Dates=H","DateFormat=P","Fill=—","Direction=H","UseDPDF=Y")</f>
        <v>—</v>
      </c>
      <c r="H14" s="13" t="str">
        <f>_xll.BDH("AMZN US Equity","INVTRY_RAW_MATERIALS","FQ2 2010","FQ2 2010","Currency=USD","Period=FQ","BEST_FPERIOD_OVERRIDE=FQ","FILING_STATUS=MR","SCALING_FORMAT=MLN","Sort=A","Dates=H","DateFormat=P","Fill=—","Direction=H","UseDPDF=Y")</f>
        <v>—</v>
      </c>
      <c r="I14" s="13" t="str">
        <f>_xll.BDH("AMZN US Equity","INVTRY_RAW_MATERIALS","FQ3 2010","FQ3 2010","Currency=USD","Period=FQ","BEST_FPERIOD_OVERRIDE=FQ","FILING_STATUS=MR","SCALING_FORMAT=MLN","Sort=A","Dates=H","DateFormat=P","Fill=—","Direction=H","UseDPDF=Y")</f>
        <v>—</v>
      </c>
      <c r="J14" s="13" t="str">
        <f>_xll.BDH("AMZN US Equity","INVTRY_RAW_MATERIALS","FQ4 2010","FQ4 2010","Currency=USD","Period=FQ","BEST_FPERIOD_OVERRIDE=FQ","FILING_STATUS=MR","SCALING_FORMAT=MLN","Sort=A","Dates=H","DateFormat=P","Fill=—","Direction=H","UseDPDF=Y")</f>
        <v>—</v>
      </c>
      <c r="K14" s="13" t="str">
        <f>_xll.BDH("AMZN US Equity","INVTRY_RAW_MATERIALS","FQ1 2011","FQ1 2011","Currency=USD","Period=FQ","BEST_FPERIOD_OVERRIDE=FQ","FILING_STATUS=MR","SCALING_FORMAT=MLN","Sort=A","Dates=H","DateFormat=P","Fill=—","Direction=H","UseDPDF=Y")</f>
        <v>—</v>
      </c>
      <c r="L14" s="13" t="str">
        <f>_xll.BDH("AMZN US Equity","INVTRY_RAW_MATERIALS","FQ2 2011","FQ2 2011","Currency=USD","Period=FQ","BEST_FPERIOD_OVERRIDE=FQ","FILING_STATUS=MR","SCALING_FORMAT=MLN","Sort=A","Dates=H","DateFormat=P","Fill=—","Direction=H","UseDPDF=Y")</f>
        <v>—</v>
      </c>
      <c r="M14" s="13" t="str">
        <f>_xll.BDH("AMZN US Equity","INVTRY_RAW_MATERIALS","FQ3 2011","FQ3 2011","Currency=USD","Period=FQ","BEST_FPERIOD_OVERRIDE=FQ","FILING_STATUS=MR","SCALING_FORMAT=MLN","Sort=A","Dates=H","DateFormat=P","Fill=—","Direction=H","UseDPDF=Y")</f>
        <v>—</v>
      </c>
      <c r="N14" s="13" t="str">
        <f>_xll.BDH("AMZN US Equity","INVTRY_RAW_MATERIALS","FQ4 2011","FQ4 2011","Currency=USD","Period=FQ","BEST_FPERIOD_OVERRIDE=FQ","FILING_STATUS=MR","SCALING_FORMAT=MLN","Sort=A","Dates=H","DateFormat=P","Fill=—","Direction=H","UseDPDF=Y")</f>
        <v>—</v>
      </c>
      <c r="O14" s="13" t="str">
        <f>_xll.BDH("AMZN US Equity","INVTRY_RAW_MATERIALS","FQ1 2012","FQ1 2012","Currency=USD","Period=FQ","BEST_FPERIOD_OVERRIDE=FQ","FILING_STATUS=MR","SCALING_FORMAT=MLN","Sort=A","Dates=H","DateFormat=P","Fill=—","Direction=H","UseDPDF=Y")</f>
        <v>—</v>
      </c>
      <c r="P14" s="13" t="str">
        <f>_xll.BDH("AMZN US Equity","INVTRY_RAW_MATERIALS","FQ2 2012","FQ2 2012","Currency=USD","Period=FQ","BEST_FPERIOD_OVERRIDE=FQ","FILING_STATUS=MR","SCALING_FORMAT=MLN","Sort=A","Dates=H","DateFormat=P","Fill=—","Direction=H","UseDPDF=Y")</f>
        <v>—</v>
      </c>
      <c r="Q14" s="13" t="str">
        <f>_xll.BDH("AMZN US Equity","INVTRY_RAW_MATERIALS","FQ3 2012","FQ3 2012","Currency=USD","Period=FQ","BEST_FPERIOD_OVERRIDE=FQ","FILING_STATUS=MR","SCALING_FORMAT=MLN","Sort=A","Dates=H","DateFormat=P","Fill=—","Direction=H","UseDPDF=Y")</f>
        <v>—</v>
      </c>
      <c r="R14" s="13" t="str">
        <f>_xll.BDH("AMZN US Equity","INVTRY_RAW_MATERIALS","FQ4 2012","FQ4 2012","Currency=USD","Period=FQ","BEST_FPERIOD_OVERRIDE=FQ","FILING_STATUS=MR","SCALING_FORMAT=MLN","Sort=A","Dates=H","DateFormat=P","Fill=—","Direction=H","UseDPDF=Y")</f>
        <v>—</v>
      </c>
      <c r="S14" s="13" t="str">
        <f>_xll.BDH("AMZN US Equity","INVTRY_RAW_MATERIALS","FQ1 2013","FQ1 2013","Currency=USD","Period=FQ","BEST_FPERIOD_OVERRIDE=FQ","FILING_STATUS=MR","SCALING_FORMAT=MLN","Sort=A","Dates=H","DateFormat=P","Fill=—","Direction=H","UseDPDF=Y")</f>
        <v>—</v>
      </c>
      <c r="T14" s="13" t="str">
        <f>_xll.BDH("AMZN US Equity","INVTRY_RAW_MATERIALS","FQ2 2013","FQ2 2013","Currency=USD","Period=FQ","BEST_FPERIOD_OVERRIDE=FQ","FILING_STATUS=MR","SCALING_FORMAT=MLN","Sort=A","Dates=H","DateFormat=P","Fill=—","Direction=H","UseDPDF=Y")</f>
        <v>—</v>
      </c>
      <c r="U14" s="13" t="str">
        <f>_xll.BDH("AMZN US Equity","INVTRY_RAW_MATERIALS","FQ3 2013","FQ3 2013","Currency=USD","Period=FQ","BEST_FPERIOD_OVERRIDE=FQ","FILING_STATUS=MR","SCALING_FORMAT=MLN","Sort=A","Dates=H","DateFormat=P","Fill=—","Direction=H","UseDPDF=Y")</f>
        <v>—</v>
      </c>
      <c r="V14" s="13" t="str">
        <f>_xll.BDH("AMZN US Equity","INVTRY_RAW_MATERIALS","FQ4 2013","FQ4 2013","Currency=USD","Period=FQ","BEST_FPERIOD_OVERRIDE=FQ","FILING_STATUS=MR","SCALING_FORMAT=MLN","Sort=A","Dates=H","DateFormat=P","Fill=—","Direction=H","UseDPDF=Y")</f>
        <v>—</v>
      </c>
      <c r="W14" s="13" t="str">
        <f>_xll.BDH("AMZN US Equity","INVTRY_RAW_MATERIALS","FQ1 2014","FQ1 2014","Currency=USD","Period=FQ","BEST_FPERIOD_OVERRIDE=FQ","FILING_STATUS=MR","SCALING_FORMAT=MLN","Sort=A","Dates=H","DateFormat=P","Fill=—","Direction=H","UseDPDF=Y")</f>
        <v>—</v>
      </c>
      <c r="X14" s="13" t="str">
        <f>_xll.BDH("AMZN US Equity","INVTRY_RAW_MATERIALS","FQ2 2014","FQ2 2014","Currency=USD","Period=FQ","BEST_FPERIOD_OVERRIDE=FQ","FILING_STATUS=MR","SCALING_FORMAT=MLN","Sort=A","Dates=H","DateFormat=P","Fill=—","Direction=H","UseDPDF=Y")</f>
        <v>—</v>
      </c>
      <c r="Y14" s="13" t="str">
        <f>_xll.BDH("AMZN US Equity","INVTRY_RAW_MATERIALS","FQ3 2014","FQ3 2014","Currency=USD","Period=FQ","BEST_FPERIOD_OVERRIDE=FQ","FILING_STATUS=MR","SCALING_FORMAT=MLN","Sort=A","Dates=H","DateFormat=P","Fill=—","Direction=H","UseDPDF=Y")</f>
        <v>—</v>
      </c>
      <c r="Z14" s="13" t="str">
        <f>_xll.BDH("AMZN US Equity","INVTRY_RAW_MATERIALS","FQ4 2014","FQ4 2014","Currency=USD","Period=FQ","BEST_FPERIOD_OVERRIDE=FQ","FILING_STATUS=MR","SCALING_FORMAT=MLN","Sort=A","Dates=H","DateFormat=P","Fill=—","Direction=H","UseDPDF=Y")</f>
        <v>—</v>
      </c>
      <c r="AA14" s="13" t="str">
        <f>_xll.BDH("AMZN US Equity","INVTRY_RAW_MATERIALS","FQ1 2015","FQ1 2015","Currency=USD","Period=FQ","BEST_FPERIOD_OVERRIDE=FQ","FILING_STATUS=MR","SCALING_FORMAT=MLN","Sort=A","Dates=H","DateFormat=P","Fill=—","Direction=H","UseDPDF=Y")</f>
        <v>—</v>
      </c>
      <c r="AB14" s="13" t="str">
        <f>_xll.BDH("AMZN US Equity","INVTRY_RAW_MATERIALS","FQ2 2015","FQ2 2015","Currency=USD","Period=FQ","BEST_FPERIOD_OVERRIDE=FQ","FILING_STATUS=MR","SCALING_FORMAT=MLN","Sort=A","Dates=H","DateFormat=P","Fill=—","Direction=H","UseDPDF=Y")</f>
        <v>—</v>
      </c>
      <c r="AC14" s="13" t="str">
        <f>_xll.BDH("AMZN US Equity","INVTRY_RAW_MATERIALS","FQ3 2015","FQ3 2015","Currency=USD","Period=FQ","BEST_FPERIOD_OVERRIDE=FQ","FILING_STATUS=MR","SCALING_FORMAT=MLN","Sort=A","Dates=H","DateFormat=P","Fill=—","Direction=H","UseDPDF=Y")</f>
        <v>—</v>
      </c>
      <c r="AD14" s="13" t="str">
        <f>_xll.BDH("AMZN US Equity","INVTRY_RAW_MATERIALS","FQ4 2015","FQ4 2015","Currency=USD","Period=FQ","BEST_FPERIOD_OVERRIDE=FQ","FILING_STATUS=MR","SCALING_FORMAT=MLN","Sort=A","Dates=H","DateFormat=P","Fill=—","Direction=H","UseDPDF=Y")</f>
        <v>—</v>
      </c>
      <c r="AE14" s="13" t="str">
        <f>_xll.BDH("AMZN US Equity","INVTRY_RAW_MATERIALS","FQ1 2016","FQ1 2016","Currency=USD","Period=FQ","BEST_FPERIOD_OVERRIDE=FQ","FILING_STATUS=MR","SCALING_FORMAT=MLN","Sort=A","Dates=H","DateFormat=P","Fill=—","Direction=H","UseDPDF=Y")</f>
        <v>—</v>
      </c>
      <c r="AF14" s="13" t="str">
        <f>_xll.BDH("AMZN US Equity","INVTRY_RAW_MATERIALS","FQ2 2016","FQ2 2016","Currency=USD","Period=FQ","BEST_FPERIOD_OVERRIDE=FQ","FILING_STATUS=MR","SCALING_FORMAT=MLN","Sort=A","Dates=H","DateFormat=P","Fill=—","Direction=H","UseDPDF=Y")</f>
        <v>—</v>
      </c>
      <c r="AG14" s="13" t="str">
        <f>_xll.BDH("AMZN US Equity","INVTRY_RAW_MATERIALS","FQ3 2016","FQ3 2016","Currency=USD","Period=FQ","BEST_FPERIOD_OVERRIDE=FQ","FILING_STATUS=MR","SCALING_FORMAT=MLN","Sort=A","Dates=H","DateFormat=P","Fill=—","Direction=H","UseDPDF=Y")</f>
        <v>—</v>
      </c>
      <c r="AH14" s="13" t="str">
        <f>_xll.BDH("AMZN US Equity","INVTRY_RAW_MATERIALS","FQ4 2016","FQ4 2016","Currency=USD","Period=FQ","BEST_FPERIOD_OVERRIDE=FQ","FILING_STATUS=MR","SCALING_FORMAT=MLN","Sort=A","Dates=H","DateFormat=P","Fill=—","Direction=H","UseDPDF=Y")</f>
        <v>—</v>
      </c>
      <c r="AI14" s="13" t="str">
        <f>_xll.BDH("AMZN US Equity","INVTRY_RAW_MATERIALS","FQ1 2017","FQ1 2017","Currency=USD","Period=FQ","BEST_FPERIOD_OVERRIDE=FQ","FILING_STATUS=MR","SCALING_FORMAT=MLN","Sort=A","Dates=H","DateFormat=P","Fill=—","Direction=H","UseDPDF=Y")</f>
        <v>—</v>
      </c>
      <c r="AJ14" s="13" t="str">
        <f>_xll.BDH("AMZN US Equity","INVTRY_RAW_MATERIALS","FQ2 2017","FQ2 2017","Currency=USD","Period=FQ","BEST_FPERIOD_OVERRIDE=FQ","FILING_STATUS=MR","SCALING_FORMAT=MLN","Sort=A","Dates=H","DateFormat=P","Fill=—","Direction=H","UseDPDF=Y")</f>
        <v>—</v>
      </c>
      <c r="AK14" s="13" t="str">
        <f>_xll.BDH("AMZN US Equity","INVTRY_RAW_MATERIALS","FQ3 2017","FQ3 2017","Currency=USD","Period=FQ","BEST_FPERIOD_OVERRIDE=FQ","FILING_STATUS=MR","SCALING_FORMAT=MLN","Sort=A","Dates=H","DateFormat=P","Fill=—","Direction=H","UseDPDF=Y")</f>
        <v>—</v>
      </c>
      <c r="AL14" s="13" t="str">
        <f>_xll.BDH("AMZN US Equity","INVTRY_RAW_MATERIALS","FQ4 2017","FQ4 2017","Currency=USD","Period=FQ","BEST_FPERIOD_OVERRIDE=FQ","FILING_STATUS=MR","SCALING_FORMAT=MLN","Sort=A","Dates=H","DateFormat=P","Fill=—","Direction=H","UseDPDF=Y")</f>
        <v>—</v>
      </c>
      <c r="AM14" s="13" t="str">
        <f>_xll.BDH("AMZN US Equity","INVTRY_RAW_MATERIALS","FQ1 2018","FQ1 2018","Currency=USD","Period=FQ","BEST_FPERIOD_OVERRIDE=FQ","FILING_STATUS=MR","SCALING_FORMAT=MLN","Sort=A","Dates=H","DateFormat=P","Fill=—","Direction=H","UseDPDF=Y")</f>
        <v>—</v>
      </c>
      <c r="AN14" s="13" t="str">
        <f>_xll.BDH("AMZN US Equity","INVTRY_RAW_MATERIALS","FQ2 2018","FQ2 2018","Currency=USD","Period=FQ","BEST_FPERIOD_OVERRIDE=FQ","FILING_STATUS=MR","SCALING_FORMAT=MLN","Sort=A","Dates=H","DateFormat=P","Fill=—","Direction=H","UseDPDF=Y")</f>
        <v>—</v>
      </c>
    </row>
    <row r="15" spans="1:40" x14ac:dyDescent="0.25">
      <c r="A15" s="10" t="s">
        <v>226</v>
      </c>
      <c r="B15" s="10" t="s">
        <v>227</v>
      </c>
      <c r="C15" s="13" t="str">
        <f>_xll.BDH("AMZN US Equity","INVTRY_IN_PROGRESS","FQ1 2009","FQ1 2009","Currency=USD","Period=FQ","BEST_FPERIOD_OVERRIDE=FQ","FILING_STATUS=MR","SCALING_FORMAT=MLN","Sort=A","Dates=H","DateFormat=P","Fill=—","Direction=H","UseDPDF=Y")</f>
        <v>—</v>
      </c>
      <c r="D15" s="13" t="str">
        <f>_xll.BDH("AMZN US Equity","INVTRY_IN_PROGRESS","FQ2 2009","FQ2 2009","Currency=USD","Period=FQ","BEST_FPERIOD_OVERRIDE=FQ","FILING_STATUS=MR","SCALING_FORMAT=MLN","Sort=A","Dates=H","DateFormat=P","Fill=—","Direction=H","UseDPDF=Y")</f>
        <v>—</v>
      </c>
      <c r="E15" s="13" t="str">
        <f>_xll.BDH("AMZN US Equity","INVTRY_IN_PROGRESS","FQ3 2009","FQ3 2009","Currency=USD","Period=FQ","BEST_FPERIOD_OVERRIDE=FQ","FILING_STATUS=MR","SCALING_FORMAT=MLN","Sort=A","Dates=H","DateFormat=P","Fill=—","Direction=H","UseDPDF=Y")</f>
        <v>—</v>
      </c>
      <c r="F15" s="13" t="str">
        <f>_xll.BDH("AMZN US Equity","INVTRY_IN_PROGRESS","FQ4 2009","FQ4 2009","Currency=USD","Period=FQ","BEST_FPERIOD_OVERRIDE=FQ","FILING_STATUS=MR","SCALING_FORMAT=MLN","Sort=A","Dates=H","DateFormat=P","Fill=—","Direction=H","UseDPDF=Y")</f>
        <v>—</v>
      </c>
      <c r="G15" s="13" t="str">
        <f>_xll.BDH("AMZN US Equity","INVTRY_IN_PROGRESS","FQ1 2010","FQ1 2010","Currency=USD","Period=FQ","BEST_FPERIOD_OVERRIDE=FQ","FILING_STATUS=MR","SCALING_FORMAT=MLN","Sort=A","Dates=H","DateFormat=P","Fill=—","Direction=H","UseDPDF=Y")</f>
        <v>—</v>
      </c>
      <c r="H15" s="13" t="str">
        <f>_xll.BDH("AMZN US Equity","INVTRY_IN_PROGRESS","FQ2 2010","FQ2 2010","Currency=USD","Period=FQ","BEST_FPERIOD_OVERRIDE=FQ","FILING_STATUS=MR","SCALING_FORMAT=MLN","Sort=A","Dates=H","DateFormat=P","Fill=—","Direction=H","UseDPDF=Y")</f>
        <v>—</v>
      </c>
      <c r="I15" s="13" t="str">
        <f>_xll.BDH("AMZN US Equity","INVTRY_IN_PROGRESS","FQ3 2010","FQ3 2010","Currency=USD","Period=FQ","BEST_FPERIOD_OVERRIDE=FQ","FILING_STATUS=MR","SCALING_FORMAT=MLN","Sort=A","Dates=H","DateFormat=P","Fill=—","Direction=H","UseDPDF=Y")</f>
        <v>—</v>
      </c>
      <c r="J15" s="13" t="str">
        <f>_xll.BDH("AMZN US Equity","INVTRY_IN_PROGRESS","FQ4 2010","FQ4 2010","Currency=USD","Period=FQ","BEST_FPERIOD_OVERRIDE=FQ","FILING_STATUS=MR","SCALING_FORMAT=MLN","Sort=A","Dates=H","DateFormat=P","Fill=—","Direction=H","UseDPDF=Y")</f>
        <v>—</v>
      </c>
      <c r="K15" s="13" t="str">
        <f>_xll.BDH("AMZN US Equity","INVTRY_IN_PROGRESS","FQ1 2011","FQ1 2011","Currency=USD","Period=FQ","BEST_FPERIOD_OVERRIDE=FQ","FILING_STATUS=MR","SCALING_FORMAT=MLN","Sort=A","Dates=H","DateFormat=P","Fill=—","Direction=H","UseDPDF=Y")</f>
        <v>—</v>
      </c>
      <c r="L15" s="13" t="str">
        <f>_xll.BDH("AMZN US Equity","INVTRY_IN_PROGRESS","FQ2 2011","FQ2 2011","Currency=USD","Period=FQ","BEST_FPERIOD_OVERRIDE=FQ","FILING_STATUS=MR","SCALING_FORMAT=MLN","Sort=A","Dates=H","DateFormat=P","Fill=—","Direction=H","UseDPDF=Y")</f>
        <v>—</v>
      </c>
      <c r="M15" s="13" t="str">
        <f>_xll.BDH("AMZN US Equity","INVTRY_IN_PROGRESS","FQ3 2011","FQ3 2011","Currency=USD","Period=FQ","BEST_FPERIOD_OVERRIDE=FQ","FILING_STATUS=MR","SCALING_FORMAT=MLN","Sort=A","Dates=H","DateFormat=P","Fill=—","Direction=H","UseDPDF=Y")</f>
        <v>—</v>
      </c>
      <c r="N15" s="13" t="str">
        <f>_xll.BDH("AMZN US Equity","INVTRY_IN_PROGRESS","FQ4 2011","FQ4 2011","Currency=USD","Period=FQ","BEST_FPERIOD_OVERRIDE=FQ","FILING_STATUS=MR","SCALING_FORMAT=MLN","Sort=A","Dates=H","DateFormat=P","Fill=—","Direction=H","UseDPDF=Y")</f>
        <v>—</v>
      </c>
      <c r="O15" s="13" t="str">
        <f>_xll.BDH("AMZN US Equity","INVTRY_IN_PROGRESS","FQ1 2012","FQ1 2012","Currency=USD","Period=FQ","BEST_FPERIOD_OVERRIDE=FQ","FILING_STATUS=MR","SCALING_FORMAT=MLN","Sort=A","Dates=H","DateFormat=P","Fill=—","Direction=H","UseDPDF=Y")</f>
        <v>—</v>
      </c>
      <c r="P15" s="13" t="str">
        <f>_xll.BDH("AMZN US Equity","INVTRY_IN_PROGRESS","FQ2 2012","FQ2 2012","Currency=USD","Period=FQ","BEST_FPERIOD_OVERRIDE=FQ","FILING_STATUS=MR","SCALING_FORMAT=MLN","Sort=A","Dates=H","DateFormat=P","Fill=—","Direction=H","UseDPDF=Y")</f>
        <v>—</v>
      </c>
      <c r="Q15" s="13" t="str">
        <f>_xll.BDH("AMZN US Equity","INVTRY_IN_PROGRESS","FQ3 2012","FQ3 2012","Currency=USD","Period=FQ","BEST_FPERIOD_OVERRIDE=FQ","FILING_STATUS=MR","SCALING_FORMAT=MLN","Sort=A","Dates=H","DateFormat=P","Fill=—","Direction=H","UseDPDF=Y")</f>
        <v>—</v>
      </c>
      <c r="R15" s="13" t="str">
        <f>_xll.BDH("AMZN US Equity","INVTRY_IN_PROGRESS","FQ4 2012","FQ4 2012","Currency=USD","Period=FQ","BEST_FPERIOD_OVERRIDE=FQ","FILING_STATUS=MR","SCALING_FORMAT=MLN","Sort=A","Dates=H","DateFormat=P","Fill=—","Direction=H","UseDPDF=Y")</f>
        <v>—</v>
      </c>
      <c r="S15" s="13" t="str">
        <f>_xll.BDH("AMZN US Equity","INVTRY_IN_PROGRESS","FQ1 2013","FQ1 2013","Currency=USD","Period=FQ","BEST_FPERIOD_OVERRIDE=FQ","FILING_STATUS=MR","SCALING_FORMAT=MLN","Sort=A","Dates=H","DateFormat=P","Fill=—","Direction=H","UseDPDF=Y")</f>
        <v>—</v>
      </c>
      <c r="T15" s="13" t="str">
        <f>_xll.BDH("AMZN US Equity","INVTRY_IN_PROGRESS","FQ2 2013","FQ2 2013","Currency=USD","Period=FQ","BEST_FPERIOD_OVERRIDE=FQ","FILING_STATUS=MR","SCALING_FORMAT=MLN","Sort=A","Dates=H","DateFormat=P","Fill=—","Direction=H","UseDPDF=Y")</f>
        <v>—</v>
      </c>
      <c r="U15" s="13" t="str">
        <f>_xll.BDH("AMZN US Equity","INVTRY_IN_PROGRESS","FQ3 2013","FQ3 2013","Currency=USD","Period=FQ","BEST_FPERIOD_OVERRIDE=FQ","FILING_STATUS=MR","SCALING_FORMAT=MLN","Sort=A","Dates=H","DateFormat=P","Fill=—","Direction=H","UseDPDF=Y")</f>
        <v>—</v>
      </c>
      <c r="V15" s="13" t="str">
        <f>_xll.BDH("AMZN US Equity","INVTRY_IN_PROGRESS","FQ4 2013","FQ4 2013","Currency=USD","Period=FQ","BEST_FPERIOD_OVERRIDE=FQ","FILING_STATUS=MR","SCALING_FORMAT=MLN","Sort=A","Dates=H","DateFormat=P","Fill=—","Direction=H","UseDPDF=Y")</f>
        <v>—</v>
      </c>
      <c r="W15" s="13" t="str">
        <f>_xll.BDH("AMZN US Equity","INVTRY_IN_PROGRESS","FQ1 2014","FQ1 2014","Currency=USD","Period=FQ","BEST_FPERIOD_OVERRIDE=FQ","FILING_STATUS=MR","SCALING_FORMAT=MLN","Sort=A","Dates=H","DateFormat=P","Fill=—","Direction=H","UseDPDF=Y")</f>
        <v>—</v>
      </c>
      <c r="X15" s="13" t="str">
        <f>_xll.BDH("AMZN US Equity","INVTRY_IN_PROGRESS","FQ2 2014","FQ2 2014","Currency=USD","Period=FQ","BEST_FPERIOD_OVERRIDE=FQ","FILING_STATUS=MR","SCALING_FORMAT=MLN","Sort=A","Dates=H","DateFormat=P","Fill=—","Direction=H","UseDPDF=Y")</f>
        <v>—</v>
      </c>
      <c r="Y15" s="13" t="str">
        <f>_xll.BDH("AMZN US Equity","INVTRY_IN_PROGRESS","FQ3 2014","FQ3 2014","Currency=USD","Period=FQ","BEST_FPERIOD_OVERRIDE=FQ","FILING_STATUS=MR","SCALING_FORMAT=MLN","Sort=A","Dates=H","DateFormat=P","Fill=—","Direction=H","UseDPDF=Y")</f>
        <v>—</v>
      </c>
      <c r="Z15" s="13" t="str">
        <f>_xll.BDH("AMZN US Equity","INVTRY_IN_PROGRESS","FQ4 2014","FQ4 2014","Currency=USD","Period=FQ","BEST_FPERIOD_OVERRIDE=FQ","FILING_STATUS=MR","SCALING_FORMAT=MLN","Sort=A","Dates=H","DateFormat=P","Fill=—","Direction=H","UseDPDF=Y")</f>
        <v>—</v>
      </c>
      <c r="AA15" s="13" t="str">
        <f>_xll.BDH("AMZN US Equity","INVTRY_IN_PROGRESS","FQ1 2015","FQ1 2015","Currency=USD","Period=FQ","BEST_FPERIOD_OVERRIDE=FQ","FILING_STATUS=MR","SCALING_FORMAT=MLN","Sort=A","Dates=H","DateFormat=P","Fill=—","Direction=H","UseDPDF=Y")</f>
        <v>—</v>
      </c>
      <c r="AB15" s="13" t="str">
        <f>_xll.BDH("AMZN US Equity","INVTRY_IN_PROGRESS","FQ2 2015","FQ2 2015","Currency=USD","Period=FQ","BEST_FPERIOD_OVERRIDE=FQ","FILING_STATUS=MR","SCALING_FORMAT=MLN","Sort=A","Dates=H","DateFormat=P","Fill=—","Direction=H","UseDPDF=Y")</f>
        <v>—</v>
      </c>
      <c r="AC15" s="13" t="str">
        <f>_xll.BDH("AMZN US Equity","INVTRY_IN_PROGRESS","FQ3 2015","FQ3 2015","Currency=USD","Period=FQ","BEST_FPERIOD_OVERRIDE=FQ","FILING_STATUS=MR","SCALING_FORMAT=MLN","Sort=A","Dates=H","DateFormat=P","Fill=—","Direction=H","UseDPDF=Y")</f>
        <v>—</v>
      </c>
      <c r="AD15" s="13" t="str">
        <f>_xll.BDH("AMZN US Equity","INVTRY_IN_PROGRESS","FQ4 2015","FQ4 2015","Currency=USD","Period=FQ","BEST_FPERIOD_OVERRIDE=FQ","FILING_STATUS=MR","SCALING_FORMAT=MLN","Sort=A","Dates=H","DateFormat=P","Fill=—","Direction=H","UseDPDF=Y")</f>
        <v>—</v>
      </c>
      <c r="AE15" s="13" t="str">
        <f>_xll.BDH("AMZN US Equity","INVTRY_IN_PROGRESS","FQ1 2016","FQ1 2016","Currency=USD","Period=FQ","BEST_FPERIOD_OVERRIDE=FQ","FILING_STATUS=MR","SCALING_FORMAT=MLN","Sort=A","Dates=H","DateFormat=P","Fill=—","Direction=H","UseDPDF=Y")</f>
        <v>—</v>
      </c>
      <c r="AF15" s="13" t="str">
        <f>_xll.BDH("AMZN US Equity","INVTRY_IN_PROGRESS","FQ2 2016","FQ2 2016","Currency=USD","Period=FQ","BEST_FPERIOD_OVERRIDE=FQ","FILING_STATUS=MR","SCALING_FORMAT=MLN","Sort=A","Dates=H","DateFormat=P","Fill=—","Direction=H","UseDPDF=Y")</f>
        <v>—</v>
      </c>
      <c r="AG15" s="13" t="str">
        <f>_xll.BDH("AMZN US Equity","INVTRY_IN_PROGRESS","FQ3 2016","FQ3 2016","Currency=USD","Period=FQ","BEST_FPERIOD_OVERRIDE=FQ","FILING_STATUS=MR","SCALING_FORMAT=MLN","Sort=A","Dates=H","DateFormat=P","Fill=—","Direction=H","UseDPDF=Y")</f>
        <v>—</v>
      </c>
      <c r="AH15" s="13" t="str">
        <f>_xll.BDH("AMZN US Equity","INVTRY_IN_PROGRESS","FQ4 2016","FQ4 2016","Currency=USD","Period=FQ","BEST_FPERIOD_OVERRIDE=FQ","FILING_STATUS=MR","SCALING_FORMAT=MLN","Sort=A","Dates=H","DateFormat=P","Fill=—","Direction=H","UseDPDF=Y")</f>
        <v>—</v>
      </c>
      <c r="AI15" s="13" t="str">
        <f>_xll.BDH("AMZN US Equity","INVTRY_IN_PROGRESS","FQ1 2017","FQ1 2017","Currency=USD","Period=FQ","BEST_FPERIOD_OVERRIDE=FQ","FILING_STATUS=MR","SCALING_FORMAT=MLN","Sort=A","Dates=H","DateFormat=P","Fill=—","Direction=H","UseDPDF=Y")</f>
        <v>—</v>
      </c>
      <c r="AJ15" s="13" t="str">
        <f>_xll.BDH("AMZN US Equity","INVTRY_IN_PROGRESS","FQ2 2017","FQ2 2017","Currency=USD","Period=FQ","BEST_FPERIOD_OVERRIDE=FQ","FILING_STATUS=MR","SCALING_FORMAT=MLN","Sort=A","Dates=H","DateFormat=P","Fill=—","Direction=H","UseDPDF=Y")</f>
        <v>—</v>
      </c>
      <c r="AK15" s="13" t="str">
        <f>_xll.BDH("AMZN US Equity","INVTRY_IN_PROGRESS","FQ3 2017","FQ3 2017","Currency=USD","Period=FQ","BEST_FPERIOD_OVERRIDE=FQ","FILING_STATUS=MR","SCALING_FORMAT=MLN","Sort=A","Dates=H","DateFormat=P","Fill=—","Direction=H","UseDPDF=Y")</f>
        <v>—</v>
      </c>
      <c r="AL15" s="13" t="str">
        <f>_xll.BDH("AMZN US Equity","INVTRY_IN_PROGRESS","FQ4 2017","FQ4 2017","Currency=USD","Period=FQ","BEST_FPERIOD_OVERRIDE=FQ","FILING_STATUS=MR","SCALING_FORMAT=MLN","Sort=A","Dates=H","DateFormat=P","Fill=—","Direction=H","UseDPDF=Y")</f>
        <v>—</v>
      </c>
      <c r="AM15" s="13" t="str">
        <f>_xll.BDH("AMZN US Equity","INVTRY_IN_PROGRESS","FQ1 2018","FQ1 2018","Currency=USD","Period=FQ","BEST_FPERIOD_OVERRIDE=FQ","FILING_STATUS=MR","SCALING_FORMAT=MLN","Sort=A","Dates=H","DateFormat=P","Fill=—","Direction=H","UseDPDF=Y")</f>
        <v>—</v>
      </c>
      <c r="AN15" s="13" t="str">
        <f>_xll.BDH("AMZN US Equity","INVTRY_IN_PROGRESS","FQ2 2018","FQ2 2018","Currency=USD","Period=FQ","BEST_FPERIOD_OVERRIDE=FQ","FILING_STATUS=MR","SCALING_FORMAT=MLN","Sort=A","Dates=H","DateFormat=P","Fill=—","Direction=H","UseDPDF=Y")</f>
        <v>—</v>
      </c>
    </row>
    <row r="16" spans="1:40" x14ac:dyDescent="0.25">
      <c r="A16" s="10" t="s">
        <v>228</v>
      </c>
      <c r="B16" s="10" t="s">
        <v>229</v>
      </c>
      <c r="C16" s="13" t="str">
        <f>_xll.BDH("AMZN US Equity","INVTRY_FINISHED_GOODS","FQ1 2009","FQ1 2009","Currency=USD","Period=FQ","BEST_FPERIOD_OVERRIDE=FQ","FILING_STATUS=MR","SCALING_FORMAT=MLN","Sort=A","Dates=H","DateFormat=P","Fill=—","Direction=H","UseDPDF=Y")</f>
        <v>—</v>
      </c>
      <c r="D16" s="13" t="str">
        <f>_xll.BDH("AMZN US Equity","INVTRY_FINISHED_GOODS","FQ2 2009","FQ2 2009","Currency=USD","Period=FQ","BEST_FPERIOD_OVERRIDE=FQ","FILING_STATUS=MR","SCALING_FORMAT=MLN","Sort=A","Dates=H","DateFormat=P","Fill=—","Direction=H","UseDPDF=Y")</f>
        <v>—</v>
      </c>
      <c r="E16" s="13" t="str">
        <f>_xll.BDH("AMZN US Equity","INVTRY_FINISHED_GOODS","FQ3 2009","FQ3 2009","Currency=USD","Period=FQ","BEST_FPERIOD_OVERRIDE=FQ","FILING_STATUS=MR","SCALING_FORMAT=MLN","Sort=A","Dates=H","DateFormat=P","Fill=—","Direction=H","UseDPDF=Y")</f>
        <v>—</v>
      </c>
      <c r="F16" s="13" t="str">
        <f>_xll.BDH("AMZN US Equity","INVTRY_FINISHED_GOODS","FQ4 2009","FQ4 2009","Currency=USD","Period=FQ","BEST_FPERIOD_OVERRIDE=FQ","FILING_STATUS=MR","SCALING_FORMAT=MLN","Sort=A","Dates=H","DateFormat=P","Fill=—","Direction=H","UseDPDF=Y")</f>
        <v>—</v>
      </c>
      <c r="G16" s="13" t="str">
        <f>_xll.BDH("AMZN US Equity","INVTRY_FINISHED_GOODS","FQ1 2010","FQ1 2010","Currency=USD","Period=FQ","BEST_FPERIOD_OVERRIDE=FQ","FILING_STATUS=MR","SCALING_FORMAT=MLN","Sort=A","Dates=H","DateFormat=P","Fill=—","Direction=H","UseDPDF=Y")</f>
        <v>—</v>
      </c>
      <c r="H16" s="13" t="str">
        <f>_xll.BDH("AMZN US Equity","INVTRY_FINISHED_GOODS","FQ2 2010","FQ2 2010","Currency=USD","Period=FQ","BEST_FPERIOD_OVERRIDE=FQ","FILING_STATUS=MR","SCALING_FORMAT=MLN","Sort=A","Dates=H","DateFormat=P","Fill=—","Direction=H","UseDPDF=Y")</f>
        <v>—</v>
      </c>
      <c r="I16" s="13" t="str">
        <f>_xll.BDH("AMZN US Equity","INVTRY_FINISHED_GOODS","FQ3 2010","FQ3 2010","Currency=USD","Period=FQ","BEST_FPERIOD_OVERRIDE=FQ","FILING_STATUS=MR","SCALING_FORMAT=MLN","Sort=A","Dates=H","DateFormat=P","Fill=—","Direction=H","UseDPDF=Y")</f>
        <v>—</v>
      </c>
      <c r="J16" s="13" t="str">
        <f>_xll.BDH("AMZN US Equity","INVTRY_FINISHED_GOODS","FQ4 2010","FQ4 2010","Currency=USD","Period=FQ","BEST_FPERIOD_OVERRIDE=FQ","FILING_STATUS=MR","SCALING_FORMAT=MLN","Sort=A","Dates=H","DateFormat=P","Fill=—","Direction=H","UseDPDF=Y")</f>
        <v>—</v>
      </c>
      <c r="K16" s="13" t="str">
        <f>_xll.BDH("AMZN US Equity","INVTRY_FINISHED_GOODS","FQ1 2011","FQ1 2011","Currency=USD","Period=FQ","BEST_FPERIOD_OVERRIDE=FQ","FILING_STATUS=MR","SCALING_FORMAT=MLN","Sort=A","Dates=H","DateFormat=P","Fill=—","Direction=H","UseDPDF=Y")</f>
        <v>—</v>
      </c>
      <c r="L16" s="13" t="str">
        <f>_xll.BDH("AMZN US Equity","INVTRY_FINISHED_GOODS","FQ2 2011","FQ2 2011","Currency=USD","Period=FQ","BEST_FPERIOD_OVERRIDE=FQ","FILING_STATUS=MR","SCALING_FORMAT=MLN","Sort=A","Dates=H","DateFormat=P","Fill=—","Direction=H","UseDPDF=Y")</f>
        <v>—</v>
      </c>
      <c r="M16" s="13" t="str">
        <f>_xll.BDH("AMZN US Equity","INVTRY_FINISHED_GOODS","FQ3 2011","FQ3 2011","Currency=USD","Period=FQ","BEST_FPERIOD_OVERRIDE=FQ","FILING_STATUS=MR","SCALING_FORMAT=MLN","Sort=A","Dates=H","DateFormat=P","Fill=—","Direction=H","UseDPDF=Y")</f>
        <v>—</v>
      </c>
      <c r="N16" s="13" t="str">
        <f>_xll.BDH("AMZN US Equity","INVTRY_FINISHED_GOODS","FQ4 2011","FQ4 2011","Currency=USD","Period=FQ","BEST_FPERIOD_OVERRIDE=FQ","FILING_STATUS=MR","SCALING_FORMAT=MLN","Sort=A","Dates=H","DateFormat=P","Fill=—","Direction=H","UseDPDF=Y")</f>
        <v>—</v>
      </c>
      <c r="O16" s="13" t="str">
        <f>_xll.BDH("AMZN US Equity","INVTRY_FINISHED_GOODS","FQ1 2012","FQ1 2012","Currency=USD","Period=FQ","BEST_FPERIOD_OVERRIDE=FQ","FILING_STATUS=MR","SCALING_FORMAT=MLN","Sort=A","Dates=H","DateFormat=P","Fill=—","Direction=H","UseDPDF=Y")</f>
        <v>—</v>
      </c>
      <c r="P16" s="13" t="str">
        <f>_xll.BDH("AMZN US Equity","INVTRY_FINISHED_GOODS","FQ2 2012","FQ2 2012","Currency=USD","Period=FQ","BEST_FPERIOD_OVERRIDE=FQ","FILING_STATUS=MR","SCALING_FORMAT=MLN","Sort=A","Dates=H","DateFormat=P","Fill=—","Direction=H","UseDPDF=Y")</f>
        <v>—</v>
      </c>
      <c r="Q16" s="13" t="str">
        <f>_xll.BDH("AMZN US Equity","INVTRY_FINISHED_GOODS","FQ3 2012","FQ3 2012","Currency=USD","Period=FQ","BEST_FPERIOD_OVERRIDE=FQ","FILING_STATUS=MR","SCALING_FORMAT=MLN","Sort=A","Dates=H","DateFormat=P","Fill=—","Direction=H","UseDPDF=Y")</f>
        <v>—</v>
      </c>
      <c r="R16" s="13" t="str">
        <f>_xll.BDH("AMZN US Equity","INVTRY_FINISHED_GOODS","FQ4 2012","FQ4 2012","Currency=USD","Period=FQ","BEST_FPERIOD_OVERRIDE=FQ","FILING_STATUS=MR","SCALING_FORMAT=MLN","Sort=A","Dates=H","DateFormat=P","Fill=—","Direction=H","UseDPDF=Y")</f>
        <v>—</v>
      </c>
      <c r="S16" s="13" t="str">
        <f>_xll.BDH("AMZN US Equity","INVTRY_FINISHED_GOODS","FQ1 2013","FQ1 2013","Currency=USD","Period=FQ","BEST_FPERIOD_OVERRIDE=FQ","FILING_STATUS=MR","SCALING_FORMAT=MLN","Sort=A","Dates=H","DateFormat=P","Fill=—","Direction=H","UseDPDF=Y")</f>
        <v>—</v>
      </c>
      <c r="T16" s="13" t="str">
        <f>_xll.BDH("AMZN US Equity","INVTRY_FINISHED_GOODS","FQ2 2013","FQ2 2013","Currency=USD","Period=FQ","BEST_FPERIOD_OVERRIDE=FQ","FILING_STATUS=MR","SCALING_FORMAT=MLN","Sort=A","Dates=H","DateFormat=P","Fill=—","Direction=H","UseDPDF=Y")</f>
        <v>—</v>
      </c>
      <c r="U16" s="13" t="str">
        <f>_xll.BDH("AMZN US Equity","INVTRY_FINISHED_GOODS","FQ3 2013","FQ3 2013","Currency=USD","Period=FQ","BEST_FPERIOD_OVERRIDE=FQ","FILING_STATUS=MR","SCALING_FORMAT=MLN","Sort=A","Dates=H","DateFormat=P","Fill=—","Direction=H","UseDPDF=Y")</f>
        <v>—</v>
      </c>
      <c r="V16" s="13" t="str">
        <f>_xll.BDH("AMZN US Equity","INVTRY_FINISHED_GOODS","FQ4 2013","FQ4 2013","Currency=USD","Period=FQ","BEST_FPERIOD_OVERRIDE=FQ","FILING_STATUS=MR","SCALING_FORMAT=MLN","Sort=A","Dates=H","DateFormat=P","Fill=—","Direction=H","UseDPDF=Y")</f>
        <v>—</v>
      </c>
      <c r="W16" s="13" t="str">
        <f>_xll.BDH("AMZN US Equity","INVTRY_FINISHED_GOODS","FQ1 2014","FQ1 2014","Currency=USD","Period=FQ","BEST_FPERIOD_OVERRIDE=FQ","FILING_STATUS=MR","SCALING_FORMAT=MLN","Sort=A","Dates=H","DateFormat=P","Fill=—","Direction=H","UseDPDF=Y")</f>
        <v>—</v>
      </c>
      <c r="X16" s="13" t="str">
        <f>_xll.BDH("AMZN US Equity","INVTRY_FINISHED_GOODS","FQ2 2014","FQ2 2014","Currency=USD","Period=FQ","BEST_FPERIOD_OVERRIDE=FQ","FILING_STATUS=MR","SCALING_FORMAT=MLN","Sort=A","Dates=H","DateFormat=P","Fill=—","Direction=H","UseDPDF=Y")</f>
        <v>—</v>
      </c>
      <c r="Y16" s="13" t="str">
        <f>_xll.BDH("AMZN US Equity","INVTRY_FINISHED_GOODS","FQ3 2014","FQ3 2014","Currency=USD","Period=FQ","BEST_FPERIOD_OVERRIDE=FQ","FILING_STATUS=MR","SCALING_FORMAT=MLN","Sort=A","Dates=H","DateFormat=P","Fill=—","Direction=H","UseDPDF=Y")</f>
        <v>—</v>
      </c>
      <c r="Z16" s="13" t="str">
        <f>_xll.BDH("AMZN US Equity","INVTRY_FINISHED_GOODS","FQ4 2014","FQ4 2014","Currency=USD","Period=FQ","BEST_FPERIOD_OVERRIDE=FQ","FILING_STATUS=MR","SCALING_FORMAT=MLN","Sort=A","Dates=H","DateFormat=P","Fill=—","Direction=H","UseDPDF=Y")</f>
        <v>—</v>
      </c>
      <c r="AA16" s="13" t="str">
        <f>_xll.BDH("AMZN US Equity","INVTRY_FINISHED_GOODS","FQ1 2015","FQ1 2015","Currency=USD","Period=FQ","BEST_FPERIOD_OVERRIDE=FQ","FILING_STATUS=MR","SCALING_FORMAT=MLN","Sort=A","Dates=H","DateFormat=P","Fill=—","Direction=H","UseDPDF=Y")</f>
        <v>—</v>
      </c>
      <c r="AB16" s="13" t="str">
        <f>_xll.BDH("AMZN US Equity","INVTRY_FINISHED_GOODS","FQ2 2015","FQ2 2015","Currency=USD","Period=FQ","BEST_FPERIOD_OVERRIDE=FQ","FILING_STATUS=MR","SCALING_FORMAT=MLN","Sort=A","Dates=H","DateFormat=P","Fill=—","Direction=H","UseDPDF=Y")</f>
        <v>—</v>
      </c>
      <c r="AC16" s="13" t="str">
        <f>_xll.BDH("AMZN US Equity","INVTRY_FINISHED_GOODS","FQ3 2015","FQ3 2015","Currency=USD","Period=FQ","BEST_FPERIOD_OVERRIDE=FQ","FILING_STATUS=MR","SCALING_FORMAT=MLN","Sort=A","Dates=H","DateFormat=P","Fill=—","Direction=H","UseDPDF=Y")</f>
        <v>—</v>
      </c>
      <c r="AD16" s="13" t="str">
        <f>_xll.BDH("AMZN US Equity","INVTRY_FINISHED_GOODS","FQ4 2015","FQ4 2015","Currency=USD","Period=FQ","BEST_FPERIOD_OVERRIDE=FQ","FILING_STATUS=MR","SCALING_FORMAT=MLN","Sort=A","Dates=H","DateFormat=P","Fill=—","Direction=H","UseDPDF=Y")</f>
        <v>—</v>
      </c>
      <c r="AE16" s="13" t="str">
        <f>_xll.BDH("AMZN US Equity","INVTRY_FINISHED_GOODS","FQ1 2016","FQ1 2016","Currency=USD","Period=FQ","BEST_FPERIOD_OVERRIDE=FQ","FILING_STATUS=MR","SCALING_FORMAT=MLN","Sort=A","Dates=H","DateFormat=P","Fill=—","Direction=H","UseDPDF=Y")</f>
        <v>—</v>
      </c>
      <c r="AF16" s="13" t="str">
        <f>_xll.BDH("AMZN US Equity","INVTRY_FINISHED_GOODS","FQ2 2016","FQ2 2016","Currency=USD","Period=FQ","BEST_FPERIOD_OVERRIDE=FQ","FILING_STATUS=MR","SCALING_FORMAT=MLN","Sort=A","Dates=H","DateFormat=P","Fill=—","Direction=H","UseDPDF=Y")</f>
        <v>—</v>
      </c>
      <c r="AG16" s="13" t="str">
        <f>_xll.BDH("AMZN US Equity","INVTRY_FINISHED_GOODS","FQ3 2016","FQ3 2016","Currency=USD","Period=FQ","BEST_FPERIOD_OVERRIDE=FQ","FILING_STATUS=MR","SCALING_FORMAT=MLN","Sort=A","Dates=H","DateFormat=P","Fill=—","Direction=H","UseDPDF=Y")</f>
        <v>—</v>
      </c>
      <c r="AH16" s="13" t="str">
        <f>_xll.BDH("AMZN US Equity","INVTRY_FINISHED_GOODS","FQ4 2016","FQ4 2016","Currency=USD","Period=FQ","BEST_FPERIOD_OVERRIDE=FQ","FILING_STATUS=MR","SCALING_FORMAT=MLN","Sort=A","Dates=H","DateFormat=P","Fill=—","Direction=H","UseDPDF=Y")</f>
        <v>—</v>
      </c>
      <c r="AI16" s="13" t="str">
        <f>_xll.BDH("AMZN US Equity","INVTRY_FINISHED_GOODS","FQ1 2017","FQ1 2017","Currency=USD","Period=FQ","BEST_FPERIOD_OVERRIDE=FQ","FILING_STATUS=MR","SCALING_FORMAT=MLN","Sort=A","Dates=H","DateFormat=P","Fill=—","Direction=H","UseDPDF=Y")</f>
        <v>—</v>
      </c>
      <c r="AJ16" s="13" t="str">
        <f>_xll.BDH("AMZN US Equity","INVTRY_FINISHED_GOODS","FQ2 2017","FQ2 2017","Currency=USD","Period=FQ","BEST_FPERIOD_OVERRIDE=FQ","FILING_STATUS=MR","SCALING_FORMAT=MLN","Sort=A","Dates=H","DateFormat=P","Fill=—","Direction=H","UseDPDF=Y")</f>
        <v>—</v>
      </c>
      <c r="AK16" s="13" t="str">
        <f>_xll.BDH("AMZN US Equity","INVTRY_FINISHED_GOODS","FQ3 2017","FQ3 2017","Currency=USD","Period=FQ","BEST_FPERIOD_OVERRIDE=FQ","FILING_STATUS=MR","SCALING_FORMAT=MLN","Sort=A","Dates=H","DateFormat=P","Fill=—","Direction=H","UseDPDF=Y")</f>
        <v>—</v>
      </c>
      <c r="AL16" s="13" t="str">
        <f>_xll.BDH("AMZN US Equity","INVTRY_FINISHED_GOODS","FQ4 2017","FQ4 2017","Currency=USD","Period=FQ","BEST_FPERIOD_OVERRIDE=FQ","FILING_STATUS=MR","SCALING_FORMAT=MLN","Sort=A","Dates=H","DateFormat=P","Fill=—","Direction=H","UseDPDF=Y")</f>
        <v>—</v>
      </c>
      <c r="AM16" s="13" t="str">
        <f>_xll.BDH("AMZN US Equity","INVTRY_FINISHED_GOODS","FQ1 2018","FQ1 2018","Currency=USD","Period=FQ","BEST_FPERIOD_OVERRIDE=FQ","FILING_STATUS=MR","SCALING_FORMAT=MLN","Sort=A","Dates=H","DateFormat=P","Fill=—","Direction=H","UseDPDF=Y")</f>
        <v>—</v>
      </c>
      <c r="AN16" s="13" t="str">
        <f>_xll.BDH("AMZN US Equity","INVTRY_FINISHED_GOODS","FQ2 2018","FQ2 2018","Currency=USD","Period=FQ","BEST_FPERIOD_OVERRIDE=FQ","FILING_STATUS=MR","SCALING_FORMAT=MLN","Sort=A","Dates=H","DateFormat=P","Fill=—","Direction=H","UseDPDF=Y")</f>
        <v>—</v>
      </c>
    </row>
    <row r="17" spans="1:40" x14ac:dyDescent="0.25">
      <c r="A17" s="10" t="s">
        <v>230</v>
      </c>
      <c r="B17" s="10" t="s">
        <v>231</v>
      </c>
      <c r="C17" s="13" t="str">
        <f>_xll.BDH("AMZN US Equity","BS_OTHER_INV","FQ1 2009","FQ1 2009","Currency=USD","Period=FQ","BEST_FPERIOD_OVERRIDE=FQ","FILING_STATUS=MR","SCALING_FORMAT=MLN","Sort=A","Dates=H","DateFormat=P","Fill=—","Direction=H","UseDPDF=Y")</f>
        <v>—</v>
      </c>
      <c r="D17" s="13" t="str">
        <f>_xll.BDH("AMZN US Equity","BS_OTHER_INV","FQ2 2009","FQ2 2009","Currency=USD","Period=FQ","BEST_FPERIOD_OVERRIDE=FQ","FILING_STATUS=MR","SCALING_FORMAT=MLN","Sort=A","Dates=H","DateFormat=P","Fill=—","Direction=H","UseDPDF=Y")</f>
        <v>—</v>
      </c>
      <c r="E17" s="13" t="str">
        <f>_xll.BDH("AMZN US Equity","BS_OTHER_INV","FQ3 2009","FQ3 2009","Currency=USD","Period=FQ","BEST_FPERIOD_OVERRIDE=FQ","FILING_STATUS=MR","SCALING_FORMAT=MLN","Sort=A","Dates=H","DateFormat=P","Fill=—","Direction=H","UseDPDF=Y")</f>
        <v>—</v>
      </c>
      <c r="F17" s="13" t="str">
        <f>_xll.BDH("AMZN US Equity","BS_OTHER_INV","FQ4 2009","FQ4 2009","Currency=USD","Period=FQ","BEST_FPERIOD_OVERRIDE=FQ","FILING_STATUS=MR","SCALING_FORMAT=MLN","Sort=A","Dates=H","DateFormat=P","Fill=—","Direction=H","UseDPDF=Y")</f>
        <v>—</v>
      </c>
      <c r="G17" s="13" t="str">
        <f>_xll.BDH("AMZN US Equity","BS_OTHER_INV","FQ1 2010","FQ1 2010","Currency=USD","Period=FQ","BEST_FPERIOD_OVERRIDE=FQ","FILING_STATUS=MR","SCALING_FORMAT=MLN","Sort=A","Dates=H","DateFormat=P","Fill=—","Direction=H","UseDPDF=Y")</f>
        <v>—</v>
      </c>
      <c r="H17" s="13" t="str">
        <f>_xll.BDH("AMZN US Equity","BS_OTHER_INV","FQ2 2010","FQ2 2010","Currency=USD","Period=FQ","BEST_FPERIOD_OVERRIDE=FQ","FILING_STATUS=MR","SCALING_FORMAT=MLN","Sort=A","Dates=H","DateFormat=P","Fill=—","Direction=H","UseDPDF=Y")</f>
        <v>—</v>
      </c>
      <c r="I17" s="13" t="str">
        <f>_xll.BDH("AMZN US Equity","BS_OTHER_INV","FQ3 2010","FQ3 2010","Currency=USD","Period=FQ","BEST_FPERIOD_OVERRIDE=FQ","FILING_STATUS=MR","SCALING_FORMAT=MLN","Sort=A","Dates=H","DateFormat=P","Fill=—","Direction=H","UseDPDF=Y")</f>
        <v>—</v>
      </c>
      <c r="J17" s="13" t="str">
        <f>_xll.BDH("AMZN US Equity","BS_OTHER_INV","FQ4 2010","FQ4 2010","Currency=USD","Period=FQ","BEST_FPERIOD_OVERRIDE=FQ","FILING_STATUS=MR","SCALING_FORMAT=MLN","Sort=A","Dates=H","DateFormat=P","Fill=—","Direction=H","UseDPDF=Y")</f>
        <v>—</v>
      </c>
      <c r="K17" s="13" t="str">
        <f>_xll.BDH("AMZN US Equity","BS_OTHER_INV","FQ1 2011","FQ1 2011","Currency=USD","Period=FQ","BEST_FPERIOD_OVERRIDE=FQ","FILING_STATUS=MR","SCALING_FORMAT=MLN","Sort=A","Dates=H","DateFormat=P","Fill=—","Direction=H","UseDPDF=Y")</f>
        <v>—</v>
      </c>
      <c r="L17" s="13" t="str">
        <f>_xll.BDH("AMZN US Equity","BS_OTHER_INV","FQ2 2011","FQ2 2011","Currency=USD","Period=FQ","BEST_FPERIOD_OVERRIDE=FQ","FILING_STATUS=MR","SCALING_FORMAT=MLN","Sort=A","Dates=H","DateFormat=P","Fill=—","Direction=H","UseDPDF=Y")</f>
        <v>—</v>
      </c>
      <c r="M17" s="13" t="str">
        <f>_xll.BDH("AMZN US Equity","BS_OTHER_INV","FQ3 2011","FQ3 2011","Currency=USD","Period=FQ","BEST_FPERIOD_OVERRIDE=FQ","FILING_STATUS=MR","SCALING_FORMAT=MLN","Sort=A","Dates=H","DateFormat=P","Fill=—","Direction=H","UseDPDF=Y")</f>
        <v>—</v>
      </c>
      <c r="N17" s="13" t="str">
        <f>_xll.BDH("AMZN US Equity","BS_OTHER_INV","FQ4 2011","FQ4 2011","Currency=USD","Period=FQ","BEST_FPERIOD_OVERRIDE=FQ","FILING_STATUS=MR","SCALING_FORMAT=MLN","Sort=A","Dates=H","DateFormat=P","Fill=—","Direction=H","UseDPDF=Y")</f>
        <v>—</v>
      </c>
      <c r="O17" s="13" t="str">
        <f>_xll.BDH("AMZN US Equity","BS_OTHER_INV","FQ1 2012","FQ1 2012","Currency=USD","Period=FQ","BEST_FPERIOD_OVERRIDE=FQ","FILING_STATUS=MR","SCALING_FORMAT=MLN","Sort=A","Dates=H","DateFormat=P","Fill=—","Direction=H","UseDPDF=Y")</f>
        <v>—</v>
      </c>
      <c r="P17" s="13" t="str">
        <f>_xll.BDH("AMZN US Equity","BS_OTHER_INV","FQ2 2012","FQ2 2012","Currency=USD","Period=FQ","BEST_FPERIOD_OVERRIDE=FQ","FILING_STATUS=MR","SCALING_FORMAT=MLN","Sort=A","Dates=H","DateFormat=P","Fill=—","Direction=H","UseDPDF=Y")</f>
        <v>—</v>
      </c>
      <c r="Q17" s="13" t="str">
        <f>_xll.BDH("AMZN US Equity","BS_OTHER_INV","FQ3 2012","FQ3 2012","Currency=USD","Period=FQ","BEST_FPERIOD_OVERRIDE=FQ","FILING_STATUS=MR","SCALING_FORMAT=MLN","Sort=A","Dates=H","DateFormat=P","Fill=—","Direction=H","UseDPDF=Y")</f>
        <v>—</v>
      </c>
      <c r="R17" s="13" t="str">
        <f>_xll.BDH("AMZN US Equity","BS_OTHER_INV","FQ4 2012","FQ4 2012","Currency=USD","Period=FQ","BEST_FPERIOD_OVERRIDE=FQ","FILING_STATUS=MR","SCALING_FORMAT=MLN","Sort=A","Dates=H","DateFormat=P","Fill=—","Direction=H","UseDPDF=Y")</f>
        <v>—</v>
      </c>
      <c r="S17" s="13" t="str">
        <f>_xll.BDH("AMZN US Equity","BS_OTHER_INV","FQ1 2013","FQ1 2013","Currency=USD","Period=FQ","BEST_FPERIOD_OVERRIDE=FQ","FILING_STATUS=MR","SCALING_FORMAT=MLN","Sort=A","Dates=H","DateFormat=P","Fill=—","Direction=H","UseDPDF=Y")</f>
        <v>—</v>
      </c>
      <c r="T17" s="13" t="str">
        <f>_xll.BDH("AMZN US Equity","BS_OTHER_INV","FQ2 2013","FQ2 2013","Currency=USD","Period=FQ","BEST_FPERIOD_OVERRIDE=FQ","FILING_STATUS=MR","SCALING_FORMAT=MLN","Sort=A","Dates=H","DateFormat=P","Fill=—","Direction=H","UseDPDF=Y")</f>
        <v>—</v>
      </c>
      <c r="U17" s="13" t="str">
        <f>_xll.BDH("AMZN US Equity","BS_OTHER_INV","FQ3 2013","FQ3 2013","Currency=USD","Period=FQ","BEST_FPERIOD_OVERRIDE=FQ","FILING_STATUS=MR","SCALING_FORMAT=MLN","Sort=A","Dates=H","DateFormat=P","Fill=—","Direction=H","UseDPDF=Y")</f>
        <v>—</v>
      </c>
      <c r="V17" s="13" t="str">
        <f>_xll.BDH("AMZN US Equity","BS_OTHER_INV","FQ4 2013","FQ4 2013","Currency=USD","Period=FQ","BEST_FPERIOD_OVERRIDE=FQ","FILING_STATUS=MR","SCALING_FORMAT=MLN","Sort=A","Dates=H","DateFormat=P","Fill=—","Direction=H","UseDPDF=Y")</f>
        <v>—</v>
      </c>
      <c r="W17" s="13" t="str">
        <f>_xll.BDH("AMZN US Equity","BS_OTHER_INV","FQ1 2014","FQ1 2014","Currency=USD","Period=FQ","BEST_FPERIOD_OVERRIDE=FQ","FILING_STATUS=MR","SCALING_FORMAT=MLN","Sort=A","Dates=H","DateFormat=P","Fill=—","Direction=H","UseDPDF=Y")</f>
        <v>—</v>
      </c>
      <c r="X17" s="13" t="str">
        <f>_xll.BDH("AMZN US Equity","BS_OTHER_INV","FQ2 2014","FQ2 2014","Currency=USD","Period=FQ","BEST_FPERIOD_OVERRIDE=FQ","FILING_STATUS=MR","SCALING_FORMAT=MLN","Sort=A","Dates=H","DateFormat=P","Fill=—","Direction=H","UseDPDF=Y")</f>
        <v>—</v>
      </c>
      <c r="Y17" s="13" t="str">
        <f>_xll.BDH("AMZN US Equity","BS_OTHER_INV","FQ3 2014","FQ3 2014","Currency=USD","Period=FQ","BEST_FPERIOD_OVERRIDE=FQ","FILING_STATUS=MR","SCALING_FORMAT=MLN","Sort=A","Dates=H","DateFormat=P","Fill=—","Direction=H","UseDPDF=Y")</f>
        <v>—</v>
      </c>
      <c r="Z17" s="13" t="str">
        <f>_xll.BDH("AMZN US Equity","BS_OTHER_INV","FQ4 2014","FQ4 2014","Currency=USD","Period=FQ","BEST_FPERIOD_OVERRIDE=FQ","FILING_STATUS=MR","SCALING_FORMAT=MLN","Sort=A","Dates=H","DateFormat=P","Fill=—","Direction=H","UseDPDF=Y")</f>
        <v>—</v>
      </c>
      <c r="AA17" s="13" t="str">
        <f>_xll.BDH("AMZN US Equity","BS_OTHER_INV","FQ1 2015","FQ1 2015","Currency=USD","Period=FQ","BEST_FPERIOD_OVERRIDE=FQ","FILING_STATUS=MR","SCALING_FORMAT=MLN","Sort=A","Dates=H","DateFormat=P","Fill=—","Direction=H","UseDPDF=Y")</f>
        <v>—</v>
      </c>
      <c r="AB17" s="13" t="str">
        <f>_xll.BDH("AMZN US Equity","BS_OTHER_INV","FQ2 2015","FQ2 2015","Currency=USD","Period=FQ","BEST_FPERIOD_OVERRIDE=FQ","FILING_STATUS=MR","SCALING_FORMAT=MLN","Sort=A","Dates=H","DateFormat=P","Fill=—","Direction=H","UseDPDF=Y")</f>
        <v>—</v>
      </c>
      <c r="AC17" s="13" t="str">
        <f>_xll.BDH("AMZN US Equity","BS_OTHER_INV","FQ3 2015","FQ3 2015","Currency=USD","Period=FQ","BEST_FPERIOD_OVERRIDE=FQ","FILING_STATUS=MR","SCALING_FORMAT=MLN","Sort=A","Dates=H","DateFormat=P","Fill=—","Direction=H","UseDPDF=Y")</f>
        <v>—</v>
      </c>
      <c r="AD17" s="13" t="str">
        <f>_xll.BDH("AMZN US Equity","BS_OTHER_INV","FQ4 2015","FQ4 2015","Currency=USD","Period=FQ","BEST_FPERIOD_OVERRIDE=FQ","FILING_STATUS=MR","SCALING_FORMAT=MLN","Sort=A","Dates=H","DateFormat=P","Fill=—","Direction=H","UseDPDF=Y")</f>
        <v>—</v>
      </c>
      <c r="AE17" s="13" t="str">
        <f>_xll.BDH("AMZN US Equity","BS_OTHER_INV","FQ1 2016","FQ1 2016","Currency=USD","Period=FQ","BEST_FPERIOD_OVERRIDE=FQ","FILING_STATUS=MR","SCALING_FORMAT=MLN","Sort=A","Dates=H","DateFormat=P","Fill=—","Direction=H","UseDPDF=Y")</f>
        <v>—</v>
      </c>
      <c r="AF17" s="13" t="str">
        <f>_xll.BDH("AMZN US Equity","BS_OTHER_INV","FQ2 2016","FQ2 2016","Currency=USD","Period=FQ","BEST_FPERIOD_OVERRIDE=FQ","FILING_STATUS=MR","SCALING_FORMAT=MLN","Sort=A","Dates=H","DateFormat=P","Fill=—","Direction=H","UseDPDF=Y")</f>
        <v>—</v>
      </c>
      <c r="AG17" s="13" t="str">
        <f>_xll.BDH("AMZN US Equity","BS_OTHER_INV","FQ3 2016","FQ3 2016","Currency=USD","Period=FQ","BEST_FPERIOD_OVERRIDE=FQ","FILING_STATUS=MR","SCALING_FORMAT=MLN","Sort=A","Dates=H","DateFormat=P","Fill=—","Direction=H","UseDPDF=Y")</f>
        <v>—</v>
      </c>
      <c r="AH17" s="13" t="str">
        <f>_xll.BDH("AMZN US Equity","BS_OTHER_INV","FQ4 2016","FQ4 2016","Currency=USD","Period=FQ","BEST_FPERIOD_OVERRIDE=FQ","FILING_STATUS=MR","SCALING_FORMAT=MLN","Sort=A","Dates=H","DateFormat=P","Fill=—","Direction=H","UseDPDF=Y")</f>
        <v>—</v>
      </c>
      <c r="AI17" s="13" t="str">
        <f>_xll.BDH("AMZN US Equity","BS_OTHER_INV","FQ1 2017","FQ1 2017","Currency=USD","Period=FQ","BEST_FPERIOD_OVERRIDE=FQ","FILING_STATUS=MR","SCALING_FORMAT=MLN","Sort=A","Dates=H","DateFormat=P","Fill=—","Direction=H","UseDPDF=Y")</f>
        <v>—</v>
      </c>
      <c r="AJ17" s="13" t="str">
        <f>_xll.BDH("AMZN US Equity","BS_OTHER_INV","FQ2 2017","FQ2 2017","Currency=USD","Period=FQ","BEST_FPERIOD_OVERRIDE=FQ","FILING_STATUS=MR","SCALING_FORMAT=MLN","Sort=A","Dates=H","DateFormat=P","Fill=—","Direction=H","UseDPDF=Y")</f>
        <v>—</v>
      </c>
      <c r="AK17" s="13" t="str">
        <f>_xll.BDH("AMZN US Equity","BS_OTHER_INV","FQ3 2017","FQ3 2017","Currency=USD","Period=FQ","BEST_FPERIOD_OVERRIDE=FQ","FILING_STATUS=MR","SCALING_FORMAT=MLN","Sort=A","Dates=H","DateFormat=P","Fill=—","Direction=H","UseDPDF=Y")</f>
        <v>—</v>
      </c>
      <c r="AL17" s="13" t="str">
        <f>_xll.BDH("AMZN US Equity","BS_OTHER_INV","FQ4 2017","FQ4 2017","Currency=USD","Period=FQ","BEST_FPERIOD_OVERRIDE=FQ","FILING_STATUS=MR","SCALING_FORMAT=MLN","Sort=A","Dates=H","DateFormat=P","Fill=—","Direction=H","UseDPDF=Y")</f>
        <v>—</v>
      </c>
      <c r="AM17" s="13" t="str">
        <f>_xll.BDH("AMZN US Equity","BS_OTHER_INV","FQ1 2018","FQ1 2018","Currency=USD","Period=FQ","BEST_FPERIOD_OVERRIDE=FQ","FILING_STATUS=MR","SCALING_FORMAT=MLN","Sort=A","Dates=H","DateFormat=P","Fill=—","Direction=H","UseDPDF=Y")</f>
        <v>—</v>
      </c>
      <c r="AN17" s="13" t="str">
        <f>_xll.BDH("AMZN US Equity","BS_OTHER_INV","FQ2 2018","FQ2 2018","Currency=USD","Period=FQ","BEST_FPERIOD_OVERRIDE=FQ","FILING_STATUS=MR","SCALING_FORMAT=MLN","Sort=A","Dates=H","DateFormat=P","Fill=—","Direction=H","UseDPDF=Y")</f>
        <v>—</v>
      </c>
    </row>
    <row r="18" spans="1:40" x14ac:dyDescent="0.25">
      <c r="A18" s="10" t="s">
        <v>232</v>
      </c>
      <c r="B18" s="10" t="s">
        <v>233</v>
      </c>
      <c r="C18" s="13">
        <f>_xll.BDH("AMZN US Equity","OTHER_CURRENT_ASSETS_DETAILED","FQ1 2009","FQ1 2009","Currency=USD","Period=FQ","BEST_FPERIOD_OVERRIDE=FQ","FILING_STATUS=MR","SCALING_FORMAT=MLN","Sort=A","Dates=H","DateFormat=P","Fill=—","Direction=H","UseDPDF=Y")</f>
        <v>192</v>
      </c>
      <c r="D18" s="13">
        <f>_xll.BDH("AMZN US Equity","OTHER_CURRENT_ASSETS_DETAILED","FQ2 2009","FQ2 2009","Currency=USD","Period=FQ","BEST_FPERIOD_OVERRIDE=FQ","FILING_STATUS=MR","SCALING_FORMAT=MLN","Sort=A","Dates=H","DateFormat=P","Fill=—","Direction=H","UseDPDF=Y")</f>
        <v>183</v>
      </c>
      <c r="E18" s="13">
        <f>_xll.BDH("AMZN US Equity","OTHER_CURRENT_ASSETS_DETAILED","FQ3 2009","FQ3 2009","Currency=USD","Period=FQ","BEST_FPERIOD_OVERRIDE=FQ","FILING_STATUS=MR","SCALING_FORMAT=MLN","Sort=A","Dates=H","DateFormat=P","Fill=—","Direction=H","UseDPDF=Y")</f>
        <v>80</v>
      </c>
      <c r="F18" s="13">
        <f>_xll.BDH("AMZN US Equity","OTHER_CURRENT_ASSETS_DETAILED","FQ4 2009","FQ4 2009","Currency=USD","Period=FQ","BEST_FPERIOD_OVERRIDE=FQ","FILING_STATUS=MR","SCALING_FORMAT=MLN","Sort=A","Dates=H","DateFormat=P","Fill=—","Direction=H","UseDPDF=Y")</f>
        <v>272</v>
      </c>
      <c r="G18" s="13">
        <f>_xll.BDH("AMZN US Equity","OTHER_CURRENT_ASSETS_DETAILED","FQ1 2010","FQ1 2010","Currency=USD","Period=FQ","BEST_FPERIOD_OVERRIDE=FQ","FILING_STATUS=MR","SCALING_FORMAT=MLN","Sort=A","Dates=H","DateFormat=P","Fill=—","Direction=H","UseDPDF=Y")</f>
        <v>266</v>
      </c>
      <c r="H18" s="13">
        <f>_xll.BDH("AMZN US Equity","OTHER_CURRENT_ASSETS_DETAILED","FQ2 2010","FQ2 2010","Currency=USD","Period=FQ","BEST_FPERIOD_OVERRIDE=FQ","FILING_STATUS=MR","SCALING_FORMAT=MLN","Sort=A","Dates=H","DateFormat=P","Fill=—","Direction=H","UseDPDF=Y")</f>
        <v>265</v>
      </c>
      <c r="I18" s="13">
        <f>_xll.BDH("AMZN US Equity","OTHER_CURRENT_ASSETS_DETAILED","FQ3 2010","FQ3 2010","Currency=USD","Period=FQ","BEST_FPERIOD_OVERRIDE=FQ","FILING_STATUS=MR","SCALING_FORMAT=MLN","Sort=A","Dates=H","DateFormat=P","Fill=—","Direction=H","UseDPDF=Y")</f>
        <v>200</v>
      </c>
      <c r="J18" s="13">
        <f>_xll.BDH("AMZN US Equity","OTHER_CURRENT_ASSETS_DETAILED","FQ4 2010","FQ4 2010","Currency=USD","Period=FQ","BEST_FPERIOD_OVERRIDE=FQ","FILING_STATUS=MR","SCALING_FORMAT=MLN","Sort=A","Dates=H","DateFormat=P","Fill=—","Direction=H","UseDPDF=Y")</f>
        <v>196</v>
      </c>
      <c r="K18" s="13">
        <f>_xll.BDH("AMZN US Equity","OTHER_CURRENT_ASSETS_DETAILED","FQ1 2011","FQ1 2011","Currency=USD","Period=FQ","BEST_FPERIOD_OVERRIDE=FQ","FILING_STATUS=MR","SCALING_FORMAT=MLN","Sort=A","Dates=H","DateFormat=P","Fill=—","Direction=H","UseDPDF=Y")</f>
        <v>215</v>
      </c>
      <c r="L18" s="13">
        <f>_xll.BDH("AMZN US Equity","OTHER_CURRENT_ASSETS_DETAILED","FQ2 2011","FQ2 2011","Currency=USD","Period=FQ","BEST_FPERIOD_OVERRIDE=FQ","FILING_STATUS=MR","SCALING_FORMAT=MLN","Sort=A","Dates=H","DateFormat=P","Fill=—","Direction=H","UseDPDF=Y")</f>
        <v>257</v>
      </c>
      <c r="M18" s="13">
        <f>_xll.BDH("AMZN US Equity","OTHER_CURRENT_ASSETS_DETAILED","FQ3 2011","FQ3 2011","Currency=USD","Period=FQ","BEST_FPERIOD_OVERRIDE=FQ","FILING_STATUS=MR","SCALING_FORMAT=MLN","Sort=A","Dates=H","DateFormat=P","Fill=—","Direction=H","UseDPDF=Y")</f>
        <v>312</v>
      </c>
      <c r="N18" s="13">
        <f>_xll.BDH("AMZN US Equity","OTHER_CURRENT_ASSETS_DETAILED","FQ4 2011","FQ4 2011","Currency=USD","Period=FQ","BEST_FPERIOD_OVERRIDE=FQ","FILING_STATUS=MR","SCALING_FORMAT=MLN","Sort=A","Dates=H","DateFormat=P","Fill=—","Direction=H","UseDPDF=Y")</f>
        <v>351</v>
      </c>
      <c r="O18" s="13">
        <f>_xll.BDH("AMZN US Equity","OTHER_CURRENT_ASSETS_DETAILED","FQ1 2012","FQ1 2012","Currency=USD","Period=FQ","BEST_FPERIOD_OVERRIDE=FQ","FILING_STATUS=MR","SCALING_FORMAT=MLN","Sort=A","Dates=H","DateFormat=P","Fill=—","Direction=H","UseDPDF=Y")</f>
        <v>371</v>
      </c>
      <c r="P18" s="13">
        <f>_xll.BDH("AMZN US Equity","OTHER_CURRENT_ASSETS_DETAILED","FQ2 2012","FQ2 2012","Currency=USD","Period=FQ","BEST_FPERIOD_OVERRIDE=FQ","FILING_STATUS=MR","SCALING_FORMAT=MLN","Sort=A","Dates=H","DateFormat=P","Fill=—","Direction=H","UseDPDF=Y")</f>
        <v>408</v>
      </c>
      <c r="Q18" s="13">
        <f>_xll.BDH("AMZN US Equity","OTHER_CURRENT_ASSETS_DETAILED","FQ3 2012","FQ3 2012","Currency=USD","Period=FQ","BEST_FPERIOD_OVERRIDE=FQ","FILING_STATUS=MR","SCALING_FORMAT=MLN","Sort=A","Dates=H","DateFormat=P","Fill=—","Direction=H","UseDPDF=Y")</f>
        <v>413</v>
      </c>
      <c r="R18" s="13">
        <f>_xll.BDH("AMZN US Equity","OTHER_CURRENT_ASSETS_DETAILED","FQ4 2012","FQ4 2012","Currency=USD","Period=FQ","BEST_FPERIOD_OVERRIDE=FQ","FILING_STATUS=MR","SCALING_FORMAT=MLN","Sort=A","Dates=H","DateFormat=P","Fill=—","Direction=H","UseDPDF=Y")</f>
        <v>453</v>
      </c>
      <c r="S18" s="13">
        <f>_xll.BDH("AMZN US Equity","OTHER_CURRENT_ASSETS_DETAILED","FQ1 2013","FQ1 2013","Currency=USD","Period=FQ","BEST_FPERIOD_OVERRIDE=FQ","FILING_STATUS=MR","SCALING_FORMAT=MLN","Sort=A","Dates=H","DateFormat=P","Fill=—","Direction=H","UseDPDF=Y")</f>
        <v>507</v>
      </c>
      <c r="T18" s="13">
        <f>_xll.BDH("AMZN US Equity","OTHER_CURRENT_ASSETS_DETAILED","FQ2 2013","FQ2 2013","Currency=USD","Period=FQ","BEST_FPERIOD_OVERRIDE=FQ","FILING_STATUS=MR","SCALING_FORMAT=MLN","Sort=A","Dates=H","DateFormat=P","Fill=—","Direction=H","UseDPDF=Y")</f>
        <v>541</v>
      </c>
      <c r="U18" s="13">
        <f>_xll.BDH("AMZN US Equity","OTHER_CURRENT_ASSETS_DETAILED","FQ3 2013","FQ3 2013","Currency=USD","Period=FQ","BEST_FPERIOD_OVERRIDE=FQ","FILING_STATUS=MR","SCALING_FORMAT=MLN","Sort=A","Dates=H","DateFormat=P","Fill=—","Direction=H","UseDPDF=Y")</f>
        <v>520</v>
      </c>
      <c r="V18" s="13">
        <f>_xll.BDH("AMZN US Equity","OTHER_CURRENT_ASSETS_DETAILED","FQ4 2013","FQ4 2013","Currency=USD","Period=FQ","BEST_FPERIOD_OVERRIDE=FQ","FILING_STATUS=MR","SCALING_FORMAT=MLN","Sort=A","Dates=H","DateFormat=P","Fill=—","Direction=H","UseDPDF=Y")</f>
        <v>0</v>
      </c>
      <c r="W18" s="13">
        <f>_xll.BDH("AMZN US Equity","OTHER_CURRENT_ASSETS_DETAILED","FQ1 2014","FQ1 2014","Currency=USD","Period=FQ","BEST_FPERIOD_OVERRIDE=FQ","FILING_STATUS=MR","SCALING_FORMAT=MLN","Sort=A","Dates=H","DateFormat=P","Fill=—","Direction=H","UseDPDF=Y")</f>
        <v>0</v>
      </c>
      <c r="X18" s="13">
        <f>_xll.BDH("AMZN US Equity","OTHER_CURRENT_ASSETS_DETAILED","FQ2 2014","FQ2 2014","Currency=USD","Period=FQ","BEST_FPERIOD_OVERRIDE=FQ","FILING_STATUS=MR","SCALING_FORMAT=MLN","Sort=A","Dates=H","DateFormat=P","Fill=—","Direction=H","UseDPDF=Y")</f>
        <v>0</v>
      </c>
      <c r="Y18" s="13">
        <f>_xll.BDH("AMZN US Equity","OTHER_CURRENT_ASSETS_DETAILED","FQ3 2014","FQ3 2014","Currency=USD","Period=FQ","BEST_FPERIOD_OVERRIDE=FQ","FILING_STATUS=MR","SCALING_FORMAT=MLN","Sort=A","Dates=H","DateFormat=P","Fill=—","Direction=H","UseDPDF=Y")</f>
        <v>0</v>
      </c>
      <c r="Z18" s="13">
        <f>_xll.BDH("AMZN US Equity","OTHER_CURRENT_ASSETS_DETAILED","FQ4 2014","FQ4 2014","Currency=USD","Period=FQ","BEST_FPERIOD_OVERRIDE=FQ","FILING_STATUS=MR","SCALING_FORMAT=MLN","Sort=A","Dates=H","DateFormat=P","Fill=—","Direction=H","UseDPDF=Y")</f>
        <v>0</v>
      </c>
      <c r="AA18" s="13">
        <f>_xll.BDH("AMZN US Equity","OTHER_CURRENT_ASSETS_DETAILED","FQ1 2015","FQ1 2015","Currency=USD","Period=FQ","BEST_FPERIOD_OVERRIDE=FQ","FILING_STATUS=MR","SCALING_FORMAT=MLN","Sort=A","Dates=H","DateFormat=P","Fill=—","Direction=H","UseDPDF=Y")</f>
        <v>0</v>
      </c>
      <c r="AB18" s="13">
        <f>_xll.BDH("AMZN US Equity","OTHER_CURRENT_ASSETS_DETAILED","FQ2 2015","FQ2 2015","Currency=USD","Period=FQ","BEST_FPERIOD_OVERRIDE=FQ","FILING_STATUS=MR","SCALING_FORMAT=MLN","Sort=A","Dates=H","DateFormat=P","Fill=—","Direction=H","UseDPDF=Y")</f>
        <v>0</v>
      </c>
      <c r="AC18" s="13">
        <f>_xll.BDH("AMZN US Equity","OTHER_CURRENT_ASSETS_DETAILED","FQ3 2015","FQ3 2015","Currency=USD","Period=FQ","BEST_FPERIOD_OVERRIDE=FQ","FILING_STATUS=MR","SCALING_FORMAT=MLN","Sort=A","Dates=H","DateFormat=P","Fill=—","Direction=H","UseDPDF=Y")</f>
        <v>0</v>
      </c>
      <c r="AD18" s="13">
        <f>_xll.BDH("AMZN US Equity","OTHER_CURRENT_ASSETS_DETAILED","FQ4 2015","FQ4 2015","Currency=USD","Period=FQ","BEST_FPERIOD_OVERRIDE=FQ","FILING_STATUS=MR","SCALING_FORMAT=MLN","Sort=A","Dates=H","DateFormat=P","Fill=—","Direction=H","UseDPDF=Y")</f>
        <v>0</v>
      </c>
      <c r="AE18" s="13">
        <f>_xll.BDH("AMZN US Equity","OTHER_CURRENT_ASSETS_DETAILED","FQ1 2016","FQ1 2016","Currency=USD","Period=FQ","BEST_FPERIOD_OVERRIDE=FQ","FILING_STATUS=MR","SCALING_FORMAT=MLN","Sort=A","Dates=H","DateFormat=P","Fill=—","Direction=H","UseDPDF=Y")</f>
        <v>0</v>
      </c>
      <c r="AF18" s="13">
        <f>_xll.BDH("AMZN US Equity","OTHER_CURRENT_ASSETS_DETAILED","FQ2 2016","FQ2 2016","Currency=USD","Period=FQ","BEST_FPERIOD_OVERRIDE=FQ","FILING_STATUS=MR","SCALING_FORMAT=MLN","Sort=A","Dates=H","DateFormat=P","Fill=—","Direction=H","UseDPDF=Y")</f>
        <v>0</v>
      </c>
      <c r="AG18" s="13">
        <f>_xll.BDH("AMZN US Equity","OTHER_CURRENT_ASSETS_DETAILED","FQ3 2016","FQ3 2016","Currency=USD","Period=FQ","BEST_FPERIOD_OVERRIDE=FQ","FILING_STATUS=MR","SCALING_FORMAT=MLN","Sort=A","Dates=H","DateFormat=P","Fill=—","Direction=H","UseDPDF=Y")</f>
        <v>0</v>
      </c>
      <c r="AH18" s="13">
        <f>_xll.BDH("AMZN US Equity","OTHER_CURRENT_ASSETS_DETAILED","FQ4 2016","FQ4 2016","Currency=USD","Period=FQ","BEST_FPERIOD_OVERRIDE=FQ","FILING_STATUS=MR","SCALING_FORMAT=MLN","Sort=A","Dates=H","DateFormat=P","Fill=—","Direction=H","UseDPDF=Y")</f>
        <v>0</v>
      </c>
      <c r="AI18" s="13">
        <f>_xll.BDH("AMZN US Equity","OTHER_CURRENT_ASSETS_DETAILED","FQ1 2017","FQ1 2017","Currency=USD","Period=FQ","BEST_FPERIOD_OVERRIDE=FQ","FILING_STATUS=MR","SCALING_FORMAT=MLN","Sort=A","Dates=H","DateFormat=P","Fill=—","Direction=H","UseDPDF=Y")</f>
        <v>0</v>
      </c>
      <c r="AJ18" s="13">
        <f>_xll.BDH("AMZN US Equity","OTHER_CURRENT_ASSETS_DETAILED","FQ2 2017","FQ2 2017","Currency=USD","Period=FQ","BEST_FPERIOD_OVERRIDE=FQ","FILING_STATUS=MR","SCALING_FORMAT=MLN","Sort=A","Dates=H","DateFormat=P","Fill=—","Direction=H","UseDPDF=Y")</f>
        <v>0</v>
      </c>
      <c r="AK18" s="13">
        <f>_xll.BDH("AMZN US Equity","OTHER_CURRENT_ASSETS_DETAILED","FQ3 2017","FQ3 2017","Currency=USD","Period=FQ","BEST_FPERIOD_OVERRIDE=FQ","FILING_STATUS=MR","SCALING_FORMAT=MLN","Sort=A","Dates=H","DateFormat=P","Fill=—","Direction=H","UseDPDF=Y")</f>
        <v>0</v>
      </c>
      <c r="AL18" s="13">
        <f>_xll.BDH("AMZN US Equity","OTHER_CURRENT_ASSETS_DETAILED","FQ4 2017","FQ4 2017","Currency=USD","Period=FQ","BEST_FPERIOD_OVERRIDE=FQ","FILING_STATUS=MR","SCALING_FORMAT=MLN","Sort=A","Dates=H","DateFormat=P","Fill=—","Direction=H","UseDPDF=Y")</f>
        <v>0</v>
      </c>
      <c r="AM18" s="13">
        <f>_xll.BDH("AMZN US Equity","OTHER_CURRENT_ASSETS_DETAILED","FQ1 2018","FQ1 2018","Currency=USD","Period=FQ","BEST_FPERIOD_OVERRIDE=FQ","FILING_STATUS=MR","SCALING_FORMAT=MLN","Sort=A","Dates=H","DateFormat=P","Fill=—","Direction=H","UseDPDF=Y")</f>
        <v>0</v>
      </c>
      <c r="AN18" s="13">
        <f>_xll.BDH("AMZN US Equity","OTHER_CURRENT_ASSETS_DETAILED","FQ2 2018","FQ2 2018","Currency=USD","Period=FQ","BEST_FPERIOD_OVERRIDE=FQ","FILING_STATUS=MR","SCALING_FORMAT=MLN","Sort=A","Dates=H","DateFormat=P","Fill=—","Direction=H","UseDPDF=Y")</f>
        <v>0</v>
      </c>
    </row>
    <row r="19" spans="1:40" x14ac:dyDescent="0.25">
      <c r="A19" s="10" t="s">
        <v>234</v>
      </c>
      <c r="B19" s="10" t="s">
        <v>235</v>
      </c>
      <c r="C19" s="13" t="str">
        <f>_xll.BDH("AMZN US Equity","BS_DERIV_&amp;_HEDGING_ASSETS_ST","FQ1 2009","FQ1 2009","Currency=USD","Period=FQ","BEST_FPERIOD_OVERRIDE=FQ","FILING_STATUS=MR","SCALING_FORMAT=MLN","Sort=A","Dates=H","DateFormat=P","Fill=—","Direction=H","UseDPDF=Y")</f>
        <v>—</v>
      </c>
      <c r="D19" s="13" t="str">
        <f>_xll.BDH("AMZN US Equity","BS_DERIV_&amp;_HEDGING_ASSETS_ST","FQ2 2009","FQ2 2009","Currency=USD","Period=FQ","BEST_FPERIOD_OVERRIDE=FQ","FILING_STATUS=MR","SCALING_FORMAT=MLN","Sort=A","Dates=H","DateFormat=P","Fill=—","Direction=H","UseDPDF=Y")</f>
        <v>—</v>
      </c>
      <c r="E19" s="13" t="str">
        <f>_xll.BDH("AMZN US Equity","BS_DERIV_&amp;_HEDGING_ASSETS_ST","FQ3 2009","FQ3 2009","Currency=USD","Period=FQ","BEST_FPERIOD_OVERRIDE=FQ","FILING_STATUS=MR","SCALING_FORMAT=MLN","Sort=A","Dates=H","DateFormat=P","Fill=—","Direction=H","UseDPDF=Y")</f>
        <v>—</v>
      </c>
      <c r="F19" s="13" t="str">
        <f>_xll.BDH("AMZN US Equity","BS_DERIV_&amp;_HEDGING_ASSETS_ST","FQ4 2009","FQ4 2009","Currency=USD","Period=FQ","BEST_FPERIOD_OVERRIDE=FQ","FILING_STATUS=MR","SCALING_FORMAT=MLN","Sort=A","Dates=H","DateFormat=P","Fill=—","Direction=H","UseDPDF=Y")</f>
        <v>—</v>
      </c>
      <c r="G19" s="13" t="str">
        <f>_xll.BDH("AMZN US Equity","BS_DERIV_&amp;_HEDGING_ASSETS_ST","FQ1 2010","FQ1 2010","Currency=USD","Period=FQ","BEST_FPERIOD_OVERRIDE=FQ","FILING_STATUS=MR","SCALING_FORMAT=MLN","Sort=A","Dates=H","DateFormat=P","Fill=—","Direction=H","UseDPDF=Y")</f>
        <v>—</v>
      </c>
      <c r="H19" s="13" t="str">
        <f>_xll.BDH("AMZN US Equity","BS_DERIV_&amp;_HEDGING_ASSETS_ST","FQ2 2010","FQ2 2010","Currency=USD","Period=FQ","BEST_FPERIOD_OVERRIDE=FQ","FILING_STATUS=MR","SCALING_FORMAT=MLN","Sort=A","Dates=H","DateFormat=P","Fill=—","Direction=H","UseDPDF=Y")</f>
        <v>—</v>
      </c>
      <c r="I19" s="13" t="str">
        <f>_xll.BDH("AMZN US Equity","BS_DERIV_&amp;_HEDGING_ASSETS_ST","FQ3 2010","FQ3 2010","Currency=USD","Period=FQ","BEST_FPERIOD_OVERRIDE=FQ","FILING_STATUS=MR","SCALING_FORMAT=MLN","Sort=A","Dates=H","DateFormat=P","Fill=—","Direction=H","UseDPDF=Y")</f>
        <v>—</v>
      </c>
      <c r="J19" s="13">
        <f>_xll.BDH("AMZN US Equity","BS_DERIV_&amp;_HEDGING_ASSETS_ST","FQ4 2010","FQ4 2010","Currency=USD","Period=FQ","BEST_FPERIOD_OVERRIDE=FQ","FILING_STATUS=MR","SCALING_FORMAT=MLN","Sort=A","Dates=H","DateFormat=P","Fill=—","Direction=H","UseDPDF=Y")</f>
        <v>0</v>
      </c>
      <c r="K19" s="13" t="str">
        <f>_xll.BDH("AMZN US Equity","BS_DERIV_&amp;_HEDGING_ASSETS_ST","FQ1 2011","FQ1 2011","Currency=USD","Period=FQ","BEST_FPERIOD_OVERRIDE=FQ","FILING_STATUS=MR","SCALING_FORMAT=MLN","Sort=A","Dates=H","DateFormat=P","Fill=—","Direction=H","UseDPDF=Y")</f>
        <v>—</v>
      </c>
      <c r="L19" s="13" t="str">
        <f>_xll.BDH("AMZN US Equity","BS_DERIV_&amp;_HEDGING_ASSETS_ST","FQ2 2011","FQ2 2011","Currency=USD","Period=FQ","BEST_FPERIOD_OVERRIDE=FQ","FILING_STATUS=MR","SCALING_FORMAT=MLN","Sort=A","Dates=H","DateFormat=P","Fill=—","Direction=H","UseDPDF=Y")</f>
        <v>—</v>
      </c>
      <c r="M19" s="13" t="str">
        <f>_xll.BDH("AMZN US Equity","BS_DERIV_&amp;_HEDGING_ASSETS_ST","FQ3 2011","FQ3 2011","Currency=USD","Period=FQ","BEST_FPERIOD_OVERRIDE=FQ","FILING_STATUS=MR","SCALING_FORMAT=MLN","Sort=A","Dates=H","DateFormat=P","Fill=—","Direction=H","UseDPDF=Y")</f>
        <v>—</v>
      </c>
      <c r="N19" s="13">
        <f>_xll.BDH("AMZN US Equity","BS_DERIV_&amp;_HEDGING_ASSETS_ST","FQ4 2011","FQ4 2011","Currency=USD","Period=FQ","BEST_FPERIOD_OVERRIDE=FQ","FILING_STATUS=MR","SCALING_FORMAT=MLN","Sort=A","Dates=H","DateFormat=P","Fill=—","Direction=H","UseDPDF=Y")</f>
        <v>0</v>
      </c>
      <c r="O19" s="13" t="str">
        <f>_xll.BDH("AMZN US Equity","BS_DERIV_&amp;_HEDGING_ASSETS_ST","FQ1 2012","FQ1 2012","Currency=USD","Period=FQ","BEST_FPERIOD_OVERRIDE=FQ","FILING_STATUS=MR","SCALING_FORMAT=MLN","Sort=A","Dates=H","DateFormat=P","Fill=—","Direction=H","UseDPDF=Y")</f>
        <v>—</v>
      </c>
      <c r="P19" s="13" t="str">
        <f>_xll.BDH("AMZN US Equity","BS_DERIV_&amp;_HEDGING_ASSETS_ST","FQ2 2012","FQ2 2012","Currency=USD","Period=FQ","BEST_FPERIOD_OVERRIDE=FQ","FILING_STATUS=MR","SCALING_FORMAT=MLN","Sort=A","Dates=H","DateFormat=P","Fill=—","Direction=H","UseDPDF=Y")</f>
        <v>—</v>
      </c>
      <c r="Q19" s="13" t="str">
        <f>_xll.BDH("AMZN US Equity","BS_DERIV_&amp;_HEDGING_ASSETS_ST","FQ3 2012","FQ3 2012","Currency=USD","Period=FQ","BEST_FPERIOD_OVERRIDE=FQ","FILING_STATUS=MR","SCALING_FORMAT=MLN","Sort=A","Dates=H","DateFormat=P","Fill=—","Direction=H","UseDPDF=Y")</f>
        <v>—</v>
      </c>
      <c r="R19" s="13">
        <f>_xll.BDH("AMZN US Equity","BS_DERIV_&amp;_HEDGING_ASSETS_ST","FQ4 2012","FQ4 2012","Currency=USD","Period=FQ","BEST_FPERIOD_OVERRIDE=FQ","FILING_STATUS=MR","SCALING_FORMAT=MLN","Sort=A","Dates=H","DateFormat=P","Fill=—","Direction=H","UseDPDF=Y")</f>
        <v>0</v>
      </c>
      <c r="S19" s="13" t="str">
        <f>_xll.BDH("AMZN US Equity","BS_DERIV_&amp;_HEDGING_ASSETS_ST","FQ1 2013","FQ1 2013","Currency=USD","Period=FQ","BEST_FPERIOD_OVERRIDE=FQ","FILING_STATUS=MR","SCALING_FORMAT=MLN","Sort=A","Dates=H","DateFormat=P","Fill=—","Direction=H","UseDPDF=Y")</f>
        <v>—</v>
      </c>
      <c r="T19" s="13" t="str">
        <f>_xll.BDH("AMZN US Equity","BS_DERIV_&amp;_HEDGING_ASSETS_ST","FQ2 2013","FQ2 2013","Currency=USD","Period=FQ","BEST_FPERIOD_OVERRIDE=FQ","FILING_STATUS=MR","SCALING_FORMAT=MLN","Sort=A","Dates=H","DateFormat=P","Fill=—","Direction=H","UseDPDF=Y")</f>
        <v>—</v>
      </c>
      <c r="U19" s="13" t="str">
        <f>_xll.BDH("AMZN US Equity","BS_DERIV_&amp;_HEDGING_ASSETS_ST","FQ3 2013","FQ3 2013","Currency=USD","Period=FQ","BEST_FPERIOD_OVERRIDE=FQ","FILING_STATUS=MR","SCALING_FORMAT=MLN","Sort=A","Dates=H","DateFormat=P","Fill=—","Direction=H","UseDPDF=Y")</f>
        <v>—</v>
      </c>
      <c r="V19" s="13">
        <f>_xll.BDH("AMZN US Equity","BS_DERIV_&amp;_HEDGING_ASSETS_ST","FQ4 2013","FQ4 2013","Currency=USD","Period=FQ","BEST_FPERIOD_OVERRIDE=FQ","FILING_STATUS=MR","SCALING_FORMAT=MLN","Sort=A","Dates=H","DateFormat=P","Fill=—","Direction=H","UseDPDF=Y")</f>
        <v>0</v>
      </c>
      <c r="W19" s="13" t="str">
        <f>_xll.BDH("AMZN US Equity","BS_DERIV_&amp;_HEDGING_ASSETS_ST","FQ1 2014","FQ1 2014","Currency=USD","Period=FQ","BEST_FPERIOD_OVERRIDE=FQ","FILING_STATUS=MR","SCALING_FORMAT=MLN","Sort=A","Dates=H","DateFormat=P","Fill=—","Direction=H","UseDPDF=Y")</f>
        <v>—</v>
      </c>
      <c r="X19" s="13" t="str">
        <f>_xll.BDH("AMZN US Equity","BS_DERIV_&amp;_HEDGING_ASSETS_ST","FQ2 2014","FQ2 2014","Currency=USD","Period=FQ","BEST_FPERIOD_OVERRIDE=FQ","FILING_STATUS=MR","SCALING_FORMAT=MLN","Sort=A","Dates=H","DateFormat=P","Fill=—","Direction=H","UseDPDF=Y")</f>
        <v>—</v>
      </c>
      <c r="Y19" s="13" t="str">
        <f>_xll.BDH("AMZN US Equity","BS_DERIV_&amp;_HEDGING_ASSETS_ST","FQ3 2014","FQ3 2014","Currency=USD","Period=FQ","BEST_FPERIOD_OVERRIDE=FQ","FILING_STATUS=MR","SCALING_FORMAT=MLN","Sort=A","Dates=H","DateFormat=P","Fill=—","Direction=H","UseDPDF=Y")</f>
        <v>—</v>
      </c>
      <c r="Z19" s="13">
        <f>_xll.BDH("AMZN US Equity","BS_DERIV_&amp;_HEDGING_ASSETS_ST","FQ4 2014","FQ4 2014","Currency=USD","Period=FQ","BEST_FPERIOD_OVERRIDE=FQ","FILING_STATUS=MR","SCALING_FORMAT=MLN","Sort=A","Dates=H","DateFormat=P","Fill=—","Direction=H","UseDPDF=Y")</f>
        <v>0</v>
      </c>
      <c r="AA19" s="13" t="str">
        <f>_xll.BDH("AMZN US Equity","BS_DERIV_&amp;_HEDGING_ASSETS_ST","FQ1 2015","FQ1 2015","Currency=USD","Period=FQ","BEST_FPERIOD_OVERRIDE=FQ","FILING_STATUS=MR","SCALING_FORMAT=MLN","Sort=A","Dates=H","DateFormat=P","Fill=—","Direction=H","UseDPDF=Y")</f>
        <v>—</v>
      </c>
      <c r="AB19" s="13" t="str">
        <f>_xll.BDH("AMZN US Equity","BS_DERIV_&amp;_HEDGING_ASSETS_ST","FQ2 2015","FQ2 2015","Currency=USD","Period=FQ","BEST_FPERIOD_OVERRIDE=FQ","FILING_STATUS=MR","SCALING_FORMAT=MLN","Sort=A","Dates=H","DateFormat=P","Fill=—","Direction=H","UseDPDF=Y")</f>
        <v>—</v>
      </c>
      <c r="AC19" s="13" t="str">
        <f>_xll.BDH("AMZN US Equity","BS_DERIV_&amp;_HEDGING_ASSETS_ST","FQ3 2015","FQ3 2015","Currency=USD","Period=FQ","BEST_FPERIOD_OVERRIDE=FQ","FILING_STATUS=MR","SCALING_FORMAT=MLN","Sort=A","Dates=H","DateFormat=P","Fill=—","Direction=H","UseDPDF=Y")</f>
        <v>—</v>
      </c>
      <c r="AD19" s="13">
        <f>_xll.BDH("AMZN US Equity","BS_DERIV_&amp;_HEDGING_ASSETS_ST","FQ4 2015","FQ4 2015","Currency=USD","Period=FQ","BEST_FPERIOD_OVERRIDE=FQ","FILING_STATUS=MR","SCALING_FORMAT=MLN","Sort=A","Dates=H","DateFormat=P","Fill=—","Direction=H","UseDPDF=Y")</f>
        <v>0</v>
      </c>
      <c r="AE19" s="13" t="str">
        <f>_xll.BDH("AMZN US Equity","BS_DERIV_&amp;_HEDGING_ASSETS_ST","FQ1 2016","FQ1 2016","Currency=USD","Period=FQ","BEST_FPERIOD_OVERRIDE=FQ","FILING_STATUS=MR","SCALING_FORMAT=MLN","Sort=A","Dates=H","DateFormat=P","Fill=—","Direction=H","UseDPDF=Y")</f>
        <v>—</v>
      </c>
      <c r="AF19" s="13" t="str">
        <f>_xll.BDH("AMZN US Equity","BS_DERIV_&amp;_HEDGING_ASSETS_ST","FQ2 2016","FQ2 2016","Currency=USD","Period=FQ","BEST_FPERIOD_OVERRIDE=FQ","FILING_STATUS=MR","SCALING_FORMAT=MLN","Sort=A","Dates=H","DateFormat=P","Fill=—","Direction=H","UseDPDF=Y")</f>
        <v>—</v>
      </c>
      <c r="AG19" s="13" t="str">
        <f>_xll.BDH("AMZN US Equity","BS_DERIV_&amp;_HEDGING_ASSETS_ST","FQ3 2016","FQ3 2016","Currency=USD","Period=FQ","BEST_FPERIOD_OVERRIDE=FQ","FILING_STATUS=MR","SCALING_FORMAT=MLN","Sort=A","Dates=H","DateFormat=P","Fill=—","Direction=H","UseDPDF=Y")</f>
        <v>—</v>
      </c>
      <c r="AH19" s="13">
        <f>_xll.BDH("AMZN US Equity","BS_DERIV_&amp;_HEDGING_ASSETS_ST","FQ4 2016","FQ4 2016","Currency=USD","Period=FQ","BEST_FPERIOD_OVERRIDE=FQ","FILING_STATUS=MR","SCALING_FORMAT=MLN","Sort=A","Dates=H","DateFormat=P","Fill=—","Direction=H","UseDPDF=Y")</f>
        <v>0</v>
      </c>
      <c r="AI19" s="13" t="str">
        <f>_xll.BDH("AMZN US Equity","BS_DERIV_&amp;_HEDGING_ASSETS_ST","FQ1 2017","FQ1 2017","Currency=USD","Period=FQ","BEST_FPERIOD_OVERRIDE=FQ","FILING_STATUS=MR","SCALING_FORMAT=MLN","Sort=A","Dates=H","DateFormat=P","Fill=—","Direction=H","UseDPDF=Y")</f>
        <v>—</v>
      </c>
      <c r="AJ19" s="13" t="str">
        <f>_xll.BDH("AMZN US Equity","BS_DERIV_&amp;_HEDGING_ASSETS_ST","FQ2 2017","FQ2 2017","Currency=USD","Period=FQ","BEST_FPERIOD_OVERRIDE=FQ","FILING_STATUS=MR","SCALING_FORMAT=MLN","Sort=A","Dates=H","DateFormat=P","Fill=—","Direction=H","UseDPDF=Y")</f>
        <v>—</v>
      </c>
      <c r="AK19" s="13" t="str">
        <f>_xll.BDH("AMZN US Equity","BS_DERIV_&amp;_HEDGING_ASSETS_ST","FQ3 2017","FQ3 2017","Currency=USD","Period=FQ","BEST_FPERIOD_OVERRIDE=FQ","FILING_STATUS=MR","SCALING_FORMAT=MLN","Sort=A","Dates=H","DateFormat=P","Fill=—","Direction=H","UseDPDF=Y")</f>
        <v>—</v>
      </c>
      <c r="AL19" s="13">
        <f>_xll.BDH("AMZN US Equity","BS_DERIV_&amp;_HEDGING_ASSETS_ST","FQ4 2017","FQ4 2017","Currency=USD","Period=FQ","BEST_FPERIOD_OVERRIDE=FQ","FILING_STATUS=MR","SCALING_FORMAT=MLN","Sort=A","Dates=H","DateFormat=P","Fill=—","Direction=H","UseDPDF=Y")</f>
        <v>0</v>
      </c>
      <c r="AM19" s="13" t="str">
        <f>_xll.BDH("AMZN US Equity","BS_DERIV_&amp;_HEDGING_ASSETS_ST","FQ1 2018","FQ1 2018","Currency=USD","Period=FQ","BEST_FPERIOD_OVERRIDE=FQ","FILING_STATUS=MR","SCALING_FORMAT=MLN","Sort=A","Dates=H","DateFormat=P","Fill=—","Direction=H","UseDPDF=Y")</f>
        <v>—</v>
      </c>
      <c r="AN19" s="13" t="str">
        <f>_xll.BDH("AMZN US Equity","BS_DERIV_&amp;_HEDGING_ASSETS_ST","FQ2 2018","FQ2 2018","Currency=USD","Period=FQ","BEST_FPERIOD_OVERRIDE=FQ","FILING_STATUS=MR","SCALING_FORMAT=MLN","Sort=A","Dates=H","DateFormat=P","Fill=—","Direction=H","UseDPDF=Y")</f>
        <v>—</v>
      </c>
    </row>
    <row r="20" spans="1:40" x14ac:dyDescent="0.25">
      <c r="A20" s="10" t="s">
        <v>236</v>
      </c>
      <c r="B20" s="10" t="s">
        <v>237</v>
      </c>
      <c r="C20" s="13">
        <f>_xll.BDH("AMZN US Equity","BS_DEFERRED_TAX_ASSETS_ST","FQ1 2009","FQ1 2009","Currency=USD","Period=FQ","BEST_FPERIOD_OVERRIDE=FQ","FILING_STATUS=MR","SCALING_FORMAT=MLN","Sort=A","Dates=H","DateFormat=P","Fill=—","Direction=H","UseDPDF=Y")</f>
        <v>192</v>
      </c>
      <c r="D20" s="13">
        <f>_xll.BDH("AMZN US Equity","BS_DEFERRED_TAX_ASSETS_ST","FQ2 2009","FQ2 2009","Currency=USD","Period=FQ","BEST_FPERIOD_OVERRIDE=FQ","FILING_STATUS=MR","SCALING_FORMAT=MLN","Sort=A","Dates=H","DateFormat=P","Fill=—","Direction=H","UseDPDF=Y")</f>
        <v>183</v>
      </c>
      <c r="E20" s="13">
        <f>_xll.BDH("AMZN US Equity","BS_DEFERRED_TAX_ASSETS_ST","FQ3 2009","FQ3 2009","Currency=USD","Period=FQ","BEST_FPERIOD_OVERRIDE=FQ","FILING_STATUS=MR","SCALING_FORMAT=MLN","Sort=A","Dates=H","DateFormat=P","Fill=—","Direction=H","UseDPDF=Y")</f>
        <v>80</v>
      </c>
      <c r="F20" s="13">
        <f>_xll.BDH("AMZN US Equity","BS_DEFERRED_TAX_ASSETS_ST","FQ4 2009","FQ4 2009","Currency=USD","Period=FQ","BEST_FPERIOD_OVERRIDE=FQ","FILING_STATUS=MR","SCALING_FORMAT=MLN","Sort=A","Dates=H","DateFormat=P","Fill=—","Direction=H","UseDPDF=Y")</f>
        <v>272</v>
      </c>
      <c r="G20" s="13">
        <f>_xll.BDH("AMZN US Equity","BS_DEFERRED_TAX_ASSETS_ST","FQ1 2010","FQ1 2010","Currency=USD","Period=FQ","BEST_FPERIOD_OVERRIDE=FQ","FILING_STATUS=MR","SCALING_FORMAT=MLN","Sort=A","Dates=H","DateFormat=P","Fill=—","Direction=H","UseDPDF=Y")</f>
        <v>266</v>
      </c>
      <c r="H20" s="13">
        <f>_xll.BDH("AMZN US Equity","BS_DEFERRED_TAX_ASSETS_ST","FQ2 2010","FQ2 2010","Currency=USD","Period=FQ","BEST_FPERIOD_OVERRIDE=FQ","FILING_STATUS=MR","SCALING_FORMAT=MLN","Sort=A","Dates=H","DateFormat=P","Fill=—","Direction=H","UseDPDF=Y")</f>
        <v>265</v>
      </c>
      <c r="I20" s="13">
        <f>_xll.BDH("AMZN US Equity","BS_DEFERRED_TAX_ASSETS_ST","FQ3 2010","FQ3 2010","Currency=USD","Period=FQ","BEST_FPERIOD_OVERRIDE=FQ","FILING_STATUS=MR","SCALING_FORMAT=MLN","Sort=A","Dates=H","DateFormat=P","Fill=—","Direction=H","UseDPDF=Y")</f>
        <v>200</v>
      </c>
      <c r="J20" s="13">
        <f>_xll.BDH("AMZN US Equity","BS_DEFERRED_TAX_ASSETS_ST","FQ4 2010","FQ4 2010","Currency=USD","Period=FQ","BEST_FPERIOD_OVERRIDE=FQ","FILING_STATUS=MR","SCALING_FORMAT=MLN","Sort=A","Dates=H","DateFormat=P","Fill=—","Direction=H","UseDPDF=Y")</f>
        <v>196</v>
      </c>
      <c r="K20" s="13">
        <f>_xll.BDH("AMZN US Equity","BS_DEFERRED_TAX_ASSETS_ST","FQ1 2011","FQ1 2011","Currency=USD","Period=FQ","BEST_FPERIOD_OVERRIDE=FQ","FILING_STATUS=MR","SCALING_FORMAT=MLN","Sort=A","Dates=H","DateFormat=P","Fill=—","Direction=H","UseDPDF=Y")</f>
        <v>215</v>
      </c>
      <c r="L20" s="13">
        <f>_xll.BDH("AMZN US Equity","BS_DEFERRED_TAX_ASSETS_ST","FQ2 2011","FQ2 2011","Currency=USD","Period=FQ","BEST_FPERIOD_OVERRIDE=FQ","FILING_STATUS=MR","SCALING_FORMAT=MLN","Sort=A","Dates=H","DateFormat=P","Fill=—","Direction=H","UseDPDF=Y")</f>
        <v>257</v>
      </c>
      <c r="M20" s="13">
        <f>_xll.BDH("AMZN US Equity","BS_DEFERRED_TAX_ASSETS_ST","FQ3 2011","FQ3 2011","Currency=USD","Period=FQ","BEST_FPERIOD_OVERRIDE=FQ","FILING_STATUS=MR","SCALING_FORMAT=MLN","Sort=A","Dates=H","DateFormat=P","Fill=—","Direction=H","UseDPDF=Y")</f>
        <v>312</v>
      </c>
      <c r="N20" s="13">
        <f>_xll.BDH("AMZN US Equity","BS_DEFERRED_TAX_ASSETS_ST","FQ4 2011","FQ4 2011","Currency=USD","Period=FQ","BEST_FPERIOD_OVERRIDE=FQ","FILING_STATUS=MR","SCALING_FORMAT=MLN","Sort=A","Dates=H","DateFormat=P","Fill=—","Direction=H","UseDPDF=Y")</f>
        <v>351</v>
      </c>
      <c r="O20" s="13">
        <f>_xll.BDH("AMZN US Equity","BS_DEFERRED_TAX_ASSETS_ST","FQ1 2012","FQ1 2012","Currency=USD","Period=FQ","BEST_FPERIOD_OVERRIDE=FQ","FILING_STATUS=MR","SCALING_FORMAT=MLN","Sort=A","Dates=H","DateFormat=P","Fill=—","Direction=H","UseDPDF=Y")</f>
        <v>371</v>
      </c>
      <c r="P20" s="13">
        <f>_xll.BDH("AMZN US Equity","BS_DEFERRED_TAX_ASSETS_ST","FQ2 2012","FQ2 2012","Currency=USD","Period=FQ","BEST_FPERIOD_OVERRIDE=FQ","FILING_STATUS=MR","SCALING_FORMAT=MLN","Sort=A","Dates=H","DateFormat=P","Fill=—","Direction=H","UseDPDF=Y")</f>
        <v>408</v>
      </c>
      <c r="Q20" s="13">
        <f>_xll.BDH("AMZN US Equity","BS_DEFERRED_TAX_ASSETS_ST","FQ3 2012","FQ3 2012","Currency=USD","Period=FQ","BEST_FPERIOD_OVERRIDE=FQ","FILING_STATUS=MR","SCALING_FORMAT=MLN","Sort=A","Dates=H","DateFormat=P","Fill=—","Direction=H","UseDPDF=Y")</f>
        <v>413</v>
      </c>
      <c r="R20" s="13">
        <f>_xll.BDH("AMZN US Equity","BS_DEFERRED_TAX_ASSETS_ST","FQ4 2012","FQ4 2012","Currency=USD","Period=FQ","BEST_FPERIOD_OVERRIDE=FQ","FILING_STATUS=MR","SCALING_FORMAT=MLN","Sort=A","Dates=H","DateFormat=P","Fill=—","Direction=H","UseDPDF=Y")</f>
        <v>453</v>
      </c>
      <c r="S20" s="13">
        <f>_xll.BDH("AMZN US Equity","BS_DEFERRED_TAX_ASSETS_ST","FQ1 2013","FQ1 2013","Currency=USD","Period=FQ","BEST_FPERIOD_OVERRIDE=FQ","FILING_STATUS=MR","SCALING_FORMAT=MLN","Sort=A","Dates=H","DateFormat=P","Fill=—","Direction=H","UseDPDF=Y")</f>
        <v>507</v>
      </c>
      <c r="T20" s="13">
        <f>_xll.BDH("AMZN US Equity","BS_DEFERRED_TAX_ASSETS_ST","FQ2 2013","FQ2 2013","Currency=USD","Period=FQ","BEST_FPERIOD_OVERRIDE=FQ","FILING_STATUS=MR","SCALING_FORMAT=MLN","Sort=A","Dates=H","DateFormat=P","Fill=—","Direction=H","UseDPDF=Y")</f>
        <v>541</v>
      </c>
      <c r="U20" s="13">
        <f>_xll.BDH("AMZN US Equity","BS_DEFERRED_TAX_ASSETS_ST","FQ3 2013","FQ3 2013","Currency=USD","Period=FQ","BEST_FPERIOD_OVERRIDE=FQ","FILING_STATUS=MR","SCALING_FORMAT=MLN","Sort=A","Dates=H","DateFormat=P","Fill=—","Direction=H","UseDPDF=Y")</f>
        <v>520</v>
      </c>
      <c r="V20" s="13" t="str">
        <f>_xll.BDH("AMZN US Equity","BS_DEFERRED_TAX_ASSETS_ST","FQ4 2013","FQ4 2013","Currency=USD","Period=FQ","BEST_FPERIOD_OVERRIDE=FQ","FILING_STATUS=MR","SCALING_FORMAT=MLN","Sort=A","Dates=H","DateFormat=P","Fill=—","Direction=H","UseDPDF=Y")</f>
        <v>—</v>
      </c>
      <c r="W20" s="13" t="str">
        <f>_xll.BDH("AMZN US Equity","BS_DEFERRED_TAX_ASSETS_ST","FQ1 2014","FQ1 2014","Currency=USD","Period=FQ","BEST_FPERIOD_OVERRIDE=FQ","FILING_STATUS=MR","SCALING_FORMAT=MLN","Sort=A","Dates=H","DateFormat=P","Fill=—","Direction=H","UseDPDF=Y")</f>
        <v>—</v>
      </c>
      <c r="X20" s="13" t="str">
        <f>_xll.BDH("AMZN US Equity","BS_DEFERRED_TAX_ASSETS_ST","FQ2 2014","FQ2 2014","Currency=USD","Period=FQ","BEST_FPERIOD_OVERRIDE=FQ","FILING_STATUS=MR","SCALING_FORMAT=MLN","Sort=A","Dates=H","DateFormat=P","Fill=—","Direction=H","UseDPDF=Y")</f>
        <v>—</v>
      </c>
      <c r="Y20" s="13" t="str">
        <f>_xll.BDH("AMZN US Equity","BS_DEFERRED_TAX_ASSETS_ST","FQ3 2014","FQ3 2014","Currency=USD","Period=FQ","BEST_FPERIOD_OVERRIDE=FQ","FILING_STATUS=MR","SCALING_FORMAT=MLN","Sort=A","Dates=H","DateFormat=P","Fill=—","Direction=H","UseDPDF=Y")</f>
        <v>—</v>
      </c>
      <c r="Z20" s="13" t="str">
        <f>_xll.BDH("AMZN US Equity","BS_DEFERRED_TAX_ASSETS_ST","FQ4 2014","FQ4 2014","Currency=USD","Period=FQ","BEST_FPERIOD_OVERRIDE=FQ","FILING_STATUS=MR","SCALING_FORMAT=MLN","Sort=A","Dates=H","DateFormat=P","Fill=—","Direction=H","UseDPDF=Y")</f>
        <v>—</v>
      </c>
      <c r="AA20" s="13" t="str">
        <f>_xll.BDH("AMZN US Equity","BS_DEFERRED_TAX_ASSETS_ST","FQ1 2015","FQ1 2015","Currency=USD","Period=FQ","BEST_FPERIOD_OVERRIDE=FQ","FILING_STATUS=MR","SCALING_FORMAT=MLN","Sort=A","Dates=H","DateFormat=P","Fill=—","Direction=H","UseDPDF=Y")</f>
        <v>—</v>
      </c>
      <c r="AB20" s="13" t="str">
        <f>_xll.BDH("AMZN US Equity","BS_DEFERRED_TAX_ASSETS_ST","FQ2 2015","FQ2 2015","Currency=USD","Period=FQ","BEST_FPERIOD_OVERRIDE=FQ","FILING_STATUS=MR","SCALING_FORMAT=MLN","Sort=A","Dates=H","DateFormat=P","Fill=—","Direction=H","UseDPDF=Y")</f>
        <v>—</v>
      </c>
      <c r="AC20" s="13" t="str">
        <f>_xll.BDH("AMZN US Equity","BS_DEFERRED_TAX_ASSETS_ST","FQ3 2015","FQ3 2015","Currency=USD","Period=FQ","BEST_FPERIOD_OVERRIDE=FQ","FILING_STATUS=MR","SCALING_FORMAT=MLN","Sort=A","Dates=H","DateFormat=P","Fill=—","Direction=H","UseDPDF=Y")</f>
        <v>—</v>
      </c>
      <c r="AD20" s="13" t="str">
        <f>_xll.BDH("AMZN US Equity","BS_DEFERRED_TAX_ASSETS_ST","FQ4 2015","FQ4 2015","Currency=USD","Period=FQ","BEST_FPERIOD_OVERRIDE=FQ","FILING_STATUS=MR","SCALING_FORMAT=MLN","Sort=A","Dates=H","DateFormat=P","Fill=—","Direction=H","UseDPDF=Y")</f>
        <v>—</v>
      </c>
      <c r="AE20" s="13" t="str">
        <f>_xll.BDH("AMZN US Equity","BS_DEFERRED_TAX_ASSETS_ST","FQ1 2016","FQ1 2016","Currency=USD","Period=FQ","BEST_FPERIOD_OVERRIDE=FQ","FILING_STATUS=MR","SCALING_FORMAT=MLN","Sort=A","Dates=H","DateFormat=P","Fill=—","Direction=H","UseDPDF=Y")</f>
        <v>—</v>
      </c>
      <c r="AF20" s="13" t="str">
        <f>_xll.BDH("AMZN US Equity","BS_DEFERRED_TAX_ASSETS_ST","FQ2 2016","FQ2 2016","Currency=USD","Period=FQ","BEST_FPERIOD_OVERRIDE=FQ","FILING_STATUS=MR","SCALING_FORMAT=MLN","Sort=A","Dates=H","DateFormat=P","Fill=—","Direction=H","UseDPDF=Y")</f>
        <v>—</v>
      </c>
      <c r="AG20" s="13" t="str">
        <f>_xll.BDH("AMZN US Equity","BS_DEFERRED_TAX_ASSETS_ST","FQ3 2016","FQ3 2016","Currency=USD","Period=FQ","BEST_FPERIOD_OVERRIDE=FQ","FILING_STATUS=MR","SCALING_FORMAT=MLN","Sort=A","Dates=H","DateFormat=P","Fill=—","Direction=H","UseDPDF=Y")</f>
        <v>—</v>
      </c>
      <c r="AH20" s="13" t="str">
        <f>_xll.BDH("AMZN US Equity","BS_DEFERRED_TAX_ASSETS_ST","FQ4 2016","FQ4 2016","Currency=USD","Period=FQ","BEST_FPERIOD_OVERRIDE=FQ","FILING_STATUS=MR","SCALING_FORMAT=MLN","Sort=A","Dates=H","DateFormat=P","Fill=—","Direction=H","UseDPDF=Y")</f>
        <v>—</v>
      </c>
      <c r="AI20" s="13" t="str">
        <f>_xll.BDH("AMZN US Equity","BS_DEFERRED_TAX_ASSETS_ST","FQ1 2017","FQ1 2017","Currency=USD","Period=FQ","BEST_FPERIOD_OVERRIDE=FQ","FILING_STATUS=MR","SCALING_FORMAT=MLN","Sort=A","Dates=H","DateFormat=P","Fill=—","Direction=H","UseDPDF=Y")</f>
        <v>—</v>
      </c>
      <c r="AJ20" s="13" t="str">
        <f>_xll.BDH("AMZN US Equity","BS_DEFERRED_TAX_ASSETS_ST","FQ2 2017","FQ2 2017","Currency=USD","Period=FQ","BEST_FPERIOD_OVERRIDE=FQ","FILING_STATUS=MR","SCALING_FORMAT=MLN","Sort=A","Dates=H","DateFormat=P","Fill=—","Direction=H","UseDPDF=Y")</f>
        <v>—</v>
      </c>
      <c r="AK20" s="13" t="str">
        <f>_xll.BDH("AMZN US Equity","BS_DEFERRED_TAX_ASSETS_ST","FQ3 2017","FQ3 2017","Currency=USD","Period=FQ","BEST_FPERIOD_OVERRIDE=FQ","FILING_STATUS=MR","SCALING_FORMAT=MLN","Sort=A","Dates=H","DateFormat=P","Fill=—","Direction=H","UseDPDF=Y")</f>
        <v>—</v>
      </c>
      <c r="AL20" s="13" t="str">
        <f>_xll.BDH("AMZN US Equity","BS_DEFERRED_TAX_ASSETS_ST","FQ4 2017","FQ4 2017","Currency=USD","Period=FQ","BEST_FPERIOD_OVERRIDE=FQ","FILING_STATUS=MR","SCALING_FORMAT=MLN","Sort=A","Dates=H","DateFormat=P","Fill=—","Direction=H","UseDPDF=Y")</f>
        <v>—</v>
      </c>
      <c r="AM20" s="13" t="str">
        <f>_xll.BDH("AMZN US Equity","BS_DEFERRED_TAX_ASSETS_ST","FQ1 2018","FQ1 2018","Currency=USD","Period=FQ","BEST_FPERIOD_OVERRIDE=FQ","FILING_STATUS=MR","SCALING_FORMAT=MLN","Sort=A","Dates=H","DateFormat=P","Fill=—","Direction=H","UseDPDF=Y")</f>
        <v>—</v>
      </c>
      <c r="AN20" s="13" t="str">
        <f>_xll.BDH("AMZN US Equity","BS_DEFERRED_TAX_ASSETS_ST","FQ2 2018","FQ2 2018","Currency=USD","Period=FQ","BEST_FPERIOD_OVERRIDE=FQ","FILING_STATUS=MR","SCALING_FORMAT=MLN","Sort=A","Dates=H","DateFormat=P","Fill=—","Direction=H","UseDPDF=Y")</f>
        <v>—</v>
      </c>
    </row>
    <row r="21" spans="1:40" x14ac:dyDescent="0.25">
      <c r="A21" s="10" t="s">
        <v>238</v>
      </c>
      <c r="B21" s="10" t="s">
        <v>239</v>
      </c>
      <c r="C21" s="13">
        <f>_xll.BDH("AMZN US Equity","BS_OTHER_CUR_ASSET_LESS_PREPAY","FQ1 2009","FQ1 2009","Currency=USD","Period=FQ","BEST_FPERIOD_OVERRIDE=FQ","FILING_STATUS=MR","SCALING_FORMAT=MLN","Sort=A","Dates=H","DateFormat=P","Fill=—","Direction=H","UseDPDF=Y")</f>
        <v>0</v>
      </c>
      <c r="D21" s="13">
        <f>_xll.BDH("AMZN US Equity","BS_OTHER_CUR_ASSET_LESS_PREPAY","FQ2 2009","FQ2 2009","Currency=USD","Period=FQ","BEST_FPERIOD_OVERRIDE=FQ","FILING_STATUS=MR","SCALING_FORMAT=MLN","Sort=A","Dates=H","DateFormat=P","Fill=—","Direction=H","UseDPDF=Y")</f>
        <v>0</v>
      </c>
      <c r="E21" s="13">
        <f>_xll.BDH("AMZN US Equity","BS_OTHER_CUR_ASSET_LESS_PREPAY","FQ3 2009","FQ3 2009","Currency=USD","Period=FQ","BEST_FPERIOD_OVERRIDE=FQ","FILING_STATUS=MR","SCALING_FORMAT=MLN","Sort=A","Dates=H","DateFormat=P","Fill=—","Direction=H","UseDPDF=Y")</f>
        <v>0</v>
      </c>
      <c r="F21" s="13">
        <f>_xll.BDH("AMZN US Equity","BS_OTHER_CUR_ASSET_LESS_PREPAY","FQ4 2009","FQ4 2009","Currency=USD","Period=FQ","BEST_FPERIOD_OVERRIDE=FQ","FILING_STATUS=MR","SCALING_FORMAT=MLN","Sort=A","Dates=H","DateFormat=P","Fill=—","Direction=H","UseDPDF=Y")</f>
        <v>0</v>
      </c>
      <c r="G21" s="13">
        <f>_xll.BDH("AMZN US Equity","BS_OTHER_CUR_ASSET_LESS_PREPAY","FQ1 2010","FQ1 2010","Currency=USD","Period=FQ","BEST_FPERIOD_OVERRIDE=FQ","FILING_STATUS=MR","SCALING_FORMAT=MLN","Sort=A","Dates=H","DateFormat=P","Fill=—","Direction=H","UseDPDF=Y")</f>
        <v>0</v>
      </c>
      <c r="H21" s="13">
        <f>_xll.BDH("AMZN US Equity","BS_OTHER_CUR_ASSET_LESS_PREPAY","FQ2 2010","FQ2 2010","Currency=USD","Period=FQ","BEST_FPERIOD_OVERRIDE=FQ","FILING_STATUS=MR","SCALING_FORMAT=MLN","Sort=A","Dates=H","DateFormat=P","Fill=—","Direction=H","UseDPDF=Y")</f>
        <v>0</v>
      </c>
      <c r="I21" s="13">
        <f>_xll.BDH("AMZN US Equity","BS_OTHER_CUR_ASSET_LESS_PREPAY","FQ3 2010","FQ3 2010","Currency=USD","Period=FQ","BEST_FPERIOD_OVERRIDE=FQ","FILING_STATUS=MR","SCALING_FORMAT=MLN","Sort=A","Dates=H","DateFormat=P","Fill=—","Direction=H","UseDPDF=Y")</f>
        <v>0</v>
      </c>
      <c r="J21" s="13">
        <f>_xll.BDH("AMZN US Equity","BS_OTHER_CUR_ASSET_LESS_PREPAY","FQ4 2010","FQ4 2010","Currency=USD","Period=FQ","BEST_FPERIOD_OVERRIDE=FQ","FILING_STATUS=MR","SCALING_FORMAT=MLN","Sort=A","Dates=H","DateFormat=P","Fill=—","Direction=H","UseDPDF=Y")</f>
        <v>0</v>
      </c>
      <c r="K21" s="13">
        <f>_xll.BDH("AMZN US Equity","BS_OTHER_CUR_ASSET_LESS_PREPAY","FQ1 2011","FQ1 2011","Currency=USD","Period=FQ","BEST_FPERIOD_OVERRIDE=FQ","FILING_STATUS=MR","SCALING_FORMAT=MLN","Sort=A","Dates=H","DateFormat=P","Fill=—","Direction=H","UseDPDF=Y")</f>
        <v>0</v>
      </c>
      <c r="L21" s="13">
        <f>_xll.BDH("AMZN US Equity","BS_OTHER_CUR_ASSET_LESS_PREPAY","FQ2 2011","FQ2 2011","Currency=USD","Period=FQ","BEST_FPERIOD_OVERRIDE=FQ","FILING_STATUS=MR","SCALING_FORMAT=MLN","Sort=A","Dates=H","DateFormat=P","Fill=—","Direction=H","UseDPDF=Y")</f>
        <v>0</v>
      </c>
      <c r="M21" s="13">
        <f>_xll.BDH("AMZN US Equity","BS_OTHER_CUR_ASSET_LESS_PREPAY","FQ3 2011","FQ3 2011","Currency=USD","Period=FQ","BEST_FPERIOD_OVERRIDE=FQ","FILING_STATUS=MR","SCALING_FORMAT=MLN","Sort=A","Dates=H","DateFormat=P","Fill=—","Direction=H","UseDPDF=Y")</f>
        <v>0</v>
      </c>
      <c r="N21" s="13">
        <f>_xll.BDH("AMZN US Equity","BS_OTHER_CUR_ASSET_LESS_PREPAY","FQ4 2011","FQ4 2011","Currency=USD","Period=FQ","BEST_FPERIOD_OVERRIDE=FQ","FILING_STATUS=MR","SCALING_FORMAT=MLN","Sort=A","Dates=H","DateFormat=P","Fill=—","Direction=H","UseDPDF=Y")</f>
        <v>0</v>
      </c>
      <c r="O21" s="13">
        <f>_xll.BDH("AMZN US Equity","BS_OTHER_CUR_ASSET_LESS_PREPAY","FQ1 2012","FQ1 2012","Currency=USD","Period=FQ","BEST_FPERIOD_OVERRIDE=FQ","FILING_STATUS=MR","SCALING_FORMAT=MLN","Sort=A","Dates=H","DateFormat=P","Fill=—","Direction=H","UseDPDF=Y")</f>
        <v>0</v>
      </c>
      <c r="P21" s="13">
        <f>_xll.BDH("AMZN US Equity","BS_OTHER_CUR_ASSET_LESS_PREPAY","FQ2 2012","FQ2 2012","Currency=USD","Period=FQ","BEST_FPERIOD_OVERRIDE=FQ","FILING_STATUS=MR","SCALING_FORMAT=MLN","Sort=A","Dates=H","DateFormat=P","Fill=—","Direction=H","UseDPDF=Y")</f>
        <v>0</v>
      </c>
      <c r="Q21" s="13">
        <f>_xll.BDH("AMZN US Equity","BS_OTHER_CUR_ASSET_LESS_PREPAY","FQ3 2012","FQ3 2012","Currency=USD","Period=FQ","BEST_FPERIOD_OVERRIDE=FQ","FILING_STATUS=MR","SCALING_FORMAT=MLN","Sort=A","Dates=H","DateFormat=P","Fill=—","Direction=H","UseDPDF=Y")</f>
        <v>0</v>
      </c>
      <c r="R21" s="13">
        <f>_xll.BDH("AMZN US Equity","BS_OTHER_CUR_ASSET_LESS_PREPAY","FQ4 2012","FQ4 2012","Currency=USD","Period=FQ","BEST_FPERIOD_OVERRIDE=FQ","FILING_STATUS=MR","SCALING_FORMAT=MLN","Sort=A","Dates=H","DateFormat=P","Fill=—","Direction=H","UseDPDF=Y")</f>
        <v>0</v>
      </c>
      <c r="S21" s="13">
        <f>_xll.BDH("AMZN US Equity","BS_OTHER_CUR_ASSET_LESS_PREPAY","FQ1 2013","FQ1 2013","Currency=USD","Period=FQ","BEST_FPERIOD_OVERRIDE=FQ","FILING_STATUS=MR","SCALING_FORMAT=MLN","Sort=A","Dates=H","DateFormat=P","Fill=—","Direction=H","UseDPDF=Y")</f>
        <v>0</v>
      </c>
      <c r="T21" s="13">
        <f>_xll.BDH("AMZN US Equity","BS_OTHER_CUR_ASSET_LESS_PREPAY","FQ2 2013","FQ2 2013","Currency=USD","Period=FQ","BEST_FPERIOD_OVERRIDE=FQ","FILING_STATUS=MR","SCALING_FORMAT=MLN","Sort=A","Dates=H","DateFormat=P","Fill=—","Direction=H","UseDPDF=Y")</f>
        <v>0</v>
      </c>
      <c r="U21" s="13">
        <f>_xll.BDH("AMZN US Equity","BS_OTHER_CUR_ASSET_LESS_PREPAY","FQ3 2013","FQ3 2013","Currency=USD","Period=FQ","BEST_FPERIOD_OVERRIDE=FQ","FILING_STATUS=MR","SCALING_FORMAT=MLN","Sort=A","Dates=H","DateFormat=P","Fill=—","Direction=H","UseDPDF=Y")</f>
        <v>0</v>
      </c>
      <c r="V21" s="13">
        <f>_xll.BDH("AMZN US Equity","BS_OTHER_CUR_ASSET_LESS_PREPAY","FQ4 2013","FQ4 2013","Currency=USD","Period=FQ","BEST_FPERIOD_OVERRIDE=FQ","FILING_STATUS=MR","SCALING_FORMAT=MLN","Sort=A","Dates=H","DateFormat=P","Fill=—","Direction=H","UseDPDF=Y")</f>
        <v>0</v>
      </c>
      <c r="W21" s="13">
        <f>_xll.BDH("AMZN US Equity","BS_OTHER_CUR_ASSET_LESS_PREPAY","FQ1 2014","FQ1 2014","Currency=USD","Period=FQ","BEST_FPERIOD_OVERRIDE=FQ","FILING_STATUS=MR","SCALING_FORMAT=MLN","Sort=A","Dates=H","DateFormat=P","Fill=—","Direction=H","UseDPDF=Y")</f>
        <v>0</v>
      </c>
      <c r="X21" s="13">
        <f>_xll.BDH("AMZN US Equity","BS_OTHER_CUR_ASSET_LESS_PREPAY","FQ2 2014","FQ2 2014","Currency=USD","Period=FQ","BEST_FPERIOD_OVERRIDE=FQ","FILING_STATUS=MR","SCALING_FORMAT=MLN","Sort=A","Dates=H","DateFormat=P","Fill=—","Direction=H","UseDPDF=Y")</f>
        <v>0</v>
      </c>
      <c r="Y21" s="13">
        <f>_xll.BDH("AMZN US Equity","BS_OTHER_CUR_ASSET_LESS_PREPAY","FQ3 2014","FQ3 2014","Currency=USD","Period=FQ","BEST_FPERIOD_OVERRIDE=FQ","FILING_STATUS=MR","SCALING_FORMAT=MLN","Sort=A","Dates=H","DateFormat=P","Fill=—","Direction=H","UseDPDF=Y")</f>
        <v>0</v>
      </c>
      <c r="Z21" s="13">
        <f>_xll.BDH("AMZN US Equity","BS_OTHER_CUR_ASSET_LESS_PREPAY","FQ4 2014","FQ4 2014","Currency=USD","Period=FQ","BEST_FPERIOD_OVERRIDE=FQ","FILING_STATUS=MR","SCALING_FORMAT=MLN","Sort=A","Dates=H","DateFormat=P","Fill=—","Direction=H","UseDPDF=Y")</f>
        <v>0</v>
      </c>
      <c r="AA21" s="13">
        <f>_xll.BDH("AMZN US Equity","BS_OTHER_CUR_ASSET_LESS_PREPAY","FQ1 2015","FQ1 2015","Currency=USD","Period=FQ","BEST_FPERIOD_OVERRIDE=FQ","FILING_STATUS=MR","SCALING_FORMAT=MLN","Sort=A","Dates=H","DateFormat=P","Fill=—","Direction=H","UseDPDF=Y")</f>
        <v>0</v>
      </c>
      <c r="AB21" s="13">
        <f>_xll.BDH("AMZN US Equity","BS_OTHER_CUR_ASSET_LESS_PREPAY","FQ2 2015","FQ2 2015","Currency=USD","Period=FQ","BEST_FPERIOD_OVERRIDE=FQ","FILING_STATUS=MR","SCALING_FORMAT=MLN","Sort=A","Dates=H","DateFormat=P","Fill=—","Direction=H","UseDPDF=Y")</f>
        <v>0</v>
      </c>
      <c r="AC21" s="13">
        <f>_xll.BDH("AMZN US Equity","BS_OTHER_CUR_ASSET_LESS_PREPAY","FQ3 2015","FQ3 2015","Currency=USD","Period=FQ","BEST_FPERIOD_OVERRIDE=FQ","FILING_STATUS=MR","SCALING_FORMAT=MLN","Sort=A","Dates=H","DateFormat=P","Fill=—","Direction=H","UseDPDF=Y")</f>
        <v>0</v>
      </c>
      <c r="AD21" s="13">
        <f>_xll.BDH("AMZN US Equity","BS_OTHER_CUR_ASSET_LESS_PREPAY","FQ4 2015","FQ4 2015","Currency=USD","Period=FQ","BEST_FPERIOD_OVERRIDE=FQ","FILING_STATUS=MR","SCALING_FORMAT=MLN","Sort=A","Dates=H","DateFormat=P","Fill=—","Direction=H","UseDPDF=Y")</f>
        <v>0</v>
      </c>
      <c r="AE21" s="13">
        <f>_xll.BDH("AMZN US Equity","BS_OTHER_CUR_ASSET_LESS_PREPAY","FQ1 2016","FQ1 2016","Currency=USD","Period=FQ","BEST_FPERIOD_OVERRIDE=FQ","FILING_STATUS=MR","SCALING_FORMAT=MLN","Sort=A","Dates=H","DateFormat=P","Fill=—","Direction=H","UseDPDF=Y")</f>
        <v>0</v>
      </c>
      <c r="AF21" s="13">
        <f>_xll.BDH("AMZN US Equity","BS_OTHER_CUR_ASSET_LESS_PREPAY","FQ2 2016","FQ2 2016","Currency=USD","Period=FQ","BEST_FPERIOD_OVERRIDE=FQ","FILING_STATUS=MR","SCALING_FORMAT=MLN","Sort=A","Dates=H","DateFormat=P","Fill=—","Direction=H","UseDPDF=Y")</f>
        <v>0</v>
      </c>
      <c r="AG21" s="13">
        <f>_xll.BDH("AMZN US Equity","BS_OTHER_CUR_ASSET_LESS_PREPAY","FQ3 2016","FQ3 2016","Currency=USD","Period=FQ","BEST_FPERIOD_OVERRIDE=FQ","FILING_STATUS=MR","SCALING_FORMAT=MLN","Sort=A","Dates=H","DateFormat=P","Fill=—","Direction=H","UseDPDF=Y")</f>
        <v>0</v>
      </c>
      <c r="AH21" s="13">
        <f>_xll.BDH("AMZN US Equity","BS_OTHER_CUR_ASSET_LESS_PREPAY","FQ4 2016","FQ4 2016","Currency=USD","Period=FQ","BEST_FPERIOD_OVERRIDE=FQ","FILING_STATUS=MR","SCALING_FORMAT=MLN","Sort=A","Dates=H","DateFormat=P","Fill=—","Direction=H","UseDPDF=Y")</f>
        <v>0</v>
      </c>
      <c r="AI21" s="13">
        <f>_xll.BDH("AMZN US Equity","BS_OTHER_CUR_ASSET_LESS_PREPAY","FQ1 2017","FQ1 2017","Currency=USD","Period=FQ","BEST_FPERIOD_OVERRIDE=FQ","FILING_STATUS=MR","SCALING_FORMAT=MLN","Sort=A","Dates=H","DateFormat=P","Fill=—","Direction=H","UseDPDF=Y")</f>
        <v>0</v>
      </c>
      <c r="AJ21" s="13">
        <f>_xll.BDH("AMZN US Equity","BS_OTHER_CUR_ASSET_LESS_PREPAY","FQ2 2017","FQ2 2017","Currency=USD","Period=FQ","BEST_FPERIOD_OVERRIDE=FQ","FILING_STATUS=MR","SCALING_FORMAT=MLN","Sort=A","Dates=H","DateFormat=P","Fill=—","Direction=H","UseDPDF=Y")</f>
        <v>0</v>
      </c>
      <c r="AK21" s="13">
        <f>_xll.BDH("AMZN US Equity","BS_OTHER_CUR_ASSET_LESS_PREPAY","FQ3 2017","FQ3 2017","Currency=USD","Period=FQ","BEST_FPERIOD_OVERRIDE=FQ","FILING_STATUS=MR","SCALING_FORMAT=MLN","Sort=A","Dates=H","DateFormat=P","Fill=—","Direction=H","UseDPDF=Y")</f>
        <v>0</v>
      </c>
      <c r="AL21" s="13">
        <f>_xll.BDH("AMZN US Equity","BS_OTHER_CUR_ASSET_LESS_PREPAY","FQ4 2017","FQ4 2017","Currency=USD","Period=FQ","BEST_FPERIOD_OVERRIDE=FQ","FILING_STATUS=MR","SCALING_FORMAT=MLN","Sort=A","Dates=H","DateFormat=P","Fill=—","Direction=H","UseDPDF=Y")</f>
        <v>0</v>
      </c>
      <c r="AM21" s="13">
        <f>_xll.BDH("AMZN US Equity","BS_OTHER_CUR_ASSET_LESS_PREPAY","FQ1 2018","FQ1 2018","Currency=USD","Period=FQ","BEST_FPERIOD_OVERRIDE=FQ","FILING_STATUS=MR","SCALING_FORMAT=MLN","Sort=A","Dates=H","DateFormat=P","Fill=—","Direction=H","UseDPDF=Y")</f>
        <v>0</v>
      </c>
      <c r="AN21" s="13">
        <f>_xll.BDH("AMZN US Equity","BS_OTHER_CUR_ASSET_LESS_PREPAY","FQ2 2018","FQ2 2018","Currency=USD","Period=FQ","BEST_FPERIOD_OVERRIDE=FQ","FILING_STATUS=MR","SCALING_FORMAT=MLN","Sort=A","Dates=H","DateFormat=P","Fill=—","Direction=H","UseDPDF=Y")</f>
        <v>0</v>
      </c>
    </row>
    <row r="22" spans="1:40" x14ac:dyDescent="0.25">
      <c r="A22" s="6" t="s">
        <v>240</v>
      </c>
      <c r="B22" s="6" t="s">
        <v>241</v>
      </c>
      <c r="C22" s="17">
        <f>_xll.BDH("AMZN US Equity","BS_CUR_ASSET_REPORT","FQ1 2009","FQ1 2009","Currency=USD","Period=FQ","BEST_FPERIOD_OVERRIDE=FQ","FILING_STATUS=MR","SCALING_FORMAT=MLN","Sort=A","Dates=H","DateFormat=P","Fill=—","Direction=H","UseDPDF=Y")</f>
        <v>4775</v>
      </c>
      <c r="D22" s="17">
        <f>_xll.BDH("AMZN US Equity","BS_CUR_ASSET_REPORT","FQ2 2009","FQ2 2009","Currency=USD","Period=FQ","BEST_FPERIOD_OVERRIDE=FQ","FILING_STATUS=MR","SCALING_FORMAT=MLN","Sort=A","Dates=H","DateFormat=P","Fill=—","Direction=H","UseDPDF=Y")</f>
        <v>5304</v>
      </c>
      <c r="E22" s="17">
        <f>_xll.BDH("AMZN US Equity","BS_CUR_ASSET_REPORT","FQ3 2009","FQ3 2009","Currency=USD","Period=FQ","BEST_FPERIOD_OVERRIDE=FQ","FILING_STATUS=MR","SCALING_FORMAT=MLN","Sort=A","Dates=H","DateFormat=P","Fill=—","Direction=H","UseDPDF=Y")</f>
        <v>6369</v>
      </c>
      <c r="F22" s="17">
        <f>_xll.BDH("AMZN US Equity","BS_CUR_ASSET_REPORT","FQ4 2009","FQ4 2009","Currency=USD","Period=FQ","BEST_FPERIOD_OVERRIDE=FQ","FILING_STATUS=MR","SCALING_FORMAT=MLN","Sort=A","Dates=H","DateFormat=P","Fill=—","Direction=H","UseDPDF=Y")</f>
        <v>9797</v>
      </c>
      <c r="G22" s="17">
        <f>_xll.BDH("AMZN US Equity","BS_CUR_ASSET_REPORT","FQ1 2010","FQ1 2010","Currency=USD","Period=FQ","BEST_FPERIOD_OVERRIDE=FQ","FILING_STATUS=MR","SCALING_FORMAT=MLN","Sort=A","Dates=H","DateFormat=P","Fill=—","Direction=H","UseDPDF=Y")</f>
        <v>7964</v>
      </c>
      <c r="H22" s="17">
        <f>_xll.BDH("AMZN US Equity","BS_CUR_ASSET_REPORT","FQ2 2010","FQ2 2010","Currency=USD","Period=FQ","BEST_FPERIOD_OVERRIDE=FQ","FILING_STATUS=MR","SCALING_FORMAT=MLN","Sort=A","Dates=H","DateFormat=P","Fill=—","Direction=H","UseDPDF=Y")</f>
        <v>8118</v>
      </c>
      <c r="I22" s="17">
        <f>_xll.BDH("AMZN US Equity","BS_CUR_ASSET_REPORT","FQ3 2010","FQ3 2010","Currency=USD","Period=FQ","BEST_FPERIOD_OVERRIDE=FQ","FILING_STATUS=MR","SCALING_FORMAT=MLN","Sort=A","Dates=H","DateFormat=P","Fill=—","Direction=H","UseDPDF=Y")</f>
        <v>9559</v>
      </c>
      <c r="J22" s="17">
        <f>_xll.BDH("AMZN US Equity","BS_CUR_ASSET_REPORT","FQ4 2010","FQ4 2010","Currency=USD","Period=FQ","BEST_FPERIOD_OVERRIDE=FQ","FILING_STATUS=MR","SCALING_FORMAT=MLN","Sort=A","Dates=H","DateFormat=P","Fill=—","Direction=H","UseDPDF=Y")</f>
        <v>13747</v>
      </c>
      <c r="K22" s="17">
        <f>_xll.BDH("AMZN US Equity","BS_CUR_ASSET_REPORT","FQ1 2011","FQ1 2011","Currency=USD","Period=FQ","BEST_FPERIOD_OVERRIDE=FQ","FILING_STATUS=MR","SCALING_FORMAT=MLN","Sort=A","Dates=H","DateFormat=P","Fill=—","Direction=H","UseDPDF=Y")</f>
        <v>11288</v>
      </c>
      <c r="L22" s="17">
        <f>_xll.BDH("AMZN US Equity","BS_CUR_ASSET_REPORT","FQ2 2011","FQ2 2011","Currency=USD","Period=FQ","BEST_FPERIOD_OVERRIDE=FQ","FILING_STATUS=MR","SCALING_FORMAT=MLN","Sort=A","Dates=H","DateFormat=P","Fill=—","Direction=H","UseDPDF=Y")</f>
        <v>11279</v>
      </c>
      <c r="M22" s="17">
        <f>_xll.BDH("AMZN US Equity","BS_CUR_ASSET_REPORT","FQ3 2011","FQ3 2011","Currency=USD","Period=FQ","BEST_FPERIOD_OVERRIDE=FQ","FILING_STATUS=MR","SCALING_FORMAT=MLN","Sort=A","Dates=H","DateFormat=P","Fill=—","Direction=H","UseDPDF=Y")</f>
        <v>11904</v>
      </c>
      <c r="N22" s="17">
        <f>_xll.BDH("AMZN US Equity","BS_CUR_ASSET_REPORT","FQ4 2011","FQ4 2011","Currency=USD","Period=FQ","BEST_FPERIOD_OVERRIDE=FQ","FILING_STATUS=MR","SCALING_FORMAT=MLN","Sort=A","Dates=H","DateFormat=P","Fill=—","Direction=H","UseDPDF=Y")</f>
        <v>17490</v>
      </c>
      <c r="O22" s="17">
        <f>_xll.BDH("AMZN US Equity","BS_CUR_ASSET_REPORT","FQ1 2012","FQ1 2012","Currency=USD","Period=FQ","BEST_FPERIOD_OVERRIDE=FQ","FILING_STATUS=MR","SCALING_FORMAT=MLN","Sort=A","Dates=H","DateFormat=P","Fill=—","Direction=H","UseDPDF=Y")</f>
        <v>12154</v>
      </c>
      <c r="P22" s="17">
        <f>_xll.BDH("AMZN US Equity","BS_CUR_ASSET_REPORT","FQ2 2012","FQ2 2012","Currency=USD","Period=FQ","BEST_FPERIOD_OVERRIDE=FQ","FILING_STATUS=MR","SCALING_FORMAT=MLN","Sort=A","Dates=H","DateFormat=P","Fill=—","Direction=H","UseDPDF=Y")</f>
        <v>11793</v>
      </c>
      <c r="Q22" s="17">
        <f>_xll.BDH("AMZN US Equity","BS_CUR_ASSET_REPORT","FQ3 2012","FQ3 2012","Currency=USD","Period=FQ","BEST_FPERIOD_OVERRIDE=FQ","FILING_STATUS=MR","SCALING_FORMAT=MLN","Sort=A","Dates=H","DateFormat=P","Fill=—","Direction=H","UseDPDF=Y")</f>
        <v>13118</v>
      </c>
      <c r="R22" s="17">
        <f>_xll.BDH("AMZN US Equity","BS_CUR_ASSET_REPORT","FQ4 2012","FQ4 2012","Currency=USD","Period=FQ","BEST_FPERIOD_OVERRIDE=FQ","FILING_STATUS=MR","SCALING_FORMAT=MLN","Sort=A","Dates=H","DateFormat=P","Fill=—","Direction=H","UseDPDF=Y")</f>
        <v>21296</v>
      </c>
      <c r="S22" s="17">
        <f>_xll.BDH("AMZN US Equity","BS_CUR_ASSET_REPORT","FQ1 2013","FQ1 2013","Currency=USD","Period=FQ","BEST_FPERIOD_OVERRIDE=FQ","FILING_STATUS=MR","SCALING_FORMAT=MLN","Sort=A","Dates=H","DateFormat=P","Fill=—","Direction=H","UseDPDF=Y")</f>
        <v>16313</v>
      </c>
      <c r="T22" s="17">
        <f>_xll.BDH("AMZN US Equity","BS_CUR_ASSET_REPORT","FQ2 2013","FQ2 2013","Currency=USD","Period=FQ","BEST_FPERIOD_OVERRIDE=FQ","FILING_STATUS=MR","SCALING_FORMAT=MLN","Sort=A","Dates=H","DateFormat=P","Fill=—","Direction=H","UseDPDF=Y")</f>
        <v>16285</v>
      </c>
      <c r="U22" s="17">
        <f>_xll.BDH("AMZN US Equity","BS_CUR_ASSET_REPORT","FQ3 2013","FQ3 2013","Currency=USD","Period=FQ","BEST_FPERIOD_OVERRIDE=FQ","FILING_STATUS=MR","SCALING_FORMAT=MLN","Sort=A","Dates=H","DateFormat=P","Fill=—","Direction=H","UseDPDF=Y")</f>
        <v>17334</v>
      </c>
      <c r="V22" s="17">
        <f>_xll.BDH("AMZN US Equity","BS_CUR_ASSET_REPORT","FQ4 2013","FQ4 2013","Currency=USD","Period=FQ","BEST_FPERIOD_OVERRIDE=FQ","FILING_STATUS=MR","SCALING_FORMAT=MLN","Sort=A","Dates=H","DateFormat=P","Fill=—","Direction=H","UseDPDF=Y")</f>
        <v>24625</v>
      </c>
      <c r="W22" s="17">
        <f>_xll.BDH("AMZN US Equity","BS_CUR_ASSET_REPORT","FQ1 2014","FQ1 2014","Currency=USD","Period=FQ","BEST_FPERIOD_OVERRIDE=FQ","FILING_STATUS=MR","SCALING_FORMAT=MLN","Sort=A","Dates=H","DateFormat=P","Fill=—","Direction=H","UseDPDF=Y")</f>
        <v>19327</v>
      </c>
      <c r="X22" s="17">
        <f>_xll.BDH("AMZN US Equity","BS_CUR_ASSET_REPORT","FQ2 2014","FQ2 2014","Currency=USD","Period=FQ","BEST_FPERIOD_OVERRIDE=FQ","FILING_STATUS=MR","SCALING_FORMAT=MLN","Sort=A","Dates=H","DateFormat=P","Fill=—","Direction=H","UseDPDF=Y")</f>
        <v>18755</v>
      </c>
      <c r="Y22" s="17">
        <f>_xll.BDH("AMZN US Equity","BS_CUR_ASSET_REPORT","FQ3 2014","FQ3 2014","Currency=USD","Period=FQ","BEST_FPERIOD_OVERRIDE=FQ","FILING_STATUS=MR","SCALING_FORMAT=MLN","Sort=A","Dates=H","DateFormat=P","Fill=—","Direction=H","UseDPDF=Y")</f>
        <v>18572</v>
      </c>
      <c r="Z22" s="17">
        <f>_xll.BDH("AMZN US Equity","BS_CUR_ASSET_REPORT","FQ4 2014","FQ4 2014","Currency=USD","Period=FQ","BEST_FPERIOD_OVERRIDE=FQ","FILING_STATUS=MR","SCALING_FORMAT=MLN","Sort=A","Dates=H","DateFormat=P","Fill=—","Direction=H","UseDPDF=Y")</f>
        <v>31327</v>
      </c>
      <c r="AA22" s="17">
        <f>_xll.BDH("AMZN US Equity","BS_CUR_ASSET_REPORT","FQ1 2015","FQ1 2015","Currency=USD","Period=FQ","BEST_FPERIOD_OVERRIDE=FQ","FILING_STATUS=MR","SCALING_FORMAT=MLN","Sort=A","Dates=H","DateFormat=P","Fill=—","Direction=H","UseDPDF=Y")</f>
        <v>25922</v>
      </c>
      <c r="AB22" s="17">
        <f>_xll.BDH("AMZN US Equity","BS_CUR_ASSET_REPORT","FQ2 2015","FQ2 2015","Currency=USD","Period=FQ","BEST_FPERIOD_OVERRIDE=FQ","FILING_STATUS=MR","SCALING_FORMAT=MLN","Sort=A","Dates=H","DateFormat=P","Fill=—","Direction=H","UseDPDF=Y")</f>
        <v>26391</v>
      </c>
      <c r="AC22" s="17">
        <f>_xll.BDH("AMZN US Equity","BS_CUR_ASSET_REPORT","FQ3 2015","FQ3 2015","Currency=USD","Period=FQ","BEST_FPERIOD_OVERRIDE=FQ","FILING_STATUS=MR","SCALING_FORMAT=MLN","Sort=A","Dates=H","DateFormat=P","Fill=—","Direction=H","UseDPDF=Y")</f>
        <v>28849</v>
      </c>
      <c r="AD22" s="17">
        <f>_xll.BDH("AMZN US Equity","BS_CUR_ASSET_REPORT","FQ4 2015","FQ4 2015","Currency=USD","Period=FQ","BEST_FPERIOD_OVERRIDE=FQ","FILING_STATUS=MR","SCALING_FORMAT=MLN","Sort=A","Dates=H","DateFormat=P","Fill=—","Direction=H","UseDPDF=Y")</f>
        <v>35705</v>
      </c>
      <c r="AE22" s="17">
        <f>_xll.BDH("AMZN US Equity","BS_CUR_ASSET_REPORT","FQ1 2016","FQ1 2016","Currency=USD","Period=FQ","BEST_FPERIOD_OVERRIDE=FQ","FILING_STATUS=MR","SCALING_FORMAT=MLN","Sort=A","Dates=H","DateFormat=P","Fill=—","Direction=H","UseDPDF=Y")</f>
        <v>30513</v>
      </c>
      <c r="AF22" s="17">
        <f>_xll.BDH("AMZN US Equity","BS_CUR_ASSET_REPORT","FQ2 2016","FQ2 2016","Currency=USD","Period=FQ","BEST_FPERIOD_OVERRIDE=FQ","FILING_STATUS=MR","SCALING_FORMAT=MLN","Sort=A","Dates=H","DateFormat=P","Fill=—","Direction=H","UseDPDF=Y")</f>
        <v>32220</v>
      </c>
      <c r="AG22" s="17">
        <f>_xll.BDH("AMZN US Equity","BS_CUR_ASSET_REPORT","FQ3 2016","FQ3 2016","Currency=USD","Period=FQ","BEST_FPERIOD_OVERRIDE=FQ","FILING_STATUS=MR","SCALING_FORMAT=MLN","Sort=A","Dates=H","DateFormat=P","Fill=—","Direction=H","UseDPDF=Y")</f>
        <v>35609</v>
      </c>
      <c r="AH22" s="17">
        <f>_xll.BDH("AMZN US Equity","BS_CUR_ASSET_REPORT","FQ4 2016","FQ4 2016","Currency=USD","Period=FQ","BEST_FPERIOD_OVERRIDE=FQ","FILING_STATUS=MR","SCALING_FORMAT=MLN","Sort=A","Dates=H","DateFormat=P","Fill=—","Direction=H","UseDPDF=Y")</f>
        <v>45781</v>
      </c>
      <c r="AI22" s="17">
        <f>_xll.BDH("AMZN US Equity","BS_CUR_ASSET_REPORT","FQ1 2017","FQ1 2017","Currency=USD","Period=FQ","BEST_FPERIOD_OVERRIDE=FQ","FILING_STATUS=MR","SCALING_FORMAT=MLN","Sort=A","Dates=H","DateFormat=P","Fill=—","Direction=H","UseDPDF=Y")</f>
        <v>39460</v>
      </c>
      <c r="AJ22" s="17">
        <f>_xll.BDH("AMZN US Equity","BS_CUR_ASSET_REPORT","FQ2 2017","FQ2 2017","Currency=USD","Period=FQ","BEST_FPERIOD_OVERRIDE=FQ","FILING_STATUS=MR","SCALING_FORMAT=MLN","Sort=A","Dates=H","DateFormat=P","Fill=—","Direction=H","UseDPDF=Y")</f>
        <v>41007</v>
      </c>
      <c r="AK22" s="17">
        <f>_xll.BDH("AMZN US Equity","BS_CUR_ASSET_REPORT","FQ3 2017","FQ3 2017","Currency=USD","Period=FQ","BEST_FPERIOD_OVERRIDE=FQ","FILING_STATUS=MR","SCALING_FORMAT=MLN","Sort=A","Dates=H","DateFormat=P","Fill=—","Direction=H","UseDPDF=Y")</f>
        <v>48578</v>
      </c>
      <c r="AL22" s="17">
        <f>_xll.BDH("AMZN US Equity","BS_CUR_ASSET_REPORT","FQ4 2017","FQ4 2017","Currency=USD","Period=FQ","BEST_FPERIOD_OVERRIDE=FQ","FILING_STATUS=MR","SCALING_FORMAT=MLN","Sort=A","Dates=H","DateFormat=P","Fill=—","Direction=H","UseDPDF=Y")</f>
        <v>60197</v>
      </c>
      <c r="AM22" s="17">
        <f>_xll.BDH("AMZN US Equity","BS_CUR_ASSET_REPORT","FQ1 2018","FQ1 2018","Currency=USD","Period=FQ","BEST_FPERIOD_OVERRIDE=FQ","FILING_STATUS=MR","SCALING_FORMAT=MLN","Sort=A","Dates=H","DateFormat=P","Fill=—","Direction=H","UseDPDF=Y")</f>
        <v>50829</v>
      </c>
      <c r="AN22" s="17">
        <f>_xll.BDH("AMZN US Equity","BS_CUR_ASSET_REPORT","FQ2 2018","FQ2 2018","Currency=USD","Period=FQ","BEST_FPERIOD_OVERRIDE=FQ","FILING_STATUS=MR","SCALING_FORMAT=MLN","Sort=A","Dates=H","DateFormat=P","Fill=—","Direction=H","UseDPDF=Y")</f>
        <v>54481</v>
      </c>
    </row>
    <row r="23" spans="1:40" x14ac:dyDescent="0.25">
      <c r="A23" s="10" t="s">
        <v>242</v>
      </c>
      <c r="B23" s="10" t="s">
        <v>243</v>
      </c>
      <c r="C23" s="13">
        <f>_xll.BDH("AMZN US Equity","BS_NET_FIX_ASSET","FQ1 2009","FQ1 2009","Currency=USD","Period=FQ","BEST_FPERIOD_OVERRIDE=FQ","FILING_STATUS=MR","SCALING_FORMAT=MLN","Sort=A","Dates=H","DateFormat=P","Fill=—","Direction=H","UseDPDF=Y")</f>
        <v>889</v>
      </c>
      <c r="D23" s="13">
        <f>_xll.BDH("AMZN US Equity","BS_NET_FIX_ASSET","FQ2 2009","FQ2 2009","Currency=USD","Period=FQ","BEST_FPERIOD_OVERRIDE=FQ","FILING_STATUS=MR","SCALING_FORMAT=MLN","Sort=A","Dates=H","DateFormat=P","Fill=—","Direction=H","UseDPDF=Y")</f>
        <v>981</v>
      </c>
      <c r="E23" s="13">
        <f>_xll.BDH("AMZN US Equity","BS_NET_FIX_ASSET","FQ3 2009","FQ3 2009","Currency=USD","Period=FQ","BEST_FPERIOD_OVERRIDE=FQ","FILING_STATUS=MR","SCALING_FORMAT=MLN","Sort=A","Dates=H","DateFormat=P","Fill=—","Direction=H","UseDPDF=Y")</f>
        <v>1086</v>
      </c>
      <c r="F23" s="13">
        <f>_xll.BDH("AMZN US Equity","BS_NET_FIX_ASSET","FQ4 2009","FQ4 2009","Currency=USD","Period=FQ","BEST_FPERIOD_OVERRIDE=FQ","FILING_STATUS=MR","SCALING_FORMAT=MLN","Sort=A","Dates=H","DateFormat=P","Fill=—","Direction=H","UseDPDF=Y")</f>
        <v>1290</v>
      </c>
      <c r="G23" s="13">
        <f>_xll.BDH("AMZN US Equity","BS_NET_FIX_ASSET","FQ1 2010","FQ1 2010","Currency=USD","Period=FQ","BEST_FPERIOD_OVERRIDE=FQ","FILING_STATUS=MR","SCALING_FORMAT=MLN","Sort=A","Dates=H","DateFormat=P","Fill=—","Direction=H","UseDPDF=Y")</f>
        <v>1436</v>
      </c>
      <c r="H23" s="13">
        <f>_xll.BDH("AMZN US Equity","BS_NET_FIX_ASSET","FQ2 2010","FQ2 2010","Currency=USD","Period=FQ","BEST_FPERIOD_OVERRIDE=FQ","FILING_STATUS=MR","SCALING_FORMAT=MLN","Sort=A","Dates=H","DateFormat=P","Fill=—","Direction=H","UseDPDF=Y")</f>
        <v>1704</v>
      </c>
      <c r="I23" s="13">
        <f>_xll.BDH("AMZN US Equity","BS_NET_FIX_ASSET","FQ3 2010","FQ3 2010","Currency=USD","Period=FQ","BEST_FPERIOD_OVERRIDE=FQ","FILING_STATUS=MR","SCALING_FORMAT=MLN","Sort=A","Dates=H","DateFormat=P","Fill=—","Direction=H","UseDPDF=Y")</f>
        <v>2099</v>
      </c>
      <c r="J23" s="13">
        <f>_xll.BDH("AMZN US Equity","BS_NET_FIX_ASSET","FQ4 2010","FQ4 2010","Currency=USD","Period=FQ","BEST_FPERIOD_OVERRIDE=FQ","FILING_STATUS=MR","SCALING_FORMAT=MLN","Sort=A","Dates=H","DateFormat=P","Fill=—","Direction=H","UseDPDF=Y")</f>
        <v>2414</v>
      </c>
      <c r="K23" s="13">
        <f>_xll.BDH("AMZN US Equity","BS_NET_FIX_ASSET","FQ1 2011","FQ1 2011","Currency=USD","Period=FQ","BEST_FPERIOD_OVERRIDE=FQ","FILING_STATUS=MR","SCALING_FORMAT=MLN","Sort=A","Dates=H","DateFormat=P","Fill=—","Direction=H","UseDPDF=Y")</f>
        <v>2902</v>
      </c>
      <c r="L23" s="13">
        <f>_xll.BDH("AMZN US Equity","BS_NET_FIX_ASSET","FQ2 2011","FQ2 2011","Currency=USD","Period=FQ","BEST_FPERIOD_OVERRIDE=FQ","FILING_STATUS=MR","SCALING_FORMAT=MLN","Sort=A","Dates=H","DateFormat=P","Fill=—","Direction=H","UseDPDF=Y")</f>
        <v>3470</v>
      </c>
      <c r="M23" s="13">
        <f>_xll.BDH("AMZN US Equity","BS_NET_FIX_ASSET","FQ3 2011","FQ3 2011","Currency=USD","Period=FQ","BEST_FPERIOD_OVERRIDE=FQ","FILING_STATUS=MR","SCALING_FORMAT=MLN","Sort=A","Dates=H","DateFormat=P","Fill=—","Direction=H","UseDPDF=Y")</f>
        <v>3999</v>
      </c>
      <c r="N23" s="13">
        <f>_xll.BDH("AMZN US Equity","BS_NET_FIX_ASSET","FQ4 2011","FQ4 2011","Currency=USD","Period=FQ","BEST_FPERIOD_OVERRIDE=FQ","FILING_STATUS=MR","SCALING_FORMAT=MLN","Sort=A","Dates=H","DateFormat=P","Fill=—","Direction=H","UseDPDF=Y")</f>
        <v>4417</v>
      </c>
      <c r="O23" s="13">
        <f>_xll.BDH("AMZN US Equity","BS_NET_FIX_ASSET","FQ1 2012","FQ1 2012","Currency=USD","Period=FQ","BEST_FPERIOD_OVERRIDE=FQ","FILING_STATUS=MR","SCALING_FORMAT=MLN","Sort=A","Dates=H","DateFormat=P","Fill=—","Direction=H","UseDPDF=Y")</f>
        <v>4653</v>
      </c>
      <c r="P23" s="13">
        <f>_xll.BDH("AMZN US Equity","BS_NET_FIX_ASSET","FQ2 2012","FQ2 2012","Currency=USD","Period=FQ","BEST_FPERIOD_OVERRIDE=FQ","FILING_STATUS=MR","SCALING_FORMAT=MLN","Sort=A","Dates=H","DateFormat=P","Fill=—","Direction=H","UseDPDF=Y")</f>
        <v>5097</v>
      </c>
      <c r="Q23" s="13">
        <f>_xll.BDH("AMZN US Equity","BS_NET_FIX_ASSET","FQ3 2012","FQ3 2012","Currency=USD","Period=FQ","BEST_FPERIOD_OVERRIDE=FQ","FILING_STATUS=MR","SCALING_FORMAT=MLN","Sort=A","Dates=H","DateFormat=P","Fill=—","Direction=H","UseDPDF=Y")</f>
        <v>5662</v>
      </c>
      <c r="R23" s="13">
        <f>_xll.BDH("AMZN US Equity","BS_NET_FIX_ASSET","FQ4 2012","FQ4 2012","Currency=USD","Period=FQ","BEST_FPERIOD_OVERRIDE=FQ","FILING_STATUS=MR","SCALING_FORMAT=MLN","Sort=A","Dates=H","DateFormat=P","Fill=—","Direction=H","UseDPDF=Y")</f>
        <v>7060</v>
      </c>
      <c r="S23" s="13">
        <f>_xll.BDH("AMZN US Equity","BS_NET_FIX_ASSET","FQ1 2013","FQ1 2013","Currency=USD","Period=FQ","BEST_FPERIOD_OVERRIDE=FQ","FILING_STATUS=MR","SCALING_FORMAT=MLN","Sort=A","Dates=H","DateFormat=P","Fill=—","Direction=H","UseDPDF=Y")</f>
        <v>7674</v>
      </c>
      <c r="T23" s="13">
        <f>_xll.BDH("AMZN US Equity","BS_NET_FIX_ASSET","FQ2 2013","FQ2 2013","Currency=USD","Period=FQ","BEST_FPERIOD_OVERRIDE=FQ","FILING_STATUS=MR","SCALING_FORMAT=MLN","Sort=A","Dates=H","DateFormat=P","Fill=—","Direction=H","UseDPDF=Y")</f>
        <v>8789</v>
      </c>
      <c r="U23" s="13">
        <f>_xll.BDH("AMZN US Equity","BS_NET_FIX_ASSET","FQ3 2013","FQ3 2013","Currency=USD","Period=FQ","BEST_FPERIOD_OVERRIDE=FQ","FILING_STATUS=MR","SCALING_FORMAT=MLN","Sort=A","Dates=H","DateFormat=P","Fill=—","Direction=H","UseDPDF=Y")</f>
        <v>9991</v>
      </c>
      <c r="V23" s="13">
        <f>_xll.BDH("AMZN US Equity","BS_NET_FIX_ASSET","FQ4 2013","FQ4 2013","Currency=USD","Period=FQ","BEST_FPERIOD_OVERRIDE=FQ","FILING_STATUS=MR","SCALING_FORMAT=MLN","Sort=A","Dates=H","DateFormat=P","Fill=—","Direction=H","UseDPDF=Y")</f>
        <v>10949</v>
      </c>
      <c r="W23" s="13">
        <f>_xll.BDH("AMZN US Equity","BS_NET_FIX_ASSET","FQ1 2014","FQ1 2014","Currency=USD","Period=FQ","BEST_FPERIOD_OVERRIDE=FQ","FILING_STATUS=MR","SCALING_FORMAT=MLN","Sort=A","Dates=H","DateFormat=P","Fill=—","Direction=H","UseDPDF=Y")</f>
        <v>12267</v>
      </c>
      <c r="X23" s="13">
        <f>_xll.BDH("AMZN US Equity","BS_NET_FIX_ASSET","FQ2 2014","FQ2 2014","Currency=USD","Period=FQ","BEST_FPERIOD_OVERRIDE=FQ","FILING_STATUS=MR","SCALING_FORMAT=MLN","Sort=A","Dates=H","DateFormat=P","Fill=—","Direction=H","UseDPDF=Y")</f>
        <v>14089</v>
      </c>
      <c r="Y23" s="13">
        <f>_xll.BDH("AMZN US Equity","BS_NET_FIX_ASSET","FQ3 2014","FQ3 2014","Currency=USD","Period=FQ","BEST_FPERIOD_OVERRIDE=FQ","FILING_STATUS=MR","SCALING_FORMAT=MLN","Sort=A","Dates=H","DateFormat=P","Fill=—","Direction=H","UseDPDF=Y")</f>
        <v>15702</v>
      </c>
      <c r="Z23" s="13">
        <f>_xll.BDH("AMZN US Equity","BS_NET_FIX_ASSET","FQ4 2014","FQ4 2014","Currency=USD","Period=FQ","BEST_FPERIOD_OVERRIDE=FQ","FILING_STATUS=MR","SCALING_FORMAT=MLN","Sort=A","Dates=H","DateFormat=P","Fill=—","Direction=H","UseDPDF=Y")</f>
        <v>16967</v>
      </c>
      <c r="AA23" s="13">
        <f>_xll.BDH("AMZN US Equity","BS_NET_FIX_ASSET","FQ1 2015","FQ1 2015","Currency=USD","Period=FQ","BEST_FPERIOD_OVERRIDE=FQ","FILING_STATUS=MR","SCALING_FORMAT=MLN","Sort=A","Dates=H","DateFormat=P","Fill=—","Direction=H","UseDPDF=Y")</f>
        <v>17736</v>
      </c>
      <c r="AB23" s="13">
        <f>_xll.BDH("AMZN US Equity","BS_NET_FIX_ASSET","FQ2 2015","FQ2 2015","Currency=USD","Period=FQ","BEST_FPERIOD_OVERRIDE=FQ","FILING_STATUS=MR","SCALING_FORMAT=MLN","Sort=A","Dates=H","DateFormat=P","Fill=—","Direction=H","UseDPDF=Y")</f>
        <v>19479</v>
      </c>
      <c r="AC23" s="13">
        <f>_xll.BDH("AMZN US Equity","BS_NET_FIX_ASSET","FQ3 2015","FQ3 2015","Currency=USD","Period=FQ","BEST_FPERIOD_OVERRIDE=FQ","FILING_STATUS=MR","SCALING_FORMAT=MLN","Sort=A","Dates=H","DateFormat=P","Fill=—","Direction=H","UseDPDF=Y")</f>
        <v>20636</v>
      </c>
      <c r="AD23" s="13">
        <f>_xll.BDH("AMZN US Equity","BS_NET_FIX_ASSET","FQ4 2015","FQ4 2015","Currency=USD","Period=FQ","BEST_FPERIOD_OVERRIDE=FQ","FILING_STATUS=MR","SCALING_FORMAT=MLN","Sort=A","Dates=H","DateFormat=P","Fill=—","Direction=H","UseDPDF=Y")</f>
        <v>21838</v>
      </c>
      <c r="AE23" s="13">
        <f>_xll.BDH("AMZN US Equity","BS_NET_FIX_ASSET","FQ1 2016","FQ1 2016","Currency=USD","Period=FQ","BEST_FPERIOD_OVERRIDE=FQ","FILING_STATUS=MR","SCALING_FORMAT=MLN","Sort=A","Dates=H","DateFormat=P","Fill=—","Direction=H","UseDPDF=Y")</f>
        <v>23308</v>
      </c>
      <c r="AF23" s="13">
        <f>_xll.BDH("AMZN US Equity","BS_NET_FIX_ASSET","FQ2 2016","FQ2 2016","Currency=USD","Period=FQ","BEST_FPERIOD_OVERRIDE=FQ","FILING_STATUS=MR","SCALING_FORMAT=MLN","Sort=A","Dates=H","DateFormat=P","Fill=—","Direction=H","UseDPDF=Y")</f>
        <v>25190</v>
      </c>
      <c r="AG23" s="13">
        <f>_xll.BDH("AMZN US Equity","BS_NET_FIX_ASSET","FQ3 2016","FQ3 2016","Currency=USD","Period=FQ","BEST_FPERIOD_OVERRIDE=FQ","FILING_STATUS=MR","SCALING_FORMAT=MLN","Sort=A","Dates=H","DateFormat=P","Fill=—","Direction=H","UseDPDF=Y")</f>
        <v>27177</v>
      </c>
      <c r="AH23" s="13">
        <f>_xll.BDH("AMZN US Equity","BS_NET_FIX_ASSET","FQ4 2016","FQ4 2016","Currency=USD","Period=FQ","BEST_FPERIOD_OVERRIDE=FQ","FILING_STATUS=MR","SCALING_FORMAT=MLN","Sort=A","Dates=H","DateFormat=P","Fill=—","Direction=H","UseDPDF=Y")</f>
        <v>29114</v>
      </c>
      <c r="AI23" s="13">
        <f>_xll.BDH("AMZN US Equity","BS_NET_FIX_ASSET","FQ1 2017","FQ1 2017","Currency=USD","Period=FQ","BEST_FPERIOD_OVERRIDE=FQ","FILING_STATUS=MR","SCALING_FORMAT=MLN","Sort=A","Dates=H","DateFormat=P","Fill=—","Direction=H","UseDPDF=Y")</f>
        <v>32632</v>
      </c>
      <c r="AJ23" s="13">
        <f>_xll.BDH("AMZN US Equity","BS_NET_FIX_ASSET","FQ2 2017","FQ2 2017","Currency=USD","Period=FQ","BEST_FPERIOD_OVERRIDE=FQ","FILING_STATUS=MR","SCALING_FORMAT=MLN","Sort=A","Dates=H","DateFormat=P","Fill=—","Direction=H","UseDPDF=Y")</f>
        <v>37083</v>
      </c>
      <c r="AK23" s="13">
        <f>_xll.BDH("AMZN US Equity","BS_NET_FIX_ASSET","FQ3 2017","FQ3 2017","Currency=USD","Period=FQ","BEST_FPERIOD_OVERRIDE=FQ","FILING_STATUS=MR","SCALING_FORMAT=MLN","Sort=A","Dates=H","DateFormat=P","Fill=—","Direction=H","UseDPDF=Y")</f>
        <v>45335</v>
      </c>
      <c r="AL23" s="13">
        <f>_xll.BDH("AMZN US Equity","BS_NET_FIX_ASSET","FQ4 2017","FQ4 2017","Currency=USD","Period=FQ","BEST_FPERIOD_OVERRIDE=FQ","FILING_STATUS=MR","SCALING_FORMAT=MLN","Sort=A","Dates=H","DateFormat=P","Fill=—","Direction=H","UseDPDF=Y")</f>
        <v>48866</v>
      </c>
      <c r="AM23" s="13">
        <f>_xll.BDH("AMZN US Equity","BS_NET_FIX_ASSET","FQ1 2018","FQ1 2018","Currency=USD","Period=FQ","BEST_FPERIOD_OVERRIDE=FQ","FILING_STATUS=MR","SCALING_FORMAT=MLN","Sort=A","Dates=H","DateFormat=P","Fill=—","Direction=H","UseDPDF=Y")</f>
        <v>52331</v>
      </c>
      <c r="AN23" s="13">
        <f>_xll.BDH("AMZN US Equity","BS_NET_FIX_ASSET","FQ2 2018","FQ2 2018","Currency=USD","Period=FQ","BEST_FPERIOD_OVERRIDE=FQ","FILING_STATUS=MR","SCALING_FORMAT=MLN","Sort=A","Dates=H","DateFormat=P","Fill=—","Direction=H","UseDPDF=Y")</f>
        <v>54768</v>
      </c>
    </row>
    <row r="24" spans="1:40" x14ac:dyDescent="0.25">
      <c r="A24" s="10" t="s">
        <v>244</v>
      </c>
      <c r="B24" s="10" t="s">
        <v>245</v>
      </c>
      <c r="C24" s="13" t="str">
        <f>_xll.BDH("AMZN US Equity","BS_GROSS_FIX_ASSET","FQ1 2009","FQ1 2009","Currency=USD","Period=FQ","BEST_FPERIOD_OVERRIDE=FQ","FILING_STATUS=MR","SCALING_FORMAT=MLN","Sort=A","Dates=H","DateFormat=P","Fill=—","Direction=H","UseDPDF=Y")</f>
        <v>—</v>
      </c>
      <c r="D24" s="13" t="str">
        <f>_xll.BDH("AMZN US Equity","BS_GROSS_FIX_ASSET","FQ2 2009","FQ2 2009","Currency=USD","Period=FQ","BEST_FPERIOD_OVERRIDE=FQ","FILING_STATUS=MR","SCALING_FORMAT=MLN","Sort=A","Dates=H","DateFormat=P","Fill=—","Direction=H","UseDPDF=Y")</f>
        <v>—</v>
      </c>
      <c r="E24" s="13" t="str">
        <f>_xll.BDH("AMZN US Equity","BS_GROSS_FIX_ASSET","FQ3 2009","FQ3 2009","Currency=USD","Period=FQ","BEST_FPERIOD_OVERRIDE=FQ","FILING_STATUS=MR","SCALING_FORMAT=MLN","Sort=A","Dates=H","DateFormat=P","Fill=—","Direction=H","UseDPDF=Y")</f>
        <v>—</v>
      </c>
      <c r="F24" s="13">
        <f>_xll.BDH("AMZN US Equity","BS_GROSS_FIX_ASSET","FQ4 2009","FQ4 2009","Currency=USD","Period=FQ","BEST_FPERIOD_OVERRIDE=FQ","FILING_STATUS=MR","SCALING_FORMAT=MLN","Sort=A","Dates=H","DateFormat=P","Fill=—","Direction=H","UseDPDF=Y")</f>
        <v>1915</v>
      </c>
      <c r="G24" s="13" t="str">
        <f>_xll.BDH("AMZN US Equity","BS_GROSS_FIX_ASSET","FQ1 2010","FQ1 2010","Currency=USD","Period=FQ","BEST_FPERIOD_OVERRIDE=FQ","FILING_STATUS=MR","SCALING_FORMAT=MLN","Sort=A","Dates=H","DateFormat=P","Fill=—","Direction=H","UseDPDF=Y")</f>
        <v>—</v>
      </c>
      <c r="H24" s="13" t="str">
        <f>_xll.BDH("AMZN US Equity","BS_GROSS_FIX_ASSET","FQ2 2010","FQ2 2010","Currency=USD","Period=FQ","BEST_FPERIOD_OVERRIDE=FQ","FILING_STATUS=MR","SCALING_FORMAT=MLN","Sort=A","Dates=H","DateFormat=P","Fill=—","Direction=H","UseDPDF=Y")</f>
        <v>—</v>
      </c>
      <c r="I24" s="13" t="str">
        <f>_xll.BDH("AMZN US Equity","BS_GROSS_FIX_ASSET","FQ3 2010","FQ3 2010","Currency=USD","Period=FQ","BEST_FPERIOD_OVERRIDE=FQ","FILING_STATUS=MR","SCALING_FORMAT=MLN","Sort=A","Dates=H","DateFormat=P","Fill=—","Direction=H","UseDPDF=Y")</f>
        <v>—</v>
      </c>
      <c r="J24" s="13">
        <f>_xll.BDH("AMZN US Equity","BS_GROSS_FIX_ASSET","FQ4 2010","FQ4 2010","Currency=USD","Period=FQ","BEST_FPERIOD_OVERRIDE=FQ","FILING_STATUS=MR","SCALING_FORMAT=MLN","Sort=A","Dates=H","DateFormat=P","Fill=—","Direction=H","UseDPDF=Y")</f>
        <v>3256</v>
      </c>
      <c r="K24" s="13" t="str">
        <f>_xll.BDH("AMZN US Equity","BS_GROSS_FIX_ASSET","FQ1 2011","FQ1 2011","Currency=USD","Period=FQ","BEST_FPERIOD_OVERRIDE=FQ","FILING_STATUS=MR","SCALING_FORMAT=MLN","Sort=A","Dates=H","DateFormat=P","Fill=—","Direction=H","UseDPDF=Y")</f>
        <v>—</v>
      </c>
      <c r="L24" s="13" t="str">
        <f>_xll.BDH("AMZN US Equity","BS_GROSS_FIX_ASSET","FQ2 2011","FQ2 2011","Currency=USD","Period=FQ","BEST_FPERIOD_OVERRIDE=FQ","FILING_STATUS=MR","SCALING_FORMAT=MLN","Sort=A","Dates=H","DateFormat=P","Fill=—","Direction=H","UseDPDF=Y")</f>
        <v>—</v>
      </c>
      <c r="M24" s="13" t="str">
        <f>_xll.BDH("AMZN US Equity","BS_GROSS_FIX_ASSET","FQ3 2011","FQ3 2011","Currency=USD","Period=FQ","BEST_FPERIOD_OVERRIDE=FQ","FILING_STATUS=MR","SCALING_FORMAT=MLN","Sort=A","Dates=H","DateFormat=P","Fill=—","Direction=H","UseDPDF=Y")</f>
        <v>—</v>
      </c>
      <c r="N24" s="13">
        <f>_xll.BDH("AMZN US Equity","BS_GROSS_FIX_ASSET","FQ4 2011","FQ4 2011","Currency=USD","Period=FQ","BEST_FPERIOD_OVERRIDE=FQ","FILING_STATUS=MR","SCALING_FORMAT=MLN","Sort=A","Dates=H","DateFormat=P","Fill=—","Direction=H","UseDPDF=Y")</f>
        <v>5786</v>
      </c>
      <c r="O24" s="13" t="str">
        <f>_xll.BDH("AMZN US Equity","BS_GROSS_FIX_ASSET","FQ1 2012","FQ1 2012","Currency=USD","Period=FQ","BEST_FPERIOD_OVERRIDE=FQ","FILING_STATUS=MR","SCALING_FORMAT=MLN","Sort=A","Dates=H","DateFormat=P","Fill=—","Direction=H","UseDPDF=Y")</f>
        <v>—</v>
      </c>
      <c r="P24" s="13" t="str">
        <f>_xll.BDH("AMZN US Equity","BS_GROSS_FIX_ASSET","FQ2 2012","FQ2 2012","Currency=USD","Period=FQ","BEST_FPERIOD_OVERRIDE=FQ","FILING_STATUS=MR","SCALING_FORMAT=MLN","Sort=A","Dates=H","DateFormat=P","Fill=—","Direction=H","UseDPDF=Y")</f>
        <v>—</v>
      </c>
      <c r="Q24" s="13" t="str">
        <f>_xll.BDH("AMZN US Equity","BS_GROSS_FIX_ASSET","FQ3 2012","FQ3 2012","Currency=USD","Period=FQ","BEST_FPERIOD_OVERRIDE=FQ","FILING_STATUS=MR","SCALING_FORMAT=MLN","Sort=A","Dates=H","DateFormat=P","Fill=—","Direction=H","UseDPDF=Y")</f>
        <v>—</v>
      </c>
      <c r="R24" s="13">
        <f>_xll.BDH("AMZN US Equity","BS_GROSS_FIX_ASSET","FQ4 2012","FQ4 2012","Currency=USD","Period=FQ","BEST_FPERIOD_OVERRIDE=FQ","FILING_STATUS=MR","SCALING_FORMAT=MLN","Sort=A","Dates=H","DateFormat=P","Fill=—","Direction=H","UseDPDF=Y")</f>
        <v>9582</v>
      </c>
      <c r="S24" s="13" t="str">
        <f>_xll.BDH("AMZN US Equity","BS_GROSS_FIX_ASSET","FQ1 2013","FQ1 2013","Currency=USD","Period=FQ","BEST_FPERIOD_OVERRIDE=FQ","FILING_STATUS=MR","SCALING_FORMAT=MLN","Sort=A","Dates=H","DateFormat=P","Fill=—","Direction=H","UseDPDF=Y")</f>
        <v>—</v>
      </c>
      <c r="T24" s="13" t="str">
        <f>_xll.BDH("AMZN US Equity","BS_GROSS_FIX_ASSET","FQ2 2013","FQ2 2013","Currency=USD","Period=FQ","BEST_FPERIOD_OVERRIDE=FQ","FILING_STATUS=MR","SCALING_FORMAT=MLN","Sort=A","Dates=H","DateFormat=P","Fill=—","Direction=H","UseDPDF=Y")</f>
        <v>—</v>
      </c>
      <c r="U24" s="13" t="str">
        <f>_xll.BDH("AMZN US Equity","BS_GROSS_FIX_ASSET","FQ3 2013","FQ3 2013","Currency=USD","Period=FQ","BEST_FPERIOD_OVERRIDE=FQ","FILING_STATUS=MR","SCALING_FORMAT=MLN","Sort=A","Dates=H","DateFormat=P","Fill=—","Direction=H","UseDPDF=Y")</f>
        <v>—</v>
      </c>
      <c r="V24" s="13">
        <f>_xll.BDH("AMZN US Equity","BS_GROSS_FIX_ASSET","FQ4 2013","FQ4 2013","Currency=USD","Period=FQ","BEST_FPERIOD_OVERRIDE=FQ","FILING_STATUS=MR","SCALING_FORMAT=MLN","Sort=A","Dates=H","DateFormat=P","Fill=—","Direction=H","UseDPDF=Y")</f>
        <v>14809</v>
      </c>
      <c r="W24" s="13" t="str">
        <f>_xll.BDH("AMZN US Equity","BS_GROSS_FIX_ASSET","FQ1 2014","FQ1 2014","Currency=USD","Period=FQ","BEST_FPERIOD_OVERRIDE=FQ","FILING_STATUS=MR","SCALING_FORMAT=MLN","Sort=A","Dates=H","DateFormat=P","Fill=—","Direction=H","UseDPDF=Y")</f>
        <v>—</v>
      </c>
      <c r="X24" s="13" t="str">
        <f>_xll.BDH("AMZN US Equity","BS_GROSS_FIX_ASSET","FQ2 2014","FQ2 2014","Currency=USD","Period=FQ","BEST_FPERIOD_OVERRIDE=FQ","FILING_STATUS=MR","SCALING_FORMAT=MLN","Sort=A","Dates=H","DateFormat=P","Fill=—","Direction=H","UseDPDF=Y")</f>
        <v>—</v>
      </c>
      <c r="Y24" s="13" t="str">
        <f>_xll.BDH("AMZN US Equity","BS_GROSS_FIX_ASSET","FQ3 2014","FQ3 2014","Currency=USD","Period=FQ","BEST_FPERIOD_OVERRIDE=FQ","FILING_STATUS=MR","SCALING_FORMAT=MLN","Sort=A","Dates=H","DateFormat=P","Fill=—","Direction=H","UseDPDF=Y")</f>
        <v>—</v>
      </c>
      <c r="Z24" s="13">
        <f>_xll.BDH("AMZN US Equity","BS_GROSS_FIX_ASSET","FQ4 2014","FQ4 2014","Currency=USD","Period=FQ","BEST_FPERIOD_OVERRIDE=FQ","FILING_STATUS=MR","SCALING_FORMAT=MLN","Sort=A","Dates=H","DateFormat=P","Fill=—","Direction=H","UseDPDF=Y")</f>
        <v>22730</v>
      </c>
      <c r="AA24" s="13" t="str">
        <f>_xll.BDH("AMZN US Equity","BS_GROSS_FIX_ASSET","FQ1 2015","FQ1 2015","Currency=USD","Period=FQ","BEST_FPERIOD_OVERRIDE=FQ","FILING_STATUS=MR","SCALING_FORMAT=MLN","Sort=A","Dates=H","DateFormat=P","Fill=—","Direction=H","UseDPDF=Y")</f>
        <v>—</v>
      </c>
      <c r="AB24" s="13" t="str">
        <f>_xll.BDH("AMZN US Equity","BS_GROSS_FIX_ASSET","FQ2 2015","FQ2 2015","Currency=USD","Period=FQ","BEST_FPERIOD_OVERRIDE=FQ","FILING_STATUS=MR","SCALING_FORMAT=MLN","Sort=A","Dates=H","DateFormat=P","Fill=—","Direction=H","UseDPDF=Y")</f>
        <v>—</v>
      </c>
      <c r="AC24" s="13" t="str">
        <f>_xll.BDH("AMZN US Equity","BS_GROSS_FIX_ASSET","FQ3 2015","FQ3 2015","Currency=USD","Period=FQ","BEST_FPERIOD_OVERRIDE=FQ","FILING_STATUS=MR","SCALING_FORMAT=MLN","Sort=A","Dates=H","DateFormat=P","Fill=—","Direction=H","UseDPDF=Y")</f>
        <v>—</v>
      </c>
      <c r="AD24" s="13">
        <f>_xll.BDH("AMZN US Equity","BS_GROSS_FIX_ASSET","FQ4 2015","FQ4 2015","Currency=USD","Period=FQ","BEST_FPERIOD_OVERRIDE=FQ","FILING_STATUS=MR","SCALING_FORMAT=MLN","Sort=A","Dates=H","DateFormat=P","Fill=—","Direction=H","UseDPDF=Y")</f>
        <v>30053</v>
      </c>
      <c r="AE24" s="13" t="str">
        <f>_xll.BDH("AMZN US Equity","BS_GROSS_FIX_ASSET","FQ1 2016","FQ1 2016","Currency=USD","Period=FQ","BEST_FPERIOD_OVERRIDE=FQ","FILING_STATUS=MR","SCALING_FORMAT=MLN","Sort=A","Dates=H","DateFormat=P","Fill=—","Direction=H","UseDPDF=Y")</f>
        <v>—</v>
      </c>
      <c r="AF24" s="13" t="str">
        <f>_xll.BDH("AMZN US Equity","BS_GROSS_FIX_ASSET","FQ2 2016","FQ2 2016","Currency=USD","Period=FQ","BEST_FPERIOD_OVERRIDE=FQ","FILING_STATUS=MR","SCALING_FORMAT=MLN","Sort=A","Dates=H","DateFormat=P","Fill=—","Direction=H","UseDPDF=Y")</f>
        <v>—</v>
      </c>
      <c r="AG24" s="13" t="str">
        <f>_xll.BDH("AMZN US Equity","BS_GROSS_FIX_ASSET","FQ3 2016","FQ3 2016","Currency=USD","Period=FQ","BEST_FPERIOD_OVERRIDE=FQ","FILING_STATUS=MR","SCALING_FORMAT=MLN","Sort=A","Dates=H","DateFormat=P","Fill=—","Direction=H","UseDPDF=Y")</f>
        <v>—</v>
      </c>
      <c r="AH24" s="13">
        <f>_xll.BDH("AMZN US Equity","BS_GROSS_FIX_ASSET","FQ4 2016","FQ4 2016","Currency=USD","Period=FQ","BEST_FPERIOD_OVERRIDE=FQ","FILING_STATUS=MR","SCALING_FORMAT=MLN","Sort=A","Dates=H","DateFormat=P","Fill=—","Direction=H","UseDPDF=Y")</f>
        <v>42441</v>
      </c>
      <c r="AI24" s="13" t="str">
        <f>_xll.BDH("AMZN US Equity","BS_GROSS_FIX_ASSET","FQ1 2017","FQ1 2017","Currency=USD","Period=FQ","BEST_FPERIOD_OVERRIDE=FQ","FILING_STATUS=MR","SCALING_FORMAT=MLN","Sort=A","Dates=H","DateFormat=P","Fill=—","Direction=H","UseDPDF=Y")</f>
        <v>—</v>
      </c>
      <c r="AJ24" s="13" t="str">
        <f>_xll.BDH("AMZN US Equity","BS_GROSS_FIX_ASSET","FQ2 2017","FQ2 2017","Currency=USD","Period=FQ","BEST_FPERIOD_OVERRIDE=FQ","FILING_STATUS=MR","SCALING_FORMAT=MLN","Sort=A","Dates=H","DateFormat=P","Fill=—","Direction=H","UseDPDF=Y")</f>
        <v>—</v>
      </c>
      <c r="AK24" s="13" t="str">
        <f>_xll.BDH("AMZN US Equity","BS_GROSS_FIX_ASSET","FQ3 2017","FQ3 2017","Currency=USD","Period=FQ","BEST_FPERIOD_OVERRIDE=FQ","FILING_STATUS=MR","SCALING_FORMAT=MLN","Sort=A","Dates=H","DateFormat=P","Fill=—","Direction=H","UseDPDF=Y")</f>
        <v>—</v>
      </c>
      <c r="AL24" s="13">
        <f>_xll.BDH("AMZN US Equity","BS_GROSS_FIX_ASSET","FQ4 2017","FQ4 2017","Currency=USD","Period=FQ","BEST_FPERIOD_OVERRIDE=FQ","FILING_STATUS=MR","SCALING_FORMAT=MLN","Sort=A","Dates=H","DateFormat=P","Fill=—","Direction=H","UseDPDF=Y")</f>
        <v>68573</v>
      </c>
      <c r="AM24" s="13" t="str">
        <f>_xll.BDH("AMZN US Equity","BS_GROSS_FIX_ASSET","FQ1 2018","FQ1 2018","Currency=USD","Period=FQ","BEST_FPERIOD_OVERRIDE=FQ","FILING_STATUS=MR","SCALING_FORMAT=MLN","Sort=A","Dates=H","DateFormat=P","Fill=—","Direction=H","UseDPDF=Y")</f>
        <v>—</v>
      </c>
      <c r="AN24" s="13" t="str">
        <f>_xll.BDH("AMZN US Equity","BS_GROSS_FIX_ASSET","FQ2 2018","FQ2 2018","Currency=USD","Period=FQ","BEST_FPERIOD_OVERRIDE=FQ","FILING_STATUS=MR","SCALING_FORMAT=MLN","Sort=A","Dates=H","DateFormat=P","Fill=—","Direction=H","UseDPDF=Y")</f>
        <v>—</v>
      </c>
    </row>
    <row r="25" spans="1:40" x14ac:dyDescent="0.25">
      <c r="A25" s="10" t="s">
        <v>246</v>
      </c>
      <c r="B25" s="10" t="s">
        <v>247</v>
      </c>
      <c r="C25" s="13" t="str">
        <f>_xll.BDH("AMZN US Equity","BS_ACCUM_DEPR","FQ1 2009","FQ1 2009","Currency=USD","Period=FQ","BEST_FPERIOD_OVERRIDE=FQ","FILING_STATUS=MR","SCALING_FORMAT=MLN","Sort=A","Dates=H","DateFormat=P","Fill=—","Direction=H","UseDPDF=Y")</f>
        <v>—</v>
      </c>
      <c r="D25" s="13" t="str">
        <f>_xll.BDH("AMZN US Equity","BS_ACCUM_DEPR","FQ2 2009","FQ2 2009","Currency=USD","Period=FQ","BEST_FPERIOD_OVERRIDE=FQ","FILING_STATUS=MR","SCALING_FORMAT=MLN","Sort=A","Dates=H","DateFormat=P","Fill=—","Direction=H","UseDPDF=Y")</f>
        <v>—</v>
      </c>
      <c r="E25" s="13" t="str">
        <f>_xll.BDH("AMZN US Equity","BS_ACCUM_DEPR","FQ3 2009","FQ3 2009","Currency=USD","Period=FQ","BEST_FPERIOD_OVERRIDE=FQ","FILING_STATUS=MR","SCALING_FORMAT=MLN","Sort=A","Dates=H","DateFormat=P","Fill=—","Direction=H","UseDPDF=Y")</f>
        <v>—</v>
      </c>
      <c r="F25" s="13">
        <f>_xll.BDH("AMZN US Equity","BS_ACCUM_DEPR","FQ4 2009","FQ4 2009","Currency=USD","Period=FQ","BEST_FPERIOD_OVERRIDE=FQ","FILING_STATUS=MR","SCALING_FORMAT=MLN","Sort=A","Dates=H","DateFormat=P","Fill=—","Direction=H","UseDPDF=Y")</f>
        <v>625</v>
      </c>
      <c r="G25" s="13" t="str">
        <f>_xll.BDH("AMZN US Equity","BS_ACCUM_DEPR","FQ1 2010","FQ1 2010","Currency=USD","Period=FQ","BEST_FPERIOD_OVERRIDE=FQ","FILING_STATUS=MR","SCALING_FORMAT=MLN","Sort=A","Dates=H","DateFormat=P","Fill=—","Direction=H","UseDPDF=Y")</f>
        <v>—</v>
      </c>
      <c r="H25" s="13" t="str">
        <f>_xll.BDH("AMZN US Equity","BS_ACCUM_DEPR","FQ2 2010","FQ2 2010","Currency=USD","Period=FQ","BEST_FPERIOD_OVERRIDE=FQ","FILING_STATUS=MR","SCALING_FORMAT=MLN","Sort=A","Dates=H","DateFormat=P","Fill=—","Direction=H","UseDPDF=Y")</f>
        <v>—</v>
      </c>
      <c r="I25" s="13" t="str">
        <f>_xll.BDH("AMZN US Equity","BS_ACCUM_DEPR","FQ3 2010","FQ3 2010","Currency=USD","Period=FQ","BEST_FPERIOD_OVERRIDE=FQ","FILING_STATUS=MR","SCALING_FORMAT=MLN","Sort=A","Dates=H","DateFormat=P","Fill=—","Direction=H","UseDPDF=Y")</f>
        <v>—</v>
      </c>
      <c r="J25" s="13">
        <f>_xll.BDH("AMZN US Equity","BS_ACCUM_DEPR","FQ4 2010","FQ4 2010","Currency=USD","Period=FQ","BEST_FPERIOD_OVERRIDE=FQ","FILING_STATUS=MR","SCALING_FORMAT=MLN","Sort=A","Dates=H","DateFormat=P","Fill=—","Direction=H","UseDPDF=Y")</f>
        <v>842</v>
      </c>
      <c r="K25" s="13" t="str">
        <f>_xll.BDH("AMZN US Equity","BS_ACCUM_DEPR","FQ1 2011","FQ1 2011","Currency=USD","Period=FQ","BEST_FPERIOD_OVERRIDE=FQ","FILING_STATUS=MR","SCALING_FORMAT=MLN","Sort=A","Dates=H","DateFormat=P","Fill=—","Direction=H","UseDPDF=Y")</f>
        <v>—</v>
      </c>
      <c r="L25" s="13" t="str">
        <f>_xll.BDH("AMZN US Equity","BS_ACCUM_DEPR","FQ2 2011","FQ2 2011","Currency=USD","Period=FQ","BEST_FPERIOD_OVERRIDE=FQ","FILING_STATUS=MR","SCALING_FORMAT=MLN","Sort=A","Dates=H","DateFormat=P","Fill=—","Direction=H","UseDPDF=Y")</f>
        <v>—</v>
      </c>
      <c r="M25" s="13" t="str">
        <f>_xll.BDH("AMZN US Equity","BS_ACCUM_DEPR","FQ3 2011","FQ3 2011","Currency=USD","Period=FQ","BEST_FPERIOD_OVERRIDE=FQ","FILING_STATUS=MR","SCALING_FORMAT=MLN","Sort=A","Dates=H","DateFormat=P","Fill=—","Direction=H","UseDPDF=Y")</f>
        <v>—</v>
      </c>
      <c r="N25" s="13">
        <f>_xll.BDH("AMZN US Equity","BS_ACCUM_DEPR","FQ4 2011","FQ4 2011","Currency=USD","Period=FQ","BEST_FPERIOD_OVERRIDE=FQ","FILING_STATUS=MR","SCALING_FORMAT=MLN","Sort=A","Dates=H","DateFormat=P","Fill=—","Direction=H","UseDPDF=Y")</f>
        <v>1369</v>
      </c>
      <c r="O25" s="13" t="str">
        <f>_xll.BDH("AMZN US Equity","BS_ACCUM_DEPR","FQ1 2012","FQ1 2012","Currency=USD","Period=FQ","BEST_FPERIOD_OVERRIDE=FQ","FILING_STATUS=MR","SCALING_FORMAT=MLN","Sort=A","Dates=H","DateFormat=P","Fill=—","Direction=H","UseDPDF=Y")</f>
        <v>—</v>
      </c>
      <c r="P25" s="13" t="str">
        <f>_xll.BDH("AMZN US Equity","BS_ACCUM_DEPR","FQ2 2012","FQ2 2012","Currency=USD","Period=FQ","BEST_FPERIOD_OVERRIDE=FQ","FILING_STATUS=MR","SCALING_FORMAT=MLN","Sort=A","Dates=H","DateFormat=P","Fill=—","Direction=H","UseDPDF=Y")</f>
        <v>—</v>
      </c>
      <c r="Q25" s="13" t="str">
        <f>_xll.BDH("AMZN US Equity","BS_ACCUM_DEPR","FQ3 2012","FQ3 2012","Currency=USD","Period=FQ","BEST_FPERIOD_OVERRIDE=FQ","FILING_STATUS=MR","SCALING_FORMAT=MLN","Sort=A","Dates=H","DateFormat=P","Fill=—","Direction=H","UseDPDF=Y")</f>
        <v>—</v>
      </c>
      <c r="R25" s="13">
        <f>_xll.BDH("AMZN US Equity","BS_ACCUM_DEPR","FQ4 2012","FQ4 2012","Currency=USD","Period=FQ","BEST_FPERIOD_OVERRIDE=FQ","FILING_STATUS=MR","SCALING_FORMAT=MLN","Sort=A","Dates=H","DateFormat=P","Fill=—","Direction=H","UseDPDF=Y")</f>
        <v>2522</v>
      </c>
      <c r="S25" s="13" t="str">
        <f>_xll.BDH("AMZN US Equity","BS_ACCUM_DEPR","FQ1 2013","FQ1 2013","Currency=USD","Period=FQ","BEST_FPERIOD_OVERRIDE=FQ","FILING_STATUS=MR","SCALING_FORMAT=MLN","Sort=A","Dates=H","DateFormat=P","Fill=—","Direction=H","UseDPDF=Y")</f>
        <v>—</v>
      </c>
      <c r="T25" s="13" t="str">
        <f>_xll.BDH("AMZN US Equity","BS_ACCUM_DEPR","FQ2 2013","FQ2 2013","Currency=USD","Period=FQ","BEST_FPERIOD_OVERRIDE=FQ","FILING_STATUS=MR","SCALING_FORMAT=MLN","Sort=A","Dates=H","DateFormat=P","Fill=—","Direction=H","UseDPDF=Y")</f>
        <v>—</v>
      </c>
      <c r="U25" s="13" t="str">
        <f>_xll.BDH("AMZN US Equity","BS_ACCUM_DEPR","FQ3 2013","FQ3 2013","Currency=USD","Period=FQ","BEST_FPERIOD_OVERRIDE=FQ","FILING_STATUS=MR","SCALING_FORMAT=MLN","Sort=A","Dates=H","DateFormat=P","Fill=—","Direction=H","UseDPDF=Y")</f>
        <v>—</v>
      </c>
      <c r="V25" s="13">
        <f>_xll.BDH("AMZN US Equity","BS_ACCUM_DEPR","FQ4 2013","FQ4 2013","Currency=USD","Period=FQ","BEST_FPERIOD_OVERRIDE=FQ","FILING_STATUS=MR","SCALING_FORMAT=MLN","Sort=A","Dates=H","DateFormat=P","Fill=—","Direction=H","UseDPDF=Y")</f>
        <v>3860</v>
      </c>
      <c r="W25" s="13" t="str">
        <f>_xll.BDH("AMZN US Equity","BS_ACCUM_DEPR","FQ1 2014","FQ1 2014","Currency=USD","Period=FQ","BEST_FPERIOD_OVERRIDE=FQ","FILING_STATUS=MR","SCALING_FORMAT=MLN","Sort=A","Dates=H","DateFormat=P","Fill=—","Direction=H","UseDPDF=Y")</f>
        <v>—</v>
      </c>
      <c r="X25" s="13" t="str">
        <f>_xll.BDH("AMZN US Equity","BS_ACCUM_DEPR","FQ2 2014","FQ2 2014","Currency=USD","Period=FQ","BEST_FPERIOD_OVERRIDE=FQ","FILING_STATUS=MR","SCALING_FORMAT=MLN","Sort=A","Dates=H","DateFormat=P","Fill=—","Direction=H","UseDPDF=Y")</f>
        <v>—</v>
      </c>
      <c r="Y25" s="13" t="str">
        <f>_xll.BDH("AMZN US Equity","BS_ACCUM_DEPR","FQ3 2014","FQ3 2014","Currency=USD","Period=FQ","BEST_FPERIOD_OVERRIDE=FQ","FILING_STATUS=MR","SCALING_FORMAT=MLN","Sort=A","Dates=H","DateFormat=P","Fill=—","Direction=H","UseDPDF=Y")</f>
        <v>—</v>
      </c>
      <c r="Z25" s="13">
        <f>_xll.BDH("AMZN US Equity","BS_ACCUM_DEPR","FQ4 2014","FQ4 2014","Currency=USD","Period=FQ","BEST_FPERIOD_OVERRIDE=FQ","FILING_STATUS=MR","SCALING_FORMAT=MLN","Sort=A","Dates=H","DateFormat=P","Fill=—","Direction=H","UseDPDF=Y")</f>
        <v>5763</v>
      </c>
      <c r="AA25" s="13" t="str">
        <f>_xll.BDH("AMZN US Equity","BS_ACCUM_DEPR","FQ1 2015","FQ1 2015","Currency=USD","Period=FQ","BEST_FPERIOD_OVERRIDE=FQ","FILING_STATUS=MR","SCALING_FORMAT=MLN","Sort=A","Dates=H","DateFormat=P","Fill=—","Direction=H","UseDPDF=Y")</f>
        <v>—</v>
      </c>
      <c r="AB25" s="13" t="str">
        <f>_xll.BDH("AMZN US Equity","BS_ACCUM_DEPR","FQ2 2015","FQ2 2015","Currency=USD","Period=FQ","BEST_FPERIOD_OVERRIDE=FQ","FILING_STATUS=MR","SCALING_FORMAT=MLN","Sort=A","Dates=H","DateFormat=P","Fill=—","Direction=H","UseDPDF=Y")</f>
        <v>—</v>
      </c>
      <c r="AC25" s="13" t="str">
        <f>_xll.BDH("AMZN US Equity","BS_ACCUM_DEPR","FQ3 2015","FQ3 2015","Currency=USD","Period=FQ","BEST_FPERIOD_OVERRIDE=FQ","FILING_STATUS=MR","SCALING_FORMAT=MLN","Sort=A","Dates=H","DateFormat=P","Fill=—","Direction=H","UseDPDF=Y")</f>
        <v>—</v>
      </c>
      <c r="AD25" s="13">
        <f>_xll.BDH("AMZN US Equity","BS_ACCUM_DEPR","FQ4 2015","FQ4 2015","Currency=USD","Period=FQ","BEST_FPERIOD_OVERRIDE=FQ","FILING_STATUS=MR","SCALING_FORMAT=MLN","Sort=A","Dates=H","DateFormat=P","Fill=—","Direction=H","UseDPDF=Y")</f>
        <v>8215</v>
      </c>
      <c r="AE25" s="13" t="str">
        <f>_xll.BDH("AMZN US Equity","BS_ACCUM_DEPR","FQ1 2016","FQ1 2016","Currency=USD","Period=FQ","BEST_FPERIOD_OVERRIDE=FQ","FILING_STATUS=MR","SCALING_FORMAT=MLN","Sort=A","Dates=H","DateFormat=P","Fill=—","Direction=H","UseDPDF=Y")</f>
        <v>—</v>
      </c>
      <c r="AF25" s="13" t="str">
        <f>_xll.BDH("AMZN US Equity","BS_ACCUM_DEPR","FQ2 2016","FQ2 2016","Currency=USD","Period=FQ","BEST_FPERIOD_OVERRIDE=FQ","FILING_STATUS=MR","SCALING_FORMAT=MLN","Sort=A","Dates=H","DateFormat=P","Fill=—","Direction=H","UseDPDF=Y")</f>
        <v>—</v>
      </c>
      <c r="AG25" s="13" t="str">
        <f>_xll.BDH("AMZN US Equity","BS_ACCUM_DEPR","FQ3 2016","FQ3 2016","Currency=USD","Period=FQ","BEST_FPERIOD_OVERRIDE=FQ","FILING_STATUS=MR","SCALING_FORMAT=MLN","Sort=A","Dates=H","DateFormat=P","Fill=—","Direction=H","UseDPDF=Y")</f>
        <v>—</v>
      </c>
      <c r="AH25" s="13">
        <f>_xll.BDH("AMZN US Equity","BS_ACCUM_DEPR","FQ4 2016","FQ4 2016","Currency=USD","Period=FQ","BEST_FPERIOD_OVERRIDE=FQ","FILING_STATUS=MR","SCALING_FORMAT=MLN","Sort=A","Dates=H","DateFormat=P","Fill=—","Direction=H","UseDPDF=Y")</f>
        <v>13327</v>
      </c>
      <c r="AI25" s="13" t="str">
        <f>_xll.BDH("AMZN US Equity","BS_ACCUM_DEPR","FQ1 2017","FQ1 2017","Currency=USD","Period=FQ","BEST_FPERIOD_OVERRIDE=FQ","FILING_STATUS=MR","SCALING_FORMAT=MLN","Sort=A","Dates=H","DateFormat=P","Fill=—","Direction=H","UseDPDF=Y")</f>
        <v>—</v>
      </c>
      <c r="AJ25" s="13" t="str">
        <f>_xll.BDH("AMZN US Equity","BS_ACCUM_DEPR","FQ2 2017","FQ2 2017","Currency=USD","Period=FQ","BEST_FPERIOD_OVERRIDE=FQ","FILING_STATUS=MR","SCALING_FORMAT=MLN","Sort=A","Dates=H","DateFormat=P","Fill=—","Direction=H","UseDPDF=Y")</f>
        <v>—</v>
      </c>
      <c r="AK25" s="13" t="str">
        <f>_xll.BDH("AMZN US Equity","BS_ACCUM_DEPR","FQ3 2017","FQ3 2017","Currency=USD","Period=FQ","BEST_FPERIOD_OVERRIDE=FQ","FILING_STATUS=MR","SCALING_FORMAT=MLN","Sort=A","Dates=H","DateFormat=P","Fill=—","Direction=H","UseDPDF=Y")</f>
        <v>—</v>
      </c>
      <c r="AL25" s="13">
        <f>_xll.BDH("AMZN US Equity","BS_ACCUM_DEPR","FQ4 2017","FQ4 2017","Currency=USD","Period=FQ","BEST_FPERIOD_OVERRIDE=FQ","FILING_STATUS=MR","SCALING_FORMAT=MLN","Sort=A","Dates=H","DateFormat=P","Fill=—","Direction=H","UseDPDF=Y")</f>
        <v>19707</v>
      </c>
      <c r="AM25" s="13" t="str">
        <f>_xll.BDH("AMZN US Equity","BS_ACCUM_DEPR","FQ1 2018","FQ1 2018","Currency=USD","Period=FQ","BEST_FPERIOD_OVERRIDE=FQ","FILING_STATUS=MR","SCALING_FORMAT=MLN","Sort=A","Dates=H","DateFormat=P","Fill=—","Direction=H","UseDPDF=Y")</f>
        <v>—</v>
      </c>
      <c r="AN25" s="13" t="str">
        <f>_xll.BDH("AMZN US Equity","BS_ACCUM_DEPR","FQ2 2018","FQ2 2018","Currency=USD","Period=FQ","BEST_FPERIOD_OVERRIDE=FQ","FILING_STATUS=MR","SCALING_FORMAT=MLN","Sort=A","Dates=H","DateFormat=P","Fill=—","Direction=H","UseDPDF=Y")</f>
        <v>—</v>
      </c>
    </row>
    <row r="26" spans="1:40" x14ac:dyDescent="0.25">
      <c r="A26" s="10" t="s">
        <v>248</v>
      </c>
      <c r="B26" s="10" t="s">
        <v>249</v>
      </c>
      <c r="C26" s="13">
        <f>_xll.BDH("AMZN US Equity","BS_LT_INVEST","FQ1 2009","FQ1 2009","Currency=USD","Period=FQ","BEST_FPERIOD_OVERRIDE=FQ","FILING_STATUS=MR","SCALING_FORMAT=MLN","Sort=A","Dates=H","DateFormat=P","Fill=—","Direction=H","UseDPDF=Y")</f>
        <v>0</v>
      </c>
      <c r="D26" s="13">
        <f>_xll.BDH("AMZN US Equity","BS_LT_INVEST","FQ2 2009","FQ2 2009","Currency=USD","Period=FQ","BEST_FPERIOD_OVERRIDE=FQ","FILING_STATUS=MR","SCALING_FORMAT=MLN","Sort=A","Dates=H","DateFormat=P","Fill=—","Direction=H","UseDPDF=Y")</f>
        <v>0</v>
      </c>
      <c r="E26" s="13">
        <f>_xll.BDH("AMZN US Equity","BS_LT_INVEST","FQ3 2009","FQ3 2009","Currency=USD","Period=FQ","BEST_FPERIOD_OVERRIDE=FQ","FILING_STATUS=MR","SCALING_FORMAT=MLN","Sort=A","Dates=H","DateFormat=P","Fill=—","Direction=H","UseDPDF=Y")</f>
        <v>0</v>
      </c>
      <c r="F26" s="13">
        <f>_xll.BDH("AMZN US Equity","BS_LT_INVEST","FQ4 2009","FQ4 2009","Currency=USD","Period=FQ","BEST_FPERIOD_OVERRIDE=FQ","FILING_STATUS=MR","SCALING_FORMAT=MLN","Sort=A","Dates=H","DateFormat=P","Fill=—","Direction=H","UseDPDF=Y")</f>
        <v>0</v>
      </c>
      <c r="G26" s="13">
        <f>_xll.BDH("AMZN US Equity","BS_LT_INVEST","FQ1 2010","FQ1 2010","Currency=USD","Period=FQ","BEST_FPERIOD_OVERRIDE=FQ","FILING_STATUS=MR","SCALING_FORMAT=MLN","Sort=A","Dates=H","DateFormat=P","Fill=—","Direction=H","UseDPDF=Y")</f>
        <v>0</v>
      </c>
      <c r="H26" s="13">
        <f>_xll.BDH("AMZN US Equity","BS_LT_INVEST","FQ2 2010","FQ2 2010","Currency=USD","Period=FQ","BEST_FPERIOD_OVERRIDE=FQ","FILING_STATUS=MR","SCALING_FORMAT=MLN","Sort=A","Dates=H","DateFormat=P","Fill=—","Direction=H","UseDPDF=Y")</f>
        <v>0</v>
      </c>
      <c r="I26" s="13" t="str">
        <f>_xll.BDH("AMZN US Equity","BS_LT_INVEST","FQ3 2010","FQ3 2010","Currency=USD","Period=FQ","BEST_FPERIOD_OVERRIDE=FQ","FILING_STATUS=MR","SCALING_FORMAT=MLN","Sort=A","Dates=H","DateFormat=P","Fill=—","Direction=H","UseDPDF=Y")</f>
        <v>—</v>
      </c>
      <c r="J26" s="13">
        <f>_xll.BDH("AMZN US Equity","BS_LT_INVEST","FQ4 2010","FQ4 2010","Currency=USD","Period=FQ","BEST_FPERIOD_OVERRIDE=FQ","FILING_STATUS=MR","SCALING_FORMAT=MLN","Sort=A","Dates=H","DateFormat=P","Fill=—","Direction=H","UseDPDF=Y")</f>
        <v>0</v>
      </c>
      <c r="K26" s="13">
        <f>_xll.BDH("AMZN US Equity","BS_LT_INVEST","FQ1 2011","FQ1 2011","Currency=USD","Period=FQ","BEST_FPERIOD_OVERRIDE=FQ","FILING_STATUS=MR","SCALING_FORMAT=MLN","Sort=A","Dates=H","DateFormat=P","Fill=—","Direction=H","UseDPDF=Y")</f>
        <v>0</v>
      </c>
      <c r="L26" s="13">
        <f>_xll.BDH("AMZN US Equity","BS_LT_INVEST","FQ2 2011","FQ2 2011","Currency=USD","Period=FQ","BEST_FPERIOD_OVERRIDE=FQ","FILING_STATUS=MR","SCALING_FORMAT=MLN","Sort=A","Dates=H","DateFormat=P","Fill=—","Direction=H","UseDPDF=Y")</f>
        <v>0</v>
      </c>
      <c r="M26" s="13">
        <f>_xll.BDH("AMZN US Equity","BS_LT_INVEST","FQ3 2011","FQ3 2011","Currency=USD","Period=FQ","BEST_FPERIOD_OVERRIDE=FQ","FILING_STATUS=MR","SCALING_FORMAT=MLN","Sort=A","Dates=H","DateFormat=P","Fill=—","Direction=H","UseDPDF=Y")</f>
        <v>0</v>
      </c>
      <c r="N26" s="13">
        <f>_xll.BDH("AMZN US Equity","BS_LT_INVEST","FQ4 2011","FQ4 2011","Currency=USD","Period=FQ","BEST_FPERIOD_OVERRIDE=FQ","FILING_STATUS=MR","SCALING_FORMAT=MLN","Sort=A","Dates=H","DateFormat=P","Fill=—","Direction=H","UseDPDF=Y")</f>
        <v>0</v>
      </c>
      <c r="O26" s="13">
        <f>_xll.BDH("AMZN US Equity","BS_LT_INVEST","FQ1 2012","FQ1 2012","Currency=USD","Period=FQ","BEST_FPERIOD_OVERRIDE=FQ","FILING_STATUS=MR","SCALING_FORMAT=MLN","Sort=A","Dates=H","DateFormat=P","Fill=—","Direction=H","UseDPDF=Y")</f>
        <v>0</v>
      </c>
      <c r="P26" s="13">
        <f>_xll.BDH("AMZN US Equity","BS_LT_INVEST","FQ2 2012","FQ2 2012","Currency=USD","Period=FQ","BEST_FPERIOD_OVERRIDE=FQ","FILING_STATUS=MR","SCALING_FORMAT=MLN","Sort=A","Dates=H","DateFormat=P","Fill=—","Direction=H","UseDPDF=Y")</f>
        <v>0</v>
      </c>
      <c r="Q26" s="13">
        <f>_xll.BDH("AMZN US Equity","BS_LT_INVEST","FQ3 2012","FQ3 2012","Currency=USD","Period=FQ","BEST_FPERIOD_OVERRIDE=FQ","FILING_STATUS=MR","SCALING_FORMAT=MLN","Sort=A","Dates=H","DateFormat=P","Fill=—","Direction=H","UseDPDF=Y")</f>
        <v>0</v>
      </c>
      <c r="R26" s="13">
        <f>_xll.BDH("AMZN US Equity","BS_LT_INVEST","FQ4 2012","FQ4 2012","Currency=USD","Period=FQ","BEST_FPERIOD_OVERRIDE=FQ","FILING_STATUS=MR","SCALING_FORMAT=MLN","Sort=A","Dates=H","DateFormat=P","Fill=—","Direction=H","UseDPDF=Y")</f>
        <v>0</v>
      </c>
      <c r="S26" s="13">
        <f>_xll.BDH("AMZN US Equity","BS_LT_INVEST","FQ1 2013","FQ1 2013","Currency=USD","Period=FQ","BEST_FPERIOD_OVERRIDE=FQ","FILING_STATUS=MR","SCALING_FORMAT=MLN","Sort=A","Dates=H","DateFormat=P","Fill=—","Direction=H","UseDPDF=Y")</f>
        <v>0</v>
      </c>
      <c r="T26" s="13">
        <f>_xll.BDH("AMZN US Equity","BS_LT_INVEST","FQ2 2013","FQ2 2013","Currency=USD","Period=FQ","BEST_FPERIOD_OVERRIDE=FQ","FILING_STATUS=MR","SCALING_FORMAT=MLN","Sort=A","Dates=H","DateFormat=P","Fill=—","Direction=H","UseDPDF=Y")</f>
        <v>0</v>
      </c>
      <c r="U26" s="13">
        <f>_xll.BDH("AMZN US Equity","BS_LT_INVEST","FQ3 2013","FQ3 2013","Currency=USD","Period=FQ","BEST_FPERIOD_OVERRIDE=FQ","FILING_STATUS=MR","SCALING_FORMAT=MLN","Sort=A","Dates=H","DateFormat=P","Fill=—","Direction=H","UseDPDF=Y")</f>
        <v>0</v>
      </c>
      <c r="V26" s="13">
        <f>_xll.BDH("AMZN US Equity","BS_LT_INVEST","FQ4 2013","FQ4 2013","Currency=USD","Period=FQ","BEST_FPERIOD_OVERRIDE=FQ","FILING_STATUS=MR","SCALING_FORMAT=MLN","Sort=A","Dates=H","DateFormat=P","Fill=—","Direction=H","UseDPDF=Y")</f>
        <v>0</v>
      </c>
      <c r="W26" s="13">
        <f>_xll.BDH("AMZN US Equity","BS_LT_INVEST","FQ1 2014","FQ1 2014","Currency=USD","Period=FQ","BEST_FPERIOD_OVERRIDE=FQ","FILING_STATUS=MR","SCALING_FORMAT=MLN","Sort=A","Dates=H","DateFormat=P","Fill=—","Direction=H","UseDPDF=Y")</f>
        <v>0</v>
      </c>
      <c r="X26" s="13">
        <f>_xll.BDH("AMZN US Equity","BS_LT_INVEST","FQ2 2014","FQ2 2014","Currency=USD","Period=FQ","BEST_FPERIOD_OVERRIDE=FQ","FILING_STATUS=MR","SCALING_FORMAT=MLN","Sort=A","Dates=H","DateFormat=P","Fill=—","Direction=H","UseDPDF=Y")</f>
        <v>0</v>
      </c>
      <c r="Y26" s="13">
        <f>_xll.BDH("AMZN US Equity","BS_LT_INVEST","FQ3 2014","FQ3 2014","Currency=USD","Period=FQ","BEST_FPERIOD_OVERRIDE=FQ","FILING_STATUS=MR","SCALING_FORMAT=MLN","Sort=A","Dates=H","DateFormat=P","Fill=—","Direction=H","UseDPDF=Y")</f>
        <v>0</v>
      </c>
      <c r="Z26" s="13">
        <f>_xll.BDH("AMZN US Equity","BS_LT_INVEST","FQ4 2014","FQ4 2014","Currency=USD","Period=FQ","BEST_FPERIOD_OVERRIDE=FQ","FILING_STATUS=MR","SCALING_FORMAT=MLN","Sort=A","Dates=H","DateFormat=P","Fill=—","Direction=H","UseDPDF=Y")</f>
        <v>0</v>
      </c>
      <c r="AA26" s="13">
        <f>_xll.BDH("AMZN US Equity","BS_LT_INVEST","FQ1 2015","FQ1 2015","Currency=USD","Period=FQ","BEST_FPERIOD_OVERRIDE=FQ","FILING_STATUS=MR","SCALING_FORMAT=MLN","Sort=A","Dates=H","DateFormat=P","Fill=—","Direction=H","UseDPDF=Y")</f>
        <v>0</v>
      </c>
      <c r="AB26" s="13">
        <f>_xll.BDH("AMZN US Equity","BS_LT_INVEST","FQ2 2015","FQ2 2015","Currency=USD","Period=FQ","BEST_FPERIOD_OVERRIDE=FQ","FILING_STATUS=MR","SCALING_FORMAT=MLN","Sort=A","Dates=H","DateFormat=P","Fill=—","Direction=H","UseDPDF=Y")</f>
        <v>0</v>
      </c>
      <c r="AC26" s="13">
        <f>_xll.BDH("AMZN US Equity","BS_LT_INVEST","FQ3 2015","FQ3 2015","Currency=USD","Period=FQ","BEST_FPERIOD_OVERRIDE=FQ","FILING_STATUS=MR","SCALING_FORMAT=MLN","Sort=A","Dates=H","DateFormat=P","Fill=—","Direction=H","UseDPDF=Y")</f>
        <v>0</v>
      </c>
      <c r="AD26" s="13">
        <f>_xll.BDH("AMZN US Equity","BS_LT_INVEST","FQ4 2015","FQ4 2015","Currency=USD","Period=FQ","BEST_FPERIOD_OVERRIDE=FQ","FILING_STATUS=MR","SCALING_FORMAT=MLN","Sort=A","Dates=H","DateFormat=P","Fill=—","Direction=H","UseDPDF=Y")</f>
        <v>0</v>
      </c>
      <c r="AE26" s="13">
        <f>_xll.BDH("AMZN US Equity","BS_LT_INVEST","FQ1 2016","FQ1 2016","Currency=USD","Period=FQ","BEST_FPERIOD_OVERRIDE=FQ","FILING_STATUS=MR","SCALING_FORMAT=MLN","Sort=A","Dates=H","DateFormat=P","Fill=—","Direction=H","UseDPDF=Y")</f>
        <v>0</v>
      </c>
      <c r="AF26" s="13">
        <f>_xll.BDH("AMZN US Equity","BS_LT_INVEST","FQ2 2016","FQ2 2016","Currency=USD","Period=FQ","BEST_FPERIOD_OVERRIDE=FQ","FILING_STATUS=MR","SCALING_FORMAT=MLN","Sort=A","Dates=H","DateFormat=P","Fill=—","Direction=H","UseDPDF=Y")</f>
        <v>0</v>
      </c>
      <c r="AG26" s="13">
        <f>_xll.BDH("AMZN US Equity","BS_LT_INVEST","FQ3 2016","FQ3 2016","Currency=USD","Period=FQ","BEST_FPERIOD_OVERRIDE=FQ","FILING_STATUS=MR","SCALING_FORMAT=MLN","Sort=A","Dates=H","DateFormat=P","Fill=—","Direction=H","UseDPDF=Y")</f>
        <v>0</v>
      </c>
      <c r="AH26" s="13">
        <f>_xll.BDH("AMZN US Equity","BS_LT_INVEST","FQ4 2016","FQ4 2016","Currency=USD","Period=FQ","BEST_FPERIOD_OVERRIDE=FQ","FILING_STATUS=MR","SCALING_FORMAT=MLN","Sort=A","Dates=H","DateFormat=P","Fill=—","Direction=H","UseDPDF=Y")</f>
        <v>0</v>
      </c>
      <c r="AI26" s="13">
        <f>_xll.BDH("AMZN US Equity","BS_LT_INVEST","FQ1 2017","FQ1 2017","Currency=USD","Period=FQ","BEST_FPERIOD_OVERRIDE=FQ","FILING_STATUS=MR","SCALING_FORMAT=MLN","Sort=A","Dates=H","DateFormat=P","Fill=—","Direction=H","UseDPDF=Y")</f>
        <v>0</v>
      </c>
      <c r="AJ26" s="13">
        <f>_xll.BDH("AMZN US Equity","BS_LT_INVEST","FQ2 2017","FQ2 2017","Currency=USD","Period=FQ","BEST_FPERIOD_OVERRIDE=FQ","FILING_STATUS=MR","SCALING_FORMAT=MLN","Sort=A","Dates=H","DateFormat=P","Fill=—","Direction=H","UseDPDF=Y")</f>
        <v>0</v>
      </c>
      <c r="AK26" s="13">
        <f>_xll.BDH("AMZN US Equity","BS_LT_INVEST","FQ3 2017","FQ3 2017","Currency=USD","Period=FQ","BEST_FPERIOD_OVERRIDE=FQ","FILING_STATUS=MR","SCALING_FORMAT=MLN","Sort=A","Dates=H","DateFormat=P","Fill=—","Direction=H","UseDPDF=Y")</f>
        <v>0</v>
      </c>
      <c r="AL26" s="13">
        <f>_xll.BDH("AMZN US Equity","BS_LT_INVEST","FQ4 2017","FQ4 2017","Currency=USD","Period=FQ","BEST_FPERIOD_OVERRIDE=FQ","FILING_STATUS=MR","SCALING_FORMAT=MLN","Sort=A","Dates=H","DateFormat=P","Fill=—","Direction=H","UseDPDF=Y")</f>
        <v>0</v>
      </c>
      <c r="AM26" s="13">
        <f>_xll.BDH("AMZN US Equity","BS_LT_INVEST","FQ1 2018","FQ1 2018","Currency=USD","Period=FQ","BEST_FPERIOD_OVERRIDE=FQ","FILING_STATUS=MR","SCALING_FORMAT=MLN","Sort=A","Dates=H","DateFormat=P","Fill=—","Direction=H","UseDPDF=Y")</f>
        <v>0</v>
      </c>
      <c r="AN26" s="13">
        <f>_xll.BDH("AMZN US Equity","BS_LT_INVEST","FQ2 2018","FQ2 2018","Currency=USD","Period=FQ","BEST_FPERIOD_OVERRIDE=FQ","FILING_STATUS=MR","SCALING_FORMAT=MLN","Sort=A","Dates=H","DateFormat=P","Fill=—","Direction=H","UseDPDF=Y")</f>
        <v>0</v>
      </c>
    </row>
    <row r="27" spans="1:40" x14ac:dyDescent="0.25">
      <c r="A27" s="10" t="s">
        <v>250</v>
      </c>
      <c r="B27" s="10" t="s">
        <v>251</v>
      </c>
      <c r="C27" s="13">
        <f>_xll.BDH("AMZN US Equity","BS_OTHER_ASSETS_DEF_CHRG_OTHER","FQ1 2009","FQ1 2009","Currency=USD","Period=FQ","BEST_FPERIOD_OVERRIDE=FQ","FILING_STATUS=MR","SCALING_FORMAT=MLN","Sort=A","Dates=H","DateFormat=P","Fill=—","Direction=H","UseDPDF=Y")</f>
        <v>1316</v>
      </c>
      <c r="D27" s="13">
        <f>_xll.BDH("AMZN US Equity","BS_OTHER_ASSETS_DEF_CHRG_OTHER","FQ2 2009","FQ2 2009","Currency=USD","Period=FQ","BEST_FPERIOD_OVERRIDE=FQ","FILING_STATUS=MR","SCALING_FORMAT=MLN","Sort=A","Dates=H","DateFormat=P","Fill=—","Direction=H","UseDPDF=Y")</f>
        <v>1390</v>
      </c>
      <c r="E27" s="13">
        <f>_xll.BDH("AMZN US Equity","BS_OTHER_ASSETS_DEF_CHRG_OTHER","FQ3 2009","FQ3 2009","Currency=USD","Period=FQ","BEST_FPERIOD_OVERRIDE=FQ","FILING_STATUS=MR","SCALING_FORMAT=MLN","Sort=A","Dates=H","DateFormat=P","Fill=—","Direction=H","UseDPDF=Y")</f>
        <v>1517</v>
      </c>
      <c r="F27" s="13">
        <f>_xll.BDH("AMZN US Equity","BS_OTHER_ASSETS_DEF_CHRG_OTHER","FQ4 2009","FQ4 2009","Currency=USD","Period=FQ","BEST_FPERIOD_OVERRIDE=FQ","FILING_STATUS=MR","SCALING_FORMAT=MLN","Sort=A","Dates=H","DateFormat=P","Fill=—","Direction=H","UseDPDF=Y")</f>
        <v>2726</v>
      </c>
      <c r="G27" s="13">
        <f>_xll.BDH("AMZN US Equity","BS_OTHER_ASSETS_DEF_CHRG_OTHER","FQ1 2010","FQ1 2010","Currency=USD","Period=FQ","BEST_FPERIOD_OVERRIDE=FQ","FILING_STATUS=MR","SCALING_FORMAT=MLN","Sort=A","Dates=H","DateFormat=P","Fill=—","Direction=H","UseDPDF=Y")</f>
        <v>2642</v>
      </c>
      <c r="H27" s="13">
        <f>_xll.BDH("AMZN US Equity","BS_OTHER_ASSETS_DEF_CHRG_OTHER","FQ2 2010","FQ2 2010","Currency=USD","Period=FQ","BEST_FPERIOD_OVERRIDE=FQ","FILING_STATUS=MR","SCALING_FORMAT=MLN","Sort=A","Dates=H","DateFormat=P","Fill=—","Direction=H","UseDPDF=Y")</f>
        <v>2575</v>
      </c>
      <c r="I27" s="13">
        <f>_xll.BDH("AMZN US Equity","BS_OTHER_ASSETS_DEF_CHRG_OTHER","FQ3 2010","FQ3 2010","Currency=USD","Period=FQ","BEST_FPERIOD_OVERRIDE=FQ","FILING_STATUS=MR","SCALING_FORMAT=MLN","Sort=A","Dates=H","DateFormat=P","Fill=—","Direction=H","UseDPDF=Y")</f>
        <v>2504</v>
      </c>
      <c r="J27" s="13">
        <f>_xll.BDH("AMZN US Equity","BS_OTHER_ASSETS_DEF_CHRG_OTHER","FQ4 2010","FQ4 2010","Currency=USD","Period=FQ","BEST_FPERIOD_OVERRIDE=FQ","FILING_STATUS=MR","SCALING_FORMAT=MLN","Sort=A","Dates=H","DateFormat=P","Fill=—","Direction=H","UseDPDF=Y")</f>
        <v>2636</v>
      </c>
      <c r="K27" s="13">
        <f>_xll.BDH("AMZN US Equity","BS_OTHER_ASSETS_DEF_CHRG_OTHER","FQ1 2011","FQ1 2011","Currency=USD","Period=FQ","BEST_FPERIOD_OVERRIDE=FQ","FILING_STATUS=MR","SCALING_FORMAT=MLN","Sort=A","Dates=H","DateFormat=P","Fill=—","Direction=H","UseDPDF=Y")</f>
        <v>2692</v>
      </c>
      <c r="L27" s="13">
        <f>_xll.BDH("AMZN US Equity","BS_OTHER_ASSETS_DEF_CHRG_OTHER","FQ2 2011","FQ2 2011","Currency=USD","Period=FQ","BEST_FPERIOD_OVERRIDE=FQ","FILING_STATUS=MR","SCALING_FORMAT=MLN","Sort=A","Dates=H","DateFormat=P","Fill=—","Direction=H","UseDPDF=Y")</f>
        <v>3192</v>
      </c>
      <c r="M27" s="13">
        <f>_xll.BDH("AMZN US Equity","BS_OTHER_ASSETS_DEF_CHRG_OTHER","FQ3 2011","FQ3 2011","Currency=USD","Period=FQ","BEST_FPERIOD_OVERRIDE=FQ","FILING_STATUS=MR","SCALING_FORMAT=MLN","Sort=A","Dates=H","DateFormat=P","Fill=—","Direction=H","UseDPDF=Y")</f>
        <v>3151</v>
      </c>
      <c r="N27" s="13">
        <f>_xll.BDH("AMZN US Equity","BS_OTHER_ASSETS_DEF_CHRG_OTHER","FQ4 2011","FQ4 2011","Currency=USD","Period=FQ","BEST_FPERIOD_OVERRIDE=FQ","FILING_STATUS=MR","SCALING_FORMAT=MLN","Sort=A","Dates=H","DateFormat=P","Fill=—","Direction=H","UseDPDF=Y")</f>
        <v>3371</v>
      </c>
      <c r="O27" s="13">
        <f>_xll.BDH("AMZN US Equity","BS_OTHER_ASSETS_DEF_CHRG_OTHER","FQ1 2012","FQ1 2012","Currency=USD","Period=FQ","BEST_FPERIOD_OVERRIDE=FQ","FILING_STATUS=MR","SCALING_FORMAT=MLN","Sort=A","Dates=H","DateFormat=P","Fill=—","Direction=H","UseDPDF=Y")</f>
        <v>3532</v>
      </c>
      <c r="P27" s="13">
        <f>_xll.BDH("AMZN US Equity","BS_OTHER_ASSETS_DEF_CHRG_OTHER","FQ2 2012","FQ2 2012","Currency=USD","Period=FQ","BEST_FPERIOD_OVERRIDE=FQ","FILING_STATUS=MR","SCALING_FORMAT=MLN","Sort=A","Dates=H","DateFormat=P","Fill=—","Direction=H","UseDPDF=Y")</f>
        <v>4132</v>
      </c>
      <c r="Q27" s="13">
        <f>_xll.BDH("AMZN US Equity","BS_OTHER_ASSETS_DEF_CHRG_OTHER","FQ3 2012","FQ3 2012","Currency=USD","Period=FQ","BEST_FPERIOD_OVERRIDE=FQ","FILING_STATUS=MR","SCALING_FORMAT=MLN","Sort=A","Dates=H","DateFormat=P","Fill=—","Direction=H","UseDPDF=Y")</f>
        <v>4054</v>
      </c>
      <c r="R27" s="13">
        <f>_xll.BDH("AMZN US Equity","BS_OTHER_ASSETS_DEF_CHRG_OTHER","FQ4 2012","FQ4 2012","Currency=USD","Period=FQ","BEST_FPERIOD_OVERRIDE=FQ","FILING_STATUS=MR","SCALING_FORMAT=MLN","Sort=A","Dates=H","DateFormat=P","Fill=—","Direction=H","UseDPDF=Y")</f>
        <v>4199</v>
      </c>
      <c r="S27" s="13">
        <f>_xll.BDH("AMZN US Equity","BS_OTHER_ASSETS_DEF_CHRG_OTHER","FQ1 2013","FQ1 2013","Currency=USD","Period=FQ","BEST_FPERIOD_OVERRIDE=FQ","FILING_STATUS=MR","SCALING_FORMAT=MLN","Sort=A","Dates=H","DateFormat=P","Fill=—","Direction=H","UseDPDF=Y")</f>
        <v>4390</v>
      </c>
      <c r="T27" s="13">
        <f>_xll.BDH("AMZN US Equity","BS_OTHER_ASSETS_DEF_CHRG_OTHER","FQ2 2013","FQ2 2013","Currency=USD","Period=FQ","BEST_FPERIOD_OVERRIDE=FQ","FILING_STATUS=MR","SCALING_FORMAT=MLN","Sort=A","Dates=H","DateFormat=P","Fill=—","Direction=H","UseDPDF=Y")</f>
        <v>4549</v>
      </c>
      <c r="U27" s="13">
        <f>_xll.BDH("AMZN US Equity","BS_OTHER_ASSETS_DEF_CHRG_OTHER","FQ3 2013","FQ3 2013","Currency=USD","Period=FQ","BEST_FPERIOD_OVERRIDE=FQ","FILING_STATUS=MR","SCALING_FORMAT=MLN","Sort=A","Dates=H","DateFormat=P","Fill=—","Direction=H","UseDPDF=Y")</f>
        <v>4536</v>
      </c>
      <c r="V27" s="13">
        <f>_xll.BDH("AMZN US Equity","BS_OTHER_ASSETS_DEF_CHRG_OTHER","FQ4 2013","FQ4 2013","Currency=USD","Period=FQ","BEST_FPERIOD_OVERRIDE=FQ","FILING_STATUS=MR","SCALING_FORMAT=MLN","Sort=A","Dates=H","DateFormat=P","Fill=—","Direction=H","UseDPDF=Y")</f>
        <v>4585</v>
      </c>
      <c r="W27" s="13">
        <f>_xll.BDH("AMZN US Equity","BS_OTHER_ASSETS_DEF_CHRG_OTHER","FQ1 2014","FQ1 2014","Currency=USD","Period=FQ","BEST_FPERIOD_OVERRIDE=FQ","FILING_STATUS=MR","SCALING_FORMAT=MLN","Sort=A","Dates=H","DateFormat=P","Fill=—","Direction=H","UseDPDF=Y")</f>
        <v>4770</v>
      </c>
      <c r="X27" s="13">
        <f>_xll.BDH("AMZN US Equity","BS_OTHER_ASSETS_DEF_CHRG_OTHER","FQ2 2014","FQ2 2014","Currency=USD","Period=FQ","BEST_FPERIOD_OVERRIDE=FQ","FILING_STATUS=MR","SCALING_FORMAT=MLN","Sort=A","Dates=H","DateFormat=P","Fill=—","Direction=H","UseDPDF=Y")</f>
        <v>5054</v>
      </c>
      <c r="Y27" s="13">
        <f>_xll.BDH("AMZN US Equity","BS_OTHER_ASSETS_DEF_CHRG_OTHER","FQ3 2014","FQ3 2014","Currency=USD","Period=FQ","BEST_FPERIOD_OVERRIDE=FQ","FILING_STATUS=MR","SCALING_FORMAT=MLN","Sort=A","Dates=H","DateFormat=P","Fill=—","Direction=H","UseDPDF=Y")</f>
        <v>6145</v>
      </c>
      <c r="Z27" s="13">
        <f>_xll.BDH("AMZN US Equity","BS_OTHER_ASSETS_DEF_CHRG_OTHER","FQ4 2014","FQ4 2014","Currency=USD","Period=FQ","BEST_FPERIOD_OVERRIDE=FQ","FILING_STATUS=MR","SCALING_FORMAT=MLN","Sort=A","Dates=H","DateFormat=P","Fill=—","Direction=H","UseDPDF=Y")</f>
        <v>6211</v>
      </c>
      <c r="AA27" s="13">
        <f>_xll.BDH("AMZN US Equity","BS_OTHER_ASSETS_DEF_CHRG_OTHER","FQ1 2015","FQ1 2015","Currency=USD","Period=FQ","BEST_FPERIOD_OVERRIDE=FQ","FILING_STATUS=MR","SCALING_FORMAT=MLN","Sort=A","Dates=H","DateFormat=P","Fill=—","Direction=H","UseDPDF=Y")</f>
        <v>6417</v>
      </c>
      <c r="AB27" s="13">
        <f>_xll.BDH("AMZN US Equity","BS_OTHER_ASSETS_DEF_CHRG_OTHER","FQ2 2015","FQ2 2015","Currency=USD","Period=FQ","BEST_FPERIOD_OVERRIDE=FQ","FILING_STATUS=MR","SCALING_FORMAT=MLN","Sort=A","Dates=H","DateFormat=P","Fill=—","Direction=H","UseDPDF=Y")</f>
        <v>6570</v>
      </c>
      <c r="AC27" s="13">
        <f>_xll.BDH("AMZN US Equity","BS_OTHER_ASSETS_DEF_CHRG_OTHER","FQ3 2015","FQ3 2015","Currency=USD","Period=FQ","BEST_FPERIOD_OVERRIDE=FQ","FILING_STATUS=MR","SCALING_FORMAT=MLN","Sort=A","Dates=H","DateFormat=P","Fill=—","Direction=H","UseDPDF=Y")</f>
        <v>6745</v>
      </c>
      <c r="AD27" s="13">
        <f>_xll.BDH("AMZN US Equity","BS_OTHER_ASSETS_DEF_CHRG_OTHER","FQ4 2015","FQ4 2015","Currency=USD","Period=FQ","BEST_FPERIOD_OVERRIDE=FQ","FILING_STATUS=MR","SCALING_FORMAT=MLN","Sort=A","Dates=H","DateFormat=P","Fill=—","Direction=H","UseDPDF=Y")</f>
        <v>7204</v>
      </c>
      <c r="AE27" s="13">
        <f>_xll.BDH("AMZN US Equity","BS_OTHER_ASSETS_DEF_CHRG_OTHER","FQ1 2016","FQ1 2016","Currency=USD","Period=FQ","BEST_FPERIOD_OVERRIDE=FQ","FILING_STATUS=MR","SCALING_FORMAT=MLN","Sort=A","Dates=H","DateFormat=P","Fill=—","Direction=H","UseDPDF=Y")</f>
        <v>7307</v>
      </c>
      <c r="AF27" s="13">
        <f>_xll.BDH("AMZN US Equity","BS_OTHER_ASSETS_DEF_CHRG_OTHER","FQ2 2016","FQ2 2016","Currency=USD","Period=FQ","BEST_FPERIOD_OVERRIDE=FQ","FILING_STATUS=MR","SCALING_FORMAT=MLN","Sort=A","Dates=H","DateFormat=P","Fill=—","Direction=H","UseDPDF=Y")</f>
        <v>7666</v>
      </c>
      <c r="AG27" s="13">
        <f>_xll.BDH("AMZN US Equity","BS_OTHER_ASSETS_DEF_CHRG_OTHER","FQ3 2016","FQ3 2016","Currency=USD","Period=FQ","BEST_FPERIOD_OVERRIDE=FQ","FILING_STATUS=MR","SCALING_FORMAT=MLN","Sort=A","Dates=H","DateFormat=P","Fill=—","Direction=H","UseDPDF=Y")</f>
        <v>8111</v>
      </c>
      <c r="AH27" s="13">
        <f>_xll.BDH("AMZN US Equity","BS_OTHER_ASSETS_DEF_CHRG_OTHER","FQ4 2016","FQ4 2016","Currency=USD","Period=FQ","BEST_FPERIOD_OVERRIDE=FQ","FILING_STATUS=MR","SCALING_FORMAT=MLN","Sort=A","Dates=H","DateFormat=P","Fill=—","Direction=H","UseDPDF=Y")</f>
        <v>8507</v>
      </c>
      <c r="AI27" s="13">
        <f>_xll.BDH("AMZN US Equity","BS_OTHER_ASSETS_DEF_CHRG_OTHER","FQ1 2017","FQ1 2017","Currency=USD","Period=FQ","BEST_FPERIOD_OVERRIDE=FQ","FILING_STATUS=MR","SCALING_FORMAT=MLN","Sort=A","Dates=H","DateFormat=P","Fill=—","Direction=H","UseDPDF=Y")</f>
        <v>8877</v>
      </c>
      <c r="AJ27" s="13">
        <f>_xll.BDH("AMZN US Equity","BS_OTHER_ASSETS_DEF_CHRG_OTHER","FQ2 2017","FQ2 2017","Currency=USD","Period=FQ","BEST_FPERIOD_OVERRIDE=FQ","FILING_STATUS=MR","SCALING_FORMAT=MLN","Sort=A","Dates=H","DateFormat=P","Fill=—","Direction=H","UseDPDF=Y")</f>
        <v>9691</v>
      </c>
      <c r="AK27" s="13">
        <f>_xll.BDH("AMZN US Equity","BS_OTHER_ASSETS_DEF_CHRG_OTHER","FQ3 2017","FQ3 2017","Currency=USD","Period=FQ","BEST_FPERIOD_OVERRIDE=FQ","FILING_STATUS=MR","SCALING_FORMAT=MLN","Sort=A","Dates=H","DateFormat=P","Fill=—","Direction=H","UseDPDF=Y")</f>
        <v>21354</v>
      </c>
      <c r="AL27" s="13">
        <f>_xll.BDH("AMZN US Equity","BS_OTHER_ASSETS_DEF_CHRG_OTHER","FQ4 2017","FQ4 2017","Currency=USD","Period=FQ","BEST_FPERIOD_OVERRIDE=FQ","FILING_STATUS=MR","SCALING_FORMAT=MLN","Sort=A","Dates=H","DateFormat=P","Fill=—","Direction=H","UseDPDF=Y")</f>
        <v>22247</v>
      </c>
      <c r="AM27" s="13">
        <f>_xll.BDH("AMZN US Equity","BS_OTHER_ASSETS_DEF_CHRG_OTHER","FQ1 2018","FQ1 2018","Currency=USD","Period=FQ","BEST_FPERIOD_OVERRIDE=FQ","FILING_STATUS=MR","SCALING_FORMAT=MLN","Sort=A","Dates=H","DateFormat=P","Fill=—","Direction=H","UseDPDF=Y")</f>
        <v>23202</v>
      </c>
      <c r="AN27" s="13">
        <f>_xll.BDH("AMZN US Equity","BS_OTHER_ASSETS_DEF_CHRG_OTHER","FQ2 2018","FQ2 2018","Currency=USD","Period=FQ","BEST_FPERIOD_OVERRIDE=FQ","FILING_STATUS=MR","SCALING_FORMAT=MLN","Sort=A","Dates=H","DateFormat=P","Fill=—","Direction=H","UseDPDF=Y")</f>
        <v>24851</v>
      </c>
    </row>
    <row r="28" spans="1:40" x14ac:dyDescent="0.25">
      <c r="A28" s="10" t="s">
        <v>252</v>
      </c>
      <c r="B28" s="10" t="s">
        <v>253</v>
      </c>
      <c r="C28" s="13">
        <f>_xll.BDH("AMZN US Equity","BS_DISCLOSED_INTANGIBLES","FQ1 2009","FQ1 2009","Currency=USD","Period=FQ","BEST_FPERIOD_OVERRIDE=FQ","FILING_STATUS=MR","SCALING_FORMAT=MLN","Sort=A","Dates=H","DateFormat=P","Fill=—","Direction=H","UseDPDF=Y")</f>
        <v>433</v>
      </c>
      <c r="D28" s="13">
        <f>_xll.BDH("AMZN US Equity","BS_DISCLOSED_INTANGIBLES","FQ2 2009","FQ2 2009","Currency=USD","Period=FQ","BEST_FPERIOD_OVERRIDE=FQ","FILING_STATUS=MR","SCALING_FORMAT=MLN","Sort=A","Dates=H","DateFormat=P","Fill=—","Direction=H","UseDPDF=Y")</f>
        <v>451</v>
      </c>
      <c r="E28" s="13">
        <f>_xll.BDH("AMZN US Equity","BS_DISCLOSED_INTANGIBLES","FQ3 2009","FQ3 2009","Currency=USD","Period=FQ","BEST_FPERIOD_OVERRIDE=FQ","FILING_STATUS=MR","SCALING_FORMAT=MLN","Sort=A","Dates=H","DateFormat=P","Fill=—","Direction=H","UseDPDF=Y")</f>
        <v>457</v>
      </c>
      <c r="F28" s="13">
        <f>_xll.BDH("AMZN US Equity","BS_DISCLOSED_INTANGIBLES","FQ4 2009","FQ4 2009","Currency=USD","Period=FQ","BEST_FPERIOD_OVERRIDE=FQ","FILING_STATUS=MR","SCALING_FORMAT=MLN","Sort=A","Dates=H","DateFormat=P","Fill=—","Direction=H","UseDPDF=Y")</f>
        <v>1234</v>
      </c>
      <c r="G28" s="13">
        <f>_xll.BDH("AMZN US Equity","BS_DISCLOSED_INTANGIBLES","FQ1 2010","FQ1 2010","Currency=USD","Period=FQ","BEST_FPERIOD_OVERRIDE=FQ","FILING_STATUS=MR","SCALING_FORMAT=MLN","Sort=A","Dates=H","DateFormat=P","Fill=—","Direction=H","UseDPDF=Y")</f>
        <v>1234</v>
      </c>
      <c r="H28" s="13">
        <f>_xll.BDH("AMZN US Equity","BS_DISCLOSED_INTANGIBLES","FQ2 2010","FQ2 2010","Currency=USD","Period=FQ","BEST_FPERIOD_OVERRIDE=FQ","FILING_STATUS=MR","SCALING_FORMAT=MLN","Sort=A","Dates=H","DateFormat=P","Fill=—","Direction=H","UseDPDF=Y")</f>
        <v>1229</v>
      </c>
      <c r="I28" s="13">
        <f>_xll.BDH("AMZN US Equity","BS_DISCLOSED_INTANGIBLES","FQ3 2010","FQ3 2010","Currency=USD","Period=FQ","BEST_FPERIOD_OVERRIDE=FQ","FILING_STATUS=MR","SCALING_FORMAT=MLN","Sort=A","Dates=H","DateFormat=P","Fill=—","Direction=H","UseDPDF=Y")</f>
        <v>1277</v>
      </c>
      <c r="J28" s="13">
        <f>_xll.BDH("AMZN US Equity","BS_DISCLOSED_INTANGIBLES","FQ4 2010","FQ4 2010","Currency=USD","Period=FQ","BEST_FPERIOD_OVERRIDE=FQ","FILING_STATUS=MR","SCALING_FORMAT=MLN","Sort=A","Dates=H","DateFormat=P","Fill=—","Direction=H","UseDPDF=Y")</f>
        <v>1349</v>
      </c>
      <c r="K28" s="13">
        <f>_xll.BDH("AMZN US Equity","BS_DISCLOSED_INTANGIBLES","FQ1 2011","FQ1 2011","Currency=USD","Period=FQ","BEST_FPERIOD_OVERRIDE=FQ","FILING_STATUS=MR","SCALING_FORMAT=MLN","Sort=A","Dates=H","DateFormat=P","Fill=—","Direction=H","UseDPDF=Y")</f>
        <v>1513</v>
      </c>
      <c r="L28" s="13">
        <f>_xll.BDH("AMZN US Equity","BS_DISCLOSED_INTANGIBLES","FQ2 2011","FQ2 2011","Currency=USD","Period=FQ","BEST_FPERIOD_OVERRIDE=FQ","FILING_STATUS=MR","SCALING_FORMAT=MLN","Sort=A","Dates=H","DateFormat=P","Fill=—","Direction=H","UseDPDF=Y")</f>
        <v>1909</v>
      </c>
      <c r="M28" s="13">
        <f>_xll.BDH("AMZN US Equity","BS_DISCLOSED_INTANGIBLES","FQ3 2011","FQ3 2011","Currency=USD","Period=FQ","BEST_FPERIOD_OVERRIDE=FQ","FILING_STATUS=MR","SCALING_FORMAT=MLN","Sort=A","Dates=H","DateFormat=P","Fill=—","Direction=H","UseDPDF=Y")</f>
        <v>1934</v>
      </c>
      <c r="N28" s="13">
        <f>_xll.BDH("AMZN US Equity","BS_DISCLOSED_INTANGIBLES","FQ4 2011","FQ4 2011","Currency=USD","Period=FQ","BEST_FPERIOD_OVERRIDE=FQ","FILING_STATUS=MR","SCALING_FORMAT=MLN","Sort=A","Dates=H","DateFormat=P","Fill=—","Direction=H","UseDPDF=Y")</f>
        <v>2602</v>
      </c>
      <c r="O28" s="13">
        <f>_xll.BDH("AMZN US Equity","BS_DISCLOSED_INTANGIBLES","FQ1 2012","FQ1 2012","Currency=USD","Period=FQ","BEST_FPERIOD_OVERRIDE=FQ","FILING_STATUS=MR","SCALING_FORMAT=MLN","Sort=A","Dates=H","DateFormat=P","Fill=—","Direction=H","UseDPDF=Y")</f>
        <v>1970</v>
      </c>
      <c r="P28" s="13">
        <f>_xll.BDH("AMZN US Equity","BS_DISCLOSED_INTANGIBLES","FQ2 2012","FQ2 2012","Currency=USD","Period=FQ","BEST_FPERIOD_OVERRIDE=FQ","FILING_STATUS=MR","SCALING_FORMAT=MLN","Sort=A","Dates=H","DateFormat=P","Fill=—","Direction=H","UseDPDF=Y")</f>
        <v>2521</v>
      </c>
      <c r="Q28" s="13">
        <f>_xll.BDH("AMZN US Equity","BS_DISCLOSED_INTANGIBLES","FQ3 2012","FQ3 2012","Currency=USD","Period=FQ","BEST_FPERIOD_OVERRIDE=FQ","FILING_STATUS=MR","SCALING_FORMAT=MLN","Sort=A","Dates=H","DateFormat=P","Fill=—","Direction=H","UseDPDF=Y")</f>
        <v>2540</v>
      </c>
      <c r="R28" s="13">
        <f>_xll.BDH("AMZN US Equity","BS_DISCLOSED_INTANGIBLES","FQ4 2012","FQ4 2012","Currency=USD","Period=FQ","BEST_FPERIOD_OVERRIDE=FQ","FILING_STATUS=MR","SCALING_FORMAT=MLN","Sort=A","Dates=H","DateFormat=P","Fill=—","Direction=H","UseDPDF=Y")</f>
        <v>3277</v>
      </c>
      <c r="S28" s="13">
        <f>_xll.BDH("AMZN US Equity","BS_DISCLOSED_INTANGIBLES","FQ1 2013","FQ1 2013","Currency=USD","Period=FQ","BEST_FPERIOD_OVERRIDE=FQ","FILING_STATUS=MR","SCALING_FORMAT=MLN","Sort=A","Dates=H","DateFormat=P","Fill=—","Direction=H","UseDPDF=Y")</f>
        <v>2535</v>
      </c>
      <c r="T28" s="13">
        <f>_xll.BDH("AMZN US Equity","BS_DISCLOSED_INTANGIBLES","FQ2 2013","FQ2 2013","Currency=USD","Period=FQ","BEST_FPERIOD_OVERRIDE=FQ","FILING_STATUS=MR","SCALING_FORMAT=MLN","Sort=A","Dates=H","DateFormat=P","Fill=—","Direction=H","UseDPDF=Y")</f>
        <v>2614</v>
      </c>
      <c r="U28" s="13">
        <f>_xll.BDH("AMZN US Equity","BS_DISCLOSED_INTANGIBLES","FQ3 2013","FQ3 2013","Currency=USD","Period=FQ","BEST_FPERIOD_OVERRIDE=FQ","FILING_STATUS=MR","SCALING_FORMAT=MLN","Sort=A","Dates=H","DateFormat=P","Fill=—","Direction=H","UseDPDF=Y")</f>
        <v>2635</v>
      </c>
      <c r="V28" s="13">
        <f>_xll.BDH("AMZN US Equity","BS_DISCLOSED_INTANGIBLES","FQ4 2013","FQ4 2013","Currency=USD","Period=FQ","BEST_FPERIOD_OVERRIDE=FQ","FILING_STATUS=MR","SCALING_FORMAT=MLN","Sort=A","Dates=H","DateFormat=P","Fill=—","Direction=H","UseDPDF=Y")</f>
        <v>3300</v>
      </c>
      <c r="W28" s="13">
        <f>_xll.BDH("AMZN US Equity","BS_DISCLOSED_INTANGIBLES","FQ1 2014","FQ1 2014","Currency=USD","Period=FQ","BEST_FPERIOD_OVERRIDE=FQ","FILING_STATUS=MR","SCALING_FORMAT=MLN","Sort=A","Dates=H","DateFormat=P","Fill=—","Direction=H","UseDPDF=Y")</f>
        <v>2653</v>
      </c>
      <c r="X28" s="13">
        <f>_xll.BDH("AMZN US Equity","BS_DISCLOSED_INTANGIBLES","FQ2 2014","FQ2 2014","Currency=USD","Period=FQ","BEST_FPERIOD_OVERRIDE=FQ","FILING_STATUS=MR","SCALING_FORMAT=MLN","Sort=A","Dates=H","DateFormat=P","Fill=—","Direction=H","UseDPDF=Y")</f>
        <v>2677</v>
      </c>
      <c r="Y28" s="13">
        <f>_xll.BDH("AMZN US Equity","BS_DISCLOSED_INTANGIBLES","FQ3 2014","FQ3 2014","Currency=USD","Period=FQ","BEST_FPERIOD_OVERRIDE=FQ","FILING_STATUS=MR","SCALING_FORMAT=MLN","Sort=A","Dates=H","DateFormat=P","Fill=—","Direction=H","UseDPDF=Y")</f>
        <v>3332</v>
      </c>
      <c r="Z28" s="13">
        <f>_xll.BDH("AMZN US Equity","BS_DISCLOSED_INTANGIBLES","FQ4 2014","FQ4 2014","Currency=USD","Period=FQ","BEST_FPERIOD_OVERRIDE=FQ","FILING_STATUS=MR","SCALING_FORMAT=MLN","Sort=A","Dates=H","DateFormat=P","Fill=—","Direction=H","UseDPDF=Y")</f>
        <v>4083</v>
      </c>
      <c r="AA28" s="13">
        <f>_xll.BDH("AMZN US Equity","BS_DISCLOSED_INTANGIBLES","FQ1 2015","FQ1 2015","Currency=USD","Period=FQ","BEST_FPERIOD_OVERRIDE=FQ","FILING_STATUS=MR","SCALING_FORMAT=MLN","Sort=A","Dates=H","DateFormat=P","Fill=—","Direction=H","UseDPDF=Y")</f>
        <v>3491</v>
      </c>
      <c r="AB28" s="13">
        <f>_xll.BDH("AMZN US Equity","BS_DISCLOSED_INTANGIBLES","FQ2 2015","FQ2 2015","Currency=USD","Period=FQ","BEST_FPERIOD_OVERRIDE=FQ","FILING_STATUS=MR","SCALING_FORMAT=MLN","Sort=A","Dates=H","DateFormat=P","Fill=—","Direction=H","UseDPDF=Y")</f>
        <v>3523</v>
      </c>
      <c r="AC28" s="13">
        <f>_xll.BDH("AMZN US Equity","BS_DISCLOSED_INTANGIBLES","FQ3 2015","FQ3 2015","Currency=USD","Period=FQ","BEST_FPERIOD_OVERRIDE=FQ","FILING_STATUS=MR","SCALING_FORMAT=MLN","Sort=A","Dates=H","DateFormat=P","Fill=—","Direction=H","UseDPDF=Y")</f>
        <v>3529</v>
      </c>
      <c r="AD28" s="13">
        <f>_xll.BDH("AMZN US Equity","BS_DISCLOSED_INTANGIBLES","FQ4 2015","FQ4 2015","Currency=USD","Period=FQ","BEST_FPERIOD_OVERRIDE=FQ","FILING_STATUS=MR","SCALING_FORMAT=MLN","Sort=A","Dates=H","DateFormat=P","Fill=—","Direction=H","UseDPDF=Y")</f>
        <v>4751</v>
      </c>
      <c r="AE28" s="13">
        <f>_xll.BDH("AMZN US Equity","BS_DISCLOSED_INTANGIBLES","FQ1 2016","FQ1 2016","Currency=USD","Period=FQ","BEST_FPERIOD_OVERRIDE=FQ","FILING_STATUS=MR","SCALING_FORMAT=MLN","Sort=A","Dates=H","DateFormat=P","Fill=—","Direction=H","UseDPDF=Y")</f>
        <v>3785</v>
      </c>
      <c r="AF28" s="13">
        <f>_xll.BDH("AMZN US Equity","BS_DISCLOSED_INTANGIBLES","FQ2 2016","FQ2 2016","Currency=USD","Period=FQ","BEST_FPERIOD_OVERRIDE=FQ","FILING_STATUS=MR","SCALING_FORMAT=MLN","Sort=A","Dates=H","DateFormat=P","Fill=—","Direction=H","UseDPDF=Y")</f>
        <v>3774</v>
      </c>
      <c r="AG28" s="13">
        <f>_xll.BDH("AMZN US Equity","BS_DISCLOSED_INTANGIBLES","FQ3 2016","FQ3 2016","Currency=USD","Period=FQ","BEST_FPERIOD_OVERRIDE=FQ","FILING_STATUS=MR","SCALING_FORMAT=MLN","Sort=A","Dates=H","DateFormat=P","Fill=—","Direction=H","UseDPDF=Y")</f>
        <v>3815</v>
      </c>
      <c r="AH28" s="13">
        <f>_xll.BDH("AMZN US Equity","BS_DISCLOSED_INTANGIBLES","FQ4 2016","FQ4 2016","Currency=USD","Period=FQ","BEST_FPERIOD_OVERRIDE=FQ","FILING_STATUS=MR","SCALING_FORMAT=MLN","Sort=A","Dates=H","DateFormat=P","Fill=—","Direction=H","UseDPDF=Y")</f>
        <v>4638</v>
      </c>
      <c r="AI28" s="13">
        <f>_xll.BDH("AMZN US Equity","BS_DISCLOSED_INTANGIBLES","FQ1 2017","FQ1 2017","Currency=USD","Period=FQ","BEST_FPERIOD_OVERRIDE=FQ","FILING_STATUS=MR","SCALING_FORMAT=MLN","Sort=A","Dates=H","DateFormat=P","Fill=—","Direction=H","UseDPDF=Y")</f>
        <v>3823</v>
      </c>
      <c r="AJ28" s="13">
        <f>_xll.BDH("AMZN US Equity","BS_DISCLOSED_INTANGIBLES","FQ2 2017","FQ2 2017","Currency=USD","Period=FQ","BEST_FPERIOD_OVERRIDE=FQ","FILING_STATUS=MR","SCALING_FORMAT=MLN","Sort=A","Dates=H","DateFormat=P","Fill=—","Direction=H","UseDPDF=Y")</f>
        <v>4254</v>
      </c>
      <c r="AK28" s="13">
        <f>_xll.BDH("AMZN US Equity","BS_DISCLOSED_INTANGIBLES","FQ3 2017","FQ3 2017","Currency=USD","Period=FQ","BEST_FPERIOD_OVERRIDE=FQ","FILING_STATUS=MR","SCALING_FORMAT=MLN","Sort=A","Dates=H","DateFormat=P","Fill=—","Direction=H","UseDPDF=Y")</f>
        <v>13271</v>
      </c>
      <c r="AL28" s="13">
        <f>_xll.BDH("AMZN US Equity","BS_DISCLOSED_INTANGIBLES","FQ4 2017","FQ4 2017","Currency=USD","Period=FQ","BEST_FPERIOD_OVERRIDE=FQ","FILING_STATUS=MR","SCALING_FORMAT=MLN","Sort=A","Dates=H","DateFormat=P","Fill=—","Direction=H","UseDPDF=Y")</f>
        <v>16721</v>
      </c>
      <c r="AM28" s="13">
        <f>_xll.BDH("AMZN US Equity","BS_DISCLOSED_INTANGIBLES","FQ1 2018","FQ1 2018","Currency=USD","Period=FQ","BEST_FPERIOD_OVERRIDE=FQ","FILING_STATUS=MR","SCALING_FORMAT=MLN","Sort=A","Dates=H","DateFormat=P","Fill=—","Direction=H","UseDPDF=Y")</f>
        <v>13388</v>
      </c>
      <c r="AN28" s="13">
        <f>_xll.BDH("AMZN US Equity","BS_DISCLOSED_INTANGIBLES","FQ2 2018","FQ2 2018","Currency=USD","Period=FQ","BEST_FPERIOD_OVERRIDE=FQ","FILING_STATUS=MR","SCALING_FORMAT=MLN","Sort=A","Dates=H","DateFormat=P","Fill=—","Direction=H","UseDPDF=Y")</f>
        <v>13944</v>
      </c>
    </row>
    <row r="29" spans="1:40" x14ac:dyDescent="0.25">
      <c r="A29" s="11" t="s">
        <v>254</v>
      </c>
      <c r="B29" s="11" t="s">
        <v>255</v>
      </c>
      <c r="C29" s="22">
        <f>_xll.BDH("AMZN US Equity","BS_GOODWILL","FQ1 2009","FQ1 2009","Currency=USD","Period=FQ","BEST_FPERIOD_OVERRIDE=FQ","FILING_STATUS=MR","SCALING_FORMAT=MLN","Sort=A","Dates=H","DateFormat=P","Fill=—","Direction=H","UseDPDF=Y")</f>
        <v>433</v>
      </c>
      <c r="D29" s="22">
        <f>_xll.BDH("AMZN US Equity","BS_GOODWILL","FQ2 2009","FQ2 2009","Currency=USD","Period=FQ","BEST_FPERIOD_OVERRIDE=FQ","FILING_STATUS=MR","SCALING_FORMAT=MLN","Sort=A","Dates=H","DateFormat=P","Fill=—","Direction=H","UseDPDF=Y")</f>
        <v>451</v>
      </c>
      <c r="E29" s="22">
        <f>_xll.BDH("AMZN US Equity","BS_GOODWILL","FQ3 2009","FQ3 2009","Currency=USD","Period=FQ","BEST_FPERIOD_OVERRIDE=FQ","FILING_STATUS=MR","SCALING_FORMAT=MLN","Sort=A","Dates=H","DateFormat=P","Fill=—","Direction=H","UseDPDF=Y")</f>
        <v>457</v>
      </c>
      <c r="F29" s="22">
        <f>_xll.BDH("AMZN US Equity","BS_GOODWILL","FQ4 2009","FQ4 2009","Currency=USD","Period=FQ","BEST_FPERIOD_OVERRIDE=FQ","FILING_STATUS=MR","SCALING_FORMAT=MLN","Sort=A","Dates=H","DateFormat=P","Fill=—","Direction=H","UseDPDF=Y")</f>
        <v>1234</v>
      </c>
      <c r="G29" s="22">
        <f>_xll.BDH("AMZN US Equity","BS_GOODWILL","FQ1 2010","FQ1 2010","Currency=USD","Period=FQ","BEST_FPERIOD_OVERRIDE=FQ","FILING_STATUS=MR","SCALING_FORMAT=MLN","Sort=A","Dates=H","DateFormat=P","Fill=—","Direction=H","UseDPDF=Y")</f>
        <v>1234</v>
      </c>
      <c r="H29" s="22">
        <f>_xll.BDH("AMZN US Equity","BS_GOODWILL","FQ2 2010","FQ2 2010","Currency=USD","Period=FQ","BEST_FPERIOD_OVERRIDE=FQ","FILING_STATUS=MR","SCALING_FORMAT=MLN","Sort=A","Dates=H","DateFormat=P","Fill=—","Direction=H","UseDPDF=Y")</f>
        <v>1229</v>
      </c>
      <c r="I29" s="22">
        <f>_xll.BDH("AMZN US Equity","BS_GOODWILL","FQ3 2010","FQ3 2010","Currency=USD","Period=FQ","BEST_FPERIOD_OVERRIDE=FQ","FILING_STATUS=MR","SCALING_FORMAT=MLN","Sort=A","Dates=H","DateFormat=P","Fill=—","Direction=H","UseDPDF=Y")</f>
        <v>1277</v>
      </c>
      <c r="J29" s="22">
        <f>_xll.BDH("AMZN US Equity","BS_GOODWILL","FQ4 2010","FQ4 2010","Currency=USD","Period=FQ","BEST_FPERIOD_OVERRIDE=FQ","FILING_STATUS=MR","SCALING_FORMAT=MLN","Sort=A","Dates=H","DateFormat=P","Fill=—","Direction=H","UseDPDF=Y")</f>
        <v>1349</v>
      </c>
      <c r="K29" s="22">
        <f>_xll.BDH("AMZN US Equity","BS_GOODWILL","FQ1 2011","FQ1 2011","Currency=USD","Period=FQ","BEST_FPERIOD_OVERRIDE=FQ","FILING_STATUS=MR","SCALING_FORMAT=MLN","Sort=A","Dates=H","DateFormat=P","Fill=—","Direction=H","UseDPDF=Y")</f>
        <v>1513</v>
      </c>
      <c r="L29" s="22">
        <f>_xll.BDH("AMZN US Equity","BS_GOODWILL","FQ2 2011","FQ2 2011","Currency=USD","Period=FQ","BEST_FPERIOD_OVERRIDE=FQ","FILING_STATUS=MR","SCALING_FORMAT=MLN","Sort=A","Dates=H","DateFormat=P","Fill=—","Direction=H","UseDPDF=Y")</f>
        <v>1909</v>
      </c>
      <c r="M29" s="22">
        <f>_xll.BDH("AMZN US Equity","BS_GOODWILL","FQ3 2011","FQ3 2011","Currency=USD","Period=FQ","BEST_FPERIOD_OVERRIDE=FQ","FILING_STATUS=MR","SCALING_FORMAT=MLN","Sort=A","Dates=H","DateFormat=P","Fill=—","Direction=H","UseDPDF=Y")</f>
        <v>1934</v>
      </c>
      <c r="N29" s="22">
        <f>_xll.BDH("AMZN US Equity","BS_GOODWILL","FQ4 2011","FQ4 2011","Currency=USD","Period=FQ","BEST_FPERIOD_OVERRIDE=FQ","FILING_STATUS=MR","SCALING_FORMAT=MLN","Sort=A","Dates=H","DateFormat=P","Fill=—","Direction=H","UseDPDF=Y")</f>
        <v>1955</v>
      </c>
      <c r="O29" s="22">
        <f>_xll.BDH("AMZN US Equity","BS_GOODWILL","FQ1 2012","FQ1 2012","Currency=USD","Period=FQ","BEST_FPERIOD_OVERRIDE=FQ","FILING_STATUS=MR","SCALING_FORMAT=MLN","Sort=A","Dates=H","DateFormat=P","Fill=—","Direction=H","UseDPDF=Y")</f>
        <v>1970</v>
      </c>
      <c r="P29" s="22">
        <f>_xll.BDH("AMZN US Equity","BS_GOODWILL","FQ2 2012","FQ2 2012","Currency=USD","Period=FQ","BEST_FPERIOD_OVERRIDE=FQ","FILING_STATUS=MR","SCALING_FORMAT=MLN","Sort=A","Dates=H","DateFormat=P","Fill=—","Direction=H","UseDPDF=Y")</f>
        <v>2521</v>
      </c>
      <c r="Q29" s="22">
        <f>_xll.BDH("AMZN US Equity","BS_GOODWILL","FQ3 2012","FQ3 2012","Currency=USD","Period=FQ","BEST_FPERIOD_OVERRIDE=FQ","FILING_STATUS=MR","SCALING_FORMAT=MLN","Sort=A","Dates=H","DateFormat=P","Fill=—","Direction=H","UseDPDF=Y")</f>
        <v>2540</v>
      </c>
      <c r="R29" s="22">
        <f>_xll.BDH("AMZN US Equity","BS_GOODWILL","FQ4 2012","FQ4 2012","Currency=USD","Period=FQ","BEST_FPERIOD_OVERRIDE=FQ","FILING_STATUS=MR","SCALING_FORMAT=MLN","Sort=A","Dates=H","DateFormat=P","Fill=—","Direction=H","UseDPDF=Y")</f>
        <v>2552</v>
      </c>
      <c r="S29" s="22">
        <f>_xll.BDH("AMZN US Equity","BS_GOODWILL","FQ1 2013","FQ1 2013","Currency=USD","Period=FQ","BEST_FPERIOD_OVERRIDE=FQ","FILING_STATUS=MR","SCALING_FORMAT=MLN","Sort=A","Dates=H","DateFormat=P","Fill=—","Direction=H","UseDPDF=Y")</f>
        <v>2535</v>
      </c>
      <c r="T29" s="22">
        <f>_xll.BDH("AMZN US Equity","BS_GOODWILL","FQ2 2013","FQ2 2013","Currency=USD","Period=FQ","BEST_FPERIOD_OVERRIDE=FQ","FILING_STATUS=MR","SCALING_FORMAT=MLN","Sort=A","Dates=H","DateFormat=P","Fill=—","Direction=H","UseDPDF=Y")</f>
        <v>2614</v>
      </c>
      <c r="U29" s="22">
        <f>_xll.BDH("AMZN US Equity","BS_GOODWILL","FQ3 2013","FQ3 2013","Currency=USD","Period=FQ","BEST_FPERIOD_OVERRIDE=FQ","FILING_STATUS=MR","SCALING_FORMAT=MLN","Sort=A","Dates=H","DateFormat=P","Fill=—","Direction=H","UseDPDF=Y")</f>
        <v>2635</v>
      </c>
      <c r="V29" s="22">
        <f>_xll.BDH("AMZN US Equity","BS_GOODWILL","FQ4 2013","FQ4 2013","Currency=USD","Period=FQ","BEST_FPERIOD_OVERRIDE=FQ","FILING_STATUS=MR","SCALING_FORMAT=MLN","Sort=A","Dates=H","DateFormat=P","Fill=—","Direction=H","UseDPDF=Y")</f>
        <v>2655</v>
      </c>
      <c r="W29" s="22">
        <f>_xll.BDH("AMZN US Equity","BS_GOODWILL","FQ1 2014","FQ1 2014","Currency=USD","Period=FQ","BEST_FPERIOD_OVERRIDE=FQ","FILING_STATUS=MR","SCALING_FORMAT=MLN","Sort=A","Dates=H","DateFormat=P","Fill=—","Direction=H","UseDPDF=Y")</f>
        <v>2653</v>
      </c>
      <c r="X29" s="22">
        <f>_xll.BDH("AMZN US Equity","BS_GOODWILL","FQ2 2014","FQ2 2014","Currency=USD","Period=FQ","BEST_FPERIOD_OVERRIDE=FQ","FILING_STATUS=MR","SCALING_FORMAT=MLN","Sort=A","Dates=H","DateFormat=P","Fill=—","Direction=H","UseDPDF=Y")</f>
        <v>2677</v>
      </c>
      <c r="Y29" s="22">
        <f>_xll.BDH("AMZN US Equity","BS_GOODWILL","FQ3 2014","FQ3 2014","Currency=USD","Period=FQ","BEST_FPERIOD_OVERRIDE=FQ","FILING_STATUS=MR","SCALING_FORMAT=MLN","Sort=A","Dates=H","DateFormat=P","Fill=—","Direction=H","UseDPDF=Y")</f>
        <v>3332</v>
      </c>
      <c r="Z29" s="22">
        <f>_xll.BDH("AMZN US Equity","BS_GOODWILL","FQ4 2014","FQ4 2014","Currency=USD","Period=FQ","BEST_FPERIOD_OVERRIDE=FQ","FILING_STATUS=MR","SCALING_FORMAT=MLN","Sort=A","Dates=H","DateFormat=P","Fill=—","Direction=H","UseDPDF=Y")</f>
        <v>3319</v>
      </c>
      <c r="AA29" s="22">
        <f>_xll.BDH("AMZN US Equity","BS_GOODWILL","FQ1 2015","FQ1 2015","Currency=USD","Period=FQ","BEST_FPERIOD_OVERRIDE=FQ","FILING_STATUS=MR","SCALING_FORMAT=MLN","Sort=A","Dates=H","DateFormat=P","Fill=—","Direction=H","UseDPDF=Y")</f>
        <v>3491</v>
      </c>
      <c r="AB29" s="22">
        <f>_xll.BDH("AMZN US Equity","BS_GOODWILL","FQ2 2015","FQ2 2015","Currency=USD","Period=FQ","BEST_FPERIOD_OVERRIDE=FQ","FILING_STATUS=MR","SCALING_FORMAT=MLN","Sort=A","Dates=H","DateFormat=P","Fill=—","Direction=H","UseDPDF=Y")</f>
        <v>3523</v>
      </c>
      <c r="AC29" s="22">
        <f>_xll.BDH("AMZN US Equity","BS_GOODWILL","FQ3 2015","FQ3 2015","Currency=USD","Period=FQ","BEST_FPERIOD_OVERRIDE=FQ","FILING_STATUS=MR","SCALING_FORMAT=MLN","Sort=A","Dates=H","DateFormat=P","Fill=—","Direction=H","UseDPDF=Y")</f>
        <v>3529</v>
      </c>
      <c r="AD29" s="22">
        <f>_xll.BDH("AMZN US Equity","BS_GOODWILL","FQ4 2015","FQ4 2015","Currency=USD","Period=FQ","BEST_FPERIOD_OVERRIDE=FQ","FILING_STATUS=MR","SCALING_FORMAT=MLN","Sort=A","Dates=H","DateFormat=P","Fill=—","Direction=H","UseDPDF=Y")</f>
        <v>3759</v>
      </c>
      <c r="AE29" s="22">
        <f>_xll.BDH("AMZN US Equity","BS_GOODWILL","FQ1 2016","FQ1 2016","Currency=USD","Period=FQ","BEST_FPERIOD_OVERRIDE=FQ","FILING_STATUS=MR","SCALING_FORMAT=MLN","Sort=A","Dates=H","DateFormat=P","Fill=—","Direction=H","UseDPDF=Y")</f>
        <v>3785</v>
      </c>
      <c r="AF29" s="22">
        <f>_xll.BDH("AMZN US Equity","BS_GOODWILL","FQ2 2016","FQ2 2016","Currency=USD","Period=FQ","BEST_FPERIOD_OVERRIDE=FQ","FILING_STATUS=MR","SCALING_FORMAT=MLN","Sort=A","Dates=H","DateFormat=P","Fill=—","Direction=H","UseDPDF=Y")</f>
        <v>3774</v>
      </c>
      <c r="AG29" s="22">
        <f>_xll.BDH("AMZN US Equity","BS_GOODWILL","FQ3 2016","FQ3 2016","Currency=USD","Period=FQ","BEST_FPERIOD_OVERRIDE=FQ","FILING_STATUS=MR","SCALING_FORMAT=MLN","Sort=A","Dates=H","DateFormat=P","Fill=—","Direction=H","UseDPDF=Y")</f>
        <v>3815</v>
      </c>
      <c r="AH29" s="22">
        <f>_xll.BDH("AMZN US Equity","BS_GOODWILL","FQ4 2016","FQ4 2016","Currency=USD","Period=FQ","BEST_FPERIOD_OVERRIDE=FQ","FILING_STATUS=MR","SCALING_FORMAT=MLN","Sort=A","Dates=H","DateFormat=P","Fill=—","Direction=H","UseDPDF=Y")</f>
        <v>3784</v>
      </c>
      <c r="AI29" s="22">
        <f>_xll.BDH("AMZN US Equity","BS_GOODWILL","FQ1 2017","FQ1 2017","Currency=USD","Period=FQ","BEST_FPERIOD_OVERRIDE=FQ","FILING_STATUS=MR","SCALING_FORMAT=MLN","Sort=A","Dates=H","DateFormat=P","Fill=—","Direction=H","UseDPDF=Y")</f>
        <v>3823</v>
      </c>
      <c r="AJ29" s="22">
        <f>_xll.BDH("AMZN US Equity","BS_GOODWILL","FQ2 2017","FQ2 2017","Currency=USD","Period=FQ","BEST_FPERIOD_OVERRIDE=FQ","FILING_STATUS=MR","SCALING_FORMAT=MLN","Sort=A","Dates=H","DateFormat=P","Fill=—","Direction=H","UseDPDF=Y")</f>
        <v>4254</v>
      </c>
      <c r="AK29" s="22">
        <f>_xll.BDH("AMZN US Equity","BS_GOODWILL","FQ3 2017","FQ3 2017","Currency=USD","Period=FQ","BEST_FPERIOD_OVERRIDE=FQ","FILING_STATUS=MR","SCALING_FORMAT=MLN","Sort=A","Dates=H","DateFormat=P","Fill=—","Direction=H","UseDPDF=Y")</f>
        <v>13271</v>
      </c>
      <c r="AL29" s="22">
        <f>_xll.BDH("AMZN US Equity","BS_GOODWILL","FQ4 2017","FQ4 2017","Currency=USD","Period=FQ","BEST_FPERIOD_OVERRIDE=FQ","FILING_STATUS=MR","SCALING_FORMAT=MLN","Sort=A","Dates=H","DateFormat=P","Fill=—","Direction=H","UseDPDF=Y")</f>
        <v>13350</v>
      </c>
      <c r="AM29" s="22">
        <f>_xll.BDH("AMZN US Equity","BS_GOODWILL","FQ1 2018","FQ1 2018","Currency=USD","Period=FQ","BEST_FPERIOD_OVERRIDE=FQ","FILING_STATUS=MR","SCALING_FORMAT=MLN","Sort=A","Dates=H","DateFormat=P","Fill=—","Direction=H","UseDPDF=Y")</f>
        <v>13388</v>
      </c>
      <c r="AN29" s="22">
        <f>_xll.BDH("AMZN US Equity","BS_GOODWILL","FQ2 2018","FQ2 2018","Currency=USD","Period=FQ","BEST_FPERIOD_OVERRIDE=FQ","FILING_STATUS=MR","SCALING_FORMAT=MLN","Sort=A","Dates=H","DateFormat=P","Fill=—","Direction=H","UseDPDF=Y")</f>
        <v>13944</v>
      </c>
    </row>
    <row r="30" spans="1:40" x14ac:dyDescent="0.25">
      <c r="A30" s="11" t="s">
        <v>256</v>
      </c>
      <c r="B30" s="11" t="s">
        <v>257</v>
      </c>
      <c r="C30" s="22">
        <f>_xll.BDH("AMZN US Equity","OTHER_INTANGIBLE_ASSETS_DETAILED","FQ1 2009","FQ1 2009","Currency=USD","Period=FQ","BEST_FPERIOD_OVERRIDE=FQ","FILING_STATUS=MR","SCALING_FORMAT=MLN","Sort=A","Dates=H","DateFormat=P","Fill=—","Direction=H","UseDPDF=Y")</f>
        <v>0</v>
      </c>
      <c r="D30" s="22">
        <f>_xll.BDH("AMZN US Equity","OTHER_INTANGIBLE_ASSETS_DETAILED","FQ2 2009","FQ2 2009","Currency=USD","Period=FQ","BEST_FPERIOD_OVERRIDE=FQ","FILING_STATUS=MR","SCALING_FORMAT=MLN","Sort=A","Dates=H","DateFormat=P","Fill=—","Direction=H","UseDPDF=Y")</f>
        <v>0</v>
      </c>
      <c r="E30" s="22">
        <f>_xll.BDH("AMZN US Equity","OTHER_INTANGIBLE_ASSETS_DETAILED","FQ3 2009","FQ3 2009","Currency=USD","Period=FQ","BEST_FPERIOD_OVERRIDE=FQ","FILING_STATUS=MR","SCALING_FORMAT=MLN","Sort=A","Dates=H","DateFormat=P","Fill=—","Direction=H","UseDPDF=Y")</f>
        <v>0</v>
      </c>
      <c r="F30" s="22">
        <f>_xll.BDH("AMZN US Equity","OTHER_INTANGIBLE_ASSETS_DETAILED","FQ4 2009","FQ4 2009","Currency=USD","Period=FQ","BEST_FPERIOD_OVERRIDE=FQ","FILING_STATUS=MR","SCALING_FORMAT=MLN","Sort=A","Dates=H","DateFormat=P","Fill=—","Direction=H","UseDPDF=Y")</f>
        <v>0</v>
      </c>
      <c r="G30" s="22">
        <f>_xll.BDH("AMZN US Equity","OTHER_INTANGIBLE_ASSETS_DETAILED","FQ1 2010","FQ1 2010","Currency=USD","Period=FQ","BEST_FPERIOD_OVERRIDE=FQ","FILING_STATUS=MR","SCALING_FORMAT=MLN","Sort=A","Dates=H","DateFormat=P","Fill=—","Direction=H","UseDPDF=Y")</f>
        <v>0</v>
      </c>
      <c r="H30" s="22">
        <f>_xll.BDH("AMZN US Equity","OTHER_INTANGIBLE_ASSETS_DETAILED","FQ2 2010","FQ2 2010","Currency=USD","Period=FQ","BEST_FPERIOD_OVERRIDE=FQ","FILING_STATUS=MR","SCALING_FORMAT=MLN","Sort=A","Dates=H","DateFormat=P","Fill=—","Direction=H","UseDPDF=Y")</f>
        <v>0</v>
      </c>
      <c r="I30" s="22">
        <f>_xll.BDH("AMZN US Equity","OTHER_INTANGIBLE_ASSETS_DETAILED","FQ3 2010","FQ3 2010","Currency=USD","Period=FQ","BEST_FPERIOD_OVERRIDE=FQ","FILING_STATUS=MR","SCALING_FORMAT=MLN","Sort=A","Dates=H","DateFormat=P","Fill=—","Direction=H","UseDPDF=Y")</f>
        <v>0</v>
      </c>
      <c r="J30" s="22">
        <f>_xll.BDH("AMZN US Equity","OTHER_INTANGIBLE_ASSETS_DETAILED","FQ4 2010","FQ4 2010","Currency=USD","Period=FQ","BEST_FPERIOD_OVERRIDE=FQ","FILING_STATUS=MR","SCALING_FORMAT=MLN","Sort=A","Dates=H","DateFormat=P","Fill=—","Direction=H","UseDPDF=Y")</f>
        <v>0</v>
      </c>
      <c r="K30" s="22">
        <f>_xll.BDH("AMZN US Equity","OTHER_INTANGIBLE_ASSETS_DETAILED","FQ1 2011","FQ1 2011","Currency=USD","Period=FQ","BEST_FPERIOD_OVERRIDE=FQ","FILING_STATUS=MR","SCALING_FORMAT=MLN","Sort=A","Dates=H","DateFormat=P","Fill=—","Direction=H","UseDPDF=Y")</f>
        <v>0</v>
      </c>
      <c r="L30" s="22">
        <f>_xll.BDH("AMZN US Equity","OTHER_INTANGIBLE_ASSETS_DETAILED","FQ2 2011","FQ2 2011","Currency=USD","Period=FQ","BEST_FPERIOD_OVERRIDE=FQ","FILING_STATUS=MR","SCALING_FORMAT=MLN","Sort=A","Dates=H","DateFormat=P","Fill=—","Direction=H","UseDPDF=Y")</f>
        <v>0</v>
      </c>
      <c r="M30" s="22">
        <f>_xll.BDH("AMZN US Equity","OTHER_INTANGIBLE_ASSETS_DETAILED","FQ3 2011","FQ3 2011","Currency=USD","Period=FQ","BEST_FPERIOD_OVERRIDE=FQ","FILING_STATUS=MR","SCALING_FORMAT=MLN","Sort=A","Dates=H","DateFormat=P","Fill=—","Direction=H","UseDPDF=Y")</f>
        <v>0</v>
      </c>
      <c r="N30" s="22">
        <f>_xll.BDH("AMZN US Equity","OTHER_INTANGIBLE_ASSETS_DETAILED","FQ4 2011","FQ4 2011","Currency=USD","Period=FQ","BEST_FPERIOD_OVERRIDE=FQ","FILING_STATUS=MR","SCALING_FORMAT=MLN","Sort=A","Dates=H","DateFormat=P","Fill=—","Direction=H","UseDPDF=Y")</f>
        <v>647</v>
      </c>
      <c r="O30" s="22">
        <f>_xll.BDH("AMZN US Equity","OTHER_INTANGIBLE_ASSETS_DETAILED","FQ1 2012","FQ1 2012","Currency=USD","Period=FQ","BEST_FPERIOD_OVERRIDE=FQ","FILING_STATUS=MR","SCALING_FORMAT=MLN","Sort=A","Dates=H","DateFormat=P","Fill=—","Direction=H","UseDPDF=Y")</f>
        <v>0</v>
      </c>
      <c r="P30" s="22">
        <f>_xll.BDH("AMZN US Equity","OTHER_INTANGIBLE_ASSETS_DETAILED","FQ2 2012","FQ2 2012","Currency=USD","Period=FQ","BEST_FPERIOD_OVERRIDE=FQ","FILING_STATUS=MR","SCALING_FORMAT=MLN","Sort=A","Dates=H","DateFormat=P","Fill=—","Direction=H","UseDPDF=Y")</f>
        <v>0</v>
      </c>
      <c r="Q30" s="22">
        <f>_xll.BDH("AMZN US Equity","OTHER_INTANGIBLE_ASSETS_DETAILED","FQ3 2012","FQ3 2012","Currency=USD","Period=FQ","BEST_FPERIOD_OVERRIDE=FQ","FILING_STATUS=MR","SCALING_FORMAT=MLN","Sort=A","Dates=H","DateFormat=P","Fill=—","Direction=H","UseDPDF=Y")</f>
        <v>0</v>
      </c>
      <c r="R30" s="22">
        <f>_xll.BDH("AMZN US Equity","OTHER_INTANGIBLE_ASSETS_DETAILED","FQ4 2012","FQ4 2012","Currency=USD","Period=FQ","BEST_FPERIOD_OVERRIDE=FQ","FILING_STATUS=MR","SCALING_FORMAT=MLN","Sort=A","Dates=H","DateFormat=P","Fill=—","Direction=H","UseDPDF=Y")</f>
        <v>725</v>
      </c>
      <c r="S30" s="22">
        <f>_xll.BDH("AMZN US Equity","OTHER_INTANGIBLE_ASSETS_DETAILED","FQ1 2013","FQ1 2013","Currency=USD","Period=FQ","BEST_FPERIOD_OVERRIDE=FQ","FILING_STATUS=MR","SCALING_FORMAT=MLN","Sort=A","Dates=H","DateFormat=P","Fill=—","Direction=H","UseDPDF=Y")</f>
        <v>0</v>
      </c>
      <c r="T30" s="22">
        <f>_xll.BDH("AMZN US Equity","OTHER_INTANGIBLE_ASSETS_DETAILED","FQ2 2013","FQ2 2013","Currency=USD","Period=FQ","BEST_FPERIOD_OVERRIDE=FQ","FILING_STATUS=MR","SCALING_FORMAT=MLN","Sort=A","Dates=H","DateFormat=P","Fill=—","Direction=H","UseDPDF=Y")</f>
        <v>0</v>
      </c>
      <c r="U30" s="22">
        <f>_xll.BDH("AMZN US Equity","OTHER_INTANGIBLE_ASSETS_DETAILED","FQ3 2013","FQ3 2013","Currency=USD","Period=FQ","BEST_FPERIOD_OVERRIDE=FQ","FILING_STATUS=MR","SCALING_FORMAT=MLN","Sort=A","Dates=H","DateFormat=P","Fill=—","Direction=H","UseDPDF=Y")</f>
        <v>0</v>
      </c>
      <c r="V30" s="22">
        <f>_xll.BDH("AMZN US Equity","OTHER_INTANGIBLE_ASSETS_DETAILED","FQ4 2013","FQ4 2013","Currency=USD","Period=FQ","BEST_FPERIOD_OVERRIDE=FQ","FILING_STATUS=MR","SCALING_FORMAT=MLN","Sort=A","Dates=H","DateFormat=P","Fill=—","Direction=H","UseDPDF=Y")</f>
        <v>645</v>
      </c>
      <c r="W30" s="22">
        <f>_xll.BDH("AMZN US Equity","OTHER_INTANGIBLE_ASSETS_DETAILED","FQ1 2014","FQ1 2014","Currency=USD","Period=FQ","BEST_FPERIOD_OVERRIDE=FQ","FILING_STATUS=MR","SCALING_FORMAT=MLN","Sort=A","Dates=H","DateFormat=P","Fill=—","Direction=H","UseDPDF=Y")</f>
        <v>0</v>
      </c>
      <c r="X30" s="22">
        <f>_xll.BDH("AMZN US Equity","OTHER_INTANGIBLE_ASSETS_DETAILED","FQ2 2014","FQ2 2014","Currency=USD","Period=FQ","BEST_FPERIOD_OVERRIDE=FQ","FILING_STATUS=MR","SCALING_FORMAT=MLN","Sort=A","Dates=H","DateFormat=P","Fill=—","Direction=H","UseDPDF=Y")</f>
        <v>0</v>
      </c>
      <c r="Y30" s="22">
        <f>_xll.BDH("AMZN US Equity","OTHER_INTANGIBLE_ASSETS_DETAILED","FQ3 2014","FQ3 2014","Currency=USD","Period=FQ","BEST_FPERIOD_OVERRIDE=FQ","FILING_STATUS=MR","SCALING_FORMAT=MLN","Sort=A","Dates=H","DateFormat=P","Fill=—","Direction=H","UseDPDF=Y")</f>
        <v>0</v>
      </c>
      <c r="Z30" s="22">
        <f>_xll.BDH("AMZN US Equity","OTHER_INTANGIBLE_ASSETS_DETAILED","FQ4 2014","FQ4 2014","Currency=USD","Period=FQ","BEST_FPERIOD_OVERRIDE=FQ","FILING_STATUS=MR","SCALING_FORMAT=MLN","Sort=A","Dates=H","DateFormat=P","Fill=—","Direction=H","UseDPDF=Y")</f>
        <v>764</v>
      </c>
      <c r="AA30" s="22">
        <f>_xll.BDH("AMZN US Equity","OTHER_INTANGIBLE_ASSETS_DETAILED","FQ1 2015","FQ1 2015","Currency=USD","Period=FQ","BEST_FPERIOD_OVERRIDE=FQ","FILING_STATUS=MR","SCALING_FORMAT=MLN","Sort=A","Dates=H","DateFormat=P","Fill=—","Direction=H","UseDPDF=Y")</f>
        <v>0</v>
      </c>
      <c r="AB30" s="22">
        <f>_xll.BDH("AMZN US Equity","OTHER_INTANGIBLE_ASSETS_DETAILED","FQ2 2015","FQ2 2015","Currency=USD","Period=FQ","BEST_FPERIOD_OVERRIDE=FQ","FILING_STATUS=MR","SCALING_FORMAT=MLN","Sort=A","Dates=H","DateFormat=P","Fill=—","Direction=H","UseDPDF=Y")</f>
        <v>0</v>
      </c>
      <c r="AC30" s="22">
        <f>_xll.BDH("AMZN US Equity","OTHER_INTANGIBLE_ASSETS_DETAILED","FQ3 2015","FQ3 2015","Currency=USD","Period=FQ","BEST_FPERIOD_OVERRIDE=FQ","FILING_STATUS=MR","SCALING_FORMAT=MLN","Sort=A","Dates=H","DateFormat=P","Fill=—","Direction=H","UseDPDF=Y")</f>
        <v>0</v>
      </c>
      <c r="AD30" s="22">
        <f>_xll.BDH("AMZN US Equity","OTHER_INTANGIBLE_ASSETS_DETAILED","FQ4 2015","FQ4 2015","Currency=USD","Period=FQ","BEST_FPERIOD_OVERRIDE=FQ","FILING_STATUS=MR","SCALING_FORMAT=MLN","Sort=A","Dates=H","DateFormat=P","Fill=—","Direction=H","UseDPDF=Y")</f>
        <v>992</v>
      </c>
      <c r="AE30" s="22">
        <f>_xll.BDH("AMZN US Equity","OTHER_INTANGIBLE_ASSETS_DETAILED","FQ1 2016","FQ1 2016","Currency=USD","Period=FQ","BEST_FPERIOD_OVERRIDE=FQ","FILING_STATUS=MR","SCALING_FORMAT=MLN","Sort=A","Dates=H","DateFormat=P","Fill=—","Direction=H","UseDPDF=Y")</f>
        <v>0</v>
      </c>
      <c r="AF30" s="22">
        <f>_xll.BDH("AMZN US Equity","OTHER_INTANGIBLE_ASSETS_DETAILED","FQ2 2016","FQ2 2016","Currency=USD","Period=FQ","BEST_FPERIOD_OVERRIDE=FQ","FILING_STATUS=MR","SCALING_FORMAT=MLN","Sort=A","Dates=H","DateFormat=P","Fill=—","Direction=H","UseDPDF=Y")</f>
        <v>0</v>
      </c>
      <c r="AG30" s="22">
        <f>_xll.BDH("AMZN US Equity","OTHER_INTANGIBLE_ASSETS_DETAILED","FQ3 2016","FQ3 2016","Currency=USD","Period=FQ","BEST_FPERIOD_OVERRIDE=FQ","FILING_STATUS=MR","SCALING_FORMAT=MLN","Sort=A","Dates=H","DateFormat=P","Fill=—","Direction=H","UseDPDF=Y")</f>
        <v>0</v>
      </c>
      <c r="AH30" s="22">
        <f>_xll.BDH("AMZN US Equity","OTHER_INTANGIBLE_ASSETS_DETAILED","FQ4 2016","FQ4 2016","Currency=USD","Period=FQ","BEST_FPERIOD_OVERRIDE=FQ","FILING_STATUS=MR","SCALING_FORMAT=MLN","Sort=A","Dates=H","DateFormat=P","Fill=—","Direction=H","UseDPDF=Y")</f>
        <v>854</v>
      </c>
      <c r="AI30" s="22">
        <f>_xll.BDH("AMZN US Equity","OTHER_INTANGIBLE_ASSETS_DETAILED","FQ1 2017","FQ1 2017","Currency=USD","Period=FQ","BEST_FPERIOD_OVERRIDE=FQ","FILING_STATUS=MR","SCALING_FORMAT=MLN","Sort=A","Dates=H","DateFormat=P","Fill=—","Direction=H","UseDPDF=Y")</f>
        <v>0</v>
      </c>
      <c r="AJ30" s="22">
        <f>_xll.BDH("AMZN US Equity","OTHER_INTANGIBLE_ASSETS_DETAILED","FQ2 2017","FQ2 2017","Currency=USD","Period=FQ","BEST_FPERIOD_OVERRIDE=FQ","FILING_STATUS=MR","SCALING_FORMAT=MLN","Sort=A","Dates=H","DateFormat=P","Fill=—","Direction=H","UseDPDF=Y")</f>
        <v>0</v>
      </c>
      <c r="AK30" s="22">
        <f>_xll.BDH("AMZN US Equity","OTHER_INTANGIBLE_ASSETS_DETAILED","FQ3 2017","FQ3 2017","Currency=USD","Period=FQ","BEST_FPERIOD_OVERRIDE=FQ","FILING_STATUS=MR","SCALING_FORMAT=MLN","Sort=A","Dates=H","DateFormat=P","Fill=—","Direction=H","UseDPDF=Y")</f>
        <v>0</v>
      </c>
      <c r="AL30" s="22">
        <f>_xll.BDH("AMZN US Equity","OTHER_INTANGIBLE_ASSETS_DETAILED","FQ4 2017","FQ4 2017","Currency=USD","Period=FQ","BEST_FPERIOD_OVERRIDE=FQ","FILING_STATUS=MR","SCALING_FORMAT=MLN","Sort=A","Dates=H","DateFormat=P","Fill=—","Direction=H","UseDPDF=Y")</f>
        <v>3371</v>
      </c>
      <c r="AM30" s="22">
        <f>_xll.BDH("AMZN US Equity","OTHER_INTANGIBLE_ASSETS_DETAILED","FQ1 2018","FQ1 2018","Currency=USD","Period=FQ","BEST_FPERIOD_OVERRIDE=FQ","FILING_STATUS=MR","SCALING_FORMAT=MLN","Sort=A","Dates=H","DateFormat=P","Fill=—","Direction=H","UseDPDF=Y")</f>
        <v>0</v>
      </c>
      <c r="AN30" s="22">
        <f>_xll.BDH("AMZN US Equity","OTHER_INTANGIBLE_ASSETS_DETAILED","FQ2 2018","FQ2 2018","Currency=USD","Period=FQ","BEST_FPERIOD_OVERRIDE=FQ","FILING_STATUS=MR","SCALING_FORMAT=MLN","Sort=A","Dates=H","DateFormat=P","Fill=—","Direction=H","UseDPDF=Y")</f>
        <v>0</v>
      </c>
    </row>
    <row r="31" spans="1:40" x14ac:dyDescent="0.25">
      <c r="A31" s="10" t="s">
        <v>236</v>
      </c>
      <c r="B31" s="10" t="s">
        <v>258</v>
      </c>
      <c r="C31" s="13">
        <f>_xll.BDH("AMZN US Equity","BS_DEFERRED_TAX_ASSETS_LT","FQ1 2009","FQ1 2009","Currency=USD","Period=FQ","BEST_FPERIOD_OVERRIDE=FQ","FILING_STATUS=MR","SCALING_FORMAT=MLN","Sort=A","Dates=H","DateFormat=P","Fill=—","Direction=H","UseDPDF=Y")</f>
        <v>118</v>
      </c>
      <c r="D31" s="13">
        <f>_xll.BDH("AMZN US Equity","BS_DEFERRED_TAX_ASSETS_LT","FQ2 2009","FQ2 2009","Currency=USD","Period=FQ","BEST_FPERIOD_OVERRIDE=FQ","FILING_STATUS=MR","SCALING_FORMAT=MLN","Sort=A","Dates=H","DateFormat=P","Fill=—","Direction=H","UseDPDF=Y")</f>
        <v>118</v>
      </c>
      <c r="E31" s="13">
        <f>_xll.BDH("AMZN US Equity","BS_DEFERRED_TAX_ASSETS_LT","FQ3 2009","FQ3 2009","Currency=USD","Period=FQ","BEST_FPERIOD_OVERRIDE=FQ","FILING_STATUS=MR","SCALING_FORMAT=MLN","Sort=A","Dates=H","DateFormat=P","Fill=—","Direction=H","UseDPDF=Y")</f>
        <v>206</v>
      </c>
      <c r="F31" s="13">
        <f>_xll.BDH("AMZN US Equity","BS_DEFERRED_TAX_ASSETS_LT","FQ4 2009","FQ4 2009","Currency=USD","Period=FQ","BEST_FPERIOD_OVERRIDE=FQ","FILING_STATUS=MR","SCALING_FORMAT=MLN","Sort=A","Dates=H","DateFormat=P","Fill=—","Direction=H","UseDPDF=Y")</f>
        <v>18</v>
      </c>
      <c r="G31" s="13">
        <f>_xll.BDH("AMZN US Equity","BS_DEFERRED_TAX_ASSETS_LT","FQ1 2010","FQ1 2010","Currency=USD","Period=FQ","BEST_FPERIOD_OVERRIDE=FQ","FILING_STATUS=MR","SCALING_FORMAT=MLN","Sort=A","Dates=H","DateFormat=P","Fill=—","Direction=H","UseDPDF=Y")</f>
        <v>16</v>
      </c>
      <c r="H31" s="13">
        <f>_xll.BDH("AMZN US Equity","BS_DEFERRED_TAX_ASSETS_LT","FQ2 2010","FQ2 2010","Currency=USD","Period=FQ","BEST_FPERIOD_OVERRIDE=FQ","FILING_STATUS=MR","SCALING_FORMAT=MLN","Sort=A","Dates=H","DateFormat=P","Fill=—","Direction=H","UseDPDF=Y")</f>
        <v>29</v>
      </c>
      <c r="I31" s="13">
        <f>_xll.BDH("AMZN US Equity","BS_DEFERRED_TAX_ASSETS_LT","FQ3 2010","FQ3 2010","Currency=USD","Period=FQ","BEST_FPERIOD_OVERRIDE=FQ","FILING_STATUS=MR","SCALING_FORMAT=MLN","Sort=A","Dates=H","DateFormat=P","Fill=—","Direction=H","UseDPDF=Y")</f>
        <v>43</v>
      </c>
      <c r="J31" s="13">
        <f>_xll.BDH("AMZN US Equity","BS_DEFERRED_TAX_ASSETS_LT","FQ4 2010","FQ4 2010","Currency=USD","Period=FQ","BEST_FPERIOD_OVERRIDE=FQ","FILING_STATUS=MR","SCALING_FORMAT=MLN","Sort=A","Dates=H","DateFormat=P","Fill=—","Direction=H","UseDPDF=Y")</f>
        <v>22</v>
      </c>
      <c r="K31" s="13">
        <f>_xll.BDH("AMZN US Equity","BS_DEFERRED_TAX_ASSETS_LT","FQ1 2011","FQ1 2011","Currency=USD","Period=FQ","BEST_FPERIOD_OVERRIDE=FQ","FILING_STATUS=MR","SCALING_FORMAT=MLN","Sort=A","Dates=H","DateFormat=P","Fill=—","Direction=H","UseDPDF=Y")</f>
        <v>28</v>
      </c>
      <c r="L31" s="13">
        <f>_xll.BDH("AMZN US Equity","BS_DEFERRED_TAX_ASSETS_LT","FQ2 2011","FQ2 2011","Currency=USD","Period=FQ","BEST_FPERIOD_OVERRIDE=FQ","FILING_STATUS=MR","SCALING_FORMAT=MLN","Sort=A","Dates=H","DateFormat=P","Fill=—","Direction=H","UseDPDF=Y")</f>
        <v>30</v>
      </c>
      <c r="M31" s="13">
        <f>_xll.BDH("AMZN US Equity","BS_DEFERRED_TAX_ASSETS_LT","FQ3 2011","FQ3 2011","Currency=USD","Period=FQ","BEST_FPERIOD_OVERRIDE=FQ","FILING_STATUS=MR","SCALING_FORMAT=MLN","Sort=A","Dates=H","DateFormat=P","Fill=—","Direction=H","UseDPDF=Y")</f>
        <v>27</v>
      </c>
      <c r="N31" s="13">
        <f>_xll.BDH("AMZN US Equity","BS_DEFERRED_TAX_ASSETS_LT","FQ4 2011","FQ4 2011","Currency=USD","Period=FQ","BEST_FPERIOD_OVERRIDE=FQ","FILING_STATUS=MR","SCALING_FORMAT=MLN","Sort=A","Dates=H","DateFormat=P","Fill=—","Direction=H","UseDPDF=Y")</f>
        <v>28</v>
      </c>
      <c r="O31" s="13">
        <f>_xll.BDH("AMZN US Equity","BS_DEFERRED_TAX_ASSETS_LT","FQ1 2012","FQ1 2012","Currency=USD","Period=FQ","BEST_FPERIOD_OVERRIDE=FQ","FILING_STATUS=MR","SCALING_FORMAT=MLN","Sort=A","Dates=H","DateFormat=P","Fill=—","Direction=H","UseDPDF=Y")</f>
        <v>27</v>
      </c>
      <c r="P31" s="13">
        <f>_xll.BDH("AMZN US Equity","BS_DEFERRED_TAX_ASSETS_LT","FQ2 2012","FQ2 2012","Currency=USD","Period=FQ","BEST_FPERIOD_OVERRIDE=FQ","FILING_STATUS=MR","SCALING_FORMAT=MLN","Sort=A","Dates=H","DateFormat=P","Fill=—","Direction=H","UseDPDF=Y")</f>
        <v>26</v>
      </c>
      <c r="Q31" s="13">
        <f>_xll.BDH("AMZN US Equity","BS_DEFERRED_TAX_ASSETS_LT","FQ3 2012","FQ3 2012","Currency=USD","Period=FQ","BEST_FPERIOD_OVERRIDE=FQ","FILING_STATUS=MR","SCALING_FORMAT=MLN","Sort=A","Dates=H","DateFormat=P","Fill=—","Direction=H","UseDPDF=Y")</f>
        <v>38</v>
      </c>
      <c r="R31" s="13">
        <f>_xll.BDH("AMZN US Equity","BS_DEFERRED_TAX_ASSETS_LT","FQ4 2012","FQ4 2012","Currency=USD","Period=FQ","BEST_FPERIOD_OVERRIDE=FQ","FILING_STATUS=MR","SCALING_FORMAT=MLN","Sort=A","Dates=H","DateFormat=P","Fill=—","Direction=H","UseDPDF=Y")</f>
        <v>123</v>
      </c>
      <c r="S31" s="13">
        <f>_xll.BDH("AMZN US Equity","BS_DEFERRED_TAX_ASSETS_LT","FQ1 2013","FQ1 2013","Currency=USD","Period=FQ","BEST_FPERIOD_OVERRIDE=FQ","FILING_STATUS=MR","SCALING_FORMAT=MLN","Sort=A","Dates=H","DateFormat=P","Fill=—","Direction=H","UseDPDF=Y")</f>
        <v>123</v>
      </c>
      <c r="T31" s="13">
        <f>_xll.BDH("AMZN US Equity","BS_DEFERRED_TAX_ASSETS_LT","FQ2 2013","FQ2 2013","Currency=USD","Period=FQ","BEST_FPERIOD_OVERRIDE=FQ","FILING_STATUS=MR","SCALING_FORMAT=MLN","Sort=A","Dates=H","DateFormat=P","Fill=—","Direction=H","UseDPDF=Y")</f>
        <v>128</v>
      </c>
      <c r="U31" s="13">
        <f>_xll.BDH("AMZN US Equity","BS_DEFERRED_TAX_ASSETS_LT","FQ3 2013","FQ3 2013","Currency=USD","Period=FQ","BEST_FPERIOD_OVERRIDE=FQ","FILING_STATUS=MR","SCALING_FORMAT=MLN","Sort=A","Dates=H","DateFormat=P","Fill=—","Direction=H","UseDPDF=Y")</f>
        <v>128</v>
      </c>
      <c r="V31" s="13" t="str">
        <f>_xll.BDH("AMZN US Equity","BS_DEFERRED_TAX_ASSETS_LT","FQ4 2013","FQ4 2013","Currency=USD","Period=FQ","BEST_FPERIOD_OVERRIDE=FQ","FILING_STATUS=MR","SCALING_FORMAT=MLN","Sort=A","Dates=H","DateFormat=P","Fill=—","Direction=H","UseDPDF=Y")</f>
        <v>—</v>
      </c>
      <c r="W31" s="13" t="str">
        <f>_xll.BDH("AMZN US Equity","BS_DEFERRED_TAX_ASSETS_LT","FQ1 2014","FQ1 2014","Currency=USD","Period=FQ","BEST_FPERIOD_OVERRIDE=FQ","FILING_STATUS=MR","SCALING_FORMAT=MLN","Sort=A","Dates=H","DateFormat=P","Fill=—","Direction=H","UseDPDF=Y")</f>
        <v>—</v>
      </c>
      <c r="X31" s="13" t="str">
        <f>_xll.BDH("AMZN US Equity","BS_DEFERRED_TAX_ASSETS_LT","FQ2 2014","FQ2 2014","Currency=USD","Period=FQ","BEST_FPERIOD_OVERRIDE=FQ","FILING_STATUS=MR","SCALING_FORMAT=MLN","Sort=A","Dates=H","DateFormat=P","Fill=—","Direction=H","UseDPDF=Y")</f>
        <v>—</v>
      </c>
      <c r="Y31" s="13" t="str">
        <f>_xll.BDH("AMZN US Equity","BS_DEFERRED_TAX_ASSETS_LT","FQ3 2014","FQ3 2014","Currency=USD","Period=FQ","BEST_FPERIOD_OVERRIDE=FQ","FILING_STATUS=MR","SCALING_FORMAT=MLN","Sort=A","Dates=H","DateFormat=P","Fill=—","Direction=H","UseDPDF=Y")</f>
        <v>—</v>
      </c>
      <c r="Z31" s="13" t="str">
        <f>_xll.BDH("AMZN US Equity","BS_DEFERRED_TAX_ASSETS_LT","FQ4 2014","FQ4 2014","Currency=USD","Period=FQ","BEST_FPERIOD_OVERRIDE=FQ","FILING_STATUS=MR","SCALING_FORMAT=MLN","Sort=A","Dates=H","DateFormat=P","Fill=—","Direction=H","UseDPDF=Y")</f>
        <v>—</v>
      </c>
      <c r="AA31" s="13" t="str">
        <f>_xll.BDH("AMZN US Equity","BS_DEFERRED_TAX_ASSETS_LT","FQ1 2015","FQ1 2015","Currency=USD","Period=FQ","BEST_FPERIOD_OVERRIDE=FQ","FILING_STATUS=MR","SCALING_FORMAT=MLN","Sort=A","Dates=H","DateFormat=P","Fill=—","Direction=H","UseDPDF=Y")</f>
        <v>—</v>
      </c>
      <c r="AB31" s="13" t="str">
        <f>_xll.BDH("AMZN US Equity","BS_DEFERRED_TAX_ASSETS_LT","FQ2 2015","FQ2 2015","Currency=USD","Period=FQ","BEST_FPERIOD_OVERRIDE=FQ","FILING_STATUS=MR","SCALING_FORMAT=MLN","Sort=A","Dates=H","DateFormat=P","Fill=—","Direction=H","UseDPDF=Y")</f>
        <v>—</v>
      </c>
      <c r="AC31" s="13" t="str">
        <f>_xll.BDH("AMZN US Equity","BS_DEFERRED_TAX_ASSETS_LT","FQ3 2015","FQ3 2015","Currency=USD","Period=FQ","BEST_FPERIOD_OVERRIDE=FQ","FILING_STATUS=MR","SCALING_FORMAT=MLN","Sort=A","Dates=H","DateFormat=P","Fill=—","Direction=H","UseDPDF=Y")</f>
        <v>—</v>
      </c>
      <c r="AD31" s="13" t="str">
        <f>_xll.BDH("AMZN US Equity","BS_DEFERRED_TAX_ASSETS_LT","FQ4 2015","FQ4 2015","Currency=USD","Period=FQ","BEST_FPERIOD_OVERRIDE=FQ","FILING_STATUS=MR","SCALING_FORMAT=MLN","Sort=A","Dates=H","DateFormat=P","Fill=—","Direction=H","UseDPDF=Y")</f>
        <v>—</v>
      </c>
      <c r="AE31" s="13" t="str">
        <f>_xll.BDH("AMZN US Equity","BS_DEFERRED_TAX_ASSETS_LT","FQ1 2016","FQ1 2016","Currency=USD","Period=FQ","BEST_FPERIOD_OVERRIDE=FQ","FILING_STATUS=MR","SCALING_FORMAT=MLN","Sort=A","Dates=H","DateFormat=P","Fill=—","Direction=H","UseDPDF=Y")</f>
        <v>—</v>
      </c>
      <c r="AF31" s="13" t="str">
        <f>_xll.BDH("AMZN US Equity","BS_DEFERRED_TAX_ASSETS_LT","FQ2 2016","FQ2 2016","Currency=USD","Period=FQ","BEST_FPERIOD_OVERRIDE=FQ","FILING_STATUS=MR","SCALING_FORMAT=MLN","Sort=A","Dates=H","DateFormat=P","Fill=—","Direction=H","UseDPDF=Y")</f>
        <v>—</v>
      </c>
      <c r="AG31" s="13" t="str">
        <f>_xll.BDH("AMZN US Equity","BS_DEFERRED_TAX_ASSETS_LT","FQ3 2016","FQ3 2016","Currency=USD","Period=FQ","BEST_FPERIOD_OVERRIDE=FQ","FILING_STATUS=MR","SCALING_FORMAT=MLN","Sort=A","Dates=H","DateFormat=P","Fill=—","Direction=H","UseDPDF=Y")</f>
        <v>—</v>
      </c>
      <c r="AH31" s="13" t="str">
        <f>_xll.BDH("AMZN US Equity","BS_DEFERRED_TAX_ASSETS_LT","FQ4 2016","FQ4 2016","Currency=USD","Period=FQ","BEST_FPERIOD_OVERRIDE=FQ","FILING_STATUS=MR","SCALING_FORMAT=MLN","Sort=A","Dates=H","DateFormat=P","Fill=—","Direction=H","UseDPDF=Y")</f>
        <v>—</v>
      </c>
      <c r="AI31" s="13" t="str">
        <f>_xll.BDH("AMZN US Equity","BS_DEFERRED_TAX_ASSETS_LT","FQ1 2017","FQ1 2017","Currency=USD","Period=FQ","BEST_FPERIOD_OVERRIDE=FQ","FILING_STATUS=MR","SCALING_FORMAT=MLN","Sort=A","Dates=H","DateFormat=P","Fill=—","Direction=H","UseDPDF=Y")</f>
        <v>—</v>
      </c>
      <c r="AJ31" s="13" t="str">
        <f>_xll.BDH("AMZN US Equity","BS_DEFERRED_TAX_ASSETS_LT","FQ2 2017","FQ2 2017","Currency=USD","Period=FQ","BEST_FPERIOD_OVERRIDE=FQ","FILING_STATUS=MR","SCALING_FORMAT=MLN","Sort=A","Dates=H","DateFormat=P","Fill=—","Direction=H","UseDPDF=Y")</f>
        <v>—</v>
      </c>
      <c r="AK31" s="13" t="str">
        <f>_xll.BDH("AMZN US Equity","BS_DEFERRED_TAX_ASSETS_LT","FQ3 2017","FQ3 2017","Currency=USD","Period=FQ","BEST_FPERIOD_OVERRIDE=FQ","FILING_STATUS=MR","SCALING_FORMAT=MLN","Sort=A","Dates=H","DateFormat=P","Fill=—","Direction=H","UseDPDF=Y")</f>
        <v>—</v>
      </c>
      <c r="AL31" s="13" t="str">
        <f>_xll.BDH("AMZN US Equity","BS_DEFERRED_TAX_ASSETS_LT","FQ4 2017","FQ4 2017","Currency=USD","Period=FQ","BEST_FPERIOD_OVERRIDE=FQ","FILING_STATUS=MR","SCALING_FORMAT=MLN","Sort=A","Dates=H","DateFormat=P","Fill=—","Direction=H","UseDPDF=Y")</f>
        <v>—</v>
      </c>
      <c r="AM31" s="13" t="str">
        <f>_xll.BDH("AMZN US Equity","BS_DEFERRED_TAX_ASSETS_LT","FQ1 2018","FQ1 2018","Currency=USD","Period=FQ","BEST_FPERIOD_OVERRIDE=FQ","FILING_STATUS=MR","SCALING_FORMAT=MLN","Sort=A","Dates=H","DateFormat=P","Fill=—","Direction=H","UseDPDF=Y")</f>
        <v>—</v>
      </c>
      <c r="AN31" s="13" t="str">
        <f>_xll.BDH("AMZN US Equity","BS_DEFERRED_TAX_ASSETS_LT","FQ2 2018","FQ2 2018","Currency=USD","Period=FQ","BEST_FPERIOD_OVERRIDE=FQ","FILING_STATUS=MR","SCALING_FORMAT=MLN","Sort=A","Dates=H","DateFormat=P","Fill=—","Direction=H","UseDPDF=Y")</f>
        <v>—</v>
      </c>
    </row>
    <row r="32" spans="1:40" x14ac:dyDescent="0.25">
      <c r="A32" s="10" t="s">
        <v>234</v>
      </c>
      <c r="B32" s="10" t="s">
        <v>259</v>
      </c>
      <c r="C32" s="13" t="str">
        <f>_xll.BDH("AMZN US Equity","BS_DERIV_&amp;_HEDGING_ASSETS_LT","FQ1 2009","FQ1 2009","Currency=USD","Period=FQ","BEST_FPERIOD_OVERRIDE=FQ","FILING_STATUS=MR","SCALING_FORMAT=MLN","Sort=A","Dates=H","DateFormat=P","Fill=—","Direction=H","UseDPDF=Y")</f>
        <v>—</v>
      </c>
      <c r="D32" s="13" t="str">
        <f>_xll.BDH("AMZN US Equity","BS_DERIV_&amp;_HEDGING_ASSETS_LT","FQ2 2009","FQ2 2009","Currency=USD","Period=FQ","BEST_FPERIOD_OVERRIDE=FQ","FILING_STATUS=MR","SCALING_FORMAT=MLN","Sort=A","Dates=H","DateFormat=P","Fill=—","Direction=H","UseDPDF=Y")</f>
        <v>—</v>
      </c>
      <c r="E32" s="13" t="str">
        <f>_xll.BDH("AMZN US Equity","BS_DERIV_&amp;_HEDGING_ASSETS_LT","FQ3 2009","FQ3 2009","Currency=USD","Period=FQ","BEST_FPERIOD_OVERRIDE=FQ","FILING_STATUS=MR","SCALING_FORMAT=MLN","Sort=A","Dates=H","DateFormat=P","Fill=—","Direction=H","UseDPDF=Y")</f>
        <v>—</v>
      </c>
      <c r="F32" s="13" t="str">
        <f>_xll.BDH("AMZN US Equity","BS_DERIV_&amp;_HEDGING_ASSETS_LT","FQ4 2009","FQ4 2009","Currency=USD","Period=FQ","BEST_FPERIOD_OVERRIDE=FQ","FILING_STATUS=MR","SCALING_FORMAT=MLN","Sort=A","Dates=H","DateFormat=P","Fill=—","Direction=H","UseDPDF=Y")</f>
        <v>—</v>
      </c>
      <c r="G32" s="13" t="str">
        <f>_xll.BDH("AMZN US Equity","BS_DERIV_&amp;_HEDGING_ASSETS_LT","FQ1 2010","FQ1 2010","Currency=USD","Period=FQ","BEST_FPERIOD_OVERRIDE=FQ","FILING_STATUS=MR","SCALING_FORMAT=MLN","Sort=A","Dates=H","DateFormat=P","Fill=—","Direction=H","UseDPDF=Y")</f>
        <v>—</v>
      </c>
      <c r="H32" s="13" t="str">
        <f>_xll.BDH("AMZN US Equity","BS_DERIV_&amp;_HEDGING_ASSETS_LT","FQ2 2010","FQ2 2010","Currency=USD","Period=FQ","BEST_FPERIOD_OVERRIDE=FQ","FILING_STATUS=MR","SCALING_FORMAT=MLN","Sort=A","Dates=H","DateFormat=P","Fill=—","Direction=H","UseDPDF=Y")</f>
        <v>—</v>
      </c>
      <c r="I32" s="13" t="str">
        <f>_xll.BDH("AMZN US Equity","BS_DERIV_&amp;_HEDGING_ASSETS_LT","FQ3 2010","FQ3 2010","Currency=USD","Period=FQ","BEST_FPERIOD_OVERRIDE=FQ","FILING_STATUS=MR","SCALING_FORMAT=MLN","Sort=A","Dates=H","DateFormat=P","Fill=—","Direction=H","UseDPDF=Y")</f>
        <v>—</v>
      </c>
      <c r="J32" s="13">
        <f>_xll.BDH("AMZN US Equity","BS_DERIV_&amp;_HEDGING_ASSETS_LT","FQ4 2010","FQ4 2010","Currency=USD","Period=FQ","BEST_FPERIOD_OVERRIDE=FQ","FILING_STATUS=MR","SCALING_FORMAT=MLN","Sort=A","Dates=H","DateFormat=P","Fill=—","Direction=H","UseDPDF=Y")</f>
        <v>0</v>
      </c>
      <c r="K32" s="13" t="str">
        <f>_xll.BDH("AMZN US Equity","BS_DERIV_&amp;_HEDGING_ASSETS_LT","FQ1 2011","FQ1 2011","Currency=USD","Period=FQ","BEST_FPERIOD_OVERRIDE=FQ","FILING_STATUS=MR","SCALING_FORMAT=MLN","Sort=A","Dates=H","DateFormat=P","Fill=—","Direction=H","UseDPDF=Y")</f>
        <v>—</v>
      </c>
      <c r="L32" s="13" t="str">
        <f>_xll.BDH("AMZN US Equity","BS_DERIV_&amp;_HEDGING_ASSETS_LT","FQ2 2011","FQ2 2011","Currency=USD","Period=FQ","BEST_FPERIOD_OVERRIDE=FQ","FILING_STATUS=MR","SCALING_FORMAT=MLN","Sort=A","Dates=H","DateFormat=P","Fill=—","Direction=H","UseDPDF=Y")</f>
        <v>—</v>
      </c>
      <c r="M32" s="13" t="str">
        <f>_xll.BDH("AMZN US Equity","BS_DERIV_&amp;_HEDGING_ASSETS_LT","FQ3 2011","FQ3 2011","Currency=USD","Period=FQ","BEST_FPERIOD_OVERRIDE=FQ","FILING_STATUS=MR","SCALING_FORMAT=MLN","Sort=A","Dates=H","DateFormat=P","Fill=—","Direction=H","UseDPDF=Y")</f>
        <v>—</v>
      </c>
      <c r="N32" s="13">
        <f>_xll.BDH("AMZN US Equity","BS_DERIV_&amp;_HEDGING_ASSETS_LT","FQ4 2011","FQ4 2011","Currency=USD","Period=FQ","BEST_FPERIOD_OVERRIDE=FQ","FILING_STATUS=MR","SCALING_FORMAT=MLN","Sort=A","Dates=H","DateFormat=P","Fill=—","Direction=H","UseDPDF=Y")</f>
        <v>0</v>
      </c>
      <c r="O32" s="13" t="str">
        <f>_xll.BDH("AMZN US Equity","BS_DERIV_&amp;_HEDGING_ASSETS_LT","FQ1 2012","FQ1 2012","Currency=USD","Period=FQ","BEST_FPERIOD_OVERRIDE=FQ","FILING_STATUS=MR","SCALING_FORMAT=MLN","Sort=A","Dates=H","DateFormat=P","Fill=—","Direction=H","UseDPDF=Y")</f>
        <v>—</v>
      </c>
      <c r="P32" s="13" t="str">
        <f>_xll.BDH("AMZN US Equity","BS_DERIV_&amp;_HEDGING_ASSETS_LT","FQ2 2012","FQ2 2012","Currency=USD","Period=FQ","BEST_FPERIOD_OVERRIDE=FQ","FILING_STATUS=MR","SCALING_FORMAT=MLN","Sort=A","Dates=H","DateFormat=P","Fill=—","Direction=H","UseDPDF=Y")</f>
        <v>—</v>
      </c>
      <c r="Q32" s="13" t="str">
        <f>_xll.BDH("AMZN US Equity","BS_DERIV_&amp;_HEDGING_ASSETS_LT","FQ3 2012","FQ3 2012","Currency=USD","Period=FQ","BEST_FPERIOD_OVERRIDE=FQ","FILING_STATUS=MR","SCALING_FORMAT=MLN","Sort=A","Dates=H","DateFormat=P","Fill=—","Direction=H","UseDPDF=Y")</f>
        <v>—</v>
      </c>
      <c r="R32" s="13" t="str">
        <f>_xll.BDH("AMZN US Equity","BS_DERIV_&amp;_HEDGING_ASSETS_LT","FQ4 2012","FQ4 2012","Currency=USD","Period=FQ","BEST_FPERIOD_OVERRIDE=FQ","FILING_STATUS=MR","SCALING_FORMAT=MLN","Sort=A","Dates=H","DateFormat=P","Fill=—","Direction=H","UseDPDF=Y")</f>
        <v>—</v>
      </c>
      <c r="S32" s="13" t="str">
        <f>_xll.BDH("AMZN US Equity","BS_DERIV_&amp;_HEDGING_ASSETS_LT","FQ1 2013","FQ1 2013","Currency=USD","Period=FQ","BEST_FPERIOD_OVERRIDE=FQ","FILING_STATUS=MR","SCALING_FORMAT=MLN","Sort=A","Dates=H","DateFormat=P","Fill=—","Direction=H","UseDPDF=Y")</f>
        <v>—</v>
      </c>
      <c r="T32" s="13" t="str">
        <f>_xll.BDH("AMZN US Equity","BS_DERIV_&amp;_HEDGING_ASSETS_LT","FQ2 2013","FQ2 2013","Currency=USD","Period=FQ","BEST_FPERIOD_OVERRIDE=FQ","FILING_STATUS=MR","SCALING_FORMAT=MLN","Sort=A","Dates=H","DateFormat=P","Fill=—","Direction=H","UseDPDF=Y")</f>
        <v>—</v>
      </c>
      <c r="U32" s="13" t="str">
        <f>_xll.BDH("AMZN US Equity","BS_DERIV_&amp;_HEDGING_ASSETS_LT","FQ3 2013","FQ3 2013","Currency=USD","Period=FQ","BEST_FPERIOD_OVERRIDE=FQ","FILING_STATUS=MR","SCALING_FORMAT=MLN","Sort=A","Dates=H","DateFormat=P","Fill=—","Direction=H","UseDPDF=Y")</f>
        <v>—</v>
      </c>
      <c r="V32" s="13">
        <f>_xll.BDH("AMZN US Equity","BS_DERIV_&amp;_HEDGING_ASSETS_LT","FQ4 2013","FQ4 2013","Currency=USD","Period=FQ","BEST_FPERIOD_OVERRIDE=FQ","FILING_STATUS=MR","SCALING_FORMAT=MLN","Sort=A","Dates=H","DateFormat=P","Fill=—","Direction=H","UseDPDF=Y")</f>
        <v>0</v>
      </c>
      <c r="W32" s="13" t="str">
        <f>_xll.BDH("AMZN US Equity","BS_DERIV_&amp;_HEDGING_ASSETS_LT","FQ1 2014","FQ1 2014","Currency=USD","Period=FQ","BEST_FPERIOD_OVERRIDE=FQ","FILING_STATUS=MR","SCALING_FORMAT=MLN","Sort=A","Dates=H","DateFormat=P","Fill=—","Direction=H","UseDPDF=Y")</f>
        <v>—</v>
      </c>
      <c r="X32" s="13" t="str">
        <f>_xll.BDH("AMZN US Equity","BS_DERIV_&amp;_HEDGING_ASSETS_LT","FQ2 2014","FQ2 2014","Currency=USD","Period=FQ","BEST_FPERIOD_OVERRIDE=FQ","FILING_STATUS=MR","SCALING_FORMAT=MLN","Sort=A","Dates=H","DateFormat=P","Fill=—","Direction=H","UseDPDF=Y")</f>
        <v>—</v>
      </c>
      <c r="Y32" s="13" t="str">
        <f>_xll.BDH("AMZN US Equity","BS_DERIV_&amp;_HEDGING_ASSETS_LT","FQ3 2014","FQ3 2014","Currency=USD","Period=FQ","BEST_FPERIOD_OVERRIDE=FQ","FILING_STATUS=MR","SCALING_FORMAT=MLN","Sort=A","Dates=H","DateFormat=P","Fill=—","Direction=H","UseDPDF=Y")</f>
        <v>—</v>
      </c>
      <c r="Z32" s="13">
        <f>_xll.BDH("AMZN US Equity","BS_DERIV_&amp;_HEDGING_ASSETS_LT","FQ4 2014","FQ4 2014","Currency=USD","Period=FQ","BEST_FPERIOD_OVERRIDE=FQ","FILING_STATUS=MR","SCALING_FORMAT=MLN","Sort=A","Dates=H","DateFormat=P","Fill=—","Direction=H","UseDPDF=Y")</f>
        <v>0</v>
      </c>
      <c r="AA32" s="13" t="str">
        <f>_xll.BDH("AMZN US Equity","BS_DERIV_&amp;_HEDGING_ASSETS_LT","FQ1 2015","FQ1 2015","Currency=USD","Period=FQ","BEST_FPERIOD_OVERRIDE=FQ","FILING_STATUS=MR","SCALING_FORMAT=MLN","Sort=A","Dates=H","DateFormat=P","Fill=—","Direction=H","UseDPDF=Y")</f>
        <v>—</v>
      </c>
      <c r="AB32" s="13" t="str">
        <f>_xll.BDH("AMZN US Equity","BS_DERIV_&amp;_HEDGING_ASSETS_LT","FQ2 2015","FQ2 2015","Currency=USD","Period=FQ","BEST_FPERIOD_OVERRIDE=FQ","FILING_STATUS=MR","SCALING_FORMAT=MLN","Sort=A","Dates=H","DateFormat=P","Fill=—","Direction=H","UseDPDF=Y")</f>
        <v>—</v>
      </c>
      <c r="AC32" s="13" t="str">
        <f>_xll.BDH("AMZN US Equity","BS_DERIV_&amp;_HEDGING_ASSETS_LT","FQ3 2015","FQ3 2015","Currency=USD","Period=FQ","BEST_FPERIOD_OVERRIDE=FQ","FILING_STATUS=MR","SCALING_FORMAT=MLN","Sort=A","Dates=H","DateFormat=P","Fill=—","Direction=H","UseDPDF=Y")</f>
        <v>—</v>
      </c>
      <c r="AD32" s="13">
        <f>_xll.BDH("AMZN US Equity","BS_DERIV_&amp;_HEDGING_ASSETS_LT","FQ4 2015","FQ4 2015","Currency=USD","Period=FQ","BEST_FPERIOD_OVERRIDE=FQ","FILING_STATUS=MR","SCALING_FORMAT=MLN","Sort=A","Dates=H","DateFormat=P","Fill=—","Direction=H","UseDPDF=Y")</f>
        <v>0</v>
      </c>
      <c r="AE32" s="13" t="str">
        <f>_xll.BDH("AMZN US Equity","BS_DERIV_&amp;_HEDGING_ASSETS_LT","FQ1 2016","FQ1 2016","Currency=USD","Period=FQ","BEST_FPERIOD_OVERRIDE=FQ","FILING_STATUS=MR","SCALING_FORMAT=MLN","Sort=A","Dates=H","DateFormat=P","Fill=—","Direction=H","UseDPDF=Y")</f>
        <v>—</v>
      </c>
      <c r="AF32" s="13" t="str">
        <f>_xll.BDH("AMZN US Equity","BS_DERIV_&amp;_HEDGING_ASSETS_LT","FQ2 2016","FQ2 2016","Currency=USD","Period=FQ","BEST_FPERIOD_OVERRIDE=FQ","FILING_STATUS=MR","SCALING_FORMAT=MLN","Sort=A","Dates=H","DateFormat=P","Fill=—","Direction=H","UseDPDF=Y")</f>
        <v>—</v>
      </c>
      <c r="AG32" s="13" t="str">
        <f>_xll.BDH("AMZN US Equity","BS_DERIV_&amp;_HEDGING_ASSETS_LT","FQ3 2016","FQ3 2016","Currency=USD","Period=FQ","BEST_FPERIOD_OVERRIDE=FQ","FILING_STATUS=MR","SCALING_FORMAT=MLN","Sort=A","Dates=H","DateFormat=P","Fill=—","Direction=H","UseDPDF=Y")</f>
        <v>—</v>
      </c>
      <c r="AH32" s="13">
        <f>_xll.BDH("AMZN US Equity","BS_DERIV_&amp;_HEDGING_ASSETS_LT","FQ4 2016","FQ4 2016","Currency=USD","Period=FQ","BEST_FPERIOD_OVERRIDE=FQ","FILING_STATUS=MR","SCALING_FORMAT=MLN","Sort=A","Dates=H","DateFormat=P","Fill=—","Direction=H","UseDPDF=Y")</f>
        <v>0</v>
      </c>
      <c r="AI32" s="13" t="str">
        <f>_xll.BDH("AMZN US Equity","BS_DERIV_&amp;_HEDGING_ASSETS_LT","FQ1 2017","FQ1 2017","Currency=USD","Period=FQ","BEST_FPERIOD_OVERRIDE=FQ","FILING_STATUS=MR","SCALING_FORMAT=MLN","Sort=A","Dates=H","DateFormat=P","Fill=—","Direction=H","UseDPDF=Y")</f>
        <v>—</v>
      </c>
      <c r="AJ32" s="13" t="str">
        <f>_xll.BDH("AMZN US Equity","BS_DERIV_&amp;_HEDGING_ASSETS_LT","FQ2 2017","FQ2 2017","Currency=USD","Period=FQ","BEST_FPERIOD_OVERRIDE=FQ","FILING_STATUS=MR","SCALING_FORMAT=MLN","Sort=A","Dates=H","DateFormat=P","Fill=—","Direction=H","UseDPDF=Y")</f>
        <v>—</v>
      </c>
      <c r="AK32" s="13" t="str">
        <f>_xll.BDH("AMZN US Equity","BS_DERIV_&amp;_HEDGING_ASSETS_LT","FQ3 2017","FQ3 2017","Currency=USD","Period=FQ","BEST_FPERIOD_OVERRIDE=FQ","FILING_STATUS=MR","SCALING_FORMAT=MLN","Sort=A","Dates=H","DateFormat=P","Fill=—","Direction=H","UseDPDF=Y")</f>
        <v>—</v>
      </c>
      <c r="AL32" s="13">
        <f>_xll.BDH("AMZN US Equity","BS_DERIV_&amp;_HEDGING_ASSETS_LT","FQ4 2017","FQ4 2017","Currency=USD","Period=FQ","BEST_FPERIOD_OVERRIDE=FQ","FILING_STATUS=MR","SCALING_FORMAT=MLN","Sort=A","Dates=H","DateFormat=P","Fill=—","Direction=H","UseDPDF=Y")</f>
        <v>0</v>
      </c>
      <c r="AM32" s="13" t="str">
        <f>_xll.BDH("AMZN US Equity","BS_DERIV_&amp;_HEDGING_ASSETS_LT","FQ1 2018","FQ1 2018","Currency=USD","Period=FQ","BEST_FPERIOD_OVERRIDE=FQ","FILING_STATUS=MR","SCALING_FORMAT=MLN","Sort=A","Dates=H","DateFormat=P","Fill=—","Direction=H","UseDPDF=Y")</f>
        <v>—</v>
      </c>
      <c r="AN32" s="13" t="str">
        <f>_xll.BDH("AMZN US Equity","BS_DERIV_&amp;_HEDGING_ASSETS_LT","FQ2 2018","FQ2 2018","Currency=USD","Period=FQ","BEST_FPERIOD_OVERRIDE=FQ","FILING_STATUS=MR","SCALING_FORMAT=MLN","Sort=A","Dates=H","DateFormat=P","Fill=—","Direction=H","UseDPDF=Y")</f>
        <v>—</v>
      </c>
    </row>
    <row r="33" spans="1:40" x14ac:dyDescent="0.25">
      <c r="A33" s="10" t="s">
        <v>260</v>
      </c>
      <c r="B33" s="10" t="s">
        <v>261</v>
      </c>
      <c r="C33" s="13">
        <f>_xll.BDH("AMZN US Equity","OTHER_NONCURRENT_ASSETS_DETAILED","FQ1 2009","FQ1 2009","Currency=USD","Period=FQ","BEST_FPERIOD_OVERRIDE=FQ","FILING_STATUS=MR","SCALING_FORMAT=MLN","Sort=A","Dates=H","DateFormat=P","Fill=—","Direction=H","UseDPDF=Y")</f>
        <v>765</v>
      </c>
      <c r="D33" s="13">
        <f>_xll.BDH("AMZN US Equity","OTHER_NONCURRENT_ASSETS_DETAILED","FQ2 2009","FQ2 2009","Currency=USD","Period=FQ","BEST_FPERIOD_OVERRIDE=FQ","FILING_STATUS=MR","SCALING_FORMAT=MLN","Sort=A","Dates=H","DateFormat=P","Fill=—","Direction=H","UseDPDF=Y")</f>
        <v>821</v>
      </c>
      <c r="E33" s="13">
        <f>_xll.BDH("AMZN US Equity","OTHER_NONCURRENT_ASSETS_DETAILED","FQ3 2009","FQ3 2009","Currency=USD","Period=FQ","BEST_FPERIOD_OVERRIDE=FQ","FILING_STATUS=MR","SCALING_FORMAT=MLN","Sort=A","Dates=H","DateFormat=P","Fill=—","Direction=H","UseDPDF=Y")</f>
        <v>854</v>
      </c>
      <c r="F33" s="13">
        <f>_xll.BDH("AMZN US Equity","OTHER_NONCURRENT_ASSETS_DETAILED","FQ4 2009","FQ4 2009","Currency=USD","Period=FQ","BEST_FPERIOD_OVERRIDE=FQ","FILING_STATUS=MR","SCALING_FORMAT=MLN","Sort=A","Dates=H","DateFormat=P","Fill=—","Direction=H","UseDPDF=Y")</f>
        <v>1474</v>
      </c>
      <c r="G33" s="13">
        <f>_xll.BDH("AMZN US Equity","OTHER_NONCURRENT_ASSETS_DETAILED","FQ1 2010","FQ1 2010","Currency=USD","Period=FQ","BEST_FPERIOD_OVERRIDE=FQ","FILING_STATUS=MR","SCALING_FORMAT=MLN","Sort=A","Dates=H","DateFormat=P","Fill=—","Direction=H","UseDPDF=Y")</f>
        <v>1392</v>
      </c>
      <c r="H33" s="13">
        <f>_xll.BDH("AMZN US Equity","OTHER_NONCURRENT_ASSETS_DETAILED","FQ2 2010","FQ2 2010","Currency=USD","Period=FQ","BEST_FPERIOD_OVERRIDE=FQ","FILING_STATUS=MR","SCALING_FORMAT=MLN","Sort=A","Dates=H","DateFormat=P","Fill=—","Direction=H","UseDPDF=Y")</f>
        <v>1317</v>
      </c>
      <c r="I33" s="13">
        <f>_xll.BDH("AMZN US Equity","OTHER_NONCURRENT_ASSETS_DETAILED","FQ3 2010","FQ3 2010","Currency=USD","Period=FQ","BEST_FPERIOD_OVERRIDE=FQ","FILING_STATUS=MR","SCALING_FORMAT=MLN","Sort=A","Dates=H","DateFormat=P","Fill=—","Direction=H","UseDPDF=Y")</f>
        <v>1184</v>
      </c>
      <c r="J33" s="13">
        <f>_xll.BDH("AMZN US Equity","OTHER_NONCURRENT_ASSETS_DETAILED","FQ4 2010","FQ4 2010","Currency=USD","Period=FQ","BEST_FPERIOD_OVERRIDE=FQ","FILING_STATUS=MR","SCALING_FORMAT=MLN","Sort=A","Dates=H","DateFormat=P","Fill=—","Direction=H","UseDPDF=Y")</f>
        <v>1265</v>
      </c>
      <c r="K33" s="13">
        <f>_xll.BDH("AMZN US Equity","OTHER_NONCURRENT_ASSETS_DETAILED","FQ1 2011","FQ1 2011","Currency=USD","Period=FQ","BEST_FPERIOD_OVERRIDE=FQ","FILING_STATUS=MR","SCALING_FORMAT=MLN","Sort=A","Dates=H","DateFormat=P","Fill=—","Direction=H","UseDPDF=Y")</f>
        <v>1151</v>
      </c>
      <c r="L33" s="13">
        <f>_xll.BDH("AMZN US Equity","OTHER_NONCURRENT_ASSETS_DETAILED","FQ2 2011","FQ2 2011","Currency=USD","Period=FQ","BEST_FPERIOD_OVERRIDE=FQ","FILING_STATUS=MR","SCALING_FORMAT=MLN","Sort=A","Dates=H","DateFormat=P","Fill=—","Direction=H","UseDPDF=Y")</f>
        <v>1253</v>
      </c>
      <c r="M33" s="13">
        <f>_xll.BDH("AMZN US Equity","OTHER_NONCURRENT_ASSETS_DETAILED","FQ3 2011","FQ3 2011","Currency=USD","Period=FQ","BEST_FPERIOD_OVERRIDE=FQ","FILING_STATUS=MR","SCALING_FORMAT=MLN","Sort=A","Dates=H","DateFormat=P","Fill=—","Direction=H","UseDPDF=Y")</f>
        <v>1190</v>
      </c>
      <c r="N33" s="13">
        <f>_xll.BDH("AMZN US Equity","OTHER_NONCURRENT_ASSETS_DETAILED","FQ4 2011","FQ4 2011","Currency=USD","Period=FQ","BEST_FPERIOD_OVERRIDE=FQ","FILING_STATUS=MR","SCALING_FORMAT=MLN","Sort=A","Dates=H","DateFormat=P","Fill=—","Direction=H","UseDPDF=Y")</f>
        <v>741</v>
      </c>
      <c r="O33" s="13">
        <f>_xll.BDH("AMZN US Equity","OTHER_NONCURRENT_ASSETS_DETAILED","FQ1 2012","FQ1 2012","Currency=USD","Period=FQ","BEST_FPERIOD_OVERRIDE=FQ","FILING_STATUS=MR","SCALING_FORMAT=MLN","Sort=A","Dates=H","DateFormat=P","Fill=—","Direction=H","UseDPDF=Y")</f>
        <v>1535</v>
      </c>
      <c r="P33" s="13">
        <f>_xll.BDH("AMZN US Equity","OTHER_NONCURRENT_ASSETS_DETAILED","FQ2 2012","FQ2 2012","Currency=USD","Period=FQ","BEST_FPERIOD_OVERRIDE=FQ","FILING_STATUS=MR","SCALING_FORMAT=MLN","Sort=A","Dates=H","DateFormat=P","Fill=—","Direction=H","UseDPDF=Y")</f>
        <v>1585</v>
      </c>
      <c r="Q33" s="13">
        <f>_xll.BDH("AMZN US Equity","OTHER_NONCURRENT_ASSETS_DETAILED","FQ3 2012","FQ3 2012","Currency=USD","Period=FQ","BEST_FPERIOD_OVERRIDE=FQ","FILING_STATUS=MR","SCALING_FORMAT=MLN","Sort=A","Dates=H","DateFormat=P","Fill=—","Direction=H","UseDPDF=Y")</f>
        <v>1476</v>
      </c>
      <c r="R33" s="13">
        <f>_xll.BDH("AMZN US Equity","OTHER_NONCURRENT_ASSETS_DETAILED","FQ4 2012","FQ4 2012","Currency=USD","Period=FQ","BEST_FPERIOD_OVERRIDE=FQ","FILING_STATUS=MR","SCALING_FORMAT=MLN","Sort=A","Dates=H","DateFormat=P","Fill=—","Direction=H","UseDPDF=Y")</f>
        <v>799</v>
      </c>
      <c r="S33" s="13">
        <f>_xll.BDH("AMZN US Equity","OTHER_NONCURRENT_ASSETS_DETAILED","FQ1 2013","FQ1 2013","Currency=USD","Period=FQ","BEST_FPERIOD_OVERRIDE=FQ","FILING_STATUS=MR","SCALING_FORMAT=MLN","Sort=A","Dates=H","DateFormat=P","Fill=—","Direction=H","UseDPDF=Y")</f>
        <v>1732</v>
      </c>
      <c r="T33" s="13">
        <f>_xll.BDH("AMZN US Equity","OTHER_NONCURRENT_ASSETS_DETAILED","FQ2 2013","FQ2 2013","Currency=USD","Period=FQ","BEST_FPERIOD_OVERRIDE=FQ","FILING_STATUS=MR","SCALING_FORMAT=MLN","Sort=A","Dates=H","DateFormat=P","Fill=—","Direction=H","UseDPDF=Y")</f>
        <v>1807</v>
      </c>
      <c r="U33" s="13">
        <f>_xll.BDH("AMZN US Equity","OTHER_NONCURRENT_ASSETS_DETAILED","FQ3 2013","FQ3 2013","Currency=USD","Period=FQ","BEST_FPERIOD_OVERRIDE=FQ","FILING_STATUS=MR","SCALING_FORMAT=MLN","Sort=A","Dates=H","DateFormat=P","Fill=—","Direction=H","UseDPDF=Y")</f>
        <v>1773</v>
      </c>
      <c r="V33" s="13">
        <f>_xll.BDH("AMZN US Equity","OTHER_NONCURRENT_ASSETS_DETAILED","FQ4 2013","FQ4 2013","Currency=USD","Period=FQ","BEST_FPERIOD_OVERRIDE=FQ","FILING_STATUS=MR","SCALING_FORMAT=MLN","Sort=A","Dates=H","DateFormat=P","Fill=—","Direction=H","UseDPDF=Y")</f>
        <v>1285</v>
      </c>
      <c r="W33" s="13">
        <f>_xll.BDH("AMZN US Equity","OTHER_NONCURRENT_ASSETS_DETAILED","FQ1 2014","FQ1 2014","Currency=USD","Period=FQ","BEST_FPERIOD_OVERRIDE=FQ","FILING_STATUS=MR","SCALING_FORMAT=MLN","Sort=A","Dates=H","DateFormat=P","Fill=—","Direction=H","UseDPDF=Y")</f>
        <v>2117</v>
      </c>
      <c r="X33" s="13">
        <f>_xll.BDH("AMZN US Equity","OTHER_NONCURRENT_ASSETS_DETAILED","FQ2 2014","FQ2 2014","Currency=USD","Period=FQ","BEST_FPERIOD_OVERRIDE=FQ","FILING_STATUS=MR","SCALING_FORMAT=MLN","Sort=A","Dates=H","DateFormat=P","Fill=—","Direction=H","UseDPDF=Y")</f>
        <v>2377</v>
      </c>
      <c r="Y33" s="13">
        <f>_xll.BDH("AMZN US Equity","OTHER_NONCURRENT_ASSETS_DETAILED","FQ3 2014","FQ3 2014","Currency=USD","Period=FQ","BEST_FPERIOD_OVERRIDE=FQ","FILING_STATUS=MR","SCALING_FORMAT=MLN","Sort=A","Dates=H","DateFormat=P","Fill=—","Direction=H","UseDPDF=Y")</f>
        <v>2813</v>
      </c>
      <c r="Z33" s="13">
        <f>_xll.BDH("AMZN US Equity","OTHER_NONCURRENT_ASSETS_DETAILED","FQ4 2014","FQ4 2014","Currency=USD","Period=FQ","BEST_FPERIOD_OVERRIDE=FQ","FILING_STATUS=MR","SCALING_FORMAT=MLN","Sort=A","Dates=H","DateFormat=P","Fill=—","Direction=H","UseDPDF=Y")</f>
        <v>2128</v>
      </c>
      <c r="AA33" s="13">
        <f>_xll.BDH("AMZN US Equity","OTHER_NONCURRENT_ASSETS_DETAILED","FQ1 2015","FQ1 2015","Currency=USD","Period=FQ","BEST_FPERIOD_OVERRIDE=FQ","FILING_STATUS=MR","SCALING_FORMAT=MLN","Sort=A","Dates=H","DateFormat=P","Fill=—","Direction=H","UseDPDF=Y")</f>
        <v>2926</v>
      </c>
      <c r="AB33" s="13">
        <f>_xll.BDH("AMZN US Equity","OTHER_NONCURRENT_ASSETS_DETAILED","FQ2 2015","FQ2 2015","Currency=USD","Period=FQ","BEST_FPERIOD_OVERRIDE=FQ","FILING_STATUS=MR","SCALING_FORMAT=MLN","Sort=A","Dates=H","DateFormat=P","Fill=—","Direction=H","UseDPDF=Y")</f>
        <v>3047</v>
      </c>
      <c r="AC33" s="13">
        <f>_xll.BDH("AMZN US Equity","OTHER_NONCURRENT_ASSETS_DETAILED","FQ3 2015","FQ3 2015","Currency=USD","Period=FQ","BEST_FPERIOD_OVERRIDE=FQ","FILING_STATUS=MR","SCALING_FORMAT=MLN","Sort=A","Dates=H","DateFormat=P","Fill=—","Direction=H","UseDPDF=Y")</f>
        <v>3216</v>
      </c>
      <c r="AD33" s="13">
        <f>_xll.BDH("AMZN US Equity","OTHER_NONCURRENT_ASSETS_DETAILED","FQ4 2015","FQ4 2015","Currency=USD","Period=FQ","BEST_FPERIOD_OVERRIDE=FQ","FILING_STATUS=MR","SCALING_FORMAT=MLN","Sort=A","Dates=H","DateFormat=P","Fill=—","Direction=H","UseDPDF=Y")</f>
        <v>2453</v>
      </c>
      <c r="AE33" s="13">
        <f>_xll.BDH("AMZN US Equity","OTHER_NONCURRENT_ASSETS_DETAILED","FQ1 2016","FQ1 2016","Currency=USD","Period=FQ","BEST_FPERIOD_OVERRIDE=FQ","FILING_STATUS=MR","SCALING_FORMAT=MLN","Sort=A","Dates=H","DateFormat=P","Fill=—","Direction=H","UseDPDF=Y")</f>
        <v>3522</v>
      </c>
      <c r="AF33" s="13">
        <f>_xll.BDH("AMZN US Equity","OTHER_NONCURRENT_ASSETS_DETAILED","FQ2 2016","FQ2 2016","Currency=USD","Period=FQ","BEST_FPERIOD_OVERRIDE=FQ","FILING_STATUS=MR","SCALING_FORMAT=MLN","Sort=A","Dates=H","DateFormat=P","Fill=—","Direction=H","UseDPDF=Y")</f>
        <v>3892</v>
      </c>
      <c r="AG33" s="13">
        <f>_xll.BDH("AMZN US Equity","OTHER_NONCURRENT_ASSETS_DETAILED","FQ3 2016","FQ3 2016","Currency=USD","Period=FQ","BEST_FPERIOD_OVERRIDE=FQ","FILING_STATUS=MR","SCALING_FORMAT=MLN","Sort=A","Dates=H","DateFormat=P","Fill=—","Direction=H","UseDPDF=Y")</f>
        <v>4296</v>
      </c>
      <c r="AH33" s="13">
        <f>_xll.BDH("AMZN US Equity","OTHER_NONCURRENT_ASSETS_DETAILED","FQ4 2016","FQ4 2016","Currency=USD","Period=FQ","BEST_FPERIOD_OVERRIDE=FQ","FILING_STATUS=MR","SCALING_FORMAT=MLN","Sort=A","Dates=H","DateFormat=P","Fill=—","Direction=H","UseDPDF=Y")</f>
        <v>3869</v>
      </c>
      <c r="AI33" s="13">
        <f>_xll.BDH("AMZN US Equity","OTHER_NONCURRENT_ASSETS_DETAILED","FQ1 2017","FQ1 2017","Currency=USD","Period=FQ","BEST_FPERIOD_OVERRIDE=FQ","FILING_STATUS=MR","SCALING_FORMAT=MLN","Sort=A","Dates=H","DateFormat=P","Fill=—","Direction=H","UseDPDF=Y")</f>
        <v>5054</v>
      </c>
      <c r="AJ33" s="13">
        <f>_xll.BDH("AMZN US Equity","OTHER_NONCURRENT_ASSETS_DETAILED","FQ2 2017","FQ2 2017","Currency=USD","Period=FQ","BEST_FPERIOD_OVERRIDE=FQ","FILING_STATUS=MR","SCALING_FORMAT=MLN","Sort=A","Dates=H","DateFormat=P","Fill=—","Direction=H","UseDPDF=Y")</f>
        <v>5437</v>
      </c>
      <c r="AK33" s="13">
        <f>_xll.BDH("AMZN US Equity","OTHER_NONCURRENT_ASSETS_DETAILED","FQ3 2017","FQ3 2017","Currency=USD","Period=FQ","BEST_FPERIOD_OVERRIDE=FQ","FILING_STATUS=MR","SCALING_FORMAT=MLN","Sort=A","Dates=H","DateFormat=P","Fill=—","Direction=H","UseDPDF=Y")</f>
        <v>8083</v>
      </c>
      <c r="AL33" s="13">
        <f>_xll.BDH("AMZN US Equity","OTHER_NONCURRENT_ASSETS_DETAILED","FQ4 2017","FQ4 2017","Currency=USD","Period=FQ","BEST_FPERIOD_OVERRIDE=FQ","FILING_STATUS=MR","SCALING_FORMAT=MLN","Sort=A","Dates=H","DateFormat=P","Fill=—","Direction=H","UseDPDF=Y")</f>
        <v>5526</v>
      </c>
      <c r="AM33" s="13">
        <f>_xll.BDH("AMZN US Equity","OTHER_NONCURRENT_ASSETS_DETAILED","FQ1 2018","FQ1 2018","Currency=USD","Period=FQ","BEST_FPERIOD_OVERRIDE=FQ","FILING_STATUS=MR","SCALING_FORMAT=MLN","Sort=A","Dates=H","DateFormat=P","Fill=—","Direction=H","UseDPDF=Y")</f>
        <v>9814</v>
      </c>
      <c r="AN33" s="13">
        <f>_xll.BDH("AMZN US Equity","OTHER_NONCURRENT_ASSETS_DETAILED","FQ2 2018","FQ2 2018","Currency=USD","Period=FQ","BEST_FPERIOD_OVERRIDE=FQ","FILING_STATUS=MR","SCALING_FORMAT=MLN","Sort=A","Dates=H","DateFormat=P","Fill=—","Direction=H","UseDPDF=Y")</f>
        <v>10907</v>
      </c>
    </row>
    <row r="34" spans="1:40" x14ac:dyDescent="0.25">
      <c r="A34" s="6" t="s">
        <v>262</v>
      </c>
      <c r="B34" s="6" t="s">
        <v>263</v>
      </c>
      <c r="C34" s="17">
        <f>_xll.BDH("AMZN US Equity","BS_TOT_NON_CUR_ASSET","FQ1 2009","FQ1 2009","Currency=USD","Period=FQ","BEST_FPERIOD_OVERRIDE=FQ","FILING_STATUS=MR","SCALING_FORMAT=MLN","Sort=A","Dates=H","DateFormat=P","Fill=—","Direction=H","UseDPDF=Y")</f>
        <v>2205</v>
      </c>
      <c r="D34" s="17">
        <f>_xll.BDH("AMZN US Equity","BS_TOT_NON_CUR_ASSET","FQ2 2009","FQ2 2009","Currency=USD","Period=FQ","BEST_FPERIOD_OVERRIDE=FQ","FILING_STATUS=MR","SCALING_FORMAT=MLN","Sort=A","Dates=H","DateFormat=P","Fill=—","Direction=H","UseDPDF=Y")</f>
        <v>2371</v>
      </c>
      <c r="E34" s="17">
        <f>_xll.BDH("AMZN US Equity","BS_TOT_NON_CUR_ASSET","FQ3 2009","FQ3 2009","Currency=USD","Period=FQ","BEST_FPERIOD_OVERRIDE=FQ","FILING_STATUS=MR","SCALING_FORMAT=MLN","Sort=A","Dates=H","DateFormat=P","Fill=—","Direction=H","UseDPDF=Y")</f>
        <v>2603</v>
      </c>
      <c r="F34" s="17">
        <f>_xll.BDH("AMZN US Equity","BS_TOT_NON_CUR_ASSET","FQ4 2009","FQ4 2009","Currency=USD","Period=FQ","BEST_FPERIOD_OVERRIDE=FQ","FILING_STATUS=MR","SCALING_FORMAT=MLN","Sort=A","Dates=H","DateFormat=P","Fill=—","Direction=H","UseDPDF=Y")</f>
        <v>4016</v>
      </c>
      <c r="G34" s="17">
        <f>_xll.BDH("AMZN US Equity","BS_TOT_NON_CUR_ASSET","FQ1 2010","FQ1 2010","Currency=USD","Period=FQ","BEST_FPERIOD_OVERRIDE=FQ","FILING_STATUS=MR","SCALING_FORMAT=MLN","Sort=A","Dates=H","DateFormat=P","Fill=—","Direction=H","UseDPDF=Y")</f>
        <v>4078</v>
      </c>
      <c r="H34" s="17">
        <f>_xll.BDH("AMZN US Equity","BS_TOT_NON_CUR_ASSET","FQ2 2010","FQ2 2010","Currency=USD","Period=FQ","BEST_FPERIOD_OVERRIDE=FQ","FILING_STATUS=MR","SCALING_FORMAT=MLN","Sort=A","Dates=H","DateFormat=P","Fill=—","Direction=H","UseDPDF=Y")</f>
        <v>4279</v>
      </c>
      <c r="I34" s="17">
        <f>_xll.BDH("AMZN US Equity","BS_TOT_NON_CUR_ASSET","FQ3 2010","FQ3 2010","Currency=USD","Period=FQ","BEST_FPERIOD_OVERRIDE=FQ","FILING_STATUS=MR","SCALING_FORMAT=MLN","Sort=A","Dates=H","DateFormat=P","Fill=—","Direction=H","UseDPDF=Y")</f>
        <v>4603</v>
      </c>
      <c r="J34" s="17">
        <f>_xll.BDH("AMZN US Equity","BS_TOT_NON_CUR_ASSET","FQ4 2010","FQ4 2010","Currency=USD","Period=FQ","BEST_FPERIOD_OVERRIDE=FQ","FILING_STATUS=MR","SCALING_FORMAT=MLN","Sort=A","Dates=H","DateFormat=P","Fill=—","Direction=H","UseDPDF=Y")</f>
        <v>5050</v>
      </c>
      <c r="K34" s="17">
        <f>_xll.BDH("AMZN US Equity","BS_TOT_NON_CUR_ASSET","FQ1 2011","FQ1 2011","Currency=USD","Period=FQ","BEST_FPERIOD_OVERRIDE=FQ","FILING_STATUS=MR","SCALING_FORMAT=MLN","Sort=A","Dates=H","DateFormat=P","Fill=—","Direction=H","UseDPDF=Y")</f>
        <v>5594</v>
      </c>
      <c r="L34" s="17">
        <f>_xll.BDH("AMZN US Equity","BS_TOT_NON_CUR_ASSET","FQ2 2011","FQ2 2011","Currency=USD","Period=FQ","BEST_FPERIOD_OVERRIDE=FQ","FILING_STATUS=MR","SCALING_FORMAT=MLN","Sort=A","Dates=H","DateFormat=P","Fill=—","Direction=H","UseDPDF=Y")</f>
        <v>6662</v>
      </c>
      <c r="M34" s="17">
        <f>_xll.BDH("AMZN US Equity","BS_TOT_NON_CUR_ASSET","FQ3 2011","FQ3 2011","Currency=USD","Period=FQ","BEST_FPERIOD_OVERRIDE=FQ","FILING_STATUS=MR","SCALING_FORMAT=MLN","Sort=A","Dates=H","DateFormat=P","Fill=—","Direction=H","UseDPDF=Y")</f>
        <v>7150</v>
      </c>
      <c r="N34" s="17">
        <f>_xll.BDH("AMZN US Equity","BS_TOT_NON_CUR_ASSET","FQ4 2011","FQ4 2011","Currency=USD","Period=FQ","BEST_FPERIOD_OVERRIDE=FQ","FILING_STATUS=MR","SCALING_FORMAT=MLN","Sort=A","Dates=H","DateFormat=P","Fill=—","Direction=H","UseDPDF=Y")</f>
        <v>7788</v>
      </c>
      <c r="O34" s="17">
        <f>_xll.BDH("AMZN US Equity","BS_TOT_NON_CUR_ASSET","FQ1 2012","FQ1 2012","Currency=USD","Period=FQ","BEST_FPERIOD_OVERRIDE=FQ","FILING_STATUS=MR","SCALING_FORMAT=MLN","Sort=A","Dates=H","DateFormat=P","Fill=—","Direction=H","UseDPDF=Y")</f>
        <v>8185</v>
      </c>
      <c r="P34" s="17">
        <f>_xll.BDH("AMZN US Equity","BS_TOT_NON_CUR_ASSET","FQ2 2012","FQ2 2012","Currency=USD","Period=FQ","BEST_FPERIOD_OVERRIDE=FQ","FILING_STATUS=MR","SCALING_FORMAT=MLN","Sort=A","Dates=H","DateFormat=P","Fill=—","Direction=H","UseDPDF=Y")</f>
        <v>9229</v>
      </c>
      <c r="Q34" s="17">
        <f>_xll.BDH("AMZN US Equity","BS_TOT_NON_CUR_ASSET","FQ3 2012","FQ3 2012","Currency=USD","Period=FQ","BEST_FPERIOD_OVERRIDE=FQ","FILING_STATUS=MR","SCALING_FORMAT=MLN","Sort=A","Dates=H","DateFormat=P","Fill=—","Direction=H","UseDPDF=Y")</f>
        <v>9716</v>
      </c>
      <c r="R34" s="17">
        <f>_xll.BDH("AMZN US Equity","BS_TOT_NON_CUR_ASSET","FQ4 2012","FQ4 2012","Currency=USD","Period=FQ","BEST_FPERIOD_OVERRIDE=FQ","FILING_STATUS=MR","SCALING_FORMAT=MLN","Sort=A","Dates=H","DateFormat=P","Fill=—","Direction=H","UseDPDF=Y")</f>
        <v>11259</v>
      </c>
      <c r="S34" s="17">
        <f>_xll.BDH("AMZN US Equity","BS_TOT_NON_CUR_ASSET","FQ1 2013","FQ1 2013","Currency=USD","Period=FQ","BEST_FPERIOD_OVERRIDE=FQ","FILING_STATUS=MR","SCALING_FORMAT=MLN","Sort=A","Dates=H","DateFormat=P","Fill=—","Direction=H","UseDPDF=Y")</f>
        <v>12064</v>
      </c>
      <c r="T34" s="17">
        <f>_xll.BDH("AMZN US Equity","BS_TOT_NON_CUR_ASSET","FQ2 2013","FQ2 2013","Currency=USD","Period=FQ","BEST_FPERIOD_OVERRIDE=FQ","FILING_STATUS=MR","SCALING_FORMAT=MLN","Sort=A","Dates=H","DateFormat=P","Fill=—","Direction=H","UseDPDF=Y")</f>
        <v>13338</v>
      </c>
      <c r="U34" s="17">
        <f>_xll.BDH("AMZN US Equity","BS_TOT_NON_CUR_ASSET","FQ3 2013","FQ3 2013","Currency=USD","Period=FQ","BEST_FPERIOD_OVERRIDE=FQ","FILING_STATUS=MR","SCALING_FORMAT=MLN","Sort=A","Dates=H","DateFormat=P","Fill=—","Direction=H","UseDPDF=Y")</f>
        <v>14527</v>
      </c>
      <c r="V34" s="17">
        <f>_xll.BDH("AMZN US Equity","BS_TOT_NON_CUR_ASSET","FQ4 2013","FQ4 2013","Currency=USD","Period=FQ","BEST_FPERIOD_OVERRIDE=FQ","FILING_STATUS=MR","SCALING_FORMAT=MLN","Sort=A","Dates=H","DateFormat=P","Fill=—","Direction=H","UseDPDF=Y")</f>
        <v>15534</v>
      </c>
      <c r="W34" s="17">
        <f>_xll.BDH("AMZN US Equity","BS_TOT_NON_CUR_ASSET","FQ1 2014","FQ1 2014","Currency=USD","Period=FQ","BEST_FPERIOD_OVERRIDE=FQ","FILING_STATUS=MR","SCALING_FORMAT=MLN","Sort=A","Dates=H","DateFormat=P","Fill=—","Direction=H","UseDPDF=Y")</f>
        <v>17037</v>
      </c>
      <c r="X34" s="17">
        <f>_xll.BDH("AMZN US Equity","BS_TOT_NON_CUR_ASSET","FQ2 2014","FQ2 2014","Currency=USD","Period=FQ","BEST_FPERIOD_OVERRIDE=FQ","FILING_STATUS=MR","SCALING_FORMAT=MLN","Sort=A","Dates=H","DateFormat=P","Fill=—","Direction=H","UseDPDF=Y")</f>
        <v>19143</v>
      </c>
      <c r="Y34" s="17">
        <f>_xll.BDH("AMZN US Equity","BS_TOT_NON_CUR_ASSET","FQ3 2014","FQ3 2014","Currency=USD","Period=FQ","BEST_FPERIOD_OVERRIDE=FQ","FILING_STATUS=MR","SCALING_FORMAT=MLN","Sort=A","Dates=H","DateFormat=P","Fill=—","Direction=H","UseDPDF=Y")</f>
        <v>21847</v>
      </c>
      <c r="Z34" s="17">
        <f>_xll.BDH("AMZN US Equity","BS_TOT_NON_CUR_ASSET","FQ4 2014","FQ4 2014","Currency=USD","Period=FQ","BEST_FPERIOD_OVERRIDE=FQ","FILING_STATUS=MR","SCALING_FORMAT=MLN","Sort=A","Dates=H","DateFormat=P","Fill=—","Direction=H","UseDPDF=Y")</f>
        <v>23178</v>
      </c>
      <c r="AA34" s="17">
        <f>_xll.BDH("AMZN US Equity","BS_TOT_NON_CUR_ASSET","FQ1 2015","FQ1 2015","Currency=USD","Period=FQ","BEST_FPERIOD_OVERRIDE=FQ","FILING_STATUS=MR","SCALING_FORMAT=MLN","Sort=A","Dates=H","DateFormat=P","Fill=—","Direction=H","UseDPDF=Y")</f>
        <v>24153</v>
      </c>
      <c r="AB34" s="17">
        <f>_xll.BDH("AMZN US Equity","BS_TOT_NON_CUR_ASSET","FQ2 2015","FQ2 2015","Currency=USD","Period=FQ","BEST_FPERIOD_OVERRIDE=FQ","FILING_STATUS=MR","SCALING_FORMAT=MLN","Sort=A","Dates=H","DateFormat=P","Fill=—","Direction=H","UseDPDF=Y")</f>
        <v>26049</v>
      </c>
      <c r="AC34" s="17">
        <f>_xll.BDH("AMZN US Equity","BS_TOT_NON_CUR_ASSET","FQ3 2015","FQ3 2015","Currency=USD","Period=FQ","BEST_FPERIOD_OVERRIDE=FQ","FILING_STATUS=MR","SCALING_FORMAT=MLN","Sort=A","Dates=H","DateFormat=P","Fill=—","Direction=H","UseDPDF=Y")</f>
        <v>27381</v>
      </c>
      <c r="AD34" s="17">
        <f>_xll.BDH("AMZN US Equity","BS_TOT_NON_CUR_ASSET","FQ4 2015","FQ4 2015","Currency=USD","Period=FQ","BEST_FPERIOD_OVERRIDE=FQ","FILING_STATUS=MR","SCALING_FORMAT=MLN","Sort=A","Dates=H","DateFormat=P","Fill=—","Direction=H","UseDPDF=Y")</f>
        <v>29042</v>
      </c>
      <c r="AE34" s="17">
        <f>_xll.BDH("AMZN US Equity","BS_TOT_NON_CUR_ASSET","FQ1 2016","FQ1 2016","Currency=USD","Period=FQ","BEST_FPERIOD_OVERRIDE=FQ","FILING_STATUS=MR","SCALING_FORMAT=MLN","Sort=A","Dates=H","DateFormat=P","Fill=—","Direction=H","UseDPDF=Y")</f>
        <v>30615</v>
      </c>
      <c r="AF34" s="17">
        <f>_xll.BDH("AMZN US Equity","BS_TOT_NON_CUR_ASSET","FQ2 2016","FQ2 2016","Currency=USD","Period=FQ","BEST_FPERIOD_OVERRIDE=FQ","FILING_STATUS=MR","SCALING_FORMAT=MLN","Sort=A","Dates=H","DateFormat=P","Fill=—","Direction=H","UseDPDF=Y")</f>
        <v>32856</v>
      </c>
      <c r="AG34" s="17">
        <f>_xll.BDH("AMZN US Equity","BS_TOT_NON_CUR_ASSET","FQ3 2016","FQ3 2016","Currency=USD","Period=FQ","BEST_FPERIOD_OVERRIDE=FQ","FILING_STATUS=MR","SCALING_FORMAT=MLN","Sort=A","Dates=H","DateFormat=P","Fill=—","Direction=H","UseDPDF=Y")</f>
        <v>35288</v>
      </c>
      <c r="AH34" s="17">
        <f>_xll.BDH("AMZN US Equity","BS_TOT_NON_CUR_ASSET","FQ4 2016","FQ4 2016","Currency=USD","Period=FQ","BEST_FPERIOD_OVERRIDE=FQ","FILING_STATUS=MR","SCALING_FORMAT=MLN","Sort=A","Dates=H","DateFormat=P","Fill=—","Direction=H","UseDPDF=Y")</f>
        <v>37621</v>
      </c>
      <c r="AI34" s="17">
        <f>_xll.BDH("AMZN US Equity","BS_TOT_NON_CUR_ASSET","FQ1 2017","FQ1 2017","Currency=USD","Period=FQ","BEST_FPERIOD_OVERRIDE=FQ","FILING_STATUS=MR","SCALING_FORMAT=MLN","Sort=A","Dates=H","DateFormat=P","Fill=—","Direction=H","UseDPDF=Y")</f>
        <v>41509</v>
      </c>
      <c r="AJ34" s="17">
        <f>_xll.BDH("AMZN US Equity","BS_TOT_NON_CUR_ASSET","FQ2 2017","FQ2 2017","Currency=USD","Period=FQ","BEST_FPERIOD_OVERRIDE=FQ","FILING_STATUS=MR","SCALING_FORMAT=MLN","Sort=A","Dates=H","DateFormat=P","Fill=—","Direction=H","UseDPDF=Y")</f>
        <v>46774</v>
      </c>
      <c r="AK34" s="17">
        <f>_xll.BDH("AMZN US Equity","BS_TOT_NON_CUR_ASSET","FQ3 2017","FQ3 2017","Currency=USD","Period=FQ","BEST_FPERIOD_OVERRIDE=FQ","FILING_STATUS=MR","SCALING_FORMAT=MLN","Sort=A","Dates=H","DateFormat=P","Fill=—","Direction=H","UseDPDF=Y")</f>
        <v>66689</v>
      </c>
      <c r="AL34" s="17">
        <f>_xll.BDH("AMZN US Equity","BS_TOT_NON_CUR_ASSET","FQ4 2017","FQ4 2017","Currency=USD","Period=FQ","BEST_FPERIOD_OVERRIDE=FQ","FILING_STATUS=MR","SCALING_FORMAT=MLN","Sort=A","Dates=H","DateFormat=P","Fill=—","Direction=H","UseDPDF=Y")</f>
        <v>71113</v>
      </c>
      <c r="AM34" s="17">
        <f>_xll.BDH("AMZN US Equity","BS_TOT_NON_CUR_ASSET","FQ1 2018","FQ1 2018","Currency=USD","Period=FQ","BEST_FPERIOD_OVERRIDE=FQ","FILING_STATUS=MR","SCALING_FORMAT=MLN","Sort=A","Dates=H","DateFormat=P","Fill=—","Direction=H","UseDPDF=Y")</f>
        <v>75533</v>
      </c>
      <c r="AN34" s="17">
        <f>_xll.BDH("AMZN US Equity","BS_TOT_NON_CUR_ASSET","FQ2 2018","FQ2 2018","Currency=USD","Period=FQ","BEST_FPERIOD_OVERRIDE=FQ","FILING_STATUS=MR","SCALING_FORMAT=MLN","Sort=A","Dates=H","DateFormat=P","Fill=—","Direction=H","UseDPDF=Y")</f>
        <v>79619</v>
      </c>
    </row>
    <row r="35" spans="1:40" x14ac:dyDescent="0.25">
      <c r="A35" s="6" t="s">
        <v>209</v>
      </c>
      <c r="B35" s="6" t="s">
        <v>264</v>
      </c>
      <c r="C35" s="17">
        <f>_xll.BDH("AMZN US Equity","BS_TOT_ASSET","FQ1 2009","FQ1 2009","Currency=USD","Period=FQ","BEST_FPERIOD_OVERRIDE=FQ","FILING_STATUS=MR","SCALING_FORMAT=MLN","Sort=A","Dates=H","DateFormat=P","Fill=—","Direction=H","UseDPDF=Y")</f>
        <v>6980</v>
      </c>
      <c r="D35" s="17">
        <f>_xll.BDH("AMZN US Equity","BS_TOT_ASSET","FQ2 2009","FQ2 2009","Currency=USD","Period=FQ","BEST_FPERIOD_OVERRIDE=FQ","FILING_STATUS=MR","SCALING_FORMAT=MLN","Sort=A","Dates=H","DateFormat=P","Fill=—","Direction=H","UseDPDF=Y")</f>
        <v>7675</v>
      </c>
      <c r="E35" s="17">
        <f>_xll.BDH("AMZN US Equity","BS_TOT_ASSET","FQ3 2009","FQ3 2009","Currency=USD","Period=FQ","BEST_FPERIOD_OVERRIDE=FQ","FILING_STATUS=MR","SCALING_FORMAT=MLN","Sort=A","Dates=H","DateFormat=P","Fill=—","Direction=H","UseDPDF=Y")</f>
        <v>8972</v>
      </c>
      <c r="F35" s="17">
        <f>_xll.BDH("AMZN US Equity","BS_TOT_ASSET","FQ4 2009","FQ4 2009","Currency=USD","Period=FQ","BEST_FPERIOD_OVERRIDE=FQ","FILING_STATUS=MR","SCALING_FORMAT=MLN","Sort=A","Dates=H","DateFormat=P","Fill=—","Direction=H","UseDPDF=Y")</f>
        <v>13813</v>
      </c>
      <c r="G35" s="17">
        <f>_xll.BDH("AMZN US Equity","BS_TOT_ASSET","FQ1 2010","FQ1 2010","Currency=USD","Period=FQ","BEST_FPERIOD_OVERRIDE=FQ","FILING_STATUS=MR","SCALING_FORMAT=MLN","Sort=A","Dates=H","DateFormat=P","Fill=—","Direction=H","UseDPDF=Y")</f>
        <v>12042</v>
      </c>
      <c r="H35" s="17">
        <f>_xll.BDH("AMZN US Equity","BS_TOT_ASSET","FQ2 2010","FQ2 2010","Currency=USD","Period=FQ","BEST_FPERIOD_OVERRIDE=FQ","FILING_STATUS=MR","SCALING_FORMAT=MLN","Sort=A","Dates=H","DateFormat=P","Fill=—","Direction=H","UseDPDF=Y")</f>
        <v>12397</v>
      </c>
      <c r="I35" s="17">
        <f>_xll.BDH("AMZN US Equity","BS_TOT_ASSET","FQ3 2010","FQ3 2010","Currency=USD","Period=FQ","BEST_FPERIOD_OVERRIDE=FQ","FILING_STATUS=MR","SCALING_FORMAT=MLN","Sort=A","Dates=H","DateFormat=P","Fill=—","Direction=H","UseDPDF=Y")</f>
        <v>14162</v>
      </c>
      <c r="J35" s="17">
        <f>_xll.BDH("AMZN US Equity","BS_TOT_ASSET","FQ4 2010","FQ4 2010","Currency=USD","Period=FQ","BEST_FPERIOD_OVERRIDE=FQ","FILING_STATUS=MR","SCALING_FORMAT=MLN","Sort=A","Dates=H","DateFormat=P","Fill=—","Direction=H","UseDPDF=Y")</f>
        <v>18797</v>
      </c>
      <c r="K35" s="17">
        <f>_xll.BDH("AMZN US Equity","BS_TOT_ASSET","FQ1 2011","FQ1 2011","Currency=USD","Period=FQ","BEST_FPERIOD_OVERRIDE=FQ","FILING_STATUS=MR","SCALING_FORMAT=MLN","Sort=A","Dates=H","DateFormat=P","Fill=—","Direction=H","UseDPDF=Y")</f>
        <v>16882</v>
      </c>
      <c r="L35" s="17">
        <f>_xll.BDH("AMZN US Equity","BS_TOT_ASSET","FQ2 2011","FQ2 2011","Currency=USD","Period=FQ","BEST_FPERIOD_OVERRIDE=FQ","FILING_STATUS=MR","SCALING_FORMAT=MLN","Sort=A","Dates=H","DateFormat=P","Fill=—","Direction=H","UseDPDF=Y")</f>
        <v>17941</v>
      </c>
      <c r="M35" s="17">
        <f>_xll.BDH("AMZN US Equity","BS_TOT_ASSET","FQ3 2011","FQ3 2011","Currency=USD","Period=FQ","BEST_FPERIOD_OVERRIDE=FQ","FILING_STATUS=MR","SCALING_FORMAT=MLN","Sort=A","Dates=H","DateFormat=P","Fill=—","Direction=H","UseDPDF=Y")</f>
        <v>19054</v>
      </c>
      <c r="N35" s="17">
        <f>_xll.BDH("AMZN US Equity","BS_TOT_ASSET","FQ4 2011","FQ4 2011","Currency=USD","Period=FQ","BEST_FPERIOD_OVERRIDE=FQ","FILING_STATUS=MR","SCALING_FORMAT=MLN","Sort=A","Dates=H","DateFormat=P","Fill=—","Direction=H","UseDPDF=Y")</f>
        <v>25278</v>
      </c>
      <c r="O35" s="17">
        <f>_xll.BDH("AMZN US Equity","BS_TOT_ASSET","FQ1 2012","FQ1 2012","Currency=USD","Period=FQ","BEST_FPERIOD_OVERRIDE=FQ","FILING_STATUS=MR","SCALING_FORMAT=MLN","Sort=A","Dates=H","DateFormat=P","Fill=—","Direction=H","UseDPDF=Y")</f>
        <v>20339</v>
      </c>
      <c r="P35" s="17">
        <f>_xll.BDH("AMZN US Equity","BS_TOT_ASSET","FQ2 2012","FQ2 2012","Currency=USD","Period=FQ","BEST_FPERIOD_OVERRIDE=FQ","FILING_STATUS=MR","SCALING_FORMAT=MLN","Sort=A","Dates=H","DateFormat=P","Fill=—","Direction=H","UseDPDF=Y")</f>
        <v>21022</v>
      </c>
      <c r="Q35" s="17">
        <f>_xll.BDH("AMZN US Equity","BS_TOT_ASSET","FQ3 2012","FQ3 2012","Currency=USD","Period=FQ","BEST_FPERIOD_OVERRIDE=FQ","FILING_STATUS=MR","SCALING_FORMAT=MLN","Sort=A","Dates=H","DateFormat=P","Fill=—","Direction=H","UseDPDF=Y")</f>
        <v>22834</v>
      </c>
      <c r="R35" s="17">
        <f>_xll.BDH("AMZN US Equity","BS_TOT_ASSET","FQ4 2012","FQ4 2012","Currency=USD","Period=FQ","BEST_FPERIOD_OVERRIDE=FQ","FILING_STATUS=MR","SCALING_FORMAT=MLN","Sort=A","Dates=H","DateFormat=P","Fill=—","Direction=H","UseDPDF=Y")</f>
        <v>32555</v>
      </c>
      <c r="S35" s="17">
        <f>_xll.BDH("AMZN US Equity","BS_TOT_ASSET","FQ1 2013","FQ1 2013","Currency=USD","Period=FQ","BEST_FPERIOD_OVERRIDE=FQ","FILING_STATUS=MR","SCALING_FORMAT=MLN","Sort=A","Dates=H","DateFormat=P","Fill=—","Direction=H","UseDPDF=Y")</f>
        <v>28377</v>
      </c>
      <c r="T35" s="17">
        <f>_xll.BDH("AMZN US Equity","BS_TOT_ASSET","FQ2 2013","FQ2 2013","Currency=USD","Period=FQ","BEST_FPERIOD_OVERRIDE=FQ","FILING_STATUS=MR","SCALING_FORMAT=MLN","Sort=A","Dates=H","DateFormat=P","Fill=—","Direction=H","UseDPDF=Y")</f>
        <v>29623</v>
      </c>
      <c r="U35" s="17">
        <f>_xll.BDH("AMZN US Equity","BS_TOT_ASSET","FQ3 2013","FQ3 2013","Currency=USD","Period=FQ","BEST_FPERIOD_OVERRIDE=FQ","FILING_STATUS=MR","SCALING_FORMAT=MLN","Sort=A","Dates=H","DateFormat=P","Fill=—","Direction=H","UseDPDF=Y")</f>
        <v>31861</v>
      </c>
      <c r="V35" s="17">
        <f>_xll.BDH("AMZN US Equity","BS_TOT_ASSET","FQ4 2013","FQ4 2013","Currency=USD","Period=FQ","BEST_FPERIOD_OVERRIDE=FQ","FILING_STATUS=MR","SCALING_FORMAT=MLN","Sort=A","Dates=H","DateFormat=P","Fill=—","Direction=H","UseDPDF=Y")</f>
        <v>40159</v>
      </c>
      <c r="W35" s="17">
        <f>_xll.BDH("AMZN US Equity","BS_TOT_ASSET","FQ1 2014","FQ1 2014","Currency=USD","Period=FQ","BEST_FPERIOD_OVERRIDE=FQ","FILING_STATUS=MR","SCALING_FORMAT=MLN","Sort=A","Dates=H","DateFormat=P","Fill=—","Direction=H","UseDPDF=Y")</f>
        <v>36364</v>
      </c>
      <c r="X35" s="17">
        <f>_xll.BDH("AMZN US Equity","BS_TOT_ASSET","FQ2 2014","FQ2 2014","Currency=USD","Period=FQ","BEST_FPERIOD_OVERRIDE=FQ","FILING_STATUS=MR","SCALING_FORMAT=MLN","Sort=A","Dates=H","DateFormat=P","Fill=—","Direction=H","UseDPDF=Y")</f>
        <v>37898</v>
      </c>
      <c r="Y35" s="17">
        <f>_xll.BDH("AMZN US Equity","BS_TOT_ASSET","FQ3 2014","FQ3 2014","Currency=USD","Period=FQ","BEST_FPERIOD_OVERRIDE=FQ","FILING_STATUS=MR","SCALING_FORMAT=MLN","Sort=A","Dates=H","DateFormat=P","Fill=—","Direction=H","UseDPDF=Y")</f>
        <v>40419</v>
      </c>
      <c r="Z35" s="17">
        <f>_xll.BDH("AMZN US Equity","BS_TOT_ASSET","FQ4 2014","FQ4 2014","Currency=USD","Period=FQ","BEST_FPERIOD_OVERRIDE=FQ","FILING_STATUS=MR","SCALING_FORMAT=MLN","Sort=A","Dates=H","DateFormat=P","Fill=—","Direction=H","UseDPDF=Y")</f>
        <v>54505</v>
      </c>
      <c r="AA35" s="17">
        <f>_xll.BDH("AMZN US Equity","BS_TOT_ASSET","FQ1 2015","FQ1 2015","Currency=USD","Period=FQ","BEST_FPERIOD_OVERRIDE=FQ","FILING_STATUS=MR","SCALING_FORMAT=MLN","Sort=A","Dates=H","DateFormat=P","Fill=—","Direction=H","UseDPDF=Y")</f>
        <v>50075</v>
      </c>
      <c r="AB35" s="17">
        <f>_xll.BDH("AMZN US Equity","BS_TOT_ASSET","FQ2 2015","FQ2 2015","Currency=USD","Period=FQ","BEST_FPERIOD_OVERRIDE=FQ","FILING_STATUS=MR","SCALING_FORMAT=MLN","Sort=A","Dates=H","DateFormat=P","Fill=—","Direction=H","UseDPDF=Y")</f>
        <v>52440</v>
      </c>
      <c r="AC35" s="17">
        <f>_xll.BDH("AMZN US Equity","BS_TOT_ASSET","FQ3 2015","FQ3 2015","Currency=USD","Period=FQ","BEST_FPERIOD_OVERRIDE=FQ","FILING_STATUS=MR","SCALING_FORMAT=MLN","Sort=A","Dates=H","DateFormat=P","Fill=—","Direction=H","UseDPDF=Y")</f>
        <v>56230</v>
      </c>
      <c r="AD35" s="17">
        <f>_xll.BDH("AMZN US Equity","BS_TOT_ASSET","FQ4 2015","FQ4 2015","Currency=USD","Period=FQ","BEST_FPERIOD_OVERRIDE=FQ","FILING_STATUS=MR","SCALING_FORMAT=MLN","Sort=A","Dates=H","DateFormat=P","Fill=—","Direction=H","UseDPDF=Y")</f>
        <v>64747</v>
      </c>
      <c r="AE35" s="17">
        <f>_xll.BDH("AMZN US Equity","BS_TOT_ASSET","FQ1 2016","FQ1 2016","Currency=USD","Period=FQ","BEST_FPERIOD_OVERRIDE=FQ","FILING_STATUS=MR","SCALING_FORMAT=MLN","Sort=A","Dates=H","DateFormat=P","Fill=—","Direction=H","UseDPDF=Y")</f>
        <v>61128</v>
      </c>
      <c r="AF35" s="17">
        <f>_xll.BDH("AMZN US Equity","BS_TOT_ASSET","FQ2 2016","FQ2 2016","Currency=USD","Period=FQ","BEST_FPERIOD_OVERRIDE=FQ","FILING_STATUS=MR","SCALING_FORMAT=MLN","Sort=A","Dates=H","DateFormat=P","Fill=—","Direction=H","UseDPDF=Y")</f>
        <v>65076</v>
      </c>
      <c r="AG35" s="17">
        <f>_xll.BDH("AMZN US Equity","BS_TOT_ASSET","FQ3 2016","FQ3 2016","Currency=USD","Period=FQ","BEST_FPERIOD_OVERRIDE=FQ","FILING_STATUS=MR","SCALING_FORMAT=MLN","Sort=A","Dates=H","DateFormat=P","Fill=—","Direction=H","UseDPDF=Y")</f>
        <v>70897</v>
      </c>
      <c r="AH35" s="17">
        <f>_xll.BDH("AMZN US Equity","BS_TOT_ASSET","FQ4 2016","FQ4 2016","Currency=USD","Period=FQ","BEST_FPERIOD_OVERRIDE=FQ","FILING_STATUS=MR","SCALING_FORMAT=MLN","Sort=A","Dates=H","DateFormat=P","Fill=—","Direction=H","UseDPDF=Y")</f>
        <v>83402</v>
      </c>
      <c r="AI35" s="17">
        <f>_xll.BDH("AMZN US Equity","BS_TOT_ASSET","FQ1 2017","FQ1 2017","Currency=USD","Period=FQ","BEST_FPERIOD_OVERRIDE=FQ","FILING_STATUS=MR","SCALING_FORMAT=MLN","Sort=A","Dates=H","DateFormat=P","Fill=—","Direction=H","UseDPDF=Y")</f>
        <v>80969</v>
      </c>
      <c r="AJ35" s="17">
        <f>_xll.BDH("AMZN US Equity","BS_TOT_ASSET","FQ2 2017","FQ2 2017","Currency=USD","Period=FQ","BEST_FPERIOD_OVERRIDE=FQ","FILING_STATUS=MR","SCALING_FORMAT=MLN","Sort=A","Dates=H","DateFormat=P","Fill=—","Direction=H","UseDPDF=Y")</f>
        <v>87781</v>
      </c>
      <c r="AK35" s="17">
        <f>_xll.BDH("AMZN US Equity","BS_TOT_ASSET","FQ3 2017","FQ3 2017","Currency=USD","Period=FQ","BEST_FPERIOD_OVERRIDE=FQ","FILING_STATUS=MR","SCALING_FORMAT=MLN","Sort=A","Dates=H","DateFormat=P","Fill=—","Direction=H","UseDPDF=Y")</f>
        <v>115267</v>
      </c>
      <c r="AL35" s="17">
        <f>_xll.BDH("AMZN US Equity","BS_TOT_ASSET","FQ4 2017","FQ4 2017","Currency=USD","Period=FQ","BEST_FPERIOD_OVERRIDE=FQ","FILING_STATUS=MR","SCALING_FORMAT=MLN","Sort=A","Dates=H","DateFormat=P","Fill=—","Direction=H","UseDPDF=Y")</f>
        <v>131310</v>
      </c>
      <c r="AM35" s="17">
        <f>_xll.BDH("AMZN US Equity","BS_TOT_ASSET","FQ1 2018","FQ1 2018","Currency=USD","Period=FQ","BEST_FPERIOD_OVERRIDE=FQ","FILING_STATUS=MR","SCALING_FORMAT=MLN","Sort=A","Dates=H","DateFormat=P","Fill=—","Direction=H","UseDPDF=Y")</f>
        <v>126362</v>
      </c>
      <c r="AN35" s="17">
        <f>_xll.BDH("AMZN US Equity","BS_TOT_ASSET","FQ2 2018","FQ2 2018","Currency=USD","Period=FQ","BEST_FPERIOD_OVERRIDE=FQ","FILING_STATUS=MR","SCALING_FORMAT=MLN","Sort=A","Dates=H","DateFormat=P","Fill=—","Direction=H","UseDPDF=Y")</f>
        <v>134100</v>
      </c>
    </row>
    <row r="36" spans="1:40" x14ac:dyDescent="0.25">
      <c r="A36" s="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x14ac:dyDescent="0.25">
      <c r="A37" s="6" t="s">
        <v>265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25">
      <c r="A38" s="10" t="s">
        <v>266</v>
      </c>
      <c r="B38" s="10" t="s">
        <v>267</v>
      </c>
      <c r="C38" s="13">
        <f>_xll.BDH("AMZN US Equity","ACCT_PAYABLE_&amp;_ACCRUALS_DETAILED","FQ1 2009","FQ1 2009","Currency=USD","Period=FQ","BEST_FPERIOD_OVERRIDE=FQ","FILING_STATUS=MR","SCALING_FORMAT=MLN","Sort=A","Dates=H","DateFormat=P","Fill=—","Direction=H","UseDPDF=Y")</f>
        <v>3351</v>
      </c>
      <c r="D38" s="13">
        <f>_xll.BDH("AMZN US Equity","ACCT_PAYABLE_&amp;_ACCRUALS_DETAILED","FQ2 2009","FQ2 2009","Currency=USD","Period=FQ","BEST_FPERIOD_OVERRIDE=FQ","FILING_STATUS=MR","SCALING_FORMAT=MLN","Sort=A","Dates=H","DateFormat=P","Fill=—","Direction=H","UseDPDF=Y")</f>
        <v>3636</v>
      </c>
      <c r="E38" s="13">
        <f>_xll.BDH("AMZN US Equity","ACCT_PAYABLE_&amp;_ACCRUALS_DETAILED","FQ3 2009","FQ3 2009","Currency=USD","Period=FQ","BEST_FPERIOD_OVERRIDE=FQ","FILING_STATUS=MR","SCALING_FORMAT=MLN","Sort=A","Dates=H","DateFormat=P","Fill=—","Direction=H","UseDPDF=Y")</f>
        <v>4537</v>
      </c>
      <c r="F38" s="13">
        <f>_xll.BDH("AMZN US Equity","ACCT_PAYABLE_&amp;_ACCRUALS_DETAILED","FQ4 2009","FQ4 2009","Currency=USD","Period=FQ","BEST_FPERIOD_OVERRIDE=FQ","FILING_STATUS=MR","SCALING_FORMAT=MLN","Sort=A","Dates=H","DateFormat=P","Fill=—","Direction=H","UseDPDF=Y")</f>
        <v>7223</v>
      </c>
      <c r="G38" s="13">
        <f>_xll.BDH("AMZN US Equity","ACCT_PAYABLE_&amp;_ACCRUALS_DETAILED","FQ1 2010","FQ1 2010","Currency=USD","Period=FQ","BEST_FPERIOD_OVERRIDE=FQ","FILING_STATUS=MR","SCALING_FORMAT=MLN","Sort=A","Dates=H","DateFormat=P","Fill=—","Direction=H","UseDPDF=Y")</f>
        <v>5151</v>
      </c>
      <c r="H38" s="13">
        <f>_xll.BDH("AMZN US Equity","ACCT_PAYABLE_&amp;_ACCRUALS_DETAILED","FQ2 2010","FQ2 2010","Currency=USD","Period=FQ","BEST_FPERIOD_OVERRIDE=FQ","FILING_STATUS=MR","SCALING_FORMAT=MLN","Sort=A","Dates=H","DateFormat=P","Fill=—","Direction=H","UseDPDF=Y")</f>
        <v>5250</v>
      </c>
      <c r="I38" s="13">
        <f>_xll.BDH("AMZN US Equity","ACCT_PAYABLE_&amp;_ACCRUALS_DETAILED","FQ3 2010","FQ3 2010","Currency=USD","Period=FQ","BEST_FPERIOD_OVERRIDE=FQ","FILING_STATUS=MR","SCALING_FORMAT=MLN","Sort=A","Dates=H","DateFormat=P","Fill=—","Direction=H","UseDPDF=Y")</f>
        <v>6375</v>
      </c>
      <c r="J38" s="13">
        <f>_xll.BDH("AMZN US Equity","ACCT_PAYABLE_&amp;_ACCRUALS_DETAILED","FQ4 2010","FQ4 2010","Currency=USD","Period=FQ","BEST_FPERIOD_OVERRIDE=FQ","FILING_STATUS=MR","SCALING_FORMAT=MLN","Sort=A","Dates=H","DateFormat=P","Fill=—","Direction=H","UseDPDF=Y")</f>
        <v>10154</v>
      </c>
      <c r="K38" s="13">
        <f>_xll.BDH("AMZN US Equity","ACCT_PAYABLE_&amp;_ACCRUALS_DETAILED","FQ1 2011","FQ1 2011","Currency=USD","Period=FQ","BEST_FPERIOD_OVERRIDE=FQ","FILING_STATUS=MR","SCALING_FORMAT=MLN","Sort=A","Dates=H","DateFormat=P","Fill=—","Direction=H","UseDPDF=Y")</f>
        <v>7730</v>
      </c>
      <c r="L38" s="13">
        <f>_xll.BDH("AMZN US Equity","ACCT_PAYABLE_&amp;_ACCRUALS_DETAILED","FQ2 2011","FQ2 2011","Currency=USD","Period=FQ","BEST_FPERIOD_OVERRIDE=FQ","FILING_STATUS=MR","SCALING_FORMAT=MLN","Sort=A","Dates=H","DateFormat=P","Fill=—","Direction=H","UseDPDF=Y")</f>
        <v>8045</v>
      </c>
      <c r="M38" s="13">
        <f>_xll.BDH("AMZN US Equity","ACCT_PAYABLE_&amp;_ACCRUALS_DETAILED","FQ3 2011","FQ3 2011","Currency=USD","Period=FQ","BEST_FPERIOD_OVERRIDE=FQ","FILING_STATUS=MR","SCALING_FORMAT=MLN","Sort=A","Dates=H","DateFormat=P","Fill=—","Direction=H","UseDPDF=Y")</f>
        <v>8978</v>
      </c>
      <c r="N38" s="13">
        <f>_xll.BDH("AMZN US Equity","ACCT_PAYABLE_&amp;_ACCRUALS_DETAILED","FQ4 2011","FQ4 2011","Currency=USD","Period=FQ","BEST_FPERIOD_OVERRIDE=FQ","FILING_STATUS=MR","SCALING_FORMAT=MLN","Sort=A","Dates=H","DateFormat=P","Fill=—","Direction=H","UseDPDF=Y")</f>
        <v>14372</v>
      </c>
      <c r="O38" s="13">
        <f>_xll.BDH("AMZN US Equity","ACCT_PAYABLE_&amp;_ACCRUALS_DETAILED","FQ1 2012","FQ1 2012","Currency=USD","Period=FQ","BEST_FPERIOD_OVERRIDE=FQ","FILING_STATUS=MR","SCALING_FORMAT=MLN","Sort=A","Dates=H","DateFormat=P","Fill=—","Direction=H","UseDPDF=Y")</f>
        <v>10488</v>
      </c>
      <c r="P38" s="13">
        <f>_xll.BDH("AMZN US Equity","ACCT_PAYABLE_&amp;_ACCRUALS_DETAILED","FQ2 2012","FQ2 2012","Currency=USD","Period=FQ","BEST_FPERIOD_OVERRIDE=FQ","FILING_STATUS=MR","SCALING_FORMAT=MLN","Sort=A","Dates=H","DateFormat=P","Fill=—","Direction=H","UseDPDF=Y")</f>
        <v>10964</v>
      </c>
      <c r="Q38" s="13">
        <f>_xll.BDH("AMZN US Equity","ACCT_PAYABLE_&amp;_ACCRUALS_DETAILED","FQ3 2012","FQ3 2012","Currency=USD","Period=FQ","BEST_FPERIOD_OVERRIDE=FQ","FILING_STATUS=MR","SCALING_FORMAT=MLN","Sort=A","Dates=H","DateFormat=P","Fill=—","Direction=H","UseDPDF=Y")</f>
        <v>12605</v>
      </c>
      <c r="R38" s="13">
        <f>_xll.BDH("AMZN US Equity","ACCT_PAYABLE_&amp;_ACCRUALS_DETAILED","FQ4 2012","FQ4 2012","Currency=USD","Period=FQ","BEST_FPERIOD_OVERRIDE=FQ","FILING_STATUS=MR","SCALING_FORMAT=MLN","Sort=A","Dates=H","DateFormat=P","Fill=—","Direction=H","UseDPDF=Y")</f>
        <v>17868</v>
      </c>
      <c r="S38" s="13">
        <f>_xll.BDH("AMZN US Equity","ACCT_PAYABLE_&amp;_ACCRUALS_DETAILED","FQ1 2013","FQ1 2013","Currency=USD","Period=FQ","BEST_FPERIOD_OVERRIDE=FQ","FILING_STATUS=MR","SCALING_FORMAT=MLN","Sort=A","Dates=H","DateFormat=P","Fill=—","Direction=H","UseDPDF=Y")</f>
        <v>13680</v>
      </c>
      <c r="T38" s="13">
        <f>_xll.BDH("AMZN US Equity","ACCT_PAYABLE_&amp;_ACCRUALS_DETAILED","FQ2 2013","FQ2 2013","Currency=USD","Period=FQ","BEST_FPERIOD_OVERRIDE=FQ","FILING_STATUS=MR","SCALING_FORMAT=MLN","Sort=A","Dates=H","DateFormat=P","Fill=—","Direction=H","UseDPDF=Y")</f>
        <v>14044</v>
      </c>
      <c r="U38" s="13">
        <f>_xll.BDH("AMZN US Equity","ACCT_PAYABLE_&amp;_ACCRUALS_DETAILED","FQ3 2013","FQ3 2013","Currency=USD","Period=FQ","BEST_FPERIOD_OVERRIDE=FQ","FILING_STATUS=MR","SCALING_FORMAT=MLN","Sort=A","Dates=H","DateFormat=P","Fill=—","Direction=H","UseDPDF=Y")</f>
        <v>15455</v>
      </c>
      <c r="V38" s="13">
        <f>_xll.BDH("AMZN US Equity","ACCT_PAYABLE_&amp;_ACCRUALS_DETAILED","FQ4 2013","FQ4 2013","Currency=USD","Period=FQ","BEST_FPERIOD_OVERRIDE=FQ","FILING_STATUS=MR","SCALING_FORMAT=MLN","Sort=A","Dates=H","DateFormat=P","Fill=—","Direction=H","UseDPDF=Y")</f>
        <v>20113</v>
      </c>
      <c r="W38" s="13">
        <f>_xll.BDH("AMZN US Equity","ACCT_PAYABLE_&amp;_ACCRUALS_DETAILED","FQ1 2014","FQ1 2014","Currency=USD","Period=FQ","BEST_FPERIOD_OVERRIDE=FQ","FILING_STATUS=MR","SCALING_FORMAT=MLN","Sort=A","Dates=H","DateFormat=P","Fill=—","Direction=H","UseDPDF=Y")</f>
        <v>16057</v>
      </c>
      <c r="X38" s="13">
        <f>_xll.BDH("AMZN US Equity","ACCT_PAYABLE_&amp;_ACCRUALS_DETAILED","FQ2 2014","FQ2 2014","Currency=USD","Period=FQ","BEST_FPERIOD_OVERRIDE=FQ","FILING_STATUS=MR","SCALING_FORMAT=MLN","Sort=A","Dates=H","DateFormat=P","Fill=—","Direction=H","UseDPDF=Y")</f>
        <v>16285</v>
      </c>
      <c r="Y38" s="13">
        <f>_xll.BDH("AMZN US Equity","ACCT_PAYABLE_&amp;_ACCRUALS_DETAILED","FQ3 2014","FQ3 2014","Currency=USD","Period=FQ","BEST_FPERIOD_OVERRIDE=FQ","FILING_STATUS=MR","SCALING_FORMAT=MLN","Sort=A","Dates=H","DateFormat=P","Fill=—","Direction=H","UseDPDF=Y")</f>
        <v>18164</v>
      </c>
      <c r="Z38" s="13">
        <f>_xll.BDH("AMZN US Equity","ACCT_PAYABLE_&amp;_ACCRUALS_DETAILED","FQ4 2014","FQ4 2014","Currency=USD","Period=FQ","BEST_FPERIOD_OVERRIDE=FQ","FILING_STATUS=MR","SCALING_FORMAT=MLN","Sort=A","Dates=H","DateFormat=P","Fill=—","Direction=H","UseDPDF=Y")</f>
        <v>22666</v>
      </c>
      <c r="AA38" s="13">
        <f>_xll.BDH("AMZN US Equity","ACCT_PAYABLE_&amp;_ACCRUALS_DETAILED","FQ1 2015","FQ1 2015","Currency=USD","Period=FQ","BEST_FPERIOD_OVERRIDE=FQ","FILING_STATUS=MR","SCALING_FORMAT=MLN","Sort=A","Dates=H","DateFormat=P","Fill=—","Direction=H","UseDPDF=Y")</f>
        <v>19380</v>
      </c>
      <c r="AB38" s="13">
        <f>_xll.BDH("AMZN US Equity","ACCT_PAYABLE_&amp;_ACCRUALS_DETAILED","FQ2 2015","FQ2 2015","Currency=USD","Period=FQ","BEST_FPERIOD_OVERRIDE=FQ","FILING_STATUS=MR","SCALING_FORMAT=MLN","Sort=A","Dates=H","DateFormat=P","Fill=—","Direction=H","UseDPDF=Y")</f>
        <v>20091</v>
      </c>
      <c r="AC38" s="13">
        <f>_xll.BDH("AMZN US Equity","ACCT_PAYABLE_&amp;_ACCRUALS_DETAILED","FQ3 2015","FQ3 2015","Currency=USD","Period=FQ","BEST_FPERIOD_OVERRIDE=FQ","FILING_STATUS=MR","SCALING_FORMAT=MLN","Sort=A","Dates=H","DateFormat=P","Fill=—","Direction=H","UseDPDF=Y")</f>
        <v>22477</v>
      </c>
      <c r="AD38" s="13">
        <f>_xll.BDH("AMZN US Equity","ACCT_PAYABLE_&amp;_ACCRUALS_DETAILED","FQ4 2015","FQ4 2015","Currency=USD","Period=FQ","BEST_FPERIOD_OVERRIDE=FQ","FILING_STATUS=MR","SCALING_FORMAT=MLN","Sort=A","Dates=H","DateFormat=P","Fill=—","Direction=H","UseDPDF=Y")</f>
        <v>27405</v>
      </c>
      <c r="AE38" s="13">
        <f>_xll.BDH("AMZN US Equity","ACCT_PAYABLE_&amp;_ACCRUALS_DETAILED","FQ1 2016","FQ1 2016","Currency=USD","Period=FQ","BEST_FPERIOD_OVERRIDE=FQ","FILING_STATUS=MR","SCALING_FORMAT=MLN","Sort=A","Dates=H","DateFormat=P","Fill=—","Direction=H","UseDPDF=Y")</f>
        <v>21028</v>
      </c>
      <c r="AF38" s="13">
        <f>_xll.BDH("AMZN US Equity","ACCT_PAYABLE_&amp;_ACCRUALS_DETAILED","FQ2 2016","FQ2 2016","Currency=USD","Period=FQ","BEST_FPERIOD_OVERRIDE=FQ","FILING_STATUS=MR","SCALING_FORMAT=MLN","Sort=A","Dates=H","DateFormat=P","Fill=—","Direction=H","UseDPDF=Y")</f>
        <v>22188</v>
      </c>
      <c r="AG38" s="13">
        <f>_xll.BDH("AMZN US Equity","ACCT_PAYABLE_&amp;_ACCRUALS_DETAILED","FQ3 2016","FQ3 2016","Currency=USD","Period=FQ","BEST_FPERIOD_OVERRIDE=FQ","FILING_STATUS=MR","SCALING_FORMAT=MLN","Sort=A","Dates=H","DateFormat=P","Fill=—","Direction=H","UseDPDF=Y")</f>
        <v>25415</v>
      </c>
      <c r="AH38" s="13">
        <f>_xll.BDH("AMZN US Equity","ACCT_PAYABLE_&amp;_ACCRUALS_DETAILED","FQ4 2016","FQ4 2016","Currency=USD","Period=FQ","BEST_FPERIOD_OVERRIDE=FQ","FILING_STATUS=MR","SCALING_FORMAT=MLN","Sort=A","Dates=H","DateFormat=P","Fill=—","Direction=H","UseDPDF=Y")</f>
        <v>33851</v>
      </c>
      <c r="AI38" s="13">
        <f>_xll.BDH("AMZN US Equity","ACCT_PAYABLE_&amp;_ACCRUALS_DETAILED","FQ1 2017","FQ1 2017","Currency=USD","Period=FQ","BEST_FPERIOD_OVERRIDE=FQ","FILING_STATUS=MR","SCALING_FORMAT=MLN","Sort=A","Dates=H","DateFormat=P","Fill=—","Direction=H","UseDPDF=Y")</f>
        <v>26337</v>
      </c>
      <c r="AJ38" s="13">
        <f>_xll.BDH("AMZN US Equity","ACCT_PAYABLE_&amp;_ACCRUALS_DETAILED","FQ2 2017","FQ2 2017","Currency=USD","Period=FQ","BEST_FPERIOD_OVERRIDE=FQ","FILING_STATUS=MR","SCALING_FORMAT=MLN","Sort=A","Dates=H","DateFormat=P","Fill=—","Direction=H","UseDPDF=Y")</f>
        <v>29319</v>
      </c>
      <c r="AK38" s="13">
        <f>_xll.BDH("AMZN US Equity","ACCT_PAYABLE_&amp;_ACCRUALS_DETAILED","FQ3 2017","FQ3 2017","Currency=USD","Period=FQ","BEST_FPERIOD_OVERRIDE=FQ","FILING_STATUS=MR","SCALING_FORMAT=MLN","Sort=A","Dates=H","DateFormat=P","Fill=—","Direction=H","UseDPDF=Y")</f>
        <v>35343</v>
      </c>
      <c r="AL38" s="13">
        <f>_xll.BDH("AMZN US Equity","ACCT_PAYABLE_&amp;_ACCRUALS_DETAILED","FQ4 2017","FQ4 2017","Currency=USD","Period=FQ","BEST_FPERIOD_OVERRIDE=FQ","FILING_STATUS=MR","SCALING_FORMAT=MLN","Sort=A","Dates=H","DateFormat=P","Fill=—","Direction=H","UseDPDF=Y")</f>
        <v>46565</v>
      </c>
      <c r="AM38" s="13">
        <f>_xll.BDH("AMZN US Equity","ACCT_PAYABLE_&amp;_ACCRUALS_DETAILED","FQ1 2018","FQ1 2018","Currency=USD","Period=FQ","BEST_FPERIOD_OVERRIDE=FQ","FILING_STATUS=MR","SCALING_FORMAT=MLN","Sort=A","Dates=H","DateFormat=P","Fill=—","Direction=H","UseDPDF=Y")</f>
        <v>35316</v>
      </c>
      <c r="AN38" s="13">
        <f>_xll.BDH("AMZN US Equity","ACCT_PAYABLE_&amp;_ACCRUALS_DETAILED","FQ2 2018","FQ2 2018","Currency=USD","Period=FQ","BEST_FPERIOD_OVERRIDE=FQ","FILING_STATUS=MR","SCALING_FORMAT=MLN","Sort=A","Dates=H","DateFormat=P","Fill=—","Direction=H","UseDPDF=Y")</f>
        <v>37846</v>
      </c>
    </row>
    <row r="39" spans="1:40" x14ac:dyDescent="0.25">
      <c r="A39" s="10" t="s">
        <v>268</v>
      </c>
      <c r="B39" s="10" t="s">
        <v>269</v>
      </c>
      <c r="C39" s="13">
        <f>_xll.BDH("AMZN US Equity","BS_ACCT_PAYABLE","FQ1 2009","FQ1 2009","Currency=USD","Period=FQ","BEST_FPERIOD_OVERRIDE=FQ","FILING_STATUS=MR","SCALING_FORMAT=MLN","Sort=A","Dates=H","DateFormat=P","Fill=—","Direction=H","UseDPDF=Y")</f>
        <v>2380</v>
      </c>
      <c r="D39" s="13">
        <f>_xll.BDH("AMZN US Equity","BS_ACCT_PAYABLE","FQ2 2009","FQ2 2009","Currency=USD","Period=FQ","BEST_FPERIOD_OVERRIDE=FQ","FILING_STATUS=MR","SCALING_FORMAT=MLN","Sort=A","Dates=H","DateFormat=P","Fill=—","Direction=H","UseDPDF=Y")</f>
        <v>2508</v>
      </c>
      <c r="E39" s="13">
        <f>_xll.BDH("AMZN US Equity","BS_ACCT_PAYABLE","FQ3 2009","FQ3 2009","Currency=USD","Period=FQ","BEST_FPERIOD_OVERRIDE=FQ","FILING_STATUS=MR","SCALING_FORMAT=MLN","Sort=A","Dates=H","DateFormat=P","Fill=—","Direction=H","UseDPDF=Y")</f>
        <v>3354</v>
      </c>
      <c r="F39" s="13">
        <f>_xll.BDH("AMZN US Equity","BS_ACCT_PAYABLE","FQ4 2009","FQ4 2009","Currency=USD","Period=FQ","BEST_FPERIOD_OVERRIDE=FQ","FILING_STATUS=MR","SCALING_FORMAT=MLN","Sort=A","Dates=H","DateFormat=P","Fill=—","Direction=H","UseDPDF=Y")</f>
        <v>5605</v>
      </c>
      <c r="G39" s="13">
        <f>_xll.BDH("AMZN US Equity","BS_ACCT_PAYABLE","FQ1 2010","FQ1 2010","Currency=USD","Period=FQ","BEST_FPERIOD_OVERRIDE=FQ","FILING_STATUS=MR","SCALING_FORMAT=MLN","Sort=A","Dates=H","DateFormat=P","Fill=—","Direction=H","UseDPDF=Y")</f>
        <v>3619</v>
      </c>
      <c r="H39" s="13">
        <f>_xll.BDH("AMZN US Equity","BS_ACCT_PAYABLE","FQ2 2010","FQ2 2010","Currency=USD","Period=FQ","BEST_FPERIOD_OVERRIDE=FQ","FILING_STATUS=MR","SCALING_FORMAT=MLN","Sort=A","Dates=H","DateFormat=P","Fill=—","Direction=H","UseDPDF=Y")</f>
        <v>3545</v>
      </c>
      <c r="I39" s="13">
        <f>_xll.BDH("AMZN US Equity","BS_ACCT_PAYABLE","FQ3 2010","FQ3 2010","Currency=USD","Period=FQ","BEST_FPERIOD_OVERRIDE=FQ","FILING_STATUS=MR","SCALING_FORMAT=MLN","Sort=A","Dates=H","DateFormat=P","Fill=—","Direction=H","UseDPDF=Y")</f>
        <v>4614</v>
      </c>
      <c r="J39" s="13">
        <f>_xll.BDH("AMZN US Equity","BS_ACCT_PAYABLE","FQ4 2010","FQ4 2010","Currency=USD","Period=FQ","BEST_FPERIOD_OVERRIDE=FQ","FILING_STATUS=MR","SCALING_FORMAT=MLN","Sort=A","Dates=H","DateFormat=P","Fill=—","Direction=H","UseDPDF=Y")</f>
        <v>8051</v>
      </c>
      <c r="K39" s="13">
        <f>_xll.BDH("AMZN US Equity","BS_ACCT_PAYABLE","FQ1 2011","FQ1 2011","Currency=USD","Period=FQ","BEST_FPERIOD_OVERRIDE=FQ","FILING_STATUS=MR","SCALING_FORMAT=MLN","Sort=A","Dates=H","DateFormat=P","Fill=—","Direction=H","UseDPDF=Y")</f>
        <v>5540</v>
      </c>
      <c r="L39" s="13">
        <f>_xll.BDH("AMZN US Equity","BS_ACCT_PAYABLE","FQ2 2011","FQ2 2011","Currency=USD","Period=FQ","BEST_FPERIOD_OVERRIDE=FQ","FILING_STATUS=MR","SCALING_FORMAT=MLN","Sort=A","Dates=H","DateFormat=P","Fill=—","Direction=H","UseDPDF=Y")</f>
        <v>5721</v>
      </c>
      <c r="M39" s="13">
        <f>_xll.BDH("AMZN US Equity","BS_ACCT_PAYABLE","FQ3 2011","FQ3 2011","Currency=USD","Period=FQ","BEST_FPERIOD_OVERRIDE=FQ","FILING_STATUS=MR","SCALING_FORMAT=MLN","Sort=A","Dates=H","DateFormat=P","Fill=—","Direction=H","UseDPDF=Y")</f>
        <v>6552</v>
      </c>
      <c r="N39" s="13">
        <f>_xll.BDH("AMZN US Equity","BS_ACCT_PAYABLE","FQ4 2011","FQ4 2011","Currency=USD","Period=FQ","BEST_FPERIOD_OVERRIDE=FQ","FILING_STATUS=MR","SCALING_FORMAT=MLN","Sort=A","Dates=H","DateFormat=P","Fill=—","Direction=H","UseDPDF=Y")</f>
        <v>11145</v>
      </c>
      <c r="O39" s="13">
        <f>_xll.BDH("AMZN US Equity","BS_ACCT_PAYABLE","FQ1 2012","FQ1 2012","Currency=USD","Period=FQ","BEST_FPERIOD_OVERRIDE=FQ","FILING_STATUS=MR","SCALING_FORMAT=MLN","Sort=A","Dates=H","DateFormat=P","Fill=—","Direction=H","UseDPDF=Y")</f>
        <v>6886</v>
      </c>
      <c r="P39" s="13">
        <f>_xll.BDH("AMZN US Equity","BS_ACCT_PAYABLE","FQ2 2012","FQ2 2012","Currency=USD","Period=FQ","BEST_FPERIOD_OVERRIDE=FQ","FILING_STATUS=MR","SCALING_FORMAT=MLN","Sort=A","Dates=H","DateFormat=P","Fill=—","Direction=H","UseDPDF=Y")</f>
        <v>7072</v>
      </c>
      <c r="Q39" s="13">
        <f>_xll.BDH("AMZN US Equity","BS_ACCT_PAYABLE","FQ3 2012","FQ3 2012","Currency=USD","Period=FQ","BEST_FPERIOD_OVERRIDE=FQ","FILING_STATUS=MR","SCALING_FORMAT=MLN","Sort=A","Dates=H","DateFormat=P","Fill=—","Direction=H","UseDPDF=Y")</f>
        <v>8369</v>
      </c>
      <c r="R39" s="13">
        <f>_xll.BDH("AMZN US Equity","BS_ACCT_PAYABLE","FQ4 2012","FQ4 2012","Currency=USD","Period=FQ","BEST_FPERIOD_OVERRIDE=FQ","FILING_STATUS=MR","SCALING_FORMAT=MLN","Sort=A","Dates=H","DateFormat=P","Fill=—","Direction=H","UseDPDF=Y")</f>
        <v>13318</v>
      </c>
      <c r="S39" s="13">
        <f>_xll.BDH("AMZN US Equity","BS_ACCT_PAYABLE","FQ1 2013","FQ1 2013","Currency=USD","Period=FQ","BEST_FPERIOD_OVERRIDE=FQ","FILING_STATUS=MR","SCALING_FORMAT=MLN","Sort=A","Dates=H","DateFormat=P","Fill=—","Direction=H","UseDPDF=Y")</f>
        <v>8916</v>
      </c>
      <c r="T39" s="13">
        <f>_xll.BDH("AMZN US Equity","BS_ACCT_PAYABLE","FQ2 2013","FQ2 2013","Currency=USD","Period=FQ","BEST_FPERIOD_OVERRIDE=FQ","FILING_STATUS=MR","SCALING_FORMAT=MLN","Sort=A","Dates=H","DateFormat=P","Fill=—","Direction=H","UseDPDF=Y")</f>
        <v>8990</v>
      </c>
      <c r="U39" s="13">
        <f>_xll.BDH("AMZN US Equity","BS_ACCT_PAYABLE","FQ3 2013","FQ3 2013","Currency=USD","Period=FQ","BEST_FPERIOD_OVERRIDE=FQ","FILING_STATUS=MR","SCALING_FORMAT=MLN","Sort=A","Dates=H","DateFormat=P","Fill=—","Direction=H","UseDPDF=Y")</f>
        <v>10037</v>
      </c>
      <c r="V39" s="13">
        <f>_xll.BDH("AMZN US Equity","BS_ACCT_PAYABLE","FQ4 2013","FQ4 2013","Currency=USD","Period=FQ","BEST_FPERIOD_OVERRIDE=FQ","FILING_STATUS=MR","SCALING_FORMAT=MLN","Sort=A","Dates=H","DateFormat=P","Fill=—","Direction=H","UseDPDF=Y")</f>
        <v>15133</v>
      </c>
      <c r="W39" s="13">
        <f>_xll.BDH("AMZN US Equity","BS_ACCT_PAYABLE","FQ1 2014","FQ1 2014","Currency=USD","Period=FQ","BEST_FPERIOD_OVERRIDE=FQ","FILING_STATUS=MR","SCALING_FORMAT=MLN","Sort=A","Dates=H","DateFormat=P","Fill=—","Direction=H","UseDPDF=Y")</f>
        <v>10590</v>
      </c>
      <c r="X39" s="13">
        <f>_xll.BDH("AMZN US Equity","BS_ACCT_PAYABLE","FQ2 2014","FQ2 2014","Currency=USD","Period=FQ","BEST_FPERIOD_OVERRIDE=FQ","FILING_STATUS=MR","SCALING_FORMAT=MLN","Sort=A","Dates=H","DateFormat=P","Fill=—","Direction=H","UseDPDF=Y")</f>
        <v>10457</v>
      </c>
      <c r="Y39" s="13">
        <f>_xll.BDH("AMZN US Equity","BS_ACCT_PAYABLE","FQ3 2014","FQ3 2014","Currency=USD","Period=FQ","BEST_FPERIOD_OVERRIDE=FQ","FILING_STATUS=MR","SCALING_FORMAT=MLN","Sort=A","Dates=H","DateFormat=P","Fill=—","Direction=H","UseDPDF=Y")</f>
        <v>11811</v>
      </c>
      <c r="Z39" s="13">
        <f>_xll.BDH("AMZN US Equity","BS_ACCT_PAYABLE","FQ4 2014","FQ4 2014","Currency=USD","Period=FQ","BEST_FPERIOD_OVERRIDE=FQ","FILING_STATUS=MR","SCALING_FORMAT=MLN","Sort=A","Dates=H","DateFormat=P","Fill=—","Direction=H","UseDPDF=Y")</f>
        <v>16459</v>
      </c>
      <c r="AA39" s="13">
        <f>_xll.BDH("AMZN US Equity","BS_ACCT_PAYABLE","FQ1 2015","FQ1 2015","Currency=USD","Period=FQ","BEST_FPERIOD_OVERRIDE=FQ","FILING_STATUS=MR","SCALING_FORMAT=MLN","Sort=A","Dates=H","DateFormat=P","Fill=—","Direction=H","UseDPDF=Y")</f>
        <v>11917</v>
      </c>
      <c r="AB39" s="13">
        <f>_xll.BDH("AMZN US Equity","BS_ACCT_PAYABLE","FQ2 2015","FQ2 2015","Currency=USD","Period=FQ","BEST_FPERIOD_OVERRIDE=FQ","FILING_STATUS=MR","SCALING_FORMAT=MLN","Sort=A","Dates=H","DateFormat=P","Fill=—","Direction=H","UseDPDF=Y")</f>
        <v>12391</v>
      </c>
      <c r="AC39" s="13">
        <f>_xll.BDH("AMZN US Equity","BS_ACCT_PAYABLE","FQ3 2015","FQ3 2015","Currency=USD","Period=FQ","BEST_FPERIOD_OVERRIDE=FQ","FILING_STATUS=MR","SCALING_FORMAT=MLN","Sort=A","Dates=H","DateFormat=P","Fill=—","Direction=H","UseDPDF=Y")</f>
        <v>14437</v>
      </c>
      <c r="AD39" s="13">
        <f>_xll.BDH("AMZN US Equity","BS_ACCT_PAYABLE","FQ4 2015","FQ4 2015","Currency=USD","Period=FQ","BEST_FPERIOD_OVERRIDE=FQ","FILING_STATUS=MR","SCALING_FORMAT=MLN","Sort=A","Dates=H","DateFormat=P","Fill=—","Direction=H","UseDPDF=Y")</f>
        <v>20397</v>
      </c>
      <c r="AE39" s="13">
        <f>_xll.BDH("AMZN US Equity","BS_ACCT_PAYABLE","FQ1 2016","FQ1 2016","Currency=USD","Period=FQ","BEST_FPERIOD_OVERRIDE=FQ","FILING_STATUS=MR","SCALING_FORMAT=MLN","Sort=A","Dates=H","DateFormat=P","Fill=—","Direction=H","UseDPDF=Y")</f>
        <v>14990</v>
      </c>
      <c r="AF39" s="13">
        <f>_xll.BDH("AMZN US Equity","BS_ACCT_PAYABLE","FQ2 2016","FQ2 2016","Currency=USD","Period=FQ","BEST_FPERIOD_OVERRIDE=FQ","FILING_STATUS=MR","SCALING_FORMAT=MLN","Sort=A","Dates=H","DateFormat=P","Fill=—","Direction=H","UseDPDF=Y")</f>
        <v>16123</v>
      </c>
      <c r="AG39" s="13">
        <f>_xll.BDH("AMZN US Equity","BS_ACCT_PAYABLE","FQ3 2016","FQ3 2016","Currency=USD","Period=FQ","BEST_FPERIOD_OVERRIDE=FQ","FILING_STATUS=MR","SCALING_FORMAT=MLN","Sort=A","Dates=H","DateFormat=P","Fill=—","Direction=H","UseDPDF=Y")</f>
        <v>18801</v>
      </c>
      <c r="AH39" s="13">
        <f>_xll.BDH("AMZN US Equity","BS_ACCT_PAYABLE","FQ4 2016","FQ4 2016","Currency=USD","Period=FQ","BEST_FPERIOD_OVERRIDE=FQ","FILING_STATUS=MR","SCALING_FORMAT=MLN","Sort=A","Dates=H","DateFormat=P","Fill=—","Direction=H","UseDPDF=Y")</f>
        <v>25309</v>
      </c>
      <c r="AI39" s="13">
        <f>_xll.BDH("AMZN US Equity","BS_ACCT_PAYABLE","FQ1 2017","FQ1 2017","Currency=USD","Period=FQ","BEST_FPERIOD_OVERRIDE=FQ","FILING_STATUS=MR","SCALING_FORMAT=MLN","Sort=A","Dates=H","DateFormat=P","Fill=—","Direction=H","UseDPDF=Y")</f>
        <v>18891</v>
      </c>
      <c r="AJ39" s="13">
        <f>_xll.BDH("AMZN US Equity","BS_ACCT_PAYABLE","FQ2 2017","FQ2 2017","Currency=USD","Period=FQ","BEST_FPERIOD_OVERRIDE=FQ","FILING_STATUS=MR","SCALING_FORMAT=MLN","Sort=A","Dates=H","DateFormat=P","Fill=—","Direction=H","UseDPDF=Y")</f>
        <v>21439</v>
      </c>
      <c r="AK39" s="13">
        <f>_xll.BDH("AMZN US Equity","BS_ACCT_PAYABLE","FQ3 2017","FQ3 2017","Currency=USD","Period=FQ","BEST_FPERIOD_OVERRIDE=FQ","FILING_STATUS=MR","SCALING_FORMAT=MLN","Sort=A","Dates=H","DateFormat=P","Fill=—","Direction=H","UseDPDF=Y")</f>
        <v>26075</v>
      </c>
      <c r="AL39" s="13">
        <f>_xll.BDH("AMZN US Equity","BS_ACCT_PAYABLE","FQ4 2017","FQ4 2017","Currency=USD","Period=FQ","BEST_FPERIOD_OVERRIDE=FQ","FILING_STATUS=MR","SCALING_FORMAT=MLN","Sort=A","Dates=H","DateFormat=P","Fill=—","Direction=H","UseDPDF=Y")</f>
        <v>34616</v>
      </c>
      <c r="AM39" s="13">
        <f>_xll.BDH("AMZN US Equity","BS_ACCT_PAYABLE","FQ1 2018","FQ1 2018","Currency=USD","Period=FQ","BEST_FPERIOD_OVERRIDE=FQ","FILING_STATUS=MR","SCALING_FORMAT=MLN","Sort=A","Dates=H","DateFormat=P","Fill=—","Direction=H","UseDPDF=Y")</f>
        <v>25172</v>
      </c>
      <c r="AN39" s="13">
        <f>_xll.BDH("AMZN US Equity","BS_ACCT_PAYABLE","FQ2 2018","FQ2 2018","Currency=USD","Period=FQ","BEST_FPERIOD_OVERRIDE=FQ","FILING_STATUS=MR","SCALING_FORMAT=MLN","Sort=A","Dates=H","DateFormat=P","Fill=—","Direction=H","UseDPDF=Y")</f>
        <v>27657</v>
      </c>
    </row>
    <row r="40" spans="1:40" x14ac:dyDescent="0.25">
      <c r="A40" s="10" t="s">
        <v>270</v>
      </c>
      <c r="B40" s="10" t="s">
        <v>271</v>
      </c>
      <c r="C40" s="13" t="str">
        <f>_xll.BDH("AMZN US Equity","BS_TAXES_PAYABLE","FQ1 2009","FQ1 2009","Currency=USD","Period=FQ","BEST_FPERIOD_OVERRIDE=FQ","FILING_STATUS=MR","SCALING_FORMAT=MLN","Sort=A","Dates=H","DateFormat=P","Fill=—","Direction=H","UseDPDF=Y")</f>
        <v>—</v>
      </c>
      <c r="D40" s="13" t="str">
        <f>_xll.BDH("AMZN US Equity","BS_TAXES_PAYABLE","FQ2 2009","FQ2 2009","Currency=USD","Period=FQ","BEST_FPERIOD_OVERRIDE=FQ","FILING_STATUS=MR","SCALING_FORMAT=MLN","Sort=A","Dates=H","DateFormat=P","Fill=—","Direction=H","UseDPDF=Y")</f>
        <v>—</v>
      </c>
      <c r="E40" s="13" t="str">
        <f>_xll.BDH("AMZN US Equity","BS_TAXES_PAYABLE","FQ3 2009","FQ3 2009","Currency=USD","Period=FQ","BEST_FPERIOD_OVERRIDE=FQ","FILING_STATUS=MR","SCALING_FORMAT=MLN","Sort=A","Dates=H","DateFormat=P","Fill=—","Direction=H","UseDPDF=Y")</f>
        <v>—</v>
      </c>
      <c r="F40" s="13" t="str">
        <f>_xll.BDH("AMZN US Equity","BS_TAXES_PAYABLE","FQ4 2009","FQ4 2009","Currency=USD","Period=FQ","BEST_FPERIOD_OVERRIDE=FQ","FILING_STATUS=MR","SCALING_FORMAT=MLN","Sort=A","Dates=H","DateFormat=P","Fill=—","Direction=H","UseDPDF=Y")</f>
        <v>—</v>
      </c>
      <c r="G40" s="13" t="str">
        <f>_xll.BDH("AMZN US Equity","BS_TAXES_PAYABLE","FQ1 2010","FQ1 2010","Currency=USD","Period=FQ","BEST_FPERIOD_OVERRIDE=FQ","FILING_STATUS=MR","SCALING_FORMAT=MLN","Sort=A","Dates=H","DateFormat=P","Fill=—","Direction=H","UseDPDF=Y")</f>
        <v>—</v>
      </c>
      <c r="H40" s="13" t="str">
        <f>_xll.BDH("AMZN US Equity","BS_TAXES_PAYABLE","FQ2 2010","FQ2 2010","Currency=USD","Period=FQ","BEST_FPERIOD_OVERRIDE=FQ","FILING_STATUS=MR","SCALING_FORMAT=MLN","Sort=A","Dates=H","DateFormat=P","Fill=—","Direction=H","UseDPDF=Y")</f>
        <v>—</v>
      </c>
      <c r="I40" s="13" t="str">
        <f>_xll.BDH("AMZN US Equity","BS_TAXES_PAYABLE","FQ3 2010","FQ3 2010","Currency=USD","Period=FQ","BEST_FPERIOD_OVERRIDE=FQ","FILING_STATUS=MR","SCALING_FORMAT=MLN","Sort=A","Dates=H","DateFormat=P","Fill=—","Direction=H","UseDPDF=Y")</f>
        <v>—</v>
      </c>
      <c r="J40" s="13" t="str">
        <f>_xll.BDH("AMZN US Equity","BS_TAXES_PAYABLE","FQ4 2010","FQ4 2010","Currency=USD","Period=FQ","BEST_FPERIOD_OVERRIDE=FQ","FILING_STATUS=MR","SCALING_FORMAT=MLN","Sort=A","Dates=H","DateFormat=P","Fill=—","Direction=H","UseDPDF=Y")</f>
        <v>—</v>
      </c>
      <c r="K40" s="13" t="str">
        <f>_xll.BDH("AMZN US Equity","BS_TAXES_PAYABLE","FQ1 2011","FQ1 2011","Currency=USD","Period=FQ","BEST_FPERIOD_OVERRIDE=FQ","FILING_STATUS=MR","SCALING_FORMAT=MLN","Sort=A","Dates=H","DateFormat=P","Fill=—","Direction=H","UseDPDF=Y")</f>
        <v>—</v>
      </c>
      <c r="L40" s="13" t="str">
        <f>_xll.BDH("AMZN US Equity","BS_TAXES_PAYABLE","FQ2 2011","FQ2 2011","Currency=USD","Period=FQ","BEST_FPERIOD_OVERRIDE=FQ","FILING_STATUS=MR","SCALING_FORMAT=MLN","Sort=A","Dates=H","DateFormat=P","Fill=—","Direction=H","UseDPDF=Y")</f>
        <v>—</v>
      </c>
      <c r="M40" s="13" t="str">
        <f>_xll.BDH("AMZN US Equity","BS_TAXES_PAYABLE","FQ3 2011","FQ3 2011","Currency=USD","Period=FQ","BEST_FPERIOD_OVERRIDE=FQ","FILING_STATUS=MR","SCALING_FORMAT=MLN","Sort=A","Dates=H","DateFormat=P","Fill=—","Direction=H","UseDPDF=Y")</f>
        <v>—</v>
      </c>
      <c r="N40" s="13" t="str">
        <f>_xll.BDH("AMZN US Equity","BS_TAXES_PAYABLE","FQ4 2011","FQ4 2011","Currency=USD","Period=FQ","BEST_FPERIOD_OVERRIDE=FQ","FILING_STATUS=MR","SCALING_FORMAT=MLN","Sort=A","Dates=H","DateFormat=P","Fill=—","Direction=H","UseDPDF=Y")</f>
        <v>—</v>
      </c>
      <c r="O40" s="13" t="str">
        <f>_xll.BDH("AMZN US Equity","BS_TAXES_PAYABLE","FQ1 2012","FQ1 2012","Currency=USD","Period=FQ","BEST_FPERIOD_OVERRIDE=FQ","FILING_STATUS=MR","SCALING_FORMAT=MLN","Sort=A","Dates=H","DateFormat=P","Fill=—","Direction=H","UseDPDF=Y")</f>
        <v>—</v>
      </c>
      <c r="P40" s="13" t="str">
        <f>_xll.BDH("AMZN US Equity","BS_TAXES_PAYABLE","FQ2 2012","FQ2 2012","Currency=USD","Period=FQ","BEST_FPERIOD_OVERRIDE=FQ","FILING_STATUS=MR","SCALING_FORMAT=MLN","Sort=A","Dates=H","DateFormat=P","Fill=—","Direction=H","UseDPDF=Y")</f>
        <v>—</v>
      </c>
      <c r="Q40" s="13" t="str">
        <f>_xll.BDH("AMZN US Equity","BS_TAXES_PAYABLE","FQ3 2012","FQ3 2012","Currency=USD","Period=FQ","BEST_FPERIOD_OVERRIDE=FQ","FILING_STATUS=MR","SCALING_FORMAT=MLN","Sort=A","Dates=H","DateFormat=P","Fill=—","Direction=H","UseDPDF=Y")</f>
        <v>—</v>
      </c>
      <c r="R40" s="13" t="str">
        <f>_xll.BDH("AMZN US Equity","BS_TAXES_PAYABLE","FQ4 2012","FQ4 2012","Currency=USD","Period=FQ","BEST_FPERIOD_OVERRIDE=FQ","FILING_STATUS=MR","SCALING_FORMAT=MLN","Sort=A","Dates=H","DateFormat=P","Fill=—","Direction=H","UseDPDF=Y")</f>
        <v>—</v>
      </c>
      <c r="S40" s="13" t="str">
        <f>_xll.BDH("AMZN US Equity","BS_TAXES_PAYABLE","FQ1 2013","FQ1 2013","Currency=USD","Period=FQ","BEST_FPERIOD_OVERRIDE=FQ","FILING_STATUS=MR","SCALING_FORMAT=MLN","Sort=A","Dates=H","DateFormat=P","Fill=—","Direction=H","UseDPDF=Y")</f>
        <v>—</v>
      </c>
      <c r="T40" s="13" t="str">
        <f>_xll.BDH("AMZN US Equity","BS_TAXES_PAYABLE","FQ2 2013","FQ2 2013","Currency=USD","Period=FQ","BEST_FPERIOD_OVERRIDE=FQ","FILING_STATUS=MR","SCALING_FORMAT=MLN","Sort=A","Dates=H","DateFormat=P","Fill=—","Direction=H","UseDPDF=Y")</f>
        <v>—</v>
      </c>
      <c r="U40" s="13" t="str">
        <f>_xll.BDH("AMZN US Equity","BS_TAXES_PAYABLE","FQ3 2013","FQ3 2013","Currency=USD","Period=FQ","BEST_FPERIOD_OVERRIDE=FQ","FILING_STATUS=MR","SCALING_FORMAT=MLN","Sort=A","Dates=H","DateFormat=P","Fill=—","Direction=H","UseDPDF=Y")</f>
        <v>—</v>
      </c>
      <c r="V40" s="13" t="str">
        <f>_xll.BDH("AMZN US Equity","BS_TAXES_PAYABLE","FQ4 2013","FQ4 2013","Currency=USD","Period=FQ","BEST_FPERIOD_OVERRIDE=FQ","FILING_STATUS=MR","SCALING_FORMAT=MLN","Sort=A","Dates=H","DateFormat=P","Fill=—","Direction=H","UseDPDF=Y")</f>
        <v>—</v>
      </c>
      <c r="W40" s="13" t="str">
        <f>_xll.BDH("AMZN US Equity","BS_TAXES_PAYABLE","FQ1 2014","FQ1 2014","Currency=USD","Period=FQ","BEST_FPERIOD_OVERRIDE=FQ","FILING_STATUS=MR","SCALING_FORMAT=MLN","Sort=A","Dates=H","DateFormat=P","Fill=—","Direction=H","UseDPDF=Y")</f>
        <v>—</v>
      </c>
      <c r="X40" s="13" t="str">
        <f>_xll.BDH("AMZN US Equity","BS_TAXES_PAYABLE","FQ2 2014","FQ2 2014","Currency=USD","Period=FQ","BEST_FPERIOD_OVERRIDE=FQ","FILING_STATUS=MR","SCALING_FORMAT=MLN","Sort=A","Dates=H","DateFormat=P","Fill=—","Direction=H","UseDPDF=Y")</f>
        <v>—</v>
      </c>
      <c r="Y40" s="13" t="str">
        <f>_xll.BDH("AMZN US Equity","BS_TAXES_PAYABLE","FQ3 2014","FQ3 2014","Currency=USD","Period=FQ","BEST_FPERIOD_OVERRIDE=FQ","FILING_STATUS=MR","SCALING_FORMAT=MLN","Sort=A","Dates=H","DateFormat=P","Fill=—","Direction=H","UseDPDF=Y")</f>
        <v>—</v>
      </c>
      <c r="Z40" s="13">
        <f>_xll.BDH("AMZN US Equity","BS_TAXES_PAYABLE","FQ4 2014","FQ4 2014","Currency=USD","Period=FQ","BEST_FPERIOD_OVERRIDE=FQ","FILING_STATUS=MR","SCALING_FORMAT=MLN","Sort=A","Dates=H","DateFormat=P","Fill=—","Direction=H","UseDPDF=Y")</f>
        <v>0</v>
      </c>
      <c r="AA40" s="13" t="str">
        <f>_xll.BDH("AMZN US Equity","BS_TAXES_PAYABLE","FQ1 2015","FQ1 2015","Currency=USD","Period=FQ","BEST_FPERIOD_OVERRIDE=FQ","FILING_STATUS=MR","SCALING_FORMAT=MLN","Sort=A","Dates=H","DateFormat=P","Fill=—","Direction=H","UseDPDF=Y")</f>
        <v>—</v>
      </c>
      <c r="AB40" s="13" t="str">
        <f>_xll.BDH("AMZN US Equity","BS_TAXES_PAYABLE","FQ2 2015","FQ2 2015","Currency=USD","Period=FQ","BEST_FPERIOD_OVERRIDE=FQ","FILING_STATUS=MR","SCALING_FORMAT=MLN","Sort=A","Dates=H","DateFormat=P","Fill=—","Direction=H","UseDPDF=Y")</f>
        <v>—</v>
      </c>
      <c r="AC40" s="13" t="str">
        <f>_xll.BDH("AMZN US Equity","BS_TAXES_PAYABLE","FQ3 2015","FQ3 2015","Currency=USD","Period=FQ","BEST_FPERIOD_OVERRIDE=FQ","FILING_STATUS=MR","SCALING_FORMAT=MLN","Sort=A","Dates=H","DateFormat=P","Fill=—","Direction=H","UseDPDF=Y")</f>
        <v>—</v>
      </c>
      <c r="AD40" s="13" t="str">
        <f>_xll.BDH("AMZN US Equity","BS_TAXES_PAYABLE","FQ4 2015","FQ4 2015","Currency=USD","Period=FQ","BEST_FPERIOD_OVERRIDE=FQ","FILING_STATUS=MR","SCALING_FORMAT=MLN","Sort=A","Dates=H","DateFormat=P","Fill=—","Direction=H","UseDPDF=Y")</f>
        <v>—</v>
      </c>
      <c r="AE40" s="13" t="str">
        <f>_xll.BDH("AMZN US Equity","BS_TAXES_PAYABLE","FQ1 2016","FQ1 2016","Currency=USD","Period=FQ","BEST_FPERIOD_OVERRIDE=FQ","FILING_STATUS=MR","SCALING_FORMAT=MLN","Sort=A","Dates=H","DateFormat=P","Fill=—","Direction=H","UseDPDF=Y")</f>
        <v>—</v>
      </c>
      <c r="AF40" s="13" t="str">
        <f>_xll.BDH("AMZN US Equity","BS_TAXES_PAYABLE","FQ2 2016","FQ2 2016","Currency=USD","Period=FQ","BEST_FPERIOD_OVERRIDE=FQ","FILING_STATUS=MR","SCALING_FORMAT=MLN","Sort=A","Dates=H","DateFormat=P","Fill=—","Direction=H","UseDPDF=Y")</f>
        <v>—</v>
      </c>
      <c r="AG40" s="13" t="str">
        <f>_xll.BDH("AMZN US Equity","BS_TAXES_PAYABLE","FQ3 2016","FQ3 2016","Currency=USD","Period=FQ","BEST_FPERIOD_OVERRIDE=FQ","FILING_STATUS=MR","SCALING_FORMAT=MLN","Sort=A","Dates=H","DateFormat=P","Fill=—","Direction=H","UseDPDF=Y")</f>
        <v>—</v>
      </c>
      <c r="AH40" s="13" t="str">
        <f>_xll.BDH("AMZN US Equity","BS_TAXES_PAYABLE","FQ4 2016","FQ4 2016","Currency=USD","Period=FQ","BEST_FPERIOD_OVERRIDE=FQ","FILING_STATUS=MR","SCALING_FORMAT=MLN","Sort=A","Dates=H","DateFormat=P","Fill=—","Direction=H","UseDPDF=Y")</f>
        <v>—</v>
      </c>
      <c r="AI40" s="13" t="str">
        <f>_xll.BDH("AMZN US Equity","BS_TAXES_PAYABLE","FQ1 2017","FQ1 2017","Currency=USD","Period=FQ","BEST_FPERIOD_OVERRIDE=FQ","FILING_STATUS=MR","SCALING_FORMAT=MLN","Sort=A","Dates=H","DateFormat=P","Fill=—","Direction=H","UseDPDF=Y")</f>
        <v>—</v>
      </c>
      <c r="AJ40" s="13" t="str">
        <f>_xll.BDH("AMZN US Equity","BS_TAXES_PAYABLE","FQ2 2017","FQ2 2017","Currency=USD","Period=FQ","BEST_FPERIOD_OVERRIDE=FQ","FILING_STATUS=MR","SCALING_FORMAT=MLN","Sort=A","Dates=H","DateFormat=P","Fill=—","Direction=H","UseDPDF=Y")</f>
        <v>—</v>
      </c>
      <c r="AK40" s="13" t="str">
        <f>_xll.BDH("AMZN US Equity","BS_TAXES_PAYABLE","FQ3 2017","FQ3 2017","Currency=USD","Period=FQ","BEST_FPERIOD_OVERRIDE=FQ","FILING_STATUS=MR","SCALING_FORMAT=MLN","Sort=A","Dates=H","DateFormat=P","Fill=—","Direction=H","UseDPDF=Y")</f>
        <v>—</v>
      </c>
      <c r="AL40" s="13" t="str">
        <f>_xll.BDH("AMZN US Equity","BS_TAXES_PAYABLE","FQ4 2017","FQ4 2017","Currency=USD","Period=FQ","BEST_FPERIOD_OVERRIDE=FQ","FILING_STATUS=MR","SCALING_FORMAT=MLN","Sort=A","Dates=H","DateFormat=P","Fill=—","Direction=H","UseDPDF=Y")</f>
        <v>—</v>
      </c>
      <c r="AM40" s="13" t="str">
        <f>_xll.BDH("AMZN US Equity","BS_TAXES_PAYABLE","FQ1 2018","FQ1 2018","Currency=USD","Period=FQ","BEST_FPERIOD_OVERRIDE=FQ","FILING_STATUS=MR","SCALING_FORMAT=MLN","Sort=A","Dates=H","DateFormat=P","Fill=—","Direction=H","UseDPDF=Y")</f>
        <v>—</v>
      </c>
      <c r="AN40" s="13" t="str">
        <f>_xll.BDH("AMZN US Equity","BS_TAXES_PAYABLE","FQ2 2018","FQ2 2018","Currency=USD","Period=FQ","BEST_FPERIOD_OVERRIDE=FQ","FILING_STATUS=MR","SCALING_FORMAT=MLN","Sort=A","Dates=H","DateFormat=P","Fill=—","Direction=H","UseDPDF=Y")</f>
        <v>—</v>
      </c>
    </row>
    <row r="41" spans="1:40" x14ac:dyDescent="0.25">
      <c r="A41" s="10" t="s">
        <v>272</v>
      </c>
      <c r="B41" s="10" t="s">
        <v>273</v>
      </c>
      <c r="C41" s="13" t="str">
        <f>_xll.BDH("AMZN US Equity","BS_INTEREST_&amp;_DIVIDENDS_PAYABLE","FQ1 2009","FQ1 2009","Currency=USD","Period=FQ","BEST_FPERIOD_OVERRIDE=FQ","FILING_STATUS=MR","SCALING_FORMAT=MLN","Sort=A","Dates=H","DateFormat=P","Fill=—","Direction=H","UseDPDF=Y")</f>
        <v>—</v>
      </c>
      <c r="D41" s="13" t="str">
        <f>_xll.BDH("AMZN US Equity","BS_INTEREST_&amp;_DIVIDENDS_PAYABLE","FQ2 2009","FQ2 2009","Currency=USD","Period=FQ","BEST_FPERIOD_OVERRIDE=FQ","FILING_STATUS=MR","SCALING_FORMAT=MLN","Sort=A","Dates=H","DateFormat=P","Fill=—","Direction=H","UseDPDF=Y")</f>
        <v>—</v>
      </c>
      <c r="E41" s="13" t="str">
        <f>_xll.BDH("AMZN US Equity","BS_INTEREST_&amp;_DIVIDENDS_PAYABLE","FQ3 2009","FQ3 2009","Currency=USD","Period=FQ","BEST_FPERIOD_OVERRIDE=FQ","FILING_STATUS=MR","SCALING_FORMAT=MLN","Sort=A","Dates=H","DateFormat=P","Fill=—","Direction=H","UseDPDF=Y")</f>
        <v>—</v>
      </c>
      <c r="F41" s="13" t="str">
        <f>_xll.BDH("AMZN US Equity","BS_INTEREST_&amp;_DIVIDENDS_PAYABLE","FQ4 2009","FQ4 2009","Currency=USD","Period=FQ","BEST_FPERIOD_OVERRIDE=FQ","FILING_STATUS=MR","SCALING_FORMAT=MLN","Sort=A","Dates=H","DateFormat=P","Fill=—","Direction=H","UseDPDF=Y")</f>
        <v>—</v>
      </c>
      <c r="G41" s="13" t="str">
        <f>_xll.BDH("AMZN US Equity","BS_INTEREST_&amp;_DIVIDENDS_PAYABLE","FQ1 2010","FQ1 2010","Currency=USD","Period=FQ","BEST_FPERIOD_OVERRIDE=FQ","FILING_STATUS=MR","SCALING_FORMAT=MLN","Sort=A","Dates=H","DateFormat=P","Fill=—","Direction=H","UseDPDF=Y")</f>
        <v>—</v>
      </c>
      <c r="H41" s="13" t="str">
        <f>_xll.BDH("AMZN US Equity","BS_INTEREST_&amp;_DIVIDENDS_PAYABLE","FQ2 2010","FQ2 2010","Currency=USD","Period=FQ","BEST_FPERIOD_OVERRIDE=FQ","FILING_STATUS=MR","SCALING_FORMAT=MLN","Sort=A","Dates=H","DateFormat=P","Fill=—","Direction=H","UseDPDF=Y")</f>
        <v>—</v>
      </c>
      <c r="I41" s="13" t="str">
        <f>_xll.BDH("AMZN US Equity","BS_INTEREST_&amp;_DIVIDENDS_PAYABLE","FQ3 2010","FQ3 2010","Currency=USD","Period=FQ","BEST_FPERIOD_OVERRIDE=FQ","FILING_STATUS=MR","SCALING_FORMAT=MLN","Sort=A","Dates=H","DateFormat=P","Fill=—","Direction=H","UseDPDF=Y")</f>
        <v>—</v>
      </c>
      <c r="J41" s="13" t="str">
        <f>_xll.BDH("AMZN US Equity","BS_INTEREST_&amp;_DIVIDENDS_PAYABLE","FQ4 2010","FQ4 2010","Currency=USD","Period=FQ","BEST_FPERIOD_OVERRIDE=FQ","FILING_STATUS=MR","SCALING_FORMAT=MLN","Sort=A","Dates=H","DateFormat=P","Fill=—","Direction=H","UseDPDF=Y")</f>
        <v>—</v>
      </c>
      <c r="K41" s="13" t="str">
        <f>_xll.BDH("AMZN US Equity","BS_INTEREST_&amp;_DIVIDENDS_PAYABLE","FQ1 2011","FQ1 2011","Currency=USD","Period=FQ","BEST_FPERIOD_OVERRIDE=FQ","FILING_STATUS=MR","SCALING_FORMAT=MLN","Sort=A","Dates=H","DateFormat=P","Fill=—","Direction=H","UseDPDF=Y")</f>
        <v>—</v>
      </c>
      <c r="L41" s="13" t="str">
        <f>_xll.BDH("AMZN US Equity","BS_INTEREST_&amp;_DIVIDENDS_PAYABLE","FQ2 2011","FQ2 2011","Currency=USD","Period=FQ","BEST_FPERIOD_OVERRIDE=FQ","FILING_STATUS=MR","SCALING_FORMAT=MLN","Sort=A","Dates=H","DateFormat=P","Fill=—","Direction=H","UseDPDF=Y")</f>
        <v>—</v>
      </c>
      <c r="M41" s="13" t="str">
        <f>_xll.BDH("AMZN US Equity","BS_INTEREST_&amp;_DIVIDENDS_PAYABLE","FQ3 2011","FQ3 2011","Currency=USD","Period=FQ","BEST_FPERIOD_OVERRIDE=FQ","FILING_STATUS=MR","SCALING_FORMAT=MLN","Sort=A","Dates=H","DateFormat=P","Fill=—","Direction=H","UseDPDF=Y")</f>
        <v>—</v>
      </c>
      <c r="N41" s="13" t="str">
        <f>_xll.BDH("AMZN US Equity","BS_INTEREST_&amp;_DIVIDENDS_PAYABLE","FQ4 2011","FQ4 2011","Currency=USD","Period=FQ","BEST_FPERIOD_OVERRIDE=FQ","FILING_STATUS=MR","SCALING_FORMAT=MLN","Sort=A","Dates=H","DateFormat=P","Fill=—","Direction=H","UseDPDF=Y")</f>
        <v>—</v>
      </c>
      <c r="O41" s="13" t="str">
        <f>_xll.BDH("AMZN US Equity","BS_INTEREST_&amp;_DIVIDENDS_PAYABLE","FQ1 2012","FQ1 2012","Currency=USD","Period=FQ","BEST_FPERIOD_OVERRIDE=FQ","FILING_STATUS=MR","SCALING_FORMAT=MLN","Sort=A","Dates=H","DateFormat=P","Fill=—","Direction=H","UseDPDF=Y")</f>
        <v>—</v>
      </c>
      <c r="P41" s="13" t="str">
        <f>_xll.BDH("AMZN US Equity","BS_INTEREST_&amp;_DIVIDENDS_PAYABLE","FQ2 2012","FQ2 2012","Currency=USD","Period=FQ","BEST_FPERIOD_OVERRIDE=FQ","FILING_STATUS=MR","SCALING_FORMAT=MLN","Sort=A","Dates=H","DateFormat=P","Fill=—","Direction=H","UseDPDF=Y")</f>
        <v>—</v>
      </c>
      <c r="Q41" s="13" t="str">
        <f>_xll.BDH("AMZN US Equity","BS_INTEREST_&amp;_DIVIDENDS_PAYABLE","FQ3 2012","FQ3 2012","Currency=USD","Period=FQ","BEST_FPERIOD_OVERRIDE=FQ","FILING_STATUS=MR","SCALING_FORMAT=MLN","Sort=A","Dates=H","DateFormat=P","Fill=—","Direction=H","UseDPDF=Y")</f>
        <v>—</v>
      </c>
      <c r="R41" s="13" t="str">
        <f>_xll.BDH("AMZN US Equity","BS_INTEREST_&amp;_DIVIDENDS_PAYABLE","FQ4 2012","FQ4 2012","Currency=USD","Period=FQ","BEST_FPERIOD_OVERRIDE=FQ","FILING_STATUS=MR","SCALING_FORMAT=MLN","Sort=A","Dates=H","DateFormat=P","Fill=—","Direction=H","UseDPDF=Y")</f>
        <v>—</v>
      </c>
      <c r="S41" s="13" t="str">
        <f>_xll.BDH("AMZN US Equity","BS_INTEREST_&amp;_DIVIDENDS_PAYABLE","FQ1 2013","FQ1 2013","Currency=USD","Period=FQ","BEST_FPERIOD_OVERRIDE=FQ","FILING_STATUS=MR","SCALING_FORMAT=MLN","Sort=A","Dates=H","DateFormat=P","Fill=—","Direction=H","UseDPDF=Y")</f>
        <v>—</v>
      </c>
      <c r="T41" s="13" t="str">
        <f>_xll.BDH("AMZN US Equity","BS_INTEREST_&amp;_DIVIDENDS_PAYABLE","FQ2 2013","FQ2 2013","Currency=USD","Period=FQ","BEST_FPERIOD_OVERRIDE=FQ","FILING_STATUS=MR","SCALING_FORMAT=MLN","Sort=A","Dates=H","DateFormat=P","Fill=—","Direction=H","UseDPDF=Y")</f>
        <v>—</v>
      </c>
      <c r="U41" s="13" t="str">
        <f>_xll.BDH("AMZN US Equity","BS_INTEREST_&amp;_DIVIDENDS_PAYABLE","FQ3 2013","FQ3 2013","Currency=USD","Period=FQ","BEST_FPERIOD_OVERRIDE=FQ","FILING_STATUS=MR","SCALING_FORMAT=MLN","Sort=A","Dates=H","DateFormat=P","Fill=—","Direction=H","UseDPDF=Y")</f>
        <v>—</v>
      </c>
      <c r="V41" s="13" t="str">
        <f>_xll.BDH("AMZN US Equity","BS_INTEREST_&amp;_DIVIDENDS_PAYABLE","FQ4 2013","FQ4 2013","Currency=USD","Period=FQ","BEST_FPERIOD_OVERRIDE=FQ","FILING_STATUS=MR","SCALING_FORMAT=MLN","Sort=A","Dates=H","DateFormat=P","Fill=—","Direction=H","UseDPDF=Y")</f>
        <v>—</v>
      </c>
      <c r="W41" s="13" t="str">
        <f>_xll.BDH("AMZN US Equity","BS_INTEREST_&amp;_DIVIDENDS_PAYABLE","FQ1 2014","FQ1 2014","Currency=USD","Period=FQ","BEST_FPERIOD_OVERRIDE=FQ","FILING_STATUS=MR","SCALING_FORMAT=MLN","Sort=A","Dates=H","DateFormat=P","Fill=—","Direction=H","UseDPDF=Y")</f>
        <v>—</v>
      </c>
      <c r="X41" s="13" t="str">
        <f>_xll.BDH("AMZN US Equity","BS_INTEREST_&amp;_DIVIDENDS_PAYABLE","FQ2 2014","FQ2 2014","Currency=USD","Period=FQ","BEST_FPERIOD_OVERRIDE=FQ","FILING_STATUS=MR","SCALING_FORMAT=MLN","Sort=A","Dates=H","DateFormat=P","Fill=—","Direction=H","UseDPDF=Y")</f>
        <v>—</v>
      </c>
      <c r="Y41" s="13" t="str">
        <f>_xll.BDH("AMZN US Equity","BS_INTEREST_&amp;_DIVIDENDS_PAYABLE","FQ3 2014","FQ3 2014","Currency=USD","Period=FQ","BEST_FPERIOD_OVERRIDE=FQ","FILING_STATUS=MR","SCALING_FORMAT=MLN","Sort=A","Dates=H","DateFormat=P","Fill=—","Direction=H","UseDPDF=Y")</f>
        <v>—</v>
      </c>
      <c r="Z41" s="13">
        <f>_xll.BDH("AMZN US Equity","BS_INTEREST_&amp;_DIVIDENDS_PAYABLE","FQ4 2014","FQ4 2014","Currency=USD","Period=FQ","BEST_FPERIOD_OVERRIDE=FQ","FILING_STATUS=MR","SCALING_FORMAT=MLN","Sort=A","Dates=H","DateFormat=P","Fill=—","Direction=H","UseDPDF=Y")</f>
        <v>0</v>
      </c>
      <c r="AA41" s="13" t="str">
        <f>_xll.BDH("AMZN US Equity","BS_INTEREST_&amp;_DIVIDENDS_PAYABLE","FQ1 2015","FQ1 2015","Currency=USD","Period=FQ","BEST_FPERIOD_OVERRIDE=FQ","FILING_STATUS=MR","SCALING_FORMAT=MLN","Sort=A","Dates=H","DateFormat=P","Fill=—","Direction=H","UseDPDF=Y")</f>
        <v>—</v>
      </c>
      <c r="AB41" s="13" t="str">
        <f>_xll.BDH("AMZN US Equity","BS_INTEREST_&amp;_DIVIDENDS_PAYABLE","FQ2 2015","FQ2 2015","Currency=USD","Period=FQ","BEST_FPERIOD_OVERRIDE=FQ","FILING_STATUS=MR","SCALING_FORMAT=MLN","Sort=A","Dates=H","DateFormat=P","Fill=—","Direction=H","UseDPDF=Y")</f>
        <v>—</v>
      </c>
      <c r="AC41" s="13" t="str">
        <f>_xll.BDH("AMZN US Equity","BS_INTEREST_&amp;_DIVIDENDS_PAYABLE","FQ3 2015","FQ3 2015","Currency=USD","Period=FQ","BEST_FPERIOD_OVERRIDE=FQ","FILING_STATUS=MR","SCALING_FORMAT=MLN","Sort=A","Dates=H","DateFormat=P","Fill=—","Direction=H","UseDPDF=Y")</f>
        <v>—</v>
      </c>
      <c r="AD41" s="13" t="str">
        <f>_xll.BDH("AMZN US Equity","BS_INTEREST_&amp;_DIVIDENDS_PAYABLE","FQ4 2015","FQ4 2015","Currency=USD","Period=FQ","BEST_FPERIOD_OVERRIDE=FQ","FILING_STATUS=MR","SCALING_FORMAT=MLN","Sort=A","Dates=H","DateFormat=P","Fill=—","Direction=H","UseDPDF=Y")</f>
        <v>—</v>
      </c>
      <c r="AE41" s="13" t="str">
        <f>_xll.BDH("AMZN US Equity","BS_INTEREST_&amp;_DIVIDENDS_PAYABLE","FQ1 2016","FQ1 2016","Currency=USD","Period=FQ","BEST_FPERIOD_OVERRIDE=FQ","FILING_STATUS=MR","SCALING_FORMAT=MLN","Sort=A","Dates=H","DateFormat=P","Fill=—","Direction=H","UseDPDF=Y")</f>
        <v>—</v>
      </c>
      <c r="AF41" s="13" t="str">
        <f>_xll.BDH("AMZN US Equity","BS_INTEREST_&amp;_DIVIDENDS_PAYABLE","FQ2 2016","FQ2 2016","Currency=USD","Period=FQ","BEST_FPERIOD_OVERRIDE=FQ","FILING_STATUS=MR","SCALING_FORMAT=MLN","Sort=A","Dates=H","DateFormat=P","Fill=—","Direction=H","UseDPDF=Y")</f>
        <v>—</v>
      </c>
      <c r="AG41" s="13" t="str">
        <f>_xll.BDH("AMZN US Equity","BS_INTEREST_&amp;_DIVIDENDS_PAYABLE","FQ3 2016","FQ3 2016","Currency=USD","Period=FQ","BEST_FPERIOD_OVERRIDE=FQ","FILING_STATUS=MR","SCALING_FORMAT=MLN","Sort=A","Dates=H","DateFormat=P","Fill=—","Direction=H","UseDPDF=Y")</f>
        <v>—</v>
      </c>
      <c r="AH41" s="13" t="str">
        <f>_xll.BDH("AMZN US Equity","BS_INTEREST_&amp;_DIVIDENDS_PAYABLE","FQ4 2016","FQ4 2016","Currency=USD","Period=FQ","BEST_FPERIOD_OVERRIDE=FQ","FILING_STATUS=MR","SCALING_FORMAT=MLN","Sort=A","Dates=H","DateFormat=P","Fill=—","Direction=H","UseDPDF=Y")</f>
        <v>—</v>
      </c>
      <c r="AI41" s="13" t="str">
        <f>_xll.BDH("AMZN US Equity","BS_INTEREST_&amp;_DIVIDENDS_PAYABLE","FQ1 2017","FQ1 2017","Currency=USD","Period=FQ","BEST_FPERIOD_OVERRIDE=FQ","FILING_STATUS=MR","SCALING_FORMAT=MLN","Sort=A","Dates=H","DateFormat=P","Fill=—","Direction=H","UseDPDF=Y")</f>
        <v>—</v>
      </c>
      <c r="AJ41" s="13" t="str">
        <f>_xll.BDH("AMZN US Equity","BS_INTEREST_&amp;_DIVIDENDS_PAYABLE","FQ2 2017","FQ2 2017","Currency=USD","Period=FQ","BEST_FPERIOD_OVERRIDE=FQ","FILING_STATUS=MR","SCALING_FORMAT=MLN","Sort=A","Dates=H","DateFormat=P","Fill=—","Direction=H","UseDPDF=Y")</f>
        <v>—</v>
      </c>
      <c r="AK41" s="13" t="str">
        <f>_xll.BDH("AMZN US Equity","BS_INTEREST_&amp;_DIVIDENDS_PAYABLE","FQ3 2017","FQ3 2017","Currency=USD","Period=FQ","BEST_FPERIOD_OVERRIDE=FQ","FILING_STATUS=MR","SCALING_FORMAT=MLN","Sort=A","Dates=H","DateFormat=P","Fill=—","Direction=H","UseDPDF=Y")</f>
        <v>—</v>
      </c>
      <c r="AL41" s="13" t="str">
        <f>_xll.BDH("AMZN US Equity","BS_INTEREST_&amp;_DIVIDENDS_PAYABLE","FQ4 2017","FQ4 2017","Currency=USD","Period=FQ","BEST_FPERIOD_OVERRIDE=FQ","FILING_STATUS=MR","SCALING_FORMAT=MLN","Sort=A","Dates=H","DateFormat=P","Fill=—","Direction=H","UseDPDF=Y")</f>
        <v>—</v>
      </c>
      <c r="AM41" s="13" t="str">
        <f>_xll.BDH("AMZN US Equity","BS_INTEREST_&amp;_DIVIDENDS_PAYABLE","FQ1 2018","FQ1 2018","Currency=USD","Period=FQ","BEST_FPERIOD_OVERRIDE=FQ","FILING_STATUS=MR","SCALING_FORMAT=MLN","Sort=A","Dates=H","DateFormat=P","Fill=—","Direction=H","UseDPDF=Y")</f>
        <v>—</v>
      </c>
      <c r="AN41" s="13" t="str">
        <f>_xll.BDH("AMZN US Equity","BS_INTEREST_&amp;_DIVIDENDS_PAYABLE","FQ2 2018","FQ2 2018","Currency=USD","Period=FQ","BEST_FPERIOD_OVERRIDE=FQ","FILING_STATUS=MR","SCALING_FORMAT=MLN","Sort=A","Dates=H","DateFormat=P","Fill=—","Direction=H","UseDPDF=Y")</f>
        <v>—</v>
      </c>
    </row>
    <row r="42" spans="1:40" x14ac:dyDescent="0.25">
      <c r="A42" s="10" t="s">
        <v>274</v>
      </c>
      <c r="B42" s="10" t="s">
        <v>275</v>
      </c>
      <c r="C42" s="13">
        <f>_xll.BDH("AMZN US Equity","BS_ACCRUAL","FQ1 2009","FQ1 2009","Currency=USD","Period=FQ","BEST_FPERIOD_OVERRIDE=FQ","FILING_STATUS=MR","SCALING_FORMAT=MLN","Sort=A","Dates=H","DateFormat=P","Fill=—","Direction=H","UseDPDF=Y")</f>
        <v>971</v>
      </c>
      <c r="D42" s="13">
        <f>_xll.BDH("AMZN US Equity","BS_ACCRUAL","FQ2 2009","FQ2 2009","Currency=USD","Period=FQ","BEST_FPERIOD_OVERRIDE=FQ","FILING_STATUS=MR","SCALING_FORMAT=MLN","Sort=A","Dates=H","DateFormat=P","Fill=—","Direction=H","UseDPDF=Y")</f>
        <v>1128</v>
      </c>
      <c r="E42" s="13">
        <f>_xll.BDH("AMZN US Equity","BS_ACCRUAL","FQ3 2009","FQ3 2009","Currency=USD","Period=FQ","BEST_FPERIOD_OVERRIDE=FQ","FILING_STATUS=MR","SCALING_FORMAT=MLN","Sort=A","Dates=H","DateFormat=P","Fill=—","Direction=H","UseDPDF=Y")</f>
        <v>1183</v>
      </c>
      <c r="F42" s="13">
        <f>_xll.BDH("AMZN US Equity","BS_ACCRUAL","FQ4 2009","FQ4 2009","Currency=USD","Period=FQ","BEST_FPERIOD_OVERRIDE=FQ","FILING_STATUS=MR","SCALING_FORMAT=MLN","Sort=A","Dates=H","DateFormat=P","Fill=—","Direction=H","UseDPDF=Y")</f>
        <v>1618</v>
      </c>
      <c r="G42" s="13">
        <f>_xll.BDH("AMZN US Equity","BS_ACCRUAL","FQ1 2010","FQ1 2010","Currency=USD","Period=FQ","BEST_FPERIOD_OVERRIDE=FQ","FILING_STATUS=MR","SCALING_FORMAT=MLN","Sort=A","Dates=H","DateFormat=P","Fill=—","Direction=H","UseDPDF=Y")</f>
        <v>1532</v>
      </c>
      <c r="H42" s="13">
        <f>_xll.BDH("AMZN US Equity","BS_ACCRUAL","FQ2 2010","FQ2 2010","Currency=USD","Period=FQ","BEST_FPERIOD_OVERRIDE=FQ","FILING_STATUS=MR","SCALING_FORMAT=MLN","Sort=A","Dates=H","DateFormat=P","Fill=—","Direction=H","UseDPDF=Y")</f>
        <v>1705</v>
      </c>
      <c r="I42" s="13">
        <f>_xll.BDH("AMZN US Equity","BS_ACCRUAL","FQ3 2010","FQ3 2010","Currency=USD","Period=FQ","BEST_FPERIOD_OVERRIDE=FQ","FILING_STATUS=MR","SCALING_FORMAT=MLN","Sort=A","Dates=H","DateFormat=P","Fill=—","Direction=H","UseDPDF=Y")</f>
        <v>1761</v>
      </c>
      <c r="J42" s="13">
        <f>_xll.BDH("AMZN US Equity","BS_ACCRUAL","FQ4 2010","FQ4 2010","Currency=USD","Period=FQ","BEST_FPERIOD_OVERRIDE=FQ","FILING_STATUS=MR","SCALING_FORMAT=MLN","Sort=A","Dates=H","DateFormat=P","Fill=—","Direction=H","UseDPDF=Y")</f>
        <v>2103</v>
      </c>
      <c r="K42" s="13">
        <f>_xll.BDH("AMZN US Equity","BS_ACCRUAL","FQ1 2011","FQ1 2011","Currency=USD","Period=FQ","BEST_FPERIOD_OVERRIDE=FQ","FILING_STATUS=MR","SCALING_FORMAT=MLN","Sort=A","Dates=H","DateFormat=P","Fill=—","Direction=H","UseDPDF=Y")</f>
        <v>2190</v>
      </c>
      <c r="L42" s="13">
        <f>_xll.BDH("AMZN US Equity","BS_ACCRUAL","FQ2 2011","FQ2 2011","Currency=USD","Period=FQ","BEST_FPERIOD_OVERRIDE=FQ","FILING_STATUS=MR","SCALING_FORMAT=MLN","Sort=A","Dates=H","DateFormat=P","Fill=—","Direction=H","UseDPDF=Y")</f>
        <v>2324</v>
      </c>
      <c r="M42" s="13">
        <f>_xll.BDH("AMZN US Equity","BS_ACCRUAL","FQ3 2011","FQ3 2011","Currency=USD","Period=FQ","BEST_FPERIOD_OVERRIDE=FQ","FILING_STATUS=MR","SCALING_FORMAT=MLN","Sort=A","Dates=H","DateFormat=P","Fill=—","Direction=H","UseDPDF=Y")</f>
        <v>2426</v>
      </c>
      <c r="N42" s="13">
        <f>_xll.BDH("AMZN US Equity","BS_ACCRUAL","FQ4 2011","FQ4 2011","Currency=USD","Period=FQ","BEST_FPERIOD_OVERRIDE=FQ","FILING_STATUS=MR","SCALING_FORMAT=MLN","Sort=A","Dates=H","DateFormat=P","Fill=—","Direction=H","UseDPDF=Y")</f>
        <v>3227</v>
      </c>
      <c r="O42" s="13">
        <f>_xll.BDH("AMZN US Equity","BS_ACCRUAL","FQ1 2012","FQ1 2012","Currency=USD","Period=FQ","BEST_FPERIOD_OVERRIDE=FQ","FILING_STATUS=MR","SCALING_FORMAT=MLN","Sort=A","Dates=H","DateFormat=P","Fill=—","Direction=H","UseDPDF=Y")</f>
        <v>3602</v>
      </c>
      <c r="P42" s="13">
        <f>_xll.BDH("AMZN US Equity","BS_ACCRUAL","FQ2 2012","FQ2 2012","Currency=USD","Period=FQ","BEST_FPERIOD_OVERRIDE=FQ","FILING_STATUS=MR","SCALING_FORMAT=MLN","Sort=A","Dates=H","DateFormat=P","Fill=—","Direction=H","UseDPDF=Y")</f>
        <v>3892</v>
      </c>
      <c r="Q42" s="13">
        <f>_xll.BDH("AMZN US Equity","BS_ACCRUAL","FQ3 2012","FQ3 2012","Currency=USD","Period=FQ","BEST_FPERIOD_OVERRIDE=FQ","FILING_STATUS=MR","SCALING_FORMAT=MLN","Sort=A","Dates=H","DateFormat=P","Fill=—","Direction=H","UseDPDF=Y")</f>
        <v>4236</v>
      </c>
      <c r="R42" s="13">
        <f>_xll.BDH("AMZN US Equity","BS_ACCRUAL","FQ4 2012","FQ4 2012","Currency=USD","Period=FQ","BEST_FPERIOD_OVERRIDE=FQ","FILING_STATUS=MR","SCALING_FORMAT=MLN","Sort=A","Dates=H","DateFormat=P","Fill=—","Direction=H","UseDPDF=Y")</f>
        <v>4550</v>
      </c>
      <c r="S42" s="13">
        <f>_xll.BDH("AMZN US Equity","BS_ACCRUAL","FQ1 2013","FQ1 2013","Currency=USD","Period=FQ","BEST_FPERIOD_OVERRIDE=FQ","FILING_STATUS=MR","SCALING_FORMAT=MLN","Sort=A","Dates=H","DateFormat=P","Fill=—","Direction=H","UseDPDF=Y")</f>
        <v>4764</v>
      </c>
      <c r="T42" s="13">
        <f>_xll.BDH("AMZN US Equity","BS_ACCRUAL","FQ2 2013","FQ2 2013","Currency=USD","Period=FQ","BEST_FPERIOD_OVERRIDE=FQ","FILING_STATUS=MR","SCALING_FORMAT=MLN","Sort=A","Dates=H","DateFormat=P","Fill=—","Direction=H","UseDPDF=Y")</f>
        <v>5054</v>
      </c>
      <c r="U42" s="13">
        <f>_xll.BDH("AMZN US Equity","BS_ACCRUAL","FQ3 2013","FQ3 2013","Currency=USD","Period=FQ","BEST_FPERIOD_OVERRIDE=FQ","FILING_STATUS=MR","SCALING_FORMAT=MLN","Sort=A","Dates=H","DateFormat=P","Fill=—","Direction=H","UseDPDF=Y")</f>
        <v>5418</v>
      </c>
      <c r="V42" s="13">
        <f>_xll.BDH("AMZN US Equity","BS_ACCRUAL","FQ4 2013","FQ4 2013","Currency=USD","Period=FQ","BEST_FPERIOD_OVERRIDE=FQ","FILING_STATUS=MR","SCALING_FORMAT=MLN","Sort=A","Dates=H","DateFormat=P","Fill=—","Direction=H","UseDPDF=Y")</f>
        <v>4980</v>
      </c>
      <c r="W42" s="13">
        <f>_xll.BDH("AMZN US Equity","BS_ACCRUAL","FQ1 2014","FQ1 2014","Currency=USD","Period=FQ","BEST_FPERIOD_OVERRIDE=FQ","FILING_STATUS=MR","SCALING_FORMAT=MLN","Sort=A","Dates=H","DateFormat=P","Fill=—","Direction=H","UseDPDF=Y")</f>
        <v>5467</v>
      </c>
      <c r="X42" s="13">
        <f>_xll.BDH("AMZN US Equity","BS_ACCRUAL","FQ2 2014","FQ2 2014","Currency=USD","Period=FQ","BEST_FPERIOD_OVERRIDE=FQ","FILING_STATUS=MR","SCALING_FORMAT=MLN","Sort=A","Dates=H","DateFormat=P","Fill=—","Direction=H","UseDPDF=Y")</f>
        <v>5828</v>
      </c>
      <c r="Y42" s="13">
        <f>_xll.BDH("AMZN US Equity","BS_ACCRUAL","FQ3 2014","FQ3 2014","Currency=USD","Period=FQ","BEST_FPERIOD_OVERRIDE=FQ","FILING_STATUS=MR","SCALING_FORMAT=MLN","Sort=A","Dates=H","DateFormat=P","Fill=—","Direction=H","UseDPDF=Y")</f>
        <v>6353</v>
      </c>
      <c r="Z42" s="13">
        <f>_xll.BDH("AMZN US Equity","BS_ACCRUAL","FQ4 2014","FQ4 2014","Currency=USD","Period=FQ","BEST_FPERIOD_OVERRIDE=FQ","FILING_STATUS=MR","SCALING_FORMAT=MLN","Sort=A","Dates=H","DateFormat=P","Fill=—","Direction=H","UseDPDF=Y")</f>
        <v>6207</v>
      </c>
      <c r="AA42" s="13">
        <f>_xll.BDH("AMZN US Equity","BS_ACCRUAL","FQ1 2015","FQ1 2015","Currency=USD","Period=FQ","BEST_FPERIOD_OVERRIDE=FQ","FILING_STATUS=MR","SCALING_FORMAT=MLN","Sort=A","Dates=H","DateFormat=P","Fill=—","Direction=H","UseDPDF=Y")</f>
        <v>7463</v>
      </c>
      <c r="AB42" s="13">
        <f>_xll.BDH("AMZN US Equity","BS_ACCRUAL","FQ2 2015","FQ2 2015","Currency=USD","Period=FQ","BEST_FPERIOD_OVERRIDE=FQ","FILING_STATUS=MR","SCALING_FORMAT=MLN","Sort=A","Dates=H","DateFormat=P","Fill=—","Direction=H","UseDPDF=Y")</f>
        <v>7700</v>
      </c>
      <c r="AC42" s="13">
        <f>_xll.BDH("AMZN US Equity","BS_ACCRUAL","FQ3 2015","FQ3 2015","Currency=USD","Period=FQ","BEST_FPERIOD_OVERRIDE=FQ","FILING_STATUS=MR","SCALING_FORMAT=MLN","Sort=A","Dates=H","DateFormat=P","Fill=—","Direction=H","UseDPDF=Y")</f>
        <v>8040</v>
      </c>
      <c r="AD42" s="13">
        <f>_xll.BDH("AMZN US Equity","BS_ACCRUAL","FQ4 2015","FQ4 2015","Currency=USD","Period=FQ","BEST_FPERIOD_OVERRIDE=FQ","FILING_STATUS=MR","SCALING_FORMAT=MLN","Sort=A","Dates=H","DateFormat=P","Fill=—","Direction=H","UseDPDF=Y")</f>
        <v>7008</v>
      </c>
      <c r="AE42" s="13">
        <f>_xll.BDH("AMZN US Equity","BS_ACCRUAL","FQ1 2016","FQ1 2016","Currency=USD","Period=FQ","BEST_FPERIOD_OVERRIDE=FQ","FILING_STATUS=MR","SCALING_FORMAT=MLN","Sort=A","Dates=H","DateFormat=P","Fill=—","Direction=H","UseDPDF=Y")</f>
        <v>6038</v>
      </c>
      <c r="AF42" s="13">
        <f>_xll.BDH("AMZN US Equity","BS_ACCRUAL","FQ2 2016","FQ2 2016","Currency=USD","Period=FQ","BEST_FPERIOD_OVERRIDE=FQ","FILING_STATUS=MR","SCALING_FORMAT=MLN","Sort=A","Dates=H","DateFormat=P","Fill=—","Direction=H","UseDPDF=Y")</f>
        <v>6065</v>
      </c>
      <c r="AG42" s="13">
        <f>_xll.BDH("AMZN US Equity","BS_ACCRUAL","FQ3 2016","FQ3 2016","Currency=USD","Period=FQ","BEST_FPERIOD_OVERRIDE=FQ","FILING_STATUS=MR","SCALING_FORMAT=MLN","Sort=A","Dates=H","DateFormat=P","Fill=—","Direction=H","UseDPDF=Y")</f>
        <v>6614</v>
      </c>
      <c r="AH42" s="13">
        <f>_xll.BDH("AMZN US Equity","BS_ACCRUAL","FQ4 2016","FQ4 2016","Currency=USD","Period=FQ","BEST_FPERIOD_OVERRIDE=FQ","FILING_STATUS=MR","SCALING_FORMAT=MLN","Sort=A","Dates=H","DateFormat=P","Fill=—","Direction=H","UseDPDF=Y")</f>
        <v>8542</v>
      </c>
      <c r="AI42" s="13">
        <f>_xll.BDH("AMZN US Equity","BS_ACCRUAL","FQ1 2017","FQ1 2017","Currency=USD","Period=FQ","BEST_FPERIOD_OVERRIDE=FQ","FILING_STATUS=MR","SCALING_FORMAT=MLN","Sort=A","Dates=H","DateFormat=P","Fill=—","Direction=H","UseDPDF=Y")</f>
        <v>7446</v>
      </c>
      <c r="AJ42" s="13">
        <f>_xll.BDH("AMZN US Equity","BS_ACCRUAL","FQ2 2017","FQ2 2017","Currency=USD","Period=FQ","BEST_FPERIOD_OVERRIDE=FQ","FILING_STATUS=MR","SCALING_FORMAT=MLN","Sort=A","Dates=H","DateFormat=P","Fill=—","Direction=H","UseDPDF=Y")</f>
        <v>7880</v>
      </c>
      <c r="AK42" s="13">
        <f>_xll.BDH("AMZN US Equity","BS_ACCRUAL","FQ3 2017","FQ3 2017","Currency=USD","Period=FQ","BEST_FPERIOD_OVERRIDE=FQ","FILING_STATUS=MR","SCALING_FORMAT=MLN","Sort=A","Dates=H","DateFormat=P","Fill=—","Direction=H","UseDPDF=Y")</f>
        <v>9268</v>
      </c>
      <c r="AL42" s="13">
        <f>_xll.BDH("AMZN US Equity","BS_ACCRUAL","FQ4 2017","FQ4 2017","Currency=USD","Period=FQ","BEST_FPERIOD_OVERRIDE=FQ","FILING_STATUS=MR","SCALING_FORMAT=MLN","Sort=A","Dates=H","DateFormat=P","Fill=—","Direction=H","UseDPDF=Y")</f>
        <v>11949</v>
      </c>
      <c r="AM42" s="13">
        <f>_xll.BDH("AMZN US Equity","BS_ACCRUAL","FQ1 2018","FQ1 2018","Currency=USD","Period=FQ","BEST_FPERIOD_OVERRIDE=FQ","FILING_STATUS=MR","SCALING_FORMAT=MLN","Sort=A","Dates=H","DateFormat=P","Fill=—","Direction=H","UseDPDF=Y")</f>
        <v>10144</v>
      </c>
      <c r="AN42" s="13">
        <f>_xll.BDH("AMZN US Equity","BS_ACCRUAL","FQ2 2018","FQ2 2018","Currency=USD","Period=FQ","BEST_FPERIOD_OVERRIDE=FQ","FILING_STATUS=MR","SCALING_FORMAT=MLN","Sort=A","Dates=H","DateFormat=P","Fill=—","Direction=H","UseDPDF=Y")</f>
        <v>10189</v>
      </c>
    </row>
    <row r="43" spans="1:40" x14ac:dyDescent="0.25">
      <c r="A43" s="10" t="s">
        <v>276</v>
      </c>
      <c r="B43" s="10" t="s">
        <v>277</v>
      </c>
      <c r="C43" s="13">
        <f>_xll.BDH("AMZN US Equity","BS_ST_BORROW","FQ1 2009","FQ1 2009","Currency=USD","Period=FQ","BEST_FPERIOD_OVERRIDE=FQ","FILING_STATUS=MR","SCALING_FORMAT=MLN","Sort=A","Dates=H","DateFormat=P","Fill=—","Direction=H","UseDPDF=Y")</f>
        <v>59</v>
      </c>
      <c r="D43" s="13">
        <f>_xll.BDH("AMZN US Equity","BS_ST_BORROW","FQ2 2009","FQ2 2009","Currency=USD","Period=FQ","BEST_FPERIOD_OVERRIDE=FQ","FILING_STATUS=MR","SCALING_FORMAT=MLN","Sort=A","Dates=H","DateFormat=P","Fill=—","Direction=H","UseDPDF=Y")</f>
        <v>0</v>
      </c>
      <c r="E43" s="13">
        <f>_xll.BDH("AMZN US Equity","BS_ST_BORROW","FQ3 2009","FQ3 2009","Currency=USD","Period=FQ","BEST_FPERIOD_OVERRIDE=FQ","FILING_STATUS=MR","SCALING_FORMAT=MLN","Sort=A","Dates=H","DateFormat=P","Fill=—","Direction=H","UseDPDF=Y")</f>
        <v>0</v>
      </c>
      <c r="F43" s="13">
        <f>_xll.BDH("AMZN US Equity","BS_ST_BORROW","FQ4 2009","FQ4 2009","Currency=USD","Period=FQ","BEST_FPERIOD_OVERRIDE=FQ","FILING_STATUS=MR","SCALING_FORMAT=MLN","Sort=A","Dates=H","DateFormat=P","Fill=—","Direction=H","UseDPDF=Y")</f>
        <v>141</v>
      </c>
      <c r="G43" s="13">
        <f>_xll.BDH("AMZN US Equity","BS_ST_BORROW","FQ1 2010","FQ1 2010","Currency=USD","Period=FQ","BEST_FPERIOD_OVERRIDE=FQ","FILING_STATUS=MR","SCALING_FORMAT=MLN","Sort=A","Dates=H","DateFormat=P","Fill=—","Direction=H","UseDPDF=Y")</f>
        <v>42</v>
      </c>
      <c r="H43" s="13">
        <f>_xll.BDH("AMZN US Equity","BS_ST_BORROW","FQ2 2010","FQ2 2010","Currency=USD","Period=FQ","BEST_FPERIOD_OVERRIDE=FQ","FILING_STATUS=MR","SCALING_FORMAT=MLN","Sort=A","Dates=H","DateFormat=P","Fill=—","Direction=H","UseDPDF=Y")</f>
        <v>0</v>
      </c>
      <c r="I43" s="13">
        <f>_xll.BDH("AMZN US Equity","BS_ST_BORROW","FQ3 2010","FQ3 2010","Currency=USD","Period=FQ","BEST_FPERIOD_OVERRIDE=FQ","FILING_STATUS=MR","SCALING_FORMAT=MLN","Sort=A","Dates=H","DateFormat=P","Fill=—","Direction=H","UseDPDF=Y")</f>
        <v>0</v>
      </c>
      <c r="J43" s="13">
        <f>_xll.BDH("AMZN US Equity","BS_ST_BORROW","FQ4 2010","FQ4 2010","Currency=USD","Period=FQ","BEST_FPERIOD_OVERRIDE=FQ","FILING_STATUS=MR","SCALING_FORMAT=MLN","Sort=A","Dates=H","DateFormat=P","Fill=—","Direction=H","UseDPDF=Y")</f>
        <v>218</v>
      </c>
      <c r="K43" s="13" t="str">
        <f>_xll.BDH("AMZN US Equity","BS_ST_BORROW","FQ1 2011","FQ1 2011","Currency=USD","Period=FQ","BEST_FPERIOD_OVERRIDE=FQ","FILING_STATUS=MR","SCALING_FORMAT=MLN","Sort=A","Dates=H","DateFormat=P","Fill=—","Direction=H","UseDPDF=Y")</f>
        <v>—</v>
      </c>
      <c r="L43" s="13">
        <f>_xll.BDH("AMZN US Equity","BS_ST_BORROW","FQ2 2011","FQ2 2011","Currency=USD","Period=FQ","BEST_FPERIOD_OVERRIDE=FQ","FILING_STATUS=MR","SCALING_FORMAT=MLN","Sort=A","Dates=H","DateFormat=P","Fill=—","Direction=H","UseDPDF=Y")</f>
        <v>0</v>
      </c>
      <c r="M43" s="13">
        <f>_xll.BDH("AMZN US Equity","BS_ST_BORROW","FQ3 2011","FQ3 2011","Currency=USD","Period=FQ","BEST_FPERIOD_OVERRIDE=FQ","FILING_STATUS=MR","SCALING_FORMAT=MLN","Sort=A","Dates=H","DateFormat=P","Fill=—","Direction=H","UseDPDF=Y")</f>
        <v>0</v>
      </c>
      <c r="N43" s="13">
        <f>_xll.BDH("AMZN US Equity","BS_ST_BORROW","FQ4 2011","FQ4 2011","Currency=USD","Period=FQ","BEST_FPERIOD_OVERRIDE=FQ","FILING_STATUS=MR","SCALING_FORMAT=MLN","Sort=A","Dates=H","DateFormat=P","Fill=—","Direction=H","UseDPDF=Y")</f>
        <v>524</v>
      </c>
      <c r="O43" s="13" t="str">
        <f>_xll.BDH("AMZN US Equity","BS_ST_BORROW","FQ1 2012","FQ1 2012","Currency=USD","Period=FQ","BEST_FPERIOD_OVERRIDE=FQ","FILING_STATUS=MR","SCALING_FORMAT=MLN","Sort=A","Dates=H","DateFormat=P","Fill=—","Direction=H","UseDPDF=Y")</f>
        <v>—</v>
      </c>
      <c r="P43" s="13">
        <f>_xll.BDH("AMZN US Equity","BS_ST_BORROW","FQ2 2012","FQ2 2012","Currency=USD","Period=FQ","BEST_FPERIOD_OVERRIDE=FQ","FILING_STATUS=MR","SCALING_FORMAT=MLN","Sort=A","Dates=H","DateFormat=P","Fill=—","Direction=H","UseDPDF=Y")</f>
        <v>0</v>
      </c>
      <c r="Q43" s="13">
        <f>_xll.BDH("AMZN US Equity","BS_ST_BORROW","FQ3 2012","FQ3 2012","Currency=USD","Period=FQ","BEST_FPERIOD_OVERRIDE=FQ","FILING_STATUS=MR","SCALING_FORMAT=MLN","Sort=A","Dates=H","DateFormat=P","Fill=—","Direction=H","UseDPDF=Y")</f>
        <v>0</v>
      </c>
      <c r="R43" s="13">
        <f>_xll.BDH("AMZN US Equity","BS_ST_BORROW","FQ4 2012","FQ4 2012","Currency=USD","Period=FQ","BEST_FPERIOD_OVERRIDE=FQ","FILING_STATUS=MR","SCALING_FORMAT=MLN","Sort=A","Dates=H","DateFormat=P","Fill=—","Direction=H","UseDPDF=Y")</f>
        <v>1134</v>
      </c>
      <c r="S43" s="13">
        <f>_xll.BDH("AMZN US Equity","BS_ST_BORROW","FQ1 2013","FQ1 2013","Currency=USD","Period=FQ","BEST_FPERIOD_OVERRIDE=FQ","FILING_STATUS=MR","SCALING_FORMAT=MLN","Sort=A","Dates=H","DateFormat=P","Fill=—","Direction=H","UseDPDF=Y")</f>
        <v>652</v>
      </c>
      <c r="T43" s="13">
        <f>_xll.BDH("AMZN US Equity","BS_ST_BORROW","FQ2 2013","FQ2 2013","Currency=USD","Period=FQ","BEST_FPERIOD_OVERRIDE=FQ","FILING_STATUS=MR","SCALING_FORMAT=MLN","Sort=A","Dates=H","DateFormat=P","Fill=—","Direction=H","UseDPDF=Y")</f>
        <v>691</v>
      </c>
      <c r="U43" s="13">
        <f>_xll.BDH("AMZN US Equity","BS_ST_BORROW","FQ3 2013","FQ3 2013","Currency=USD","Period=FQ","BEST_FPERIOD_OVERRIDE=FQ","FILING_STATUS=MR","SCALING_FORMAT=MLN","Sort=A","Dates=H","DateFormat=P","Fill=—","Direction=H","UseDPDF=Y")</f>
        <v>680</v>
      </c>
      <c r="V43" s="13">
        <f>_xll.BDH("AMZN US Equity","BS_ST_BORROW","FQ4 2013","FQ4 2013","Currency=USD","Period=FQ","BEST_FPERIOD_OVERRIDE=FQ","FILING_STATUS=MR","SCALING_FORMAT=MLN","Sort=A","Dates=H","DateFormat=P","Fill=—","Direction=H","UseDPDF=Y")</f>
        <v>1708</v>
      </c>
      <c r="W43" s="13">
        <f>_xll.BDH("AMZN US Equity","BS_ST_BORROW","FQ1 2014","FQ1 2014","Currency=USD","Period=FQ","BEST_FPERIOD_OVERRIDE=FQ","FILING_STATUS=MR","SCALING_FORMAT=MLN","Sort=A","Dates=H","DateFormat=P","Fill=—","Direction=H","UseDPDF=Y")</f>
        <v>784</v>
      </c>
      <c r="X43" s="13">
        <f>_xll.BDH("AMZN US Equity","BS_ST_BORROW","FQ2 2014","FQ2 2014","Currency=USD","Period=FQ","BEST_FPERIOD_OVERRIDE=FQ","FILING_STATUS=MR","SCALING_FORMAT=MLN","Sort=A","Dates=H","DateFormat=P","Fill=—","Direction=H","UseDPDF=Y")</f>
        <v>860</v>
      </c>
      <c r="Y43" s="13">
        <f>_xll.BDH("AMZN US Equity","BS_ST_BORROW","FQ3 2014","FQ3 2014","Currency=USD","Period=FQ","BEST_FPERIOD_OVERRIDE=FQ","FILING_STATUS=MR","SCALING_FORMAT=MLN","Sort=A","Dates=H","DateFormat=P","Fill=—","Direction=H","UseDPDF=Y")</f>
        <v>864</v>
      </c>
      <c r="Z43" s="13">
        <f>_xll.BDH("AMZN US Equity","BS_ST_BORROW","FQ4 2014","FQ4 2014","Currency=USD","Period=FQ","BEST_FPERIOD_OVERRIDE=FQ","FILING_STATUS=MR","SCALING_FORMAT=MLN","Sort=A","Dates=H","DateFormat=P","Fill=—","Direction=H","UseDPDF=Y")</f>
        <v>3600</v>
      </c>
      <c r="AA43" s="13">
        <f>_xll.BDH("AMZN US Equity","BS_ST_BORROW","FQ1 2015","FQ1 2015","Currency=USD","Period=FQ","BEST_FPERIOD_OVERRIDE=FQ","FILING_STATUS=MR","SCALING_FORMAT=MLN","Sort=A","Dates=H","DateFormat=P","Fill=—","Direction=H","UseDPDF=Y")</f>
        <v>1377</v>
      </c>
      <c r="AB43" s="13">
        <f>_xll.BDH("AMZN US Equity","BS_ST_BORROW","FQ2 2015","FQ2 2015","Currency=USD","Period=FQ","BEST_FPERIOD_OVERRIDE=FQ","FILING_STATUS=MR","SCALING_FORMAT=MLN","Sort=A","Dates=H","DateFormat=P","Fill=—","Direction=H","UseDPDF=Y")</f>
        <v>1259</v>
      </c>
      <c r="AC43" s="13">
        <f>_xll.BDH("AMZN US Equity","BS_ST_BORROW","FQ3 2015","FQ3 2015","Currency=USD","Period=FQ","BEST_FPERIOD_OVERRIDE=FQ","FILING_STATUS=MR","SCALING_FORMAT=MLN","Sort=A","Dates=H","DateFormat=P","Fill=—","Direction=H","UseDPDF=Y")</f>
        <v>1117</v>
      </c>
      <c r="AD43" s="13">
        <f>_xll.BDH("AMZN US Equity","BS_ST_BORROW","FQ4 2015","FQ4 2015","Currency=USD","Period=FQ","BEST_FPERIOD_OVERRIDE=FQ","FILING_STATUS=MR","SCALING_FORMAT=MLN","Sort=A","Dates=H","DateFormat=P","Fill=—","Direction=H","UseDPDF=Y")</f>
        <v>3364</v>
      </c>
      <c r="AE43" s="13">
        <f>_xll.BDH("AMZN US Equity","BS_ST_BORROW","FQ1 2016","FQ1 2016","Currency=USD","Period=FQ","BEST_FPERIOD_OVERRIDE=FQ","FILING_STATUS=MR","SCALING_FORMAT=MLN","Sort=A","Dates=H","DateFormat=P","Fill=—","Direction=H","UseDPDF=Y")</f>
        <v>3393</v>
      </c>
      <c r="AF43" s="13">
        <f>_xll.BDH("AMZN US Equity","BS_ST_BORROW","FQ2 2016","FQ2 2016","Currency=USD","Period=FQ","BEST_FPERIOD_OVERRIDE=FQ","FILING_STATUS=MR","SCALING_FORMAT=MLN","Sort=A","Dates=H","DateFormat=P","Fill=—","Direction=H","UseDPDF=Y")</f>
        <v>3548</v>
      </c>
      <c r="AG43" s="13">
        <f>_xll.BDH("AMZN US Equity","BS_ST_BORROW","FQ3 2016","FQ3 2016","Currency=USD","Period=FQ","BEST_FPERIOD_OVERRIDE=FQ","FILING_STATUS=MR","SCALING_FORMAT=MLN","Sort=A","Dates=H","DateFormat=P","Fill=—","Direction=H","UseDPDF=Y")</f>
        <v>3883</v>
      </c>
      <c r="AH43" s="13">
        <f>_xll.BDH("AMZN US Equity","BS_ST_BORROW","FQ4 2016","FQ4 2016","Currency=USD","Period=FQ","BEST_FPERIOD_OVERRIDE=FQ","FILING_STATUS=MR","SCALING_FORMAT=MLN","Sort=A","Dates=H","DateFormat=P","Fill=—","Direction=H","UseDPDF=Y")</f>
        <v>5197</v>
      </c>
      <c r="AI43" s="13">
        <f>_xll.BDH("AMZN US Equity","BS_ST_BORROW","FQ1 2017","FQ1 2017","Currency=USD","Period=FQ","BEST_FPERIOD_OVERRIDE=FQ","FILING_STATUS=MR","SCALING_FORMAT=MLN","Sort=A","Dates=H","DateFormat=P","Fill=—","Direction=H","UseDPDF=Y")</f>
        <v>5608</v>
      </c>
      <c r="AJ43" s="13">
        <f>_xll.BDH("AMZN US Equity","BS_ST_BORROW","FQ2 2017","FQ2 2017","Currency=USD","Period=FQ","BEST_FPERIOD_OVERRIDE=FQ","FILING_STATUS=MR","SCALING_FORMAT=MLN","Sort=A","Dates=H","DateFormat=P","Fill=—","Direction=H","UseDPDF=Y")</f>
        <v>6136</v>
      </c>
      <c r="AK43" s="13">
        <f>_xll.BDH("AMZN US Equity","BS_ST_BORROW","FQ3 2017","FQ3 2017","Currency=USD","Period=FQ","BEST_FPERIOD_OVERRIDE=FQ","FILING_STATUS=MR","SCALING_FORMAT=MLN","Sort=A","Dates=H","DateFormat=P","Fill=—","Direction=H","UseDPDF=Y")</f>
        <v>6576</v>
      </c>
      <c r="AL43" s="13">
        <f>_xll.BDH("AMZN US Equity","BS_ST_BORROW","FQ4 2017","FQ4 2017","Currency=USD","Period=FQ","BEST_FPERIOD_OVERRIDE=FQ","FILING_STATUS=MR","SCALING_FORMAT=MLN","Sort=A","Dates=H","DateFormat=P","Fill=—","Direction=H","UseDPDF=Y")</f>
        <v>6221</v>
      </c>
      <c r="AM43" s="13">
        <f>_xll.BDH("AMZN US Equity","BS_ST_BORROW","FQ1 2018","FQ1 2018","Currency=USD","Period=FQ","BEST_FPERIOD_OVERRIDE=FQ","FILING_STATUS=MR","SCALING_FORMAT=MLN","Sort=A","Dates=H","DateFormat=P","Fill=—","Direction=H","UseDPDF=Y")</f>
        <v>6547</v>
      </c>
      <c r="AN43" s="13">
        <f>_xll.BDH("AMZN US Equity","BS_ST_BORROW","FQ2 2018","FQ2 2018","Currency=USD","Period=FQ","BEST_FPERIOD_OVERRIDE=FQ","FILING_STATUS=MR","SCALING_FORMAT=MLN","Sort=A","Dates=H","DateFormat=P","Fill=—","Direction=H","UseDPDF=Y")</f>
        <v>6951</v>
      </c>
    </row>
    <row r="44" spans="1:40" x14ac:dyDescent="0.25">
      <c r="A44" s="10" t="s">
        <v>278</v>
      </c>
      <c r="B44" s="10" t="s">
        <v>279</v>
      </c>
      <c r="C44" s="13">
        <f>_xll.BDH("AMZN US Equity","SHORT_TERM_DEBT_DETAILED","FQ1 2009","FQ1 2009","Currency=USD","Period=FQ","BEST_FPERIOD_OVERRIDE=FQ","FILING_STATUS=MR","SCALING_FORMAT=MLN","Sort=A","Dates=H","DateFormat=P","Fill=—","Direction=H","UseDPDF=Y")</f>
        <v>0</v>
      </c>
      <c r="D44" s="13" t="str">
        <f>_xll.BDH("AMZN US Equity","SHORT_TERM_DEBT_DETAILED","FQ2 2009","FQ2 2009","Currency=USD","Period=FQ","BEST_FPERIOD_OVERRIDE=FQ","FILING_STATUS=MR","SCALING_FORMAT=MLN","Sort=A","Dates=H","DateFormat=P","Fill=—","Direction=H","UseDPDF=Y")</f>
        <v>—</v>
      </c>
      <c r="E44" s="13" t="str">
        <f>_xll.BDH("AMZN US Equity","SHORT_TERM_DEBT_DETAILED","FQ3 2009","FQ3 2009","Currency=USD","Period=FQ","BEST_FPERIOD_OVERRIDE=FQ","FILING_STATUS=MR","SCALING_FORMAT=MLN","Sort=A","Dates=H","DateFormat=P","Fill=—","Direction=H","UseDPDF=Y")</f>
        <v>—</v>
      </c>
      <c r="F44" s="13">
        <f>_xll.BDH("AMZN US Equity","SHORT_TERM_DEBT_DETAILED","FQ4 2009","FQ4 2009","Currency=USD","Period=FQ","BEST_FPERIOD_OVERRIDE=FQ","FILING_STATUS=MR","SCALING_FORMAT=MLN","Sort=A","Dates=H","DateFormat=P","Fill=—","Direction=H","UseDPDF=Y")</f>
        <v>0</v>
      </c>
      <c r="G44" s="13">
        <f>_xll.BDH("AMZN US Equity","SHORT_TERM_DEBT_DETAILED","FQ1 2010","FQ1 2010","Currency=USD","Period=FQ","BEST_FPERIOD_OVERRIDE=FQ","FILING_STATUS=MR","SCALING_FORMAT=MLN","Sort=A","Dates=H","DateFormat=P","Fill=—","Direction=H","UseDPDF=Y")</f>
        <v>0</v>
      </c>
      <c r="H44" s="13" t="str">
        <f>_xll.BDH("AMZN US Equity","SHORT_TERM_DEBT_DETAILED","FQ2 2010","FQ2 2010","Currency=USD","Period=FQ","BEST_FPERIOD_OVERRIDE=FQ","FILING_STATUS=MR","SCALING_FORMAT=MLN","Sort=A","Dates=H","DateFormat=P","Fill=—","Direction=H","UseDPDF=Y")</f>
        <v>—</v>
      </c>
      <c r="I44" s="13" t="str">
        <f>_xll.BDH("AMZN US Equity","SHORT_TERM_DEBT_DETAILED","FQ3 2010","FQ3 2010","Currency=USD","Period=FQ","BEST_FPERIOD_OVERRIDE=FQ","FILING_STATUS=MR","SCALING_FORMAT=MLN","Sort=A","Dates=H","DateFormat=P","Fill=—","Direction=H","UseDPDF=Y")</f>
        <v>—</v>
      </c>
      <c r="J44" s="13">
        <f>_xll.BDH("AMZN US Equity","SHORT_TERM_DEBT_DETAILED","FQ4 2010","FQ4 2010","Currency=USD","Period=FQ","BEST_FPERIOD_OVERRIDE=FQ","FILING_STATUS=MR","SCALING_FORMAT=MLN","Sort=A","Dates=H","DateFormat=P","Fill=—","Direction=H","UseDPDF=Y")</f>
        <v>0</v>
      </c>
      <c r="K44" s="13" t="str">
        <f>_xll.BDH("AMZN US Equity","SHORT_TERM_DEBT_DETAILED","FQ1 2011","FQ1 2011","Currency=USD","Period=FQ","BEST_FPERIOD_OVERRIDE=FQ","FILING_STATUS=MR","SCALING_FORMAT=MLN","Sort=A","Dates=H","DateFormat=P","Fill=—","Direction=H","UseDPDF=Y")</f>
        <v>—</v>
      </c>
      <c r="L44" s="13">
        <f>_xll.BDH("AMZN US Equity","SHORT_TERM_DEBT_DETAILED","FQ2 2011","FQ2 2011","Currency=USD","Period=FQ","BEST_FPERIOD_OVERRIDE=FQ","FILING_STATUS=MR","SCALING_FORMAT=MLN","Sort=A","Dates=H","DateFormat=P","Fill=—","Direction=H","UseDPDF=Y")</f>
        <v>0</v>
      </c>
      <c r="M44" s="13">
        <f>_xll.BDH("AMZN US Equity","SHORT_TERM_DEBT_DETAILED","FQ3 2011","FQ3 2011","Currency=USD","Period=FQ","BEST_FPERIOD_OVERRIDE=FQ","FILING_STATUS=MR","SCALING_FORMAT=MLN","Sort=A","Dates=H","DateFormat=P","Fill=—","Direction=H","UseDPDF=Y")</f>
        <v>0</v>
      </c>
      <c r="N44" s="13">
        <f>_xll.BDH("AMZN US Equity","SHORT_TERM_DEBT_DETAILED","FQ4 2011","FQ4 2011","Currency=USD","Period=FQ","BEST_FPERIOD_OVERRIDE=FQ","FILING_STATUS=MR","SCALING_FORMAT=MLN","Sort=A","Dates=H","DateFormat=P","Fill=—","Direction=H","UseDPDF=Y")</f>
        <v>0</v>
      </c>
      <c r="O44" s="13" t="str">
        <f>_xll.BDH("AMZN US Equity","SHORT_TERM_DEBT_DETAILED","FQ1 2012","FQ1 2012","Currency=USD","Period=FQ","BEST_FPERIOD_OVERRIDE=FQ","FILING_STATUS=MR","SCALING_FORMAT=MLN","Sort=A","Dates=H","DateFormat=P","Fill=—","Direction=H","UseDPDF=Y")</f>
        <v>—</v>
      </c>
      <c r="P44" s="13">
        <f>_xll.BDH("AMZN US Equity","SHORT_TERM_DEBT_DETAILED","FQ2 2012","FQ2 2012","Currency=USD","Period=FQ","BEST_FPERIOD_OVERRIDE=FQ","FILING_STATUS=MR","SCALING_FORMAT=MLN","Sort=A","Dates=H","DateFormat=P","Fill=—","Direction=H","UseDPDF=Y")</f>
        <v>0</v>
      </c>
      <c r="Q44" s="13">
        <f>_xll.BDH("AMZN US Equity","SHORT_TERM_DEBT_DETAILED","FQ3 2012","FQ3 2012","Currency=USD","Period=FQ","BEST_FPERIOD_OVERRIDE=FQ","FILING_STATUS=MR","SCALING_FORMAT=MLN","Sort=A","Dates=H","DateFormat=P","Fill=—","Direction=H","UseDPDF=Y")</f>
        <v>0</v>
      </c>
      <c r="R44" s="13">
        <f>_xll.BDH("AMZN US Equity","SHORT_TERM_DEBT_DETAILED","FQ4 2012","FQ4 2012","Currency=USD","Period=FQ","BEST_FPERIOD_OVERRIDE=FQ","FILING_STATUS=MR","SCALING_FORMAT=MLN","Sort=A","Dates=H","DateFormat=P","Fill=—","Direction=H","UseDPDF=Y")</f>
        <v>0</v>
      </c>
      <c r="S44" s="13">
        <f>_xll.BDH("AMZN US Equity","SHORT_TERM_DEBT_DETAILED","FQ1 2013","FQ1 2013","Currency=USD","Period=FQ","BEST_FPERIOD_OVERRIDE=FQ","FILING_STATUS=MR","SCALING_FORMAT=MLN","Sort=A","Dates=H","DateFormat=P","Fill=—","Direction=H","UseDPDF=Y")</f>
        <v>0</v>
      </c>
      <c r="T44" s="13">
        <f>_xll.BDH("AMZN US Equity","SHORT_TERM_DEBT_DETAILED","FQ2 2013","FQ2 2013","Currency=USD","Period=FQ","BEST_FPERIOD_OVERRIDE=FQ","FILING_STATUS=MR","SCALING_FORMAT=MLN","Sort=A","Dates=H","DateFormat=P","Fill=—","Direction=H","UseDPDF=Y")</f>
        <v>0</v>
      </c>
      <c r="U44" s="13">
        <f>_xll.BDH("AMZN US Equity","SHORT_TERM_DEBT_DETAILED","FQ3 2013","FQ3 2013","Currency=USD","Period=FQ","BEST_FPERIOD_OVERRIDE=FQ","FILING_STATUS=MR","SCALING_FORMAT=MLN","Sort=A","Dates=H","DateFormat=P","Fill=—","Direction=H","UseDPDF=Y")</f>
        <v>0</v>
      </c>
      <c r="V44" s="13">
        <f>_xll.BDH("AMZN US Equity","SHORT_TERM_DEBT_DETAILED","FQ4 2013","FQ4 2013","Currency=USD","Period=FQ","BEST_FPERIOD_OVERRIDE=FQ","FILING_STATUS=MR","SCALING_FORMAT=MLN","Sort=A","Dates=H","DateFormat=P","Fill=—","Direction=H","UseDPDF=Y")</f>
        <v>0</v>
      </c>
      <c r="W44" s="13">
        <f>_xll.BDH("AMZN US Equity","SHORT_TERM_DEBT_DETAILED","FQ1 2014","FQ1 2014","Currency=USD","Period=FQ","BEST_FPERIOD_OVERRIDE=FQ","FILING_STATUS=MR","SCALING_FORMAT=MLN","Sort=A","Dates=H","DateFormat=P","Fill=—","Direction=H","UseDPDF=Y")</f>
        <v>0</v>
      </c>
      <c r="X44" s="13">
        <f>_xll.BDH("AMZN US Equity","SHORT_TERM_DEBT_DETAILED","FQ2 2014","FQ2 2014","Currency=USD","Period=FQ","BEST_FPERIOD_OVERRIDE=FQ","FILING_STATUS=MR","SCALING_FORMAT=MLN","Sort=A","Dates=H","DateFormat=P","Fill=—","Direction=H","UseDPDF=Y")</f>
        <v>0</v>
      </c>
      <c r="Y44" s="13">
        <f>_xll.BDH("AMZN US Equity","SHORT_TERM_DEBT_DETAILED","FQ3 2014","FQ3 2014","Currency=USD","Period=FQ","BEST_FPERIOD_OVERRIDE=FQ","FILING_STATUS=MR","SCALING_FORMAT=MLN","Sort=A","Dates=H","DateFormat=P","Fill=—","Direction=H","UseDPDF=Y")</f>
        <v>0</v>
      </c>
      <c r="Z44" s="13">
        <f>_xll.BDH("AMZN US Equity","SHORT_TERM_DEBT_DETAILED","FQ4 2014","FQ4 2014","Currency=USD","Period=FQ","BEST_FPERIOD_OVERRIDE=FQ","FILING_STATUS=MR","SCALING_FORMAT=MLN","Sort=A","Dates=H","DateFormat=P","Fill=—","Direction=H","UseDPDF=Y")</f>
        <v>0</v>
      </c>
      <c r="AA44" s="13">
        <f>_xll.BDH("AMZN US Equity","SHORT_TERM_DEBT_DETAILED","FQ1 2015","FQ1 2015","Currency=USD","Period=FQ","BEST_FPERIOD_OVERRIDE=FQ","FILING_STATUS=MR","SCALING_FORMAT=MLN","Sort=A","Dates=H","DateFormat=P","Fill=—","Direction=H","UseDPDF=Y")</f>
        <v>0</v>
      </c>
      <c r="AB44" s="13">
        <f>_xll.BDH("AMZN US Equity","SHORT_TERM_DEBT_DETAILED","FQ2 2015","FQ2 2015","Currency=USD","Period=FQ","BEST_FPERIOD_OVERRIDE=FQ","FILING_STATUS=MR","SCALING_FORMAT=MLN","Sort=A","Dates=H","DateFormat=P","Fill=—","Direction=H","UseDPDF=Y")</f>
        <v>0</v>
      </c>
      <c r="AC44" s="13">
        <f>_xll.BDH("AMZN US Equity","SHORT_TERM_DEBT_DETAILED","FQ3 2015","FQ3 2015","Currency=USD","Period=FQ","BEST_FPERIOD_OVERRIDE=FQ","FILING_STATUS=MR","SCALING_FORMAT=MLN","Sort=A","Dates=H","DateFormat=P","Fill=—","Direction=H","UseDPDF=Y")</f>
        <v>0</v>
      </c>
      <c r="AD44" s="13">
        <f>_xll.BDH("AMZN US Equity","SHORT_TERM_DEBT_DETAILED","FQ4 2015","FQ4 2015","Currency=USD","Period=FQ","BEST_FPERIOD_OVERRIDE=FQ","FILING_STATUS=MR","SCALING_FORMAT=MLN","Sort=A","Dates=H","DateFormat=P","Fill=—","Direction=H","UseDPDF=Y")</f>
        <v>0</v>
      </c>
      <c r="AE44" s="13">
        <f>_xll.BDH("AMZN US Equity","SHORT_TERM_DEBT_DETAILED","FQ1 2016","FQ1 2016","Currency=USD","Period=FQ","BEST_FPERIOD_OVERRIDE=FQ","FILING_STATUS=MR","SCALING_FORMAT=MLN","Sort=A","Dates=H","DateFormat=P","Fill=—","Direction=H","UseDPDF=Y")</f>
        <v>0</v>
      </c>
      <c r="AF44" s="13">
        <f>_xll.BDH("AMZN US Equity","SHORT_TERM_DEBT_DETAILED","FQ2 2016","FQ2 2016","Currency=USD","Period=FQ","BEST_FPERIOD_OVERRIDE=FQ","FILING_STATUS=MR","SCALING_FORMAT=MLN","Sort=A","Dates=H","DateFormat=P","Fill=—","Direction=H","UseDPDF=Y")</f>
        <v>0</v>
      </c>
      <c r="AG44" s="13">
        <f>_xll.BDH("AMZN US Equity","SHORT_TERM_DEBT_DETAILED","FQ3 2016","FQ3 2016","Currency=USD","Period=FQ","BEST_FPERIOD_OVERRIDE=FQ","FILING_STATUS=MR","SCALING_FORMAT=MLN","Sort=A","Dates=H","DateFormat=P","Fill=—","Direction=H","UseDPDF=Y")</f>
        <v>0</v>
      </c>
      <c r="AH44" s="13">
        <f>_xll.BDH("AMZN US Equity","SHORT_TERM_DEBT_DETAILED","FQ4 2016","FQ4 2016","Currency=USD","Period=FQ","BEST_FPERIOD_OVERRIDE=FQ","FILING_STATUS=MR","SCALING_FORMAT=MLN","Sort=A","Dates=H","DateFormat=P","Fill=—","Direction=H","UseDPDF=Y")</f>
        <v>0</v>
      </c>
      <c r="AI44" s="13">
        <f>_xll.BDH("AMZN US Equity","SHORT_TERM_DEBT_DETAILED","FQ1 2017","FQ1 2017","Currency=USD","Period=FQ","BEST_FPERIOD_OVERRIDE=FQ","FILING_STATUS=MR","SCALING_FORMAT=MLN","Sort=A","Dates=H","DateFormat=P","Fill=—","Direction=H","UseDPDF=Y")</f>
        <v>0</v>
      </c>
      <c r="AJ44" s="13">
        <f>_xll.BDH("AMZN US Equity","SHORT_TERM_DEBT_DETAILED","FQ2 2017","FQ2 2017","Currency=USD","Period=FQ","BEST_FPERIOD_OVERRIDE=FQ","FILING_STATUS=MR","SCALING_FORMAT=MLN","Sort=A","Dates=H","DateFormat=P","Fill=—","Direction=H","UseDPDF=Y")</f>
        <v>0</v>
      </c>
      <c r="AK44" s="13">
        <f>_xll.BDH("AMZN US Equity","SHORT_TERM_DEBT_DETAILED","FQ3 2017","FQ3 2017","Currency=USD","Period=FQ","BEST_FPERIOD_OVERRIDE=FQ","FILING_STATUS=MR","SCALING_FORMAT=MLN","Sort=A","Dates=H","DateFormat=P","Fill=—","Direction=H","UseDPDF=Y")</f>
        <v>0</v>
      </c>
      <c r="AL44" s="13">
        <f>_xll.BDH("AMZN US Equity","SHORT_TERM_DEBT_DETAILED","FQ4 2017","FQ4 2017","Currency=USD","Period=FQ","BEST_FPERIOD_OVERRIDE=FQ","FILING_STATUS=MR","SCALING_FORMAT=MLN","Sort=A","Dates=H","DateFormat=P","Fill=—","Direction=H","UseDPDF=Y")</f>
        <v>0</v>
      </c>
      <c r="AM44" s="13">
        <f>_xll.BDH("AMZN US Equity","SHORT_TERM_DEBT_DETAILED","FQ1 2018","FQ1 2018","Currency=USD","Period=FQ","BEST_FPERIOD_OVERRIDE=FQ","FILING_STATUS=MR","SCALING_FORMAT=MLN","Sort=A","Dates=H","DateFormat=P","Fill=—","Direction=H","UseDPDF=Y")</f>
        <v>0</v>
      </c>
      <c r="AN44" s="13">
        <f>_xll.BDH("AMZN US Equity","SHORT_TERM_DEBT_DETAILED","FQ2 2018","FQ2 2018","Currency=USD","Period=FQ","BEST_FPERIOD_OVERRIDE=FQ","FILING_STATUS=MR","SCALING_FORMAT=MLN","Sort=A","Dates=H","DateFormat=P","Fill=—","Direction=H","UseDPDF=Y")</f>
        <v>0</v>
      </c>
    </row>
    <row r="45" spans="1:40" x14ac:dyDescent="0.25">
      <c r="A45" s="10" t="s">
        <v>280</v>
      </c>
      <c r="B45" s="10" t="s">
        <v>281</v>
      </c>
      <c r="C45" s="13" t="str">
        <f>_xll.BDH("AMZN US Equity","ST_CAPITAL_LEASE_OBLIGATIONS","FQ1 2009","FQ1 2009","Currency=USD","Period=FQ","BEST_FPERIOD_OVERRIDE=FQ","FILING_STATUS=MR","SCALING_FORMAT=MLN","Sort=A","Dates=H","DateFormat=P","Fill=—","Direction=H","UseDPDF=Y")</f>
        <v>—</v>
      </c>
      <c r="D45" s="13" t="str">
        <f>_xll.BDH("AMZN US Equity","ST_CAPITAL_LEASE_OBLIGATIONS","FQ2 2009","FQ2 2009","Currency=USD","Period=FQ","BEST_FPERIOD_OVERRIDE=FQ","FILING_STATUS=MR","SCALING_FORMAT=MLN","Sort=A","Dates=H","DateFormat=P","Fill=—","Direction=H","UseDPDF=Y")</f>
        <v>—</v>
      </c>
      <c r="E45" s="13" t="str">
        <f>_xll.BDH("AMZN US Equity","ST_CAPITAL_LEASE_OBLIGATIONS","FQ3 2009","FQ3 2009","Currency=USD","Period=FQ","BEST_FPERIOD_OVERRIDE=FQ","FILING_STATUS=MR","SCALING_FORMAT=MLN","Sort=A","Dates=H","DateFormat=P","Fill=—","Direction=H","UseDPDF=Y")</f>
        <v>—</v>
      </c>
      <c r="F45" s="13">
        <f>_xll.BDH("AMZN US Equity","ST_CAPITAL_LEASE_OBLIGATIONS","FQ4 2009","FQ4 2009","Currency=USD","Period=FQ","BEST_FPERIOD_OVERRIDE=FQ","FILING_STATUS=MR","SCALING_FORMAT=MLN","Sort=A","Dates=H","DateFormat=P","Fill=—","Direction=H","UseDPDF=Y")</f>
        <v>119</v>
      </c>
      <c r="G45" s="13" t="str">
        <f>_xll.BDH("AMZN US Equity","ST_CAPITAL_LEASE_OBLIGATIONS","FQ1 2010","FQ1 2010","Currency=USD","Period=FQ","BEST_FPERIOD_OVERRIDE=FQ","FILING_STATUS=MR","SCALING_FORMAT=MLN","Sort=A","Dates=H","DateFormat=P","Fill=—","Direction=H","UseDPDF=Y")</f>
        <v>—</v>
      </c>
      <c r="H45" s="13" t="str">
        <f>_xll.BDH("AMZN US Equity","ST_CAPITAL_LEASE_OBLIGATIONS","FQ2 2010","FQ2 2010","Currency=USD","Period=FQ","BEST_FPERIOD_OVERRIDE=FQ","FILING_STATUS=MR","SCALING_FORMAT=MLN","Sort=A","Dates=H","DateFormat=P","Fill=—","Direction=H","UseDPDF=Y")</f>
        <v>—</v>
      </c>
      <c r="I45" s="13" t="str">
        <f>_xll.BDH("AMZN US Equity","ST_CAPITAL_LEASE_OBLIGATIONS","FQ3 2010","FQ3 2010","Currency=USD","Period=FQ","BEST_FPERIOD_OVERRIDE=FQ","FILING_STATUS=MR","SCALING_FORMAT=MLN","Sort=A","Dates=H","DateFormat=P","Fill=—","Direction=H","UseDPDF=Y")</f>
        <v>—</v>
      </c>
      <c r="J45" s="13">
        <f>_xll.BDH("AMZN US Equity","ST_CAPITAL_LEASE_OBLIGATIONS","FQ4 2010","FQ4 2010","Currency=USD","Period=FQ","BEST_FPERIOD_OVERRIDE=FQ","FILING_STATUS=MR","SCALING_FORMAT=MLN","Sort=A","Dates=H","DateFormat=P","Fill=—","Direction=H","UseDPDF=Y")</f>
        <v>218</v>
      </c>
      <c r="K45" s="13" t="str">
        <f>_xll.BDH("AMZN US Equity","ST_CAPITAL_LEASE_OBLIGATIONS","FQ1 2011","FQ1 2011","Currency=USD","Period=FQ","BEST_FPERIOD_OVERRIDE=FQ","FILING_STATUS=MR","SCALING_FORMAT=MLN","Sort=A","Dates=H","DateFormat=P","Fill=—","Direction=H","UseDPDF=Y")</f>
        <v>—</v>
      </c>
      <c r="L45" s="13" t="str">
        <f>_xll.BDH("AMZN US Equity","ST_CAPITAL_LEASE_OBLIGATIONS","FQ2 2011","FQ2 2011","Currency=USD","Period=FQ","BEST_FPERIOD_OVERRIDE=FQ","FILING_STATUS=MR","SCALING_FORMAT=MLN","Sort=A","Dates=H","DateFormat=P","Fill=—","Direction=H","UseDPDF=Y")</f>
        <v>—</v>
      </c>
      <c r="M45" s="13" t="str">
        <f>_xll.BDH("AMZN US Equity","ST_CAPITAL_LEASE_OBLIGATIONS","FQ3 2011","FQ3 2011","Currency=USD","Period=FQ","BEST_FPERIOD_OVERRIDE=FQ","FILING_STATUS=MR","SCALING_FORMAT=MLN","Sort=A","Dates=H","DateFormat=P","Fill=—","Direction=H","UseDPDF=Y")</f>
        <v>—</v>
      </c>
      <c r="N45" s="13">
        <f>_xll.BDH("AMZN US Equity","ST_CAPITAL_LEASE_OBLIGATIONS","FQ4 2011","FQ4 2011","Currency=USD","Period=FQ","BEST_FPERIOD_OVERRIDE=FQ","FILING_STATUS=MR","SCALING_FORMAT=MLN","Sort=A","Dates=H","DateFormat=P","Fill=—","Direction=H","UseDPDF=Y")</f>
        <v>377</v>
      </c>
      <c r="O45" s="13" t="str">
        <f>_xll.BDH("AMZN US Equity","ST_CAPITAL_LEASE_OBLIGATIONS","FQ1 2012","FQ1 2012","Currency=USD","Period=FQ","BEST_FPERIOD_OVERRIDE=FQ","FILING_STATUS=MR","SCALING_FORMAT=MLN","Sort=A","Dates=H","DateFormat=P","Fill=—","Direction=H","UseDPDF=Y")</f>
        <v>—</v>
      </c>
      <c r="P45" s="13" t="str">
        <f>_xll.BDH("AMZN US Equity","ST_CAPITAL_LEASE_OBLIGATIONS","FQ2 2012","FQ2 2012","Currency=USD","Period=FQ","BEST_FPERIOD_OVERRIDE=FQ","FILING_STATUS=MR","SCALING_FORMAT=MLN","Sort=A","Dates=H","DateFormat=P","Fill=—","Direction=H","UseDPDF=Y")</f>
        <v>—</v>
      </c>
      <c r="Q45" s="13" t="str">
        <f>_xll.BDH("AMZN US Equity","ST_CAPITAL_LEASE_OBLIGATIONS","FQ3 2012","FQ3 2012","Currency=USD","Period=FQ","BEST_FPERIOD_OVERRIDE=FQ","FILING_STATUS=MR","SCALING_FORMAT=MLN","Sort=A","Dates=H","DateFormat=P","Fill=—","Direction=H","UseDPDF=Y")</f>
        <v>—</v>
      </c>
      <c r="R45" s="13">
        <f>_xll.BDH("AMZN US Equity","ST_CAPITAL_LEASE_OBLIGATIONS","FQ4 2012","FQ4 2012","Currency=USD","Period=FQ","BEST_FPERIOD_OVERRIDE=FQ","FILING_STATUS=MR","SCALING_FORMAT=MLN","Sort=A","Dates=H","DateFormat=P","Fill=—","Direction=H","UseDPDF=Y")</f>
        <v>555</v>
      </c>
      <c r="S45" s="13" t="str">
        <f>_xll.BDH("AMZN US Equity","ST_CAPITAL_LEASE_OBLIGATIONS","FQ1 2013","FQ1 2013","Currency=USD","Period=FQ","BEST_FPERIOD_OVERRIDE=FQ","FILING_STATUS=MR","SCALING_FORMAT=MLN","Sort=A","Dates=H","DateFormat=P","Fill=—","Direction=H","UseDPDF=Y")</f>
        <v>—</v>
      </c>
      <c r="T45" s="13" t="str">
        <f>_xll.BDH("AMZN US Equity","ST_CAPITAL_LEASE_OBLIGATIONS","FQ2 2013","FQ2 2013","Currency=USD","Period=FQ","BEST_FPERIOD_OVERRIDE=FQ","FILING_STATUS=MR","SCALING_FORMAT=MLN","Sort=A","Dates=H","DateFormat=P","Fill=—","Direction=H","UseDPDF=Y")</f>
        <v>—</v>
      </c>
      <c r="U45" s="13" t="str">
        <f>_xll.BDH("AMZN US Equity","ST_CAPITAL_LEASE_OBLIGATIONS","FQ3 2013","FQ3 2013","Currency=USD","Period=FQ","BEST_FPERIOD_OVERRIDE=FQ","FILING_STATUS=MR","SCALING_FORMAT=MLN","Sort=A","Dates=H","DateFormat=P","Fill=—","Direction=H","UseDPDF=Y")</f>
        <v>—</v>
      </c>
      <c r="V45" s="13">
        <f>_xll.BDH("AMZN US Equity","ST_CAPITAL_LEASE_OBLIGATIONS","FQ4 2013","FQ4 2013","Currency=USD","Period=FQ","BEST_FPERIOD_OVERRIDE=FQ","FILING_STATUS=MR","SCALING_FORMAT=MLN","Sort=A","Dates=H","DateFormat=P","Fill=—","Direction=H","UseDPDF=Y")</f>
        <v>955</v>
      </c>
      <c r="W45" s="13" t="str">
        <f>_xll.BDH("AMZN US Equity","ST_CAPITAL_LEASE_OBLIGATIONS","FQ1 2014","FQ1 2014","Currency=USD","Period=FQ","BEST_FPERIOD_OVERRIDE=FQ","FILING_STATUS=MR","SCALING_FORMAT=MLN","Sort=A","Dates=H","DateFormat=P","Fill=—","Direction=H","UseDPDF=Y")</f>
        <v>—</v>
      </c>
      <c r="X45" s="13" t="str">
        <f>_xll.BDH("AMZN US Equity","ST_CAPITAL_LEASE_OBLIGATIONS","FQ2 2014","FQ2 2014","Currency=USD","Period=FQ","BEST_FPERIOD_OVERRIDE=FQ","FILING_STATUS=MR","SCALING_FORMAT=MLN","Sort=A","Dates=H","DateFormat=P","Fill=—","Direction=H","UseDPDF=Y")</f>
        <v>—</v>
      </c>
      <c r="Y45" s="13" t="str">
        <f>_xll.BDH("AMZN US Equity","ST_CAPITAL_LEASE_OBLIGATIONS","FQ3 2014","FQ3 2014","Currency=USD","Period=FQ","BEST_FPERIOD_OVERRIDE=FQ","FILING_STATUS=MR","SCALING_FORMAT=MLN","Sort=A","Dates=H","DateFormat=P","Fill=—","Direction=H","UseDPDF=Y")</f>
        <v>—</v>
      </c>
      <c r="Z45" s="13">
        <f>_xll.BDH("AMZN US Equity","ST_CAPITAL_LEASE_OBLIGATIONS","FQ4 2014","FQ4 2014","Currency=USD","Period=FQ","BEST_FPERIOD_OVERRIDE=FQ","FILING_STATUS=MR","SCALING_FORMAT=MLN","Sort=A","Dates=H","DateFormat=P","Fill=—","Direction=H","UseDPDF=Y")</f>
        <v>2080</v>
      </c>
      <c r="AA45" s="13" t="str">
        <f>_xll.BDH("AMZN US Equity","ST_CAPITAL_LEASE_OBLIGATIONS","FQ1 2015","FQ1 2015","Currency=USD","Period=FQ","BEST_FPERIOD_OVERRIDE=FQ","FILING_STATUS=MR","SCALING_FORMAT=MLN","Sort=A","Dates=H","DateFormat=P","Fill=—","Direction=H","UseDPDF=Y")</f>
        <v>—</v>
      </c>
      <c r="AB45" s="13" t="str">
        <f>_xll.BDH("AMZN US Equity","ST_CAPITAL_LEASE_OBLIGATIONS","FQ2 2015","FQ2 2015","Currency=USD","Period=FQ","BEST_FPERIOD_OVERRIDE=FQ","FILING_STATUS=MR","SCALING_FORMAT=MLN","Sort=A","Dates=H","DateFormat=P","Fill=—","Direction=H","UseDPDF=Y")</f>
        <v>—</v>
      </c>
      <c r="AC45" s="13" t="str">
        <f>_xll.BDH("AMZN US Equity","ST_CAPITAL_LEASE_OBLIGATIONS","FQ3 2015","FQ3 2015","Currency=USD","Period=FQ","BEST_FPERIOD_OVERRIDE=FQ","FILING_STATUS=MR","SCALING_FORMAT=MLN","Sort=A","Dates=H","DateFormat=P","Fill=—","Direction=H","UseDPDF=Y")</f>
        <v>—</v>
      </c>
      <c r="AD45" s="13">
        <f>_xll.BDH("AMZN US Equity","ST_CAPITAL_LEASE_OBLIGATIONS","FQ4 2015","FQ4 2015","Currency=USD","Period=FQ","BEST_FPERIOD_OVERRIDE=FQ","FILING_STATUS=MR","SCALING_FORMAT=MLN","Sort=A","Dates=H","DateFormat=P","Fill=—","Direction=H","UseDPDF=Y")</f>
        <v>3126</v>
      </c>
      <c r="AE45" s="13">
        <f>_xll.BDH("AMZN US Equity","ST_CAPITAL_LEASE_OBLIGATIONS","FQ1 2016","FQ1 2016","Currency=USD","Period=FQ","BEST_FPERIOD_OVERRIDE=FQ","FILING_STATUS=MR","SCALING_FORMAT=MLN","Sort=A","Dates=H","DateFormat=P","Fill=—","Direction=H","UseDPDF=Y")</f>
        <v>3303</v>
      </c>
      <c r="AF45" s="13">
        <f>_xll.BDH("AMZN US Equity","ST_CAPITAL_LEASE_OBLIGATIONS","FQ2 2016","FQ2 2016","Currency=USD","Period=FQ","BEST_FPERIOD_OVERRIDE=FQ","FILING_STATUS=MR","SCALING_FORMAT=MLN","Sort=A","Dates=H","DateFormat=P","Fill=—","Direction=H","UseDPDF=Y")</f>
        <v>3507</v>
      </c>
      <c r="AG45" s="13">
        <f>_xll.BDH("AMZN US Equity","ST_CAPITAL_LEASE_OBLIGATIONS","FQ3 2016","FQ3 2016","Currency=USD","Period=FQ","BEST_FPERIOD_OVERRIDE=FQ","FILING_STATUS=MR","SCALING_FORMAT=MLN","Sort=A","Dates=H","DateFormat=P","Fill=—","Direction=H","UseDPDF=Y")</f>
        <v>3835</v>
      </c>
      <c r="AH45" s="13">
        <f>_xll.BDH("AMZN US Equity","ST_CAPITAL_LEASE_OBLIGATIONS","FQ4 2016","FQ4 2016","Currency=USD","Period=FQ","BEST_FPERIOD_OVERRIDE=FQ","FILING_STATUS=MR","SCALING_FORMAT=MLN","Sort=A","Dates=H","DateFormat=P","Fill=—","Direction=H","UseDPDF=Y")</f>
        <v>4141</v>
      </c>
      <c r="AI45" s="13">
        <f>_xll.BDH("AMZN US Equity","ST_CAPITAL_LEASE_OBLIGATIONS","FQ1 2017","FQ1 2017","Currency=USD","Period=FQ","BEST_FPERIOD_OVERRIDE=FQ","FILING_STATUS=MR","SCALING_FORMAT=MLN","Sort=A","Dates=H","DateFormat=P","Fill=—","Direction=H","UseDPDF=Y")</f>
        <v>4559</v>
      </c>
      <c r="AJ45" s="13">
        <f>_xll.BDH("AMZN US Equity","ST_CAPITAL_LEASE_OBLIGATIONS","FQ2 2017","FQ2 2017","Currency=USD","Period=FQ","BEST_FPERIOD_OVERRIDE=FQ","FILING_STATUS=MR","SCALING_FORMAT=MLN","Sort=A","Dates=H","DateFormat=P","Fill=—","Direction=H","UseDPDF=Y")</f>
        <v>5073</v>
      </c>
      <c r="AK45" s="13">
        <f>_xll.BDH("AMZN US Equity","ST_CAPITAL_LEASE_OBLIGATIONS","FQ3 2017","FQ3 2017","Currency=USD","Period=FQ","BEST_FPERIOD_OVERRIDE=FQ","FILING_STATUS=MR","SCALING_FORMAT=MLN","Sort=A","Dates=H","DateFormat=P","Fill=—","Direction=H","UseDPDF=Y")</f>
        <v>5539</v>
      </c>
      <c r="AL45" s="13">
        <f>_xll.BDH("AMZN US Equity","ST_CAPITAL_LEASE_OBLIGATIONS","FQ4 2017","FQ4 2017","Currency=USD","Period=FQ","BEST_FPERIOD_OVERRIDE=FQ","FILING_STATUS=MR","SCALING_FORMAT=MLN","Sort=A","Dates=H","DateFormat=P","Fill=—","Direction=H","UseDPDF=Y")</f>
        <v>6121</v>
      </c>
      <c r="AM45" s="13">
        <f>_xll.BDH("AMZN US Equity","ST_CAPITAL_LEASE_OBLIGATIONS","FQ1 2018","FQ1 2018","Currency=USD","Period=FQ","BEST_FPERIOD_OVERRIDE=FQ","FILING_STATUS=MR","SCALING_FORMAT=MLN","Sort=A","Dates=H","DateFormat=P","Fill=—","Direction=H","UseDPDF=Y")</f>
        <v>6494</v>
      </c>
      <c r="AN45" s="13">
        <f>_xll.BDH("AMZN US Equity","ST_CAPITAL_LEASE_OBLIGATIONS","FQ2 2018","FQ2 2018","Currency=USD","Period=FQ","BEST_FPERIOD_OVERRIDE=FQ","FILING_STATUS=MR","SCALING_FORMAT=MLN","Sort=A","Dates=H","DateFormat=P","Fill=—","Direction=H","UseDPDF=Y")</f>
        <v>6920</v>
      </c>
    </row>
    <row r="46" spans="1:40" x14ac:dyDescent="0.25">
      <c r="A46" s="10" t="s">
        <v>282</v>
      </c>
      <c r="B46" s="10" t="s">
        <v>283</v>
      </c>
      <c r="C46" s="13">
        <f>_xll.BDH("AMZN US Equity","BS_CURR_PORTION_LT_DEBT","FQ1 2009","FQ1 2009","Currency=USD","Period=FQ","BEST_FPERIOD_OVERRIDE=FQ","FILING_STATUS=MR","SCALING_FORMAT=MLN","Sort=A","Dates=H","DateFormat=P","Fill=—","Direction=H","UseDPDF=Y")</f>
        <v>59</v>
      </c>
      <c r="D46" s="13" t="str">
        <f>_xll.BDH("AMZN US Equity","BS_CURR_PORTION_LT_DEBT","FQ2 2009","FQ2 2009","Currency=USD","Period=FQ","BEST_FPERIOD_OVERRIDE=FQ","FILING_STATUS=MR","SCALING_FORMAT=MLN","Sort=A","Dates=H","DateFormat=P","Fill=—","Direction=H","UseDPDF=Y")</f>
        <v>—</v>
      </c>
      <c r="E46" s="13" t="str">
        <f>_xll.BDH("AMZN US Equity","BS_CURR_PORTION_LT_DEBT","FQ3 2009","FQ3 2009","Currency=USD","Period=FQ","BEST_FPERIOD_OVERRIDE=FQ","FILING_STATUS=MR","SCALING_FORMAT=MLN","Sort=A","Dates=H","DateFormat=P","Fill=—","Direction=H","UseDPDF=Y")</f>
        <v>—</v>
      </c>
      <c r="F46" s="13">
        <f>_xll.BDH("AMZN US Equity","BS_CURR_PORTION_LT_DEBT","FQ4 2009","FQ4 2009","Currency=USD","Period=FQ","BEST_FPERIOD_OVERRIDE=FQ","FILING_STATUS=MR","SCALING_FORMAT=MLN","Sort=A","Dates=H","DateFormat=P","Fill=—","Direction=H","UseDPDF=Y")</f>
        <v>22</v>
      </c>
      <c r="G46" s="13">
        <f>_xll.BDH("AMZN US Equity","BS_CURR_PORTION_LT_DEBT","FQ1 2010","FQ1 2010","Currency=USD","Period=FQ","BEST_FPERIOD_OVERRIDE=FQ","FILING_STATUS=MR","SCALING_FORMAT=MLN","Sort=A","Dates=H","DateFormat=P","Fill=—","Direction=H","UseDPDF=Y")</f>
        <v>42</v>
      </c>
      <c r="H46" s="13" t="str">
        <f>_xll.BDH("AMZN US Equity","BS_CURR_PORTION_LT_DEBT","FQ2 2010","FQ2 2010","Currency=USD","Period=FQ","BEST_FPERIOD_OVERRIDE=FQ","FILING_STATUS=MR","SCALING_FORMAT=MLN","Sort=A","Dates=H","DateFormat=P","Fill=—","Direction=H","UseDPDF=Y")</f>
        <v>—</v>
      </c>
      <c r="I46" s="13" t="str">
        <f>_xll.BDH("AMZN US Equity","BS_CURR_PORTION_LT_DEBT","FQ3 2010","FQ3 2010","Currency=USD","Period=FQ","BEST_FPERIOD_OVERRIDE=FQ","FILING_STATUS=MR","SCALING_FORMAT=MLN","Sort=A","Dates=H","DateFormat=P","Fill=—","Direction=H","UseDPDF=Y")</f>
        <v>—</v>
      </c>
      <c r="J46" s="13" t="str">
        <f>_xll.BDH("AMZN US Equity","BS_CURR_PORTION_LT_DEBT","FQ4 2010","FQ4 2010","Currency=USD","Period=FQ","BEST_FPERIOD_OVERRIDE=FQ","FILING_STATUS=MR","SCALING_FORMAT=MLN","Sort=A","Dates=H","DateFormat=P","Fill=—","Direction=H","UseDPDF=Y")</f>
        <v>—</v>
      </c>
      <c r="K46" s="13" t="str">
        <f>_xll.BDH("AMZN US Equity","BS_CURR_PORTION_LT_DEBT","FQ1 2011","FQ1 2011","Currency=USD","Period=FQ","BEST_FPERIOD_OVERRIDE=FQ","FILING_STATUS=MR","SCALING_FORMAT=MLN","Sort=A","Dates=H","DateFormat=P","Fill=—","Direction=H","UseDPDF=Y")</f>
        <v>—</v>
      </c>
      <c r="L46" s="13" t="str">
        <f>_xll.BDH("AMZN US Equity","BS_CURR_PORTION_LT_DEBT","FQ2 2011","FQ2 2011","Currency=USD","Period=FQ","BEST_FPERIOD_OVERRIDE=FQ","FILING_STATUS=MR","SCALING_FORMAT=MLN","Sort=A","Dates=H","DateFormat=P","Fill=—","Direction=H","UseDPDF=Y")</f>
        <v>—</v>
      </c>
      <c r="M46" s="13" t="str">
        <f>_xll.BDH("AMZN US Equity","BS_CURR_PORTION_LT_DEBT","FQ3 2011","FQ3 2011","Currency=USD","Period=FQ","BEST_FPERIOD_OVERRIDE=FQ","FILING_STATUS=MR","SCALING_FORMAT=MLN","Sort=A","Dates=H","DateFormat=P","Fill=—","Direction=H","UseDPDF=Y")</f>
        <v>—</v>
      </c>
      <c r="N46" s="13">
        <f>_xll.BDH("AMZN US Equity","BS_CURR_PORTION_LT_DEBT","FQ4 2011","FQ4 2011","Currency=USD","Period=FQ","BEST_FPERIOD_OVERRIDE=FQ","FILING_STATUS=MR","SCALING_FORMAT=MLN","Sort=A","Dates=H","DateFormat=P","Fill=—","Direction=H","UseDPDF=Y")</f>
        <v>147</v>
      </c>
      <c r="O46" s="13" t="str">
        <f>_xll.BDH("AMZN US Equity","BS_CURR_PORTION_LT_DEBT","FQ1 2012","FQ1 2012","Currency=USD","Period=FQ","BEST_FPERIOD_OVERRIDE=FQ","FILING_STATUS=MR","SCALING_FORMAT=MLN","Sort=A","Dates=H","DateFormat=P","Fill=—","Direction=H","UseDPDF=Y")</f>
        <v>—</v>
      </c>
      <c r="P46" s="13" t="str">
        <f>_xll.BDH("AMZN US Equity","BS_CURR_PORTION_LT_DEBT","FQ2 2012","FQ2 2012","Currency=USD","Period=FQ","BEST_FPERIOD_OVERRIDE=FQ","FILING_STATUS=MR","SCALING_FORMAT=MLN","Sort=A","Dates=H","DateFormat=P","Fill=—","Direction=H","UseDPDF=Y")</f>
        <v>—</v>
      </c>
      <c r="Q46" s="13" t="str">
        <f>_xll.BDH("AMZN US Equity","BS_CURR_PORTION_LT_DEBT","FQ3 2012","FQ3 2012","Currency=USD","Period=FQ","BEST_FPERIOD_OVERRIDE=FQ","FILING_STATUS=MR","SCALING_FORMAT=MLN","Sort=A","Dates=H","DateFormat=P","Fill=—","Direction=H","UseDPDF=Y")</f>
        <v>—</v>
      </c>
      <c r="R46" s="13">
        <f>_xll.BDH("AMZN US Equity","BS_CURR_PORTION_LT_DEBT","FQ4 2012","FQ4 2012","Currency=USD","Period=FQ","BEST_FPERIOD_OVERRIDE=FQ","FILING_STATUS=MR","SCALING_FORMAT=MLN","Sort=A","Dates=H","DateFormat=P","Fill=—","Direction=H","UseDPDF=Y")</f>
        <v>579</v>
      </c>
      <c r="S46" s="13">
        <f>_xll.BDH("AMZN US Equity","BS_CURR_PORTION_LT_DEBT","FQ1 2013","FQ1 2013","Currency=USD","Period=FQ","BEST_FPERIOD_OVERRIDE=FQ","FILING_STATUS=MR","SCALING_FORMAT=MLN","Sort=A","Dates=H","DateFormat=P","Fill=—","Direction=H","UseDPDF=Y")</f>
        <v>652</v>
      </c>
      <c r="T46" s="13">
        <f>_xll.BDH("AMZN US Equity","BS_CURR_PORTION_LT_DEBT","FQ2 2013","FQ2 2013","Currency=USD","Period=FQ","BEST_FPERIOD_OVERRIDE=FQ","FILING_STATUS=MR","SCALING_FORMAT=MLN","Sort=A","Dates=H","DateFormat=P","Fill=—","Direction=H","UseDPDF=Y")</f>
        <v>691</v>
      </c>
      <c r="U46" s="13">
        <f>_xll.BDH("AMZN US Equity","BS_CURR_PORTION_LT_DEBT","FQ3 2013","FQ3 2013","Currency=USD","Period=FQ","BEST_FPERIOD_OVERRIDE=FQ","FILING_STATUS=MR","SCALING_FORMAT=MLN","Sort=A","Dates=H","DateFormat=P","Fill=—","Direction=H","UseDPDF=Y")</f>
        <v>680</v>
      </c>
      <c r="V46" s="13">
        <f>_xll.BDH("AMZN US Equity","BS_CURR_PORTION_LT_DEBT","FQ4 2013","FQ4 2013","Currency=USD","Period=FQ","BEST_FPERIOD_OVERRIDE=FQ","FILING_STATUS=MR","SCALING_FORMAT=MLN","Sort=A","Dates=H","DateFormat=P","Fill=—","Direction=H","UseDPDF=Y")</f>
        <v>753</v>
      </c>
      <c r="W46" s="13">
        <f>_xll.BDH("AMZN US Equity","BS_CURR_PORTION_LT_DEBT","FQ1 2014","FQ1 2014","Currency=USD","Period=FQ","BEST_FPERIOD_OVERRIDE=FQ","FILING_STATUS=MR","SCALING_FORMAT=MLN","Sort=A","Dates=H","DateFormat=P","Fill=—","Direction=H","UseDPDF=Y")</f>
        <v>784</v>
      </c>
      <c r="X46" s="13">
        <f>_xll.BDH("AMZN US Equity","BS_CURR_PORTION_LT_DEBT","FQ2 2014","FQ2 2014","Currency=USD","Period=FQ","BEST_FPERIOD_OVERRIDE=FQ","FILING_STATUS=MR","SCALING_FORMAT=MLN","Sort=A","Dates=H","DateFormat=P","Fill=—","Direction=H","UseDPDF=Y")</f>
        <v>860</v>
      </c>
      <c r="Y46" s="13">
        <f>_xll.BDH("AMZN US Equity","BS_CURR_PORTION_LT_DEBT","FQ3 2014","FQ3 2014","Currency=USD","Period=FQ","BEST_FPERIOD_OVERRIDE=FQ","FILING_STATUS=MR","SCALING_FORMAT=MLN","Sort=A","Dates=H","DateFormat=P","Fill=—","Direction=H","UseDPDF=Y")</f>
        <v>864</v>
      </c>
      <c r="Z46" s="13">
        <f>_xll.BDH("AMZN US Equity","BS_CURR_PORTION_LT_DEBT","FQ4 2014","FQ4 2014","Currency=USD","Period=FQ","BEST_FPERIOD_OVERRIDE=FQ","FILING_STATUS=MR","SCALING_FORMAT=MLN","Sort=A","Dates=H","DateFormat=P","Fill=—","Direction=H","UseDPDF=Y")</f>
        <v>1520</v>
      </c>
      <c r="AA46" s="13">
        <f>_xll.BDH("AMZN US Equity","BS_CURR_PORTION_LT_DEBT","FQ1 2015","FQ1 2015","Currency=USD","Period=FQ","BEST_FPERIOD_OVERRIDE=FQ","FILING_STATUS=MR","SCALING_FORMAT=MLN","Sort=A","Dates=H","DateFormat=P","Fill=—","Direction=H","UseDPDF=Y")</f>
        <v>1377</v>
      </c>
      <c r="AB46" s="13">
        <f>_xll.BDH("AMZN US Equity","BS_CURR_PORTION_LT_DEBT","FQ2 2015","FQ2 2015","Currency=USD","Period=FQ","BEST_FPERIOD_OVERRIDE=FQ","FILING_STATUS=MR","SCALING_FORMAT=MLN","Sort=A","Dates=H","DateFormat=P","Fill=—","Direction=H","UseDPDF=Y")</f>
        <v>1259</v>
      </c>
      <c r="AC46" s="13">
        <f>_xll.BDH("AMZN US Equity","BS_CURR_PORTION_LT_DEBT","FQ3 2015","FQ3 2015","Currency=USD","Period=FQ","BEST_FPERIOD_OVERRIDE=FQ","FILING_STATUS=MR","SCALING_FORMAT=MLN","Sort=A","Dates=H","DateFormat=P","Fill=—","Direction=H","UseDPDF=Y")</f>
        <v>1117</v>
      </c>
      <c r="AD46" s="13">
        <f>_xll.BDH("AMZN US Equity","BS_CURR_PORTION_LT_DEBT","FQ4 2015","FQ4 2015","Currency=USD","Period=FQ","BEST_FPERIOD_OVERRIDE=FQ","FILING_STATUS=MR","SCALING_FORMAT=MLN","Sort=A","Dates=H","DateFormat=P","Fill=—","Direction=H","UseDPDF=Y")</f>
        <v>238</v>
      </c>
      <c r="AE46" s="13">
        <f>_xll.BDH("AMZN US Equity","BS_CURR_PORTION_LT_DEBT","FQ1 2016","FQ1 2016","Currency=USD","Period=FQ","BEST_FPERIOD_OVERRIDE=FQ","FILING_STATUS=MR","SCALING_FORMAT=MLN","Sort=A","Dates=H","DateFormat=P","Fill=—","Direction=H","UseDPDF=Y")</f>
        <v>90</v>
      </c>
      <c r="AF46" s="13">
        <f>_xll.BDH("AMZN US Equity","BS_CURR_PORTION_LT_DEBT","FQ2 2016","FQ2 2016","Currency=USD","Period=FQ","BEST_FPERIOD_OVERRIDE=FQ","FILING_STATUS=MR","SCALING_FORMAT=MLN","Sort=A","Dates=H","DateFormat=P","Fill=—","Direction=H","UseDPDF=Y")</f>
        <v>41</v>
      </c>
      <c r="AG46" s="13">
        <f>_xll.BDH("AMZN US Equity","BS_CURR_PORTION_LT_DEBT","FQ3 2016","FQ3 2016","Currency=USD","Period=FQ","BEST_FPERIOD_OVERRIDE=FQ","FILING_STATUS=MR","SCALING_FORMAT=MLN","Sort=A","Dates=H","DateFormat=P","Fill=—","Direction=H","UseDPDF=Y")</f>
        <v>48</v>
      </c>
      <c r="AH46" s="13">
        <f>_xll.BDH("AMZN US Equity","BS_CURR_PORTION_LT_DEBT","FQ4 2016","FQ4 2016","Currency=USD","Period=FQ","BEST_FPERIOD_OVERRIDE=FQ","FILING_STATUS=MR","SCALING_FORMAT=MLN","Sort=A","Dates=H","DateFormat=P","Fill=—","Direction=H","UseDPDF=Y")</f>
        <v>1056</v>
      </c>
      <c r="AI46" s="13">
        <f>_xll.BDH("AMZN US Equity","BS_CURR_PORTION_LT_DEBT","FQ1 2017","FQ1 2017","Currency=USD","Period=FQ","BEST_FPERIOD_OVERRIDE=FQ","FILING_STATUS=MR","SCALING_FORMAT=MLN","Sort=A","Dates=H","DateFormat=P","Fill=—","Direction=H","UseDPDF=Y")</f>
        <v>1049</v>
      </c>
      <c r="AJ46" s="13">
        <f>_xll.BDH("AMZN US Equity","BS_CURR_PORTION_LT_DEBT","FQ2 2017","FQ2 2017","Currency=USD","Period=FQ","BEST_FPERIOD_OVERRIDE=FQ","FILING_STATUS=MR","SCALING_FORMAT=MLN","Sort=A","Dates=H","DateFormat=P","Fill=—","Direction=H","UseDPDF=Y")</f>
        <v>1063</v>
      </c>
      <c r="AK46" s="13">
        <f>_xll.BDH("AMZN US Equity","BS_CURR_PORTION_LT_DEBT","FQ3 2017","FQ3 2017","Currency=USD","Period=FQ","BEST_FPERIOD_OVERRIDE=FQ","FILING_STATUS=MR","SCALING_FORMAT=MLN","Sort=A","Dates=H","DateFormat=P","Fill=—","Direction=H","UseDPDF=Y")</f>
        <v>1037</v>
      </c>
      <c r="AL46" s="13">
        <f>_xll.BDH("AMZN US Equity","BS_CURR_PORTION_LT_DEBT","FQ4 2017","FQ4 2017","Currency=USD","Period=FQ","BEST_FPERIOD_OVERRIDE=FQ","FILING_STATUS=MR","SCALING_FORMAT=MLN","Sort=A","Dates=H","DateFormat=P","Fill=—","Direction=H","UseDPDF=Y")</f>
        <v>100</v>
      </c>
      <c r="AM46" s="13">
        <f>_xll.BDH("AMZN US Equity","BS_CURR_PORTION_LT_DEBT","FQ1 2018","FQ1 2018","Currency=USD","Period=FQ","BEST_FPERIOD_OVERRIDE=FQ","FILING_STATUS=MR","SCALING_FORMAT=MLN","Sort=A","Dates=H","DateFormat=P","Fill=—","Direction=H","UseDPDF=Y")</f>
        <v>53</v>
      </c>
      <c r="AN46" s="13">
        <f>_xll.BDH("AMZN US Equity","BS_CURR_PORTION_LT_DEBT","FQ2 2018","FQ2 2018","Currency=USD","Period=FQ","BEST_FPERIOD_OVERRIDE=FQ","FILING_STATUS=MR","SCALING_FORMAT=MLN","Sort=A","Dates=H","DateFormat=P","Fill=—","Direction=H","UseDPDF=Y")</f>
        <v>31</v>
      </c>
    </row>
    <row r="47" spans="1:40" x14ac:dyDescent="0.25">
      <c r="A47" s="10" t="s">
        <v>284</v>
      </c>
      <c r="B47" s="10" t="s">
        <v>285</v>
      </c>
      <c r="C47" s="13">
        <f>_xll.BDH("AMZN US Equity","OTHER_CURRENT_LIABS_SUB_DETAILED","FQ1 2009","FQ1 2009","Currency=USD","Period=FQ","BEST_FPERIOD_OVERRIDE=FQ","FILING_STATUS=MR","SCALING_FORMAT=MLN","Sort=A","Dates=H","DateFormat=P","Fill=—","Direction=H","UseDPDF=Y")</f>
        <v>0</v>
      </c>
      <c r="D47" s="13">
        <f>_xll.BDH("AMZN US Equity","OTHER_CURRENT_LIABS_SUB_DETAILED","FQ2 2009","FQ2 2009","Currency=USD","Period=FQ","BEST_FPERIOD_OVERRIDE=FQ","FILING_STATUS=MR","SCALING_FORMAT=MLN","Sort=A","Dates=H","DateFormat=P","Fill=—","Direction=H","UseDPDF=Y")</f>
        <v>0</v>
      </c>
      <c r="E47" s="13">
        <f>_xll.BDH("AMZN US Equity","OTHER_CURRENT_LIABS_SUB_DETAILED","FQ3 2009","FQ3 2009","Currency=USD","Period=FQ","BEST_FPERIOD_OVERRIDE=FQ","FILING_STATUS=MR","SCALING_FORMAT=MLN","Sort=A","Dates=H","DateFormat=P","Fill=—","Direction=H","UseDPDF=Y")</f>
        <v>0</v>
      </c>
      <c r="F47" s="13">
        <f>_xll.BDH("AMZN US Equity","OTHER_CURRENT_LIABS_SUB_DETAILED","FQ4 2009","FQ4 2009","Currency=USD","Period=FQ","BEST_FPERIOD_OVERRIDE=FQ","FILING_STATUS=MR","SCALING_FORMAT=MLN","Sort=A","Dates=H","DateFormat=P","Fill=—","Direction=H","UseDPDF=Y")</f>
        <v>0</v>
      </c>
      <c r="G47" s="13">
        <f>_xll.BDH("AMZN US Equity","OTHER_CURRENT_LIABS_SUB_DETAILED","FQ1 2010","FQ1 2010","Currency=USD","Period=FQ","BEST_FPERIOD_OVERRIDE=FQ","FILING_STATUS=MR","SCALING_FORMAT=MLN","Sort=A","Dates=H","DateFormat=P","Fill=—","Direction=H","UseDPDF=Y")</f>
        <v>0</v>
      </c>
      <c r="H47" s="13">
        <f>_xll.BDH("AMZN US Equity","OTHER_CURRENT_LIABS_SUB_DETAILED","FQ2 2010","FQ2 2010","Currency=USD","Period=FQ","BEST_FPERIOD_OVERRIDE=FQ","FILING_STATUS=MR","SCALING_FORMAT=MLN","Sort=A","Dates=H","DateFormat=P","Fill=—","Direction=H","UseDPDF=Y")</f>
        <v>0</v>
      </c>
      <c r="I47" s="13">
        <f>_xll.BDH("AMZN US Equity","OTHER_CURRENT_LIABS_SUB_DETAILED","FQ3 2010","FQ3 2010","Currency=USD","Period=FQ","BEST_FPERIOD_OVERRIDE=FQ","FILING_STATUS=MR","SCALING_FORMAT=MLN","Sort=A","Dates=H","DateFormat=P","Fill=—","Direction=H","UseDPDF=Y")</f>
        <v>0</v>
      </c>
      <c r="J47" s="13">
        <f>_xll.BDH("AMZN US Equity","OTHER_CURRENT_LIABS_SUB_DETAILED","FQ4 2010","FQ4 2010","Currency=USD","Period=FQ","BEST_FPERIOD_OVERRIDE=FQ","FILING_STATUS=MR","SCALING_FORMAT=MLN","Sort=A","Dates=H","DateFormat=P","Fill=—","Direction=H","UseDPDF=Y")</f>
        <v>0</v>
      </c>
      <c r="K47" s="13">
        <f>_xll.BDH("AMZN US Equity","OTHER_CURRENT_LIABS_SUB_DETAILED","FQ1 2011","FQ1 2011","Currency=USD","Period=FQ","BEST_FPERIOD_OVERRIDE=FQ","FILING_STATUS=MR","SCALING_FORMAT=MLN","Sort=A","Dates=H","DateFormat=P","Fill=—","Direction=H","UseDPDF=Y")</f>
        <v>0</v>
      </c>
      <c r="L47" s="13">
        <f>_xll.BDH("AMZN US Equity","OTHER_CURRENT_LIABS_SUB_DETAILED","FQ2 2011","FQ2 2011","Currency=USD","Period=FQ","BEST_FPERIOD_OVERRIDE=FQ","FILING_STATUS=MR","SCALING_FORMAT=MLN","Sort=A","Dates=H","DateFormat=P","Fill=—","Direction=H","UseDPDF=Y")</f>
        <v>0</v>
      </c>
      <c r="M47" s="13">
        <f>_xll.BDH("AMZN US Equity","OTHER_CURRENT_LIABS_SUB_DETAILED","FQ3 2011","FQ3 2011","Currency=USD","Period=FQ","BEST_FPERIOD_OVERRIDE=FQ","FILING_STATUS=MR","SCALING_FORMAT=MLN","Sort=A","Dates=H","DateFormat=P","Fill=—","Direction=H","UseDPDF=Y")</f>
        <v>0</v>
      </c>
      <c r="N47" s="13">
        <f>_xll.BDH("AMZN US Equity","OTHER_CURRENT_LIABS_SUB_DETAILED","FQ4 2011","FQ4 2011","Currency=USD","Period=FQ","BEST_FPERIOD_OVERRIDE=FQ","FILING_STATUS=MR","SCALING_FORMAT=MLN","Sort=A","Dates=H","DateFormat=P","Fill=—","Direction=H","UseDPDF=Y")</f>
        <v>0</v>
      </c>
      <c r="O47" s="13">
        <f>_xll.BDH("AMZN US Equity","OTHER_CURRENT_LIABS_SUB_DETAILED","FQ1 2012","FQ1 2012","Currency=USD","Period=FQ","BEST_FPERIOD_OVERRIDE=FQ","FILING_STATUS=MR","SCALING_FORMAT=MLN","Sort=A","Dates=H","DateFormat=P","Fill=—","Direction=H","UseDPDF=Y")</f>
        <v>0</v>
      </c>
      <c r="P47" s="13">
        <f>_xll.BDH("AMZN US Equity","OTHER_CURRENT_LIABS_SUB_DETAILED","FQ2 2012","FQ2 2012","Currency=USD","Period=FQ","BEST_FPERIOD_OVERRIDE=FQ","FILING_STATUS=MR","SCALING_FORMAT=MLN","Sort=A","Dates=H","DateFormat=P","Fill=—","Direction=H","UseDPDF=Y")</f>
        <v>0</v>
      </c>
      <c r="Q47" s="13">
        <f>_xll.BDH("AMZN US Equity","OTHER_CURRENT_LIABS_SUB_DETAILED","FQ3 2012","FQ3 2012","Currency=USD","Period=FQ","BEST_FPERIOD_OVERRIDE=FQ","FILING_STATUS=MR","SCALING_FORMAT=MLN","Sort=A","Dates=H","DateFormat=P","Fill=—","Direction=H","UseDPDF=Y")</f>
        <v>0</v>
      </c>
      <c r="R47" s="13">
        <f>_xll.BDH("AMZN US Equity","OTHER_CURRENT_LIABS_SUB_DETAILED","FQ4 2012","FQ4 2012","Currency=USD","Period=FQ","BEST_FPERIOD_OVERRIDE=FQ","FILING_STATUS=MR","SCALING_FORMAT=MLN","Sort=A","Dates=H","DateFormat=P","Fill=—","Direction=H","UseDPDF=Y")</f>
        <v>0</v>
      </c>
      <c r="S47" s="13">
        <f>_xll.BDH("AMZN US Equity","OTHER_CURRENT_LIABS_SUB_DETAILED","FQ1 2013","FQ1 2013","Currency=USD","Period=FQ","BEST_FPERIOD_OVERRIDE=FQ","FILING_STATUS=MR","SCALING_FORMAT=MLN","Sort=A","Dates=H","DateFormat=P","Fill=—","Direction=H","UseDPDF=Y")</f>
        <v>0</v>
      </c>
      <c r="T47" s="13">
        <f>_xll.BDH("AMZN US Equity","OTHER_CURRENT_LIABS_SUB_DETAILED","FQ2 2013","FQ2 2013","Currency=USD","Period=FQ","BEST_FPERIOD_OVERRIDE=FQ","FILING_STATUS=MR","SCALING_FORMAT=MLN","Sort=A","Dates=H","DateFormat=P","Fill=—","Direction=H","UseDPDF=Y")</f>
        <v>0</v>
      </c>
      <c r="U47" s="13">
        <f>_xll.BDH("AMZN US Equity","OTHER_CURRENT_LIABS_SUB_DETAILED","FQ3 2013","FQ3 2013","Currency=USD","Period=FQ","BEST_FPERIOD_OVERRIDE=FQ","FILING_STATUS=MR","SCALING_FORMAT=MLN","Sort=A","Dates=H","DateFormat=P","Fill=—","Direction=H","UseDPDF=Y")</f>
        <v>0</v>
      </c>
      <c r="V47" s="13">
        <f>_xll.BDH("AMZN US Equity","OTHER_CURRENT_LIABS_SUB_DETAILED","FQ4 2013","FQ4 2013","Currency=USD","Period=FQ","BEST_FPERIOD_OVERRIDE=FQ","FILING_STATUS=MR","SCALING_FORMAT=MLN","Sort=A","Dates=H","DateFormat=P","Fill=—","Direction=H","UseDPDF=Y")</f>
        <v>1159</v>
      </c>
      <c r="W47" s="13">
        <f>_xll.BDH("AMZN US Equity","OTHER_CURRENT_LIABS_SUB_DETAILED","FQ1 2014","FQ1 2014","Currency=USD","Period=FQ","BEST_FPERIOD_OVERRIDE=FQ","FILING_STATUS=MR","SCALING_FORMAT=MLN","Sort=A","Dates=H","DateFormat=P","Fill=—","Direction=H","UseDPDF=Y")</f>
        <v>1516</v>
      </c>
      <c r="X47" s="13">
        <f>_xll.BDH("AMZN US Equity","OTHER_CURRENT_LIABS_SUB_DETAILED","FQ2 2014","FQ2 2014","Currency=USD","Period=FQ","BEST_FPERIOD_OVERRIDE=FQ","FILING_STATUS=MR","SCALING_FORMAT=MLN","Sort=A","Dates=H","DateFormat=P","Fill=—","Direction=H","UseDPDF=Y")</f>
        <v>1606</v>
      </c>
      <c r="Y47" s="13">
        <f>_xll.BDH("AMZN US Equity","OTHER_CURRENT_LIABS_SUB_DETAILED","FQ3 2014","FQ3 2014","Currency=USD","Period=FQ","BEST_FPERIOD_OVERRIDE=FQ","FILING_STATUS=MR","SCALING_FORMAT=MLN","Sort=A","Dates=H","DateFormat=P","Fill=—","Direction=H","UseDPDF=Y")</f>
        <v>1814</v>
      </c>
      <c r="Z47" s="13">
        <f>_xll.BDH("AMZN US Equity","OTHER_CURRENT_LIABS_SUB_DETAILED","FQ4 2014","FQ4 2014","Currency=USD","Period=FQ","BEST_FPERIOD_OVERRIDE=FQ","FILING_STATUS=MR","SCALING_FORMAT=MLN","Sort=A","Dates=H","DateFormat=P","Fill=—","Direction=H","UseDPDF=Y")</f>
        <v>1823</v>
      </c>
      <c r="AA47" s="13">
        <f>_xll.BDH("AMZN US Equity","OTHER_CURRENT_LIABS_SUB_DETAILED","FQ1 2015","FQ1 2015","Currency=USD","Period=FQ","BEST_FPERIOD_OVERRIDE=FQ","FILING_STATUS=MR","SCALING_FORMAT=MLN","Sort=A","Dates=H","DateFormat=P","Fill=—","Direction=H","UseDPDF=Y")</f>
        <v>2420</v>
      </c>
      <c r="AB47" s="13">
        <f>_xll.BDH("AMZN US Equity","OTHER_CURRENT_LIABS_SUB_DETAILED","FQ2 2015","FQ2 2015","Currency=USD","Period=FQ","BEST_FPERIOD_OVERRIDE=FQ","FILING_STATUS=MR","SCALING_FORMAT=MLN","Sort=A","Dates=H","DateFormat=P","Fill=—","Direction=H","UseDPDF=Y")</f>
        <v>2562</v>
      </c>
      <c r="AC47" s="13">
        <f>_xll.BDH("AMZN US Equity","OTHER_CURRENT_LIABS_SUB_DETAILED","FQ3 2015","FQ3 2015","Currency=USD","Period=FQ","BEST_FPERIOD_OVERRIDE=FQ","FILING_STATUS=MR","SCALING_FORMAT=MLN","Sort=A","Dates=H","DateFormat=P","Fill=—","Direction=H","UseDPDF=Y")</f>
        <v>3063</v>
      </c>
      <c r="AD47" s="13">
        <f>_xll.BDH("AMZN US Equity","OTHER_CURRENT_LIABS_SUB_DETAILED","FQ4 2015","FQ4 2015","Currency=USD","Period=FQ","BEST_FPERIOD_OVERRIDE=FQ","FILING_STATUS=MR","SCALING_FORMAT=MLN","Sort=A","Dates=H","DateFormat=P","Fill=—","Direction=H","UseDPDF=Y")</f>
        <v>3118</v>
      </c>
      <c r="AE47" s="13">
        <f>_xll.BDH("AMZN US Equity","OTHER_CURRENT_LIABS_SUB_DETAILED","FQ1 2016","FQ1 2016","Currency=USD","Period=FQ","BEST_FPERIOD_OVERRIDE=FQ","FILING_STATUS=MR","SCALING_FORMAT=MLN","Sort=A","Dates=H","DateFormat=P","Fill=—","Direction=H","UseDPDF=Y")</f>
        <v>3766</v>
      </c>
      <c r="AF47" s="13">
        <f>_xll.BDH("AMZN US Equity","OTHER_CURRENT_LIABS_SUB_DETAILED","FQ2 2016","FQ2 2016","Currency=USD","Period=FQ","BEST_FPERIOD_OVERRIDE=FQ","FILING_STATUS=MR","SCALING_FORMAT=MLN","Sort=A","Dates=H","DateFormat=P","Fill=—","Direction=H","UseDPDF=Y")</f>
        <v>3851</v>
      </c>
      <c r="AG47" s="13">
        <f>_xll.BDH("AMZN US Equity","OTHER_CURRENT_LIABS_SUB_DETAILED","FQ3 2016","FQ3 2016","Currency=USD","Period=FQ","BEST_FPERIOD_OVERRIDE=FQ","FILING_STATUS=MR","SCALING_FORMAT=MLN","Sort=A","Dates=H","DateFormat=P","Fill=—","Direction=H","UseDPDF=Y")</f>
        <v>4200</v>
      </c>
      <c r="AH47" s="13">
        <f>_xll.BDH("AMZN US Equity","OTHER_CURRENT_LIABS_SUB_DETAILED","FQ4 2016","FQ4 2016","Currency=USD","Period=FQ","BEST_FPERIOD_OVERRIDE=FQ","FILING_STATUS=MR","SCALING_FORMAT=MLN","Sort=A","Dates=H","DateFormat=P","Fill=—","Direction=H","UseDPDF=Y")</f>
        <v>4768</v>
      </c>
      <c r="AI47" s="13">
        <f>_xll.BDH("AMZN US Equity","OTHER_CURRENT_LIABS_SUB_DETAILED","FQ1 2017","FQ1 2017","Currency=USD","Period=FQ","BEST_FPERIOD_OVERRIDE=FQ","FILING_STATUS=MR","SCALING_FORMAT=MLN","Sort=A","Dates=H","DateFormat=P","Fill=—","Direction=H","UseDPDF=Y")</f>
        <v>5454</v>
      </c>
      <c r="AJ47" s="13">
        <f>_xll.BDH("AMZN US Equity","OTHER_CURRENT_LIABS_SUB_DETAILED","FQ2 2017","FQ2 2017","Currency=USD","Period=FQ","BEST_FPERIOD_OVERRIDE=FQ","FILING_STATUS=MR","SCALING_FORMAT=MLN","Sort=A","Dates=H","DateFormat=P","Fill=—","Direction=H","UseDPDF=Y")</f>
        <v>5065</v>
      </c>
      <c r="AK47" s="13">
        <f>_xll.BDH("AMZN US Equity","OTHER_CURRENT_LIABS_SUB_DETAILED","FQ3 2017","FQ3 2017","Currency=USD","Period=FQ","BEST_FPERIOD_OVERRIDE=FQ","FILING_STATUS=MR","SCALING_FORMAT=MLN","Sort=A","Dates=H","DateFormat=P","Fill=—","Direction=H","UseDPDF=Y")</f>
        <v>5153</v>
      </c>
      <c r="AL47" s="13">
        <f>_xll.BDH("AMZN US Equity","OTHER_CURRENT_LIABS_SUB_DETAILED","FQ4 2017","FQ4 2017","Currency=USD","Period=FQ","BEST_FPERIOD_OVERRIDE=FQ","FILING_STATUS=MR","SCALING_FORMAT=MLN","Sort=A","Dates=H","DateFormat=P","Fill=—","Direction=H","UseDPDF=Y")</f>
        <v>5097</v>
      </c>
      <c r="AM47" s="13">
        <f>_xll.BDH("AMZN US Equity","OTHER_CURRENT_LIABS_SUB_DETAILED","FQ1 2018","FQ1 2018","Currency=USD","Period=FQ","BEST_FPERIOD_OVERRIDE=FQ","FILING_STATUS=MR","SCALING_FORMAT=MLN","Sort=A","Dates=H","DateFormat=P","Fill=—","Direction=H","UseDPDF=Y")</f>
        <v>6182</v>
      </c>
      <c r="AN47" s="13">
        <f>_xll.BDH("AMZN US Equity","OTHER_CURRENT_LIABS_SUB_DETAILED","FQ2 2018","FQ2 2018","Currency=USD","Period=FQ","BEST_FPERIOD_OVERRIDE=FQ","FILING_STATUS=MR","SCALING_FORMAT=MLN","Sort=A","Dates=H","DateFormat=P","Fill=—","Direction=H","UseDPDF=Y")</f>
        <v>6004</v>
      </c>
    </row>
    <row r="48" spans="1:40" x14ac:dyDescent="0.25">
      <c r="A48" s="10" t="s">
        <v>286</v>
      </c>
      <c r="B48" s="10" t="s">
        <v>287</v>
      </c>
      <c r="C48" s="13" t="str">
        <f>_xll.BDH("AMZN US Equity","ST_DEFERRED_REVENUE","FQ1 2009","FQ1 2009","Currency=USD","Period=FQ","BEST_FPERIOD_OVERRIDE=FQ","FILING_STATUS=MR","SCALING_FORMAT=MLN","Sort=A","Dates=H","DateFormat=P","Fill=—","Direction=H","UseDPDF=Y")</f>
        <v>—</v>
      </c>
      <c r="D48" s="13" t="str">
        <f>_xll.BDH("AMZN US Equity","ST_DEFERRED_REVENUE","FQ2 2009","FQ2 2009","Currency=USD","Period=FQ","BEST_FPERIOD_OVERRIDE=FQ","FILING_STATUS=MR","SCALING_FORMAT=MLN","Sort=A","Dates=H","DateFormat=P","Fill=—","Direction=H","UseDPDF=Y")</f>
        <v>—</v>
      </c>
      <c r="E48" s="13" t="str">
        <f>_xll.BDH("AMZN US Equity","ST_DEFERRED_REVENUE","FQ3 2009","FQ3 2009","Currency=USD","Period=FQ","BEST_FPERIOD_OVERRIDE=FQ","FILING_STATUS=MR","SCALING_FORMAT=MLN","Sort=A","Dates=H","DateFormat=P","Fill=—","Direction=H","UseDPDF=Y")</f>
        <v>—</v>
      </c>
      <c r="F48" s="13">
        <f>_xll.BDH("AMZN US Equity","ST_DEFERRED_REVENUE","FQ4 2009","FQ4 2009","Currency=USD","Period=FQ","BEST_FPERIOD_OVERRIDE=FQ","FILING_STATUS=MR","SCALING_FORMAT=MLN","Sort=A","Dates=H","DateFormat=P","Fill=—","Direction=H","UseDPDF=Y")</f>
        <v>0</v>
      </c>
      <c r="G48" s="13" t="str">
        <f>_xll.BDH("AMZN US Equity","ST_DEFERRED_REVENUE","FQ1 2010","FQ1 2010","Currency=USD","Period=FQ","BEST_FPERIOD_OVERRIDE=FQ","FILING_STATUS=MR","SCALING_FORMAT=MLN","Sort=A","Dates=H","DateFormat=P","Fill=—","Direction=H","UseDPDF=Y")</f>
        <v>—</v>
      </c>
      <c r="H48" s="13" t="str">
        <f>_xll.BDH("AMZN US Equity","ST_DEFERRED_REVENUE","FQ2 2010","FQ2 2010","Currency=USD","Period=FQ","BEST_FPERIOD_OVERRIDE=FQ","FILING_STATUS=MR","SCALING_FORMAT=MLN","Sort=A","Dates=H","DateFormat=P","Fill=—","Direction=H","UseDPDF=Y")</f>
        <v>—</v>
      </c>
      <c r="I48" s="13" t="str">
        <f>_xll.BDH("AMZN US Equity","ST_DEFERRED_REVENUE","FQ3 2010","FQ3 2010","Currency=USD","Period=FQ","BEST_FPERIOD_OVERRIDE=FQ","FILING_STATUS=MR","SCALING_FORMAT=MLN","Sort=A","Dates=H","DateFormat=P","Fill=—","Direction=H","UseDPDF=Y")</f>
        <v>—</v>
      </c>
      <c r="J48" s="13">
        <f>_xll.BDH("AMZN US Equity","ST_DEFERRED_REVENUE","FQ4 2010","FQ4 2010","Currency=USD","Period=FQ","BEST_FPERIOD_OVERRIDE=FQ","FILING_STATUS=MR","SCALING_FORMAT=MLN","Sort=A","Dates=H","DateFormat=P","Fill=—","Direction=H","UseDPDF=Y")</f>
        <v>0</v>
      </c>
      <c r="K48" s="13" t="str">
        <f>_xll.BDH("AMZN US Equity","ST_DEFERRED_REVENUE","FQ1 2011","FQ1 2011","Currency=USD","Period=FQ","BEST_FPERIOD_OVERRIDE=FQ","FILING_STATUS=MR","SCALING_FORMAT=MLN","Sort=A","Dates=H","DateFormat=P","Fill=—","Direction=H","UseDPDF=Y")</f>
        <v>—</v>
      </c>
      <c r="L48" s="13" t="str">
        <f>_xll.BDH("AMZN US Equity","ST_DEFERRED_REVENUE","FQ2 2011","FQ2 2011","Currency=USD","Period=FQ","BEST_FPERIOD_OVERRIDE=FQ","FILING_STATUS=MR","SCALING_FORMAT=MLN","Sort=A","Dates=H","DateFormat=P","Fill=—","Direction=H","UseDPDF=Y")</f>
        <v>—</v>
      </c>
      <c r="M48" s="13" t="str">
        <f>_xll.BDH("AMZN US Equity","ST_DEFERRED_REVENUE","FQ3 2011","FQ3 2011","Currency=USD","Period=FQ","BEST_FPERIOD_OVERRIDE=FQ","FILING_STATUS=MR","SCALING_FORMAT=MLN","Sort=A","Dates=H","DateFormat=P","Fill=—","Direction=H","UseDPDF=Y")</f>
        <v>—</v>
      </c>
      <c r="N48" s="13">
        <f>_xll.BDH("AMZN US Equity","ST_DEFERRED_REVENUE","FQ4 2011","FQ4 2011","Currency=USD","Period=FQ","BEST_FPERIOD_OVERRIDE=FQ","FILING_STATUS=MR","SCALING_FORMAT=MLN","Sort=A","Dates=H","DateFormat=P","Fill=—","Direction=H","UseDPDF=Y")</f>
        <v>0</v>
      </c>
      <c r="O48" s="13" t="str">
        <f>_xll.BDH("AMZN US Equity","ST_DEFERRED_REVENUE","FQ1 2012","FQ1 2012","Currency=USD","Period=FQ","BEST_FPERIOD_OVERRIDE=FQ","FILING_STATUS=MR","SCALING_FORMAT=MLN","Sort=A","Dates=H","DateFormat=P","Fill=—","Direction=H","UseDPDF=Y")</f>
        <v>—</v>
      </c>
      <c r="P48" s="13" t="str">
        <f>_xll.BDH("AMZN US Equity","ST_DEFERRED_REVENUE","FQ2 2012","FQ2 2012","Currency=USD","Period=FQ","BEST_FPERIOD_OVERRIDE=FQ","FILING_STATUS=MR","SCALING_FORMAT=MLN","Sort=A","Dates=H","DateFormat=P","Fill=—","Direction=H","UseDPDF=Y")</f>
        <v>—</v>
      </c>
      <c r="Q48" s="13" t="str">
        <f>_xll.BDH("AMZN US Equity","ST_DEFERRED_REVENUE","FQ3 2012","FQ3 2012","Currency=USD","Period=FQ","BEST_FPERIOD_OVERRIDE=FQ","FILING_STATUS=MR","SCALING_FORMAT=MLN","Sort=A","Dates=H","DateFormat=P","Fill=—","Direction=H","UseDPDF=Y")</f>
        <v>—</v>
      </c>
      <c r="R48" s="13">
        <f>_xll.BDH("AMZN US Equity","ST_DEFERRED_REVENUE","FQ4 2012","FQ4 2012","Currency=USD","Period=FQ","BEST_FPERIOD_OVERRIDE=FQ","FILING_STATUS=MR","SCALING_FORMAT=MLN","Sort=A","Dates=H","DateFormat=P","Fill=—","Direction=H","UseDPDF=Y")</f>
        <v>0</v>
      </c>
      <c r="S48" s="13" t="str">
        <f>_xll.BDH("AMZN US Equity","ST_DEFERRED_REVENUE","FQ1 2013","FQ1 2013","Currency=USD","Period=FQ","BEST_FPERIOD_OVERRIDE=FQ","FILING_STATUS=MR","SCALING_FORMAT=MLN","Sort=A","Dates=H","DateFormat=P","Fill=—","Direction=H","UseDPDF=Y")</f>
        <v>—</v>
      </c>
      <c r="T48" s="13" t="str">
        <f>_xll.BDH("AMZN US Equity","ST_DEFERRED_REVENUE","FQ2 2013","FQ2 2013","Currency=USD","Period=FQ","BEST_FPERIOD_OVERRIDE=FQ","FILING_STATUS=MR","SCALING_FORMAT=MLN","Sort=A","Dates=H","DateFormat=P","Fill=—","Direction=H","UseDPDF=Y")</f>
        <v>—</v>
      </c>
      <c r="U48" s="13" t="str">
        <f>_xll.BDH("AMZN US Equity","ST_DEFERRED_REVENUE","FQ3 2013","FQ3 2013","Currency=USD","Period=FQ","BEST_FPERIOD_OVERRIDE=FQ","FILING_STATUS=MR","SCALING_FORMAT=MLN","Sort=A","Dates=H","DateFormat=P","Fill=—","Direction=H","UseDPDF=Y")</f>
        <v>—</v>
      </c>
      <c r="V48" s="13">
        <f>_xll.BDH("AMZN US Equity","ST_DEFERRED_REVENUE","FQ4 2013","FQ4 2013","Currency=USD","Period=FQ","BEST_FPERIOD_OVERRIDE=FQ","FILING_STATUS=MR","SCALING_FORMAT=MLN","Sort=A","Dates=H","DateFormat=P","Fill=—","Direction=H","UseDPDF=Y")</f>
        <v>1159</v>
      </c>
      <c r="W48" s="13">
        <f>_xll.BDH("AMZN US Equity","ST_DEFERRED_REVENUE","FQ1 2014","FQ1 2014","Currency=USD","Period=FQ","BEST_FPERIOD_OVERRIDE=FQ","FILING_STATUS=MR","SCALING_FORMAT=MLN","Sort=A","Dates=H","DateFormat=P","Fill=—","Direction=H","UseDPDF=Y")</f>
        <v>1516</v>
      </c>
      <c r="X48" s="13">
        <f>_xll.BDH("AMZN US Equity","ST_DEFERRED_REVENUE","FQ2 2014","FQ2 2014","Currency=USD","Period=FQ","BEST_FPERIOD_OVERRIDE=FQ","FILING_STATUS=MR","SCALING_FORMAT=MLN","Sort=A","Dates=H","DateFormat=P","Fill=—","Direction=H","UseDPDF=Y")</f>
        <v>1606</v>
      </c>
      <c r="Y48" s="13">
        <f>_xll.BDH("AMZN US Equity","ST_DEFERRED_REVENUE","FQ3 2014","FQ3 2014","Currency=USD","Period=FQ","BEST_FPERIOD_OVERRIDE=FQ","FILING_STATUS=MR","SCALING_FORMAT=MLN","Sort=A","Dates=H","DateFormat=P","Fill=—","Direction=H","UseDPDF=Y")</f>
        <v>1814</v>
      </c>
      <c r="Z48" s="13">
        <f>_xll.BDH("AMZN US Equity","ST_DEFERRED_REVENUE","FQ4 2014","FQ4 2014","Currency=USD","Period=FQ","BEST_FPERIOD_OVERRIDE=FQ","FILING_STATUS=MR","SCALING_FORMAT=MLN","Sort=A","Dates=H","DateFormat=P","Fill=—","Direction=H","UseDPDF=Y")</f>
        <v>1823</v>
      </c>
      <c r="AA48" s="13">
        <f>_xll.BDH("AMZN US Equity","ST_DEFERRED_REVENUE","FQ1 2015","FQ1 2015","Currency=USD","Period=FQ","BEST_FPERIOD_OVERRIDE=FQ","FILING_STATUS=MR","SCALING_FORMAT=MLN","Sort=A","Dates=H","DateFormat=P","Fill=—","Direction=H","UseDPDF=Y")</f>
        <v>2420</v>
      </c>
      <c r="AB48" s="13">
        <f>_xll.BDH("AMZN US Equity","ST_DEFERRED_REVENUE","FQ2 2015","FQ2 2015","Currency=USD","Period=FQ","BEST_FPERIOD_OVERRIDE=FQ","FILING_STATUS=MR","SCALING_FORMAT=MLN","Sort=A","Dates=H","DateFormat=P","Fill=—","Direction=H","UseDPDF=Y")</f>
        <v>2562</v>
      </c>
      <c r="AC48" s="13">
        <f>_xll.BDH("AMZN US Equity","ST_DEFERRED_REVENUE","FQ3 2015","FQ3 2015","Currency=USD","Period=FQ","BEST_FPERIOD_OVERRIDE=FQ","FILING_STATUS=MR","SCALING_FORMAT=MLN","Sort=A","Dates=H","DateFormat=P","Fill=—","Direction=H","UseDPDF=Y")</f>
        <v>3063</v>
      </c>
      <c r="AD48" s="13">
        <f>_xll.BDH("AMZN US Equity","ST_DEFERRED_REVENUE","FQ4 2015","FQ4 2015","Currency=USD","Period=FQ","BEST_FPERIOD_OVERRIDE=FQ","FILING_STATUS=MR","SCALING_FORMAT=MLN","Sort=A","Dates=H","DateFormat=P","Fill=—","Direction=H","UseDPDF=Y")</f>
        <v>3118</v>
      </c>
      <c r="AE48" s="13">
        <f>_xll.BDH("AMZN US Equity","ST_DEFERRED_REVENUE","FQ1 2016","FQ1 2016","Currency=USD","Period=FQ","BEST_FPERIOD_OVERRIDE=FQ","FILING_STATUS=MR","SCALING_FORMAT=MLN","Sort=A","Dates=H","DateFormat=P","Fill=—","Direction=H","UseDPDF=Y")</f>
        <v>3766</v>
      </c>
      <c r="AF48" s="13">
        <f>_xll.BDH("AMZN US Equity","ST_DEFERRED_REVENUE","FQ2 2016","FQ2 2016","Currency=USD","Period=FQ","BEST_FPERIOD_OVERRIDE=FQ","FILING_STATUS=MR","SCALING_FORMAT=MLN","Sort=A","Dates=H","DateFormat=P","Fill=—","Direction=H","UseDPDF=Y")</f>
        <v>3851</v>
      </c>
      <c r="AG48" s="13">
        <f>_xll.BDH("AMZN US Equity","ST_DEFERRED_REVENUE","FQ3 2016","FQ3 2016","Currency=USD","Period=FQ","BEST_FPERIOD_OVERRIDE=FQ","FILING_STATUS=MR","SCALING_FORMAT=MLN","Sort=A","Dates=H","DateFormat=P","Fill=—","Direction=H","UseDPDF=Y")</f>
        <v>4200</v>
      </c>
      <c r="AH48" s="13">
        <f>_xll.BDH("AMZN US Equity","ST_DEFERRED_REVENUE","FQ4 2016","FQ4 2016","Currency=USD","Period=FQ","BEST_FPERIOD_OVERRIDE=FQ","FILING_STATUS=MR","SCALING_FORMAT=MLN","Sort=A","Dates=H","DateFormat=P","Fill=—","Direction=H","UseDPDF=Y")</f>
        <v>4768</v>
      </c>
      <c r="AI48" s="13">
        <f>_xll.BDH("AMZN US Equity","ST_DEFERRED_REVENUE","FQ1 2017","FQ1 2017","Currency=USD","Period=FQ","BEST_FPERIOD_OVERRIDE=FQ","FILING_STATUS=MR","SCALING_FORMAT=MLN","Sort=A","Dates=H","DateFormat=P","Fill=—","Direction=H","UseDPDF=Y")</f>
        <v>5454</v>
      </c>
      <c r="AJ48" s="13">
        <f>_xll.BDH("AMZN US Equity","ST_DEFERRED_REVENUE","FQ2 2017","FQ2 2017","Currency=USD","Period=FQ","BEST_FPERIOD_OVERRIDE=FQ","FILING_STATUS=MR","SCALING_FORMAT=MLN","Sort=A","Dates=H","DateFormat=P","Fill=—","Direction=H","UseDPDF=Y")</f>
        <v>5065</v>
      </c>
      <c r="AK48" s="13">
        <f>_xll.BDH("AMZN US Equity","ST_DEFERRED_REVENUE","FQ3 2017","FQ3 2017","Currency=USD","Period=FQ","BEST_FPERIOD_OVERRIDE=FQ","FILING_STATUS=MR","SCALING_FORMAT=MLN","Sort=A","Dates=H","DateFormat=P","Fill=—","Direction=H","UseDPDF=Y")</f>
        <v>5153</v>
      </c>
      <c r="AL48" s="13">
        <f>_xll.BDH("AMZN US Equity","ST_DEFERRED_REVENUE","FQ4 2017","FQ4 2017","Currency=USD","Period=FQ","BEST_FPERIOD_OVERRIDE=FQ","FILING_STATUS=MR","SCALING_FORMAT=MLN","Sort=A","Dates=H","DateFormat=P","Fill=—","Direction=H","UseDPDF=Y")</f>
        <v>5097</v>
      </c>
      <c r="AM48" s="13">
        <f>_xll.BDH("AMZN US Equity","ST_DEFERRED_REVENUE","FQ1 2018","FQ1 2018","Currency=USD","Period=FQ","BEST_FPERIOD_OVERRIDE=FQ","FILING_STATUS=MR","SCALING_FORMAT=MLN","Sort=A","Dates=H","DateFormat=P","Fill=—","Direction=H","UseDPDF=Y")</f>
        <v>6182</v>
      </c>
      <c r="AN48" s="13">
        <f>_xll.BDH("AMZN US Equity","ST_DEFERRED_REVENUE","FQ2 2018","FQ2 2018","Currency=USD","Period=FQ","BEST_FPERIOD_OVERRIDE=FQ","FILING_STATUS=MR","SCALING_FORMAT=MLN","Sort=A","Dates=H","DateFormat=P","Fill=—","Direction=H","UseDPDF=Y")</f>
        <v>6004</v>
      </c>
    </row>
    <row r="49" spans="1:40" x14ac:dyDescent="0.25">
      <c r="A49" s="10" t="s">
        <v>288</v>
      </c>
      <c r="B49" s="10" t="s">
        <v>289</v>
      </c>
      <c r="C49" s="13" t="str">
        <f>_xll.BDH("AMZN US Equity","BS_DERIVATIVE_&amp;_HEDGING_LIABS_ST","FQ1 2009","FQ1 2009","Currency=USD","Period=FQ","BEST_FPERIOD_OVERRIDE=FQ","FILING_STATUS=MR","SCALING_FORMAT=MLN","Sort=A","Dates=H","DateFormat=P","Fill=—","Direction=H","UseDPDF=Y")</f>
        <v>—</v>
      </c>
      <c r="D49" s="13" t="str">
        <f>_xll.BDH("AMZN US Equity","BS_DERIVATIVE_&amp;_HEDGING_LIABS_ST","FQ2 2009","FQ2 2009","Currency=USD","Period=FQ","BEST_FPERIOD_OVERRIDE=FQ","FILING_STATUS=MR","SCALING_FORMAT=MLN","Sort=A","Dates=H","DateFormat=P","Fill=—","Direction=H","UseDPDF=Y")</f>
        <v>—</v>
      </c>
      <c r="E49" s="13" t="str">
        <f>_xll.BDH("AMZN US Equity","BS_DERIVATIVE_&amp;_HEDGING_LIABS_ST","FQ3 2009","FQ3 2009","Currency=USD","Period=FQ","BEST_FPERIOD_OVERRIDE=FQ","FILING_STATUS=MR","SCALING_FORMAT=MLN","Sort=A","Dates=H","DateFormat=P","Fill=—","Direction=H","UseDPDF=Y")</f>
        <v>—</v>
      </c>
      <c r="F49" s="13" t="str">
        <f>_xll.BDH("AMZN US Equity","BS_DERIVATIVE_&amp;_HEDGING_LIABS_ST","FQ4 2009","FQ4 2009","Currency=USD","Period=FQ","BEST_FPERIOD_OVERRIDE=FQ","FILING_STATUS=MR","SCALING_FORMAT=MLN","Sort=A","Dates=H","DateFormat=P","Fill=—","Direction=H","UseDPDF=Y")</f>
        <v>—</v>
      </c>
      <c r="G49" s="13" t="str">
        <f>_xll.BDH("AMZN US Equity","BS_DERIVATIVE_&amp;_HEDGING_LIABS_ST","FQ1 2010","FQ1 2010","Currency=USD","Period=FQ","BEST_FPERIOD_OVERRIDE=FQ","FILING_STATUS=MR","SCALING_FORMAT=MLN","Sort=A","Dates=H","DateFormat=P","Fill=—","Direction=H","UseDPDF=Y")</f>
        <v>—</v>
      </c>
      <c r="H49" s="13" t="str">
        <f>_xll.BDH("AMZN US Equity","BS_DERIVATIVE_&amp;_HEDGING_LIABS_ST","FQ2 2010","FQ2 2010","Currency=USD","Period=FQ","BEST_FPERIOD_OVERRIDE=FQ","FILING_STATUS=MR","SCALING_FORMAT=MLN","Sort=A","Dates=H","DateFormat=P","Fill=—","Direction=H","UseDPDF=Y")</f>
        <v>—</v>
      </c>
      <c r="I49" s="13" t="str">
        <f>_xll.BDH("AMZN US Equity","BS_DERIVATIVE_&amp;_HEDGING_LIABS_ST","FQ3 2010","FQ3 2010","Currency=USD","Period=FQ","BEST_FPERIOD_OVERRIDE=FQ","FILING_STATUS=MR","SCALING_FORMAT=MLN","Sort=A","Dates=H","DateFormat=P","Fill=—","Direction=H","UseDPDF=Y")</f>
        <v>—</v>
      </c>
      <c r="J49" s="13">
        <f>_xll.BDH("AMZN US Equity","BS_DERIVATIVE_&amp;_HEDGING_LIABS_ST","FQ4 2010","FQ4 2010","Currency=USD","Period=FQ","BEST_FPERIOD_OVERRIDE=FQ","FILING_STATUS=MR","SCALING_FORMAT=MLN","Sort=A","Dates=H","DateFormat=P","Fill=—","Direction=H","UseDPDF=Y")</f>
        <v>0</v>
      </c>
      <c r="K49" s="13" t="str">
        <f>_xll.BDH("AMZN US Equity","BS_DERIVATIVE_&amp;_HEDGING_LIABS_ST","FQ1 2011","FQ1 2011","Currency=USD","Period=FQ","BEST_FPERIOD_OVERRIDE=FQ","FILING_STATUS=MR","SCALING_FORMAT=MLN","Sort=A","Dates=H","DateFormat=P","Fill=—","Direction=H","UseDPDF=Y")</f>
        <v>—</v>
      </c>
      <c r="L49" s="13" t="str">
        <f>_xll.BDH("AMZN US Equity","BS_DERIVATIVE_&amp;_HEDGING_LIABS_ST","FQ2 2011","FQ2 2011","Currency=USD","Period=FQ","BEST_FPERIOD_OVERRIDE=FQ","FILING_STATUS=MR","SCALING_FORMAT=MLN","Sort=A","Dates=H","DateFormat=P","Fill=—","Direction=H","UseDPDF=Y")</f>
        <v>—</v>
      </c>
      <c r="M49" s="13" t="str">
        <f>_xll.BDH("AMZN US Equity","BS_DERIVATIVE_&amp;_HEDGING_LIABS_ST","FQ3 2011","FQ3 2011","Currency=USD","Period=FQ","BEST_FPERIOD_OVERRIDE=FQ","FILING_STATUS=MR","SCALING_FORMAT=MLN","Sort=A","Dates=H","DateFormat=P","Fill=—","Direction=H","UseDPDF=Y")</f>
        <v>—</v>
      </c>
      <c r="N49" s="13">
        <f>_xll.BDH("AMZN US Equity","BS_DERIVATIVE_&amp;_HEDGING_LIABS_ST","FQ4 2011","FQ4 2011","Currency=USD","Period=FQ","BEST_FPERIOD_OVERRIDE=FQ","FILING_STATUS=MR","SCALING_FORMAT=MLN","Sort=A","Dates=H","DateFormat=P","Fill=—","Direction=H","UseDPDF=Y")</f>
        <v>0</v>
      </c>
      <c r="O49" s="13" t="str">
        <f>_xll.BDH("AMZN US Equity","BS_DERIVATIVE_&amp;_HEDGING_LIABS_ST","FQ1 2012","FQ1 2012","Currency=USD","Period=FQ","BEST_FPERIOD_OVERRIDE=FQ","FILING_STATUS=MR","SCALING_FORMAT=MLN","Sort=A","Dates=H","DateFormat=P","Fill=—","Direction=H","UseDPDF=Y")</f>
        <v>—</v>
      </c>
      <c r="P49" s="13" t="str">
        <f>_xll.BDH("AMZN US Equity","BS_DERIVATIVE_&amp;_HEDGING_LIABS_ST","FQ2 2012","FQ2 2012","Currency=USD","Period=FQ","BEST_FPERIOD_OVERRIDE=FQ","FILING_STATUS=MR","SCALING_FORMAT=MLN","Sort=A","Dates=H","DateFormat=P","Fill=—","Direction=H","UseDPDF=Y")</f>
        <v>—</v>
      </c>
      <c r="Q49" s="13" t="str">
        <f>_xll.BDH("AMZN US Equity","BS_DERIVATIVE_&amp;_HEDGING_LIABS_ST","FQ3 2012","FQ3 2012","Currency=USD","Period=FQ","BEST_FPERIOD_OVERRIDE=FQ","FILING_STATUS=MR","SCALING_FORMAT=MLN","Sort=A","Dates=H","DateFormat=P","Fill=—","Direction=H","UseDPDF=Y")</f>
        <v>—</v>
      </c>
      <c r="R49" s="13">
        <f>_xll.BDH("AMZN US Equity","BS_DERIVATIVE_&amp;_HEDGING_LIABS_ST","FQ4 2012","FQ4 2012","Currency=USD","Period=FQ","BEST_FPERIOD_OVERRIDE=FQ","FILING_STATUS=MR","SCALING_FORMAT=MLN","Sort=A","Dates=H","DateFormat=P","Fill=—","Direction=H","UseDPDF=Y")</f>
        <v>0</v>
      </c>
      <c r="S49" s="13" t="str">
        <f>_xll.BDH("AMZN US Equity","BS_DERIVATIVE_&amp;_HEDGING_LIABS_ST","FQ1 2013","FQ1 2013","Currency=USD","Period=FQ","BEST_FPERIOD_OVERRIDE=FQ","FILING_STATUS=MR","SCALING_FORMAT=MLN","Sort=A","Dates=H","DateFormat=P","Fill=—","Direction=H","UseDPDF=Y")</f>
        <v>—</v>
      </c>
      <c r="T49" s="13" t="str">
        <f>_xll.BDH("AMZN US Equity","BS_DERIVATIVE_&amp;_HEDGING_LIABS_ST","FQ2 2013","FQ2 2013","Currency=USD","Period=FQ","BEST_FPERIOD_OVERRIDE=FQ","FILING_STATUS=MR","SCALING_FORMAT=MLN","Sort=A","Dates=H","DateFormat=P","Fill=—","Direction=H","UseDPDF=Y")</f>
        <v>—</v>
      </c>
      <c r="U49" s="13" t="str">
        <f>_xll.BDH("AMZN US Equity","BS_DERIVATIVE_&amp;_HEDGING_LIABS_ST","FQ3 2013","FQ3 2013","Currency=USD","Period=FQ","BEST_FPERIOD_OVERRIDE=FQ","FILING_STATUS=MR","SCALING_FORMAT=MLN","Sort=A","Dates=H","DateFormat=P","Fill=—","Direction=H","UseDPDF=Y")</f>
        <v>—</v>
      </c>
      <c r="V49" s="13">
        <f>_xll.BDH("AMZN US Equity","BS_DERIVATIVE_&amp;_HEDGING_LIABS_ST","FQ4 2013","FQ4 2013","Currency=USD","Period=FQ","BEST_FPERIOD_OVERRIDE=FQ","FILING_STATUS=MR","SCALING_FORMAT=MLN","Sort=A","Dates=H","DateFormat=P","Fill=—","Direction=H","UseDPDF=Y")</f>
        <v>0</v>
      </c>
      <c r="W49" s="13" t="str">
        <f>_xll.BDH("AMZN US Equity","BS_DERIVATIVE_&amp;_HEDGING_LIABS_ST","FQ1 2014","FQ1 2014","Currency=USD","Period=FQ","BEST_FPERIOD_OVERRIDE=FQ","FILING_STATUS=MR","SCALING_FORMAT=MLN","Sort=A","Dates=H","DateFormat=P","Fill=—","Direction=H","UseDPDF=Y")</f>
        <v>—</v>
      </c>
      <c r="X49" s="13" t="str">
        <f>_xll.BDH("AMZN US Equity","BS_DERIVATIVE_&amp;_HEDGING_LIABS_ST","FQ2 2014","FQ2 2014","Currency=USD","Period=FQ","BEST_FPERIOD_OVERRIDE=FQ","FILING_STATUS=MR","SCALING_FORMAT=MLN","Sort=A","Dates=H","DateFormat=P","Fill=—","Direction=H","UseDPDF=Y")</f>
        <v>—</v>
      </c>
      <c r="Y49" s="13" t="str">
        <f>_xll.BDH("AMZN US Equity","BS_DERIVATIVE_&amp;_HEDGING_LIABS_ST","FQ3 2014","FQ3 2014","Currency=USD","Period=FQ","BEST_FPERIOD_OVERRIDE=FQ","FILING_STATUS=MR","SCALING_FORMAT=MLN","Sort=A","Dates=H","DateFormat=P","Fill=—","Direction=H","UseDPDF=Y")</f>
        <v>—</v>
      </c>
      <c r="Z49" s="13">
        <f>_xll.BDH("AMZN US Equity","BS_DERIVATIVE_&amp;_HEDGING_LIABS_ST","FQ4 2014","FQ4 2014","Currency=USD","Period=FQ","BEST_FPERIOD_OVERRIDE=FQ","FILING_STATUS=MR","SCALING_FORMAT=MLN","Sort=A","Dates=H","DateFormat=P","Fill=—","Direction=H","UseDPDF=Y")</f>
        <v>0</v>
      </c>
      <c r="AA49" s="13" t="str">
        <f>_xll.BDH("AMZN US Equity","BS_DERIVATIVE_&amp;_HEDGING_LIABS_ST","FQ1 2015","FQ1 2015","Currency=USD","Period=FQ","BEST_FPERIOD_OVERRIDE=FQ","FILING_STATUS=MR","SCALING_FORMAT=MLN","Sort=A","Dates=H","DateFormat=P","Fill=—","Direction=H","UseDPDF=Y")</f>
        <v>—</v>
      </c>
      <c r="AB49" s="13" t="str">
        <f>_xll.BDH("AMZN US Equity","BS_DERIVATIVE_&amp;_HEDGING_LIABS_ST","FQ2 2015","FQ2 2015","Currency=USD","Period=FQ","BEST_FPERIOD_OVERRIDE=FQ","FILING_STATUS=MR","SCALING_FORMAT=MLN","Sort=A","Dates=H","DateFormat=P","Fill=—","Direction=H","UseDPDF=Y")</f>
        <v>—</v>
      </c>
      <c r="AC49" s="13" t="str">
        <f>_xll.BDH("AMZN US Equity","BS_DERIVATIVE_&amp;_HEDGING_LIABS_ST","FQ3 2015","FQ3 2015","Currency=USD","Period=FQ","BEST_FPERIOD_OVERRIDE=FQ","FILING_STATUS=MR","SCALING_FORMAT=MLN","Sort=A","Dates=H","DateFormat=P","Fill=—","Direction=H","UseDPDF=Y")</f>
        <v>—</v>
      </c>
      <c r="AD49" s="13">
        <f>_xll.BDH("AMZN US Equity","BS_DERIVATIVE_&amp;_HEDGING_LIABS_ST","FQ4 2015","FQ4 2015","Currency=USD","Period=FQ","BEST_FPERIOD_OVERRIDE=FQ","FILING_STATUS=MR","SCALING_FORMAT=MLN","Sort=A","Dates=H","DateFormat=P","Fill=—","Direction=H","UseDPDF=Y")</f>
        <v>0</v>
      </c>
      <c r="AE49" s="13" t="str">
        <f>_xll.BDH("AMZN US Equity","BS_DERIVATIVE_&amp;_HEDGING_LIABS_ST","FQ1 2016","FQ1 2016","Currency=USD","Period=FQ","BEST_FPERIOD_OVERRIDE=FQ","FILING_STATUS=MR","SCALING_FORMAT=MLN","Sort=A","Dates=H","DateFormat=P","Fill=—","Direction=H","UseDPDF=Y")</f>
        <v>—</v>
      </c>
      <c r="AF49" s="13" t="str">
        <f>_xll.BDH("AMZN US Equity","BS_DERIVATIVE_&amp;_HEDGING_LIABS_ST","FQ2 2016","FQ2 2016","Currency=USD","Period=FQ","BEST_FPERIOD_OVERRIDE=FQ","FILING_STATUS=MR","SCALING_FORMAT=MLN","Sort=A","Dates=H","DateFormat=P","Fill=—","Direction=H","UseDPDF=Y")</f>
        <v>—</v>
      </c>
      <c r="AG49" s="13" t="str">
        <f>_xll.BDH("AMZN US Equity","BS_DERIVATIVE_&amp;_HEDGING_LIABS_ST","FQ3 2016","FQ3 2016","Currency=USD","Period=FQ","BEST_FPERIOD_OVERRIDE=FQ","FILING_STATUS=MR","SCALING_FORMAT=MLN","Sort=A","Dates=H","DateFormat=P","Fill=—","Direction=H","UseDPDF=Y")</f>
        <v>—</v>
      </c>
      <c r="AH49" s="13">
        <f>_xll.BDH("AMZN US Equity","BS_DERIVATIVE_&amp;_HEDGING_LIABS_ST","FQ4 2016","FQ4 2016","Currency=USD","Period=FQ","BEST_FPERIOD_OVERRIDE=FQ","FILING_STATUS=MR","SCALING_FORMAT=MLN","Sort=A","Dates=H","DateFormat=P","Fill=—","Direction=H","UseDPDF=Y")</f>
        <v>0</v>
      </c>
      <c r="AI49" s="13" t="str">
        <f>_xll.BDH("AMZN US Equity","BS_DERIVATIVE_&amp;_HEDGING_LIABS_ST","FQ1 2017","FQ1 2017","Currency=USD","Period=FQ","BEST_FPERIOD_OVERRIDE=FQ","FILING_STATUS=MR","SCALING_FORMAT=MLN","Sort=A","Dates=H","DateFormat=P","Fill=—","Direction=H","UseDPDF=Y")</f>
        <v>—</v>
      </c>
      <c r="AJ49" s="13" t="str">
        <f>_xll.BDH("AMZN US Equity","BS_DERIVATIVE_&amp;_HEDGING_LIABS_ST","FQ2 2017","FQ2 2017","Currency=USD","Period=FQ","BEST_FPERIOD_OVERRIDE=FQ","FILING_STATUS=MR","SCALING_FORMAT=MLN","Sort=A","Dates=H","DateFormat=P","Fill=—","Direction=H","UseDPDF=Y")</f>
        <v>—</v>
      </c>
      <c r="AK49" s="13" t="str">
        <f>_xll.BDH("AMZN US Equity","BS_DERIVATIVE_&amp;_HEDGING_LIABS_ST","FQ3 2017","FQ3 2017","Currency=USD","Period=FQ","BEST_FPERIOD_OVERRIDE=FQ","FILING_STATUS=MR","SCALING_FORMAT=MLN","Sort=A","Dates=H","DateFormat=P","Fill=—","Direction=H","UseDPDF=Y")</f>
        <v>—</v>
      </c>
      <c r="AL49" s="13">
        <f>_xll.BDH("AMZN US Equity","BS_DERIVATIVE_&amp;_HEDGING_LIABS_ST","FQ4 2017","FQ4 2017","Currency=USD","Period=FQ","BEST_FPERIOD_OVERRIDE=FQ","FILING_STATUS=MR","SCALING_FORMAT=MLN","Sort=A","Dates=H","DateFormat=P","Fill=—","Direction=H","UseDPDF=Y")</f>
        <v>0</v>
      </c>
      <c r="AM49" s="13" t="str">
        <f>_xll.BDH("AMZN US Equity","BS_DERIVATIVE_&amp;_HEDGING_LIABS_ST","FQ1 2018","FQ1 2018","Currency=USD","Period=FQ","BEST_FPERIOD_OVERRIDE=FQ","FILING_STATUS=MR","SCALING_FORMAT=MLN","Sort=A","Dates=H","DateFormat=P","Fill=—","Direction=H","UseDPDF=Y")</f>
        <v>—</v>
      </c>
      <c r="AN49" s="13" t="str">
        <f>_xll.BDH("AMZN US Equity","BS_DERIVATIVE_&amp;_HEDGING_LIABS_ST","FQ2 2018","FQ2 2018","Currency=USD","Period=FQ","BEST_FPERIOD_OVERRIDE=FQ","FILING_STATUS=MR","SCALING_FORMAT=MLN","Sort=A","Dates=H","DateFormat=P","Fill=—","Direction=H","UseDPDF=Y")</f>
        <v>—</v>
      </c>
    </row>
    <row r="50" spans="1:40" x14ac:dyDescent="0.25">
      <c r="A50" s="10" t="s">
        <v>290</v>
      </c>
      <c r="B50" s="10" t="s">
        <v>291</v>
      </c>
      <c r="C50" s="13">
        <f>_xll.BDH("AMZN US Equity","OTHER_CURRENT_LIABS_DETAILED","FQ1 2009","FQ1 2009","Currency=USD","Period=FQ","BEST_FPERIOD_OVERRIDE=FQ","FILING_STATUS=MR","SCALING_FORMAT=MLN","Sort=A","Dates=H","DateFormat=P","Fill=—","Direction=H","UseDPDF=Y")</f>
        <v>0</v>
      </c>
      <c r="D50" s="13">
        <f>_xll.BDH("AMZN US Equity","OTHER_CURRENT_LIABS_DETAILED","FQ2 2009","FQ2 2009","Currency=USD","Period=FQ","BEST_FPERIOD_OVERRIDE=FQ","FILING_STATUS=MR","SCALING_FORMAT=MLN","Sort=A","Dates=H","DateFormat=P","Fill=—","Direction=H","UseDPDF=Y")</f>
        <v>0</v>
      </c>
      <c r="E50" s="13">
        <f>_xll.BDH("AMZN US Equity","OTHER_CURRENT_LIABS_DETAILED","FQ3 2009","FQ3 2009","Currency=USD","Period=FQ","BEST_FPERIOD_OVERRIDE=FQ","FILING_STATUS=MR","SCALING_FORMAT=MLN","Sort=A","Dates=H","DateFormat=P","Fill=—","Direction=H","UseDPDF=Y")</f>
        <v>0</v>
      </c>
      <c r="F50" s="13">
        <f>_xll.BDH("AMZN US Equity","OTHER_CURRENT_LIABS_DETAILED","FQ4 2009","FQ4 2009","Currency=USD","Period=FQ","BEST_FPERIOD_OVERRIDE=FQ","FILING_STATUS=MR","SCALING_FORMAT=MLN","Sort=A","Dates=H","DateFormat=P","Fill=—","Direction=H","UseDPDF=Y")</f>
        <v>0</v>
      </c>
      <c r="G50" s="13">
        <f>_xll.BDH("AMZN US Equity","OTHER_CURRENT_LIABS_DETAILED","FQ1 2010","FQ1 2010","Currency=USD","Period=FQ","BEST_FPERIOD_OVERRIDE=FQ","FILING_STATUS=MR","SCALING_FORMAT=MLN","Sort=A","Dates=H","DateFormat=P","Fill=—","Direction=H","UseDPDF=Y")</f>
        <v>0</v>
      </c>
      <c r="H50" s="13">
        <f>_xll.BDH("AMZN US Equity","OTHER_CURRENT_LIABS_DETAILED","FQ2 2010","FQ2 2010","Currency=USD","Period=FQ","BEST_FPERIOD_OVERRIDE=FQ","FILING_STATUS=MR","SCALING_FORMAT=MLN","Sort=A","Dates=H","DateFormat=P","Fill=—","Direction=H","UseDPDF=Y")</f>
        <v>0</v>
      </c>
      <c r="I50" s="13">
        <f>_xll.BDH("AMZN US Equity","OTHER_CURRENT_LIABS_DETAILED","FQ3 2010","FQ3 2010","Currency=USD","Period=FQ","BEST_FPERIOD_OVERRIDE=FQ","FILING_STATUS=MR","SCALING_FORMAT=MLN","Sort=A","Dates=H","DateFormat=P","Fill=—","Direction=H","UseDPDF=Y")</f>
        <v>0</v>
      </c>
      <c r="J50" s="13">
        <f>_xll.BDH("AMZN US Equity","OTHER_CURRENT_LIABS_DETAILED","FQ4 2010","FQ4 2010","Currency=USD","Period=FQ","BEST_FPERIOD_OVERRIDE=FQ","FILING_STATUS=MR","SCALING_FORMAT=MLN","Sort=A","Dates=H","DateFormat=P","Fill=—","Direction=H","UseDPDF=Y")</f>
        <v>0</v>
      </c>
      <c r="K50" s="13">
        <f>_xll.BDH("AMZN US Equity","OTHER_CURRENT_LIABS_DETAILED","FQ1 2011","FQ1 2011","Currency=USD","Period=FQ","BEST_FPERIOD_OVERRIDE=FQ","FILING_STATUS=MR","SCALING_FORMAT=MLN","Sort=A","Dates=H","DateFormat=P","Fill=—","Direction=H","UseDPDF=Y")</f>
        <v>0</v>
      </c>
      <c r="L50" s="13">
        <f>_xll.BDH("AMZN US Equity","OTHER_CURRENT_LIABS_DETAILED","FQ2 2011","FQ2 2011","Currency=USD","Period=FQ","BEST_FPERIOD_OVERRIDE=FQ","FILING_STATUS=MR","SCALING_FORMAT=MLN","Sort=A","Dates=H","DateFormat=P","Fill=—","Direction=H","UseDPDF=Y")</f>
        <v>0</v>
      </c>
      <c r="M50" s="13">
        <f>_xll.BDH("AMZN US Equity","OTHER_CURRENT_LIABS_DETAILED","FQ3 2011","FQ3 2011","Currency=USD","Period=FQ","BEST_FPERIOD_OVERRIDE=FQ","FILING_STATUS=MR","SCALING_FORMAT=MLN","Sort=A","Dates=H","DateFormat=P","Fill=—","Direction=H","UseDPDF=Y")</f>
        <v>0</v>
      </c>
      <c r="N50" s="13">
        <f>_xll.BDH("AMZN US Equity","OTHER_CURRENT_LIABS_DETAILED","FQ4 2011","FQ4 2011","Currency=USD","Period=FQ","BEST_FPERIOD_OVERRIDE=FQ","FILING_STATUS=MR","SCALING_FORMAT=MLN","Sort=A","Dates=H","DateFormat=P","Fill=—","Direction=H","UseDPDF=Y")</f>
        <v>0</v>
      </c>
      <c r="O50" s="13">
        <f>_xll.BDH("AMZN US Equity","OTHER_CURRENT_LIABS_DETAILED","FQ1 2012","FQ1 2012","Currency=USD","Period=FQ","BEST_FPERIOD_OVERRIDE=FQ","FILING_STATUS=MR","SCALING_FORMAT=MLN","Sort=A","Dates=H","DateFormat=P","Fill=—","Direction=H","UseDPDF=Y")</f>
        <v>0</v>
      </c>
      <c r="P50" s="13">
        <f>_xll.BDH("AMZN US Equity","OTHER_CURRENT_LIABS_DETAILED","FQ2 2012","FQ2 2012","Currency=USD","Period=FQ","BEST_FPERIOD_OVERRIDE=FQ","FILING_STATUS=MR","SCALING_FORMAT=MLN","Sort=A","Dates=H","DateFormat=P","Fill=—","Direction=H","UseDPDF=Y")</f>
        <v>0</v>
      </c>
      <c r="Q50" s="13">
        <f>_xll.BDH("AMZN US Equity","OTHER_CURRENT_LIABS_DETAILED","FQ3 2012","FQ3 2012","Currency=USD","Period=FQ","BEST_FPERIOD_OVERRIDE=FQ","FILING_STATUS=MR","SCALING_FORMAT=MLN","Sort=A","Dates=H","DateFormat=P","Fill=—","Direction=H","UseDPDF=Y")</f>
        <v>0</v>
      </c>
      <c r="R50" s="13">
        <f>_xll.BDH("AMZN US Equity","OTHER_CURRENT_LIABS_DETAILED","FQ4 2012","FQ4 2012","Currency=USD","Period=FQ","BEST_FPERIOD_OVERRIDE=FQ","FILING_STATUS=MR","SCALING_FORMAT=MLN","Sort=A","Dates=H","DateFormat=P","Fill=—","Direction=H","UseDPDF=Y")</f>
        <v>0</v>
      </c>
      <c r="S50" s="13">
        <f>_xll.BDH("AMZN US Equity","OTHER_CURRENT_LIABS_DETAILED","FQ1 2013","FQ1 2013","Currency=USD","Period=FQ","BEST_FPERIOD_OVERRIDE=FQ","FILING_STATUS=MR","SCALING_FORMAT=MLN","Sort=A","Dates=H","DateFormat=P","Fill=—","Direction=H","UseDPDF=Y")</f>
        <v>0</v>
      </c>
      <c r="T50" s="13">
        <f>_xll.BDH("AMZN US Equity","OTHER_CURRENT_LIABS_DETAILED","FQ2 2013","FQ2 2013","Currency=USD","Period=FQ","BEST_FPERIOD_OVERRIDE=FQ","FILING_STATUS=MR","SCALING_FORMAT=MLN","Sort=A","Dates=H","DateFormat=P","Fill=—","Direction=H","UseDPDF=Y")</f>
        <v>0</v>
      </c>
      <c r="U50" s="13">
        <f>_xll.BDH("AMZN US Equity","OTHER_CURRENT_LIABS_DETAILED","FQ3 2013","FQ3 2013","Currency=USD","Period=FQ","BEST_FPERIOD_OVERRIDE=FQ","FILING_STATUS=MR","SCALING_FORMAT=MLN","Sort=A","Dates=H","DateFormat=P","Fill=—","Direction=H","UseDPDF=Y")</f>
        <v>0</v>
      </c>
      <c r="V50" s="13">
        <f>_xll.BDH("AMZN US Equity","OTHER_CURRENT_LIABS_DETAILED","FQ4 2013","FQ4 2013","Currency=USD","Period=FQ","BEST_FPERIOD_OVERRIDE=FQ","FILING_STATUS=MR","SCALING_FORMAT=MLN","Sort=A","Dates=H","DateFormat=P","Fill=—","Direction=H","UseDPDF=Y")</f>
        <v>0</v>
      </c>
      <c r="W50" s="13">
        <f>_xll.BDH("AMZN US Equity","OTHER_CURRENT_LIABS_DETAILED","FQ1 2014","FQ1 2014","Currency=USD","Period=FQ","BEST_FPERIOD_OVERRIDE=FQ","FILING_STATUS=MR","SCALING_FORMAT=MLN","Sort=A","Dates=H","DateFormat=P","Fill=—","Direction=H","UseDPDF=Y")</f>
        <v>0</v>
      </c>
      <c r="X50" s="13">
        <f>_xll.BDH("AMZN US Equity","OTHER_CURRENT_LIABS_DETAILED","FQ2 2014","FQ2 2014","Currency=USD","Period=FQ","BEST_FPERIOD_OVERRIDE=FQ","FILING_STATUS=MR","SCALING_FORMAT=MLN","Sort=A","Dates=H","DateFormat=P","Fill=—","Direction=H","UseDPDF=Y")</f>
        <v>0</v>
      </c>
      <c r="Y50" s="13">
        <f>_xll.BDH("AMZN US Equity","OTHER_CURRENT_LIABS_DETAILED","FQ3 2014","FQ3 2014","Currency=USD","Period=FQ","BEST_FPERIOD_OVERRIDE=FQ","FILING_STATUS=MR","SCALING_FORMAT=MLN","Sort=A","Dates=H","DateFormat=P","Fill=—","Direction=H","UseDPDF=Y")</f>
        <v>0</v>
      </c>
      <c r="Z50" s="13">
        <f>_xll.BDH("AMZN US Equity","OTHER_CURRENT_LIABS_DETAILED","FQ4 2014","FQ4 2014","Currency=USD","Period=FQ","BEST_FPERIOD_OVERRIDE=FQ","FILING_STATUS=MR","SCALING_FORMAT=MLN","Sort=A","Dates=H","DateFormat=P","Fill=—","Direction=H","UseDPDF=Y")</f>
        <v>0</v>
      </c>
      <c r="AA50" s="13">
        <f>_xll.BDH("AMZN US Equity","OTHER_CURRENT_LIABS_DETAILED","FQ1 2015","FQ1 2015","Currency=USD","Period=FQ","BEST_FPERIOD_OVERRIDE=FQ","FILING_STATUS=MR","SCALING_FORMAT=MLN","Sort=A","Dates=H","DateFormat=P","Fill=—","Direction=H","UseDPDF=Y")</f>
        <v>0</v>
      </c>
      <c r="AB50" s="13">
        <f>_xll.BDH("AMZN US Equity","OTHER_CURRENT_LIABS_DETAILED","FQ2 2015","FQ2 2015","Currency=USD","Period=FQ","BEST_FPERIOD_OVERRIDE=FQ","FILING_STATUS=MR","SCALING_FORMAT=MLN","Sort=A","Dates=H","DateFormat=P","Fill=—","Direction=H","UseDPDF=Y")</f>
        <v>0</v>
      </c>
      <c r="AC50" s="13">
        <f>_xll.BDH("AMZN US Equity","OTHER_CURRENT_LIABS_DETAILED","FQ3 2015","FQ3 2015","Currency=USD","Period=FQ","BEST_FPERIOD_OVERRIDE=FQ","FILING_STATUS=MR","SCALING_FORMAT=MLN","Sort=A","Dates=H","DateFormat=P","Fill=—","Direction=H","UseDPDF=Y")</f>
        <v>0</v>
      </c>
      <c r="AD50" s="13">
        <f>_xll.BDH("AMZN US Equity","OTHER_CURRENT_LIABS_DETAILED","FQ4 2015","FQ4 2015","Currency=USD","Period=FQ","BEST_FPERIOD_OVERRIDE=FQ","FILING_STATUS=MR","SCALING_FORMAT=MLN","Sort=A","Dates=H","DateFormat=P","Fill=—","Direction=H","UseDPDF=Y")</f>
        <v>0</v>
      </c>
      <c r="AE50" s="13">
        <f>_xll.BDH("AMZN US Equity","OTHER_CURRENT_LIABS_DETAILED","FQ1 2016","FQ1 2016","Currency=USD","Period=FQ","BEST_FPERIOD_OVERRIDE=FQ","FILING_STATUS=MR","SCALING_FORMAT=MLN","Sort=A","Dates=H","DateFormat=P","Fill=—","Direction=H","UseDPDF=Y")</f>
        <v>0</v>
      </c>
      <c r="AF50" s="13">
        <f>_xll.BDH("AMZN US Equity","OTHER_CURRENT_LIABS_DETAILED","FQ2 2016","FQ2 2016","Currency=USD","Period=FQ","BEST_FPERIOD_OVERRIDE=FQ","FILING_STATUS=MR","SCALING_FORMAT=MLN","Sort=A","Dates=H","DateFormat=P","Fill=—","Direction=H","UseDPDF=Y")</f>
        <v>0</v>
      </c>
      <c r="AG50" s="13">
        <f>_xll.BDH("AMZN US Equity","OTHER_CURRENT_LIABS_DETAILED","FQ3 2016","FQ3 2016","Currency=USD","Period=FQ","BEST_FPERIOD_OVERRIDE=FQ","FILING_STATUS=MR","SCALING_FORMAT=MLN","Sort=A","Dates=H","DateFormat=P","Fill=—","Direction=H","UseDPDF=Y")</f>
        <v>0</v>
      </c>
      <c r="AH50" s="13">
        <f>_xll.BDH("AMZN US Equity","OTHER_CURRENT_LIABS_DETAILED","FQ4 2016","FQ4 2016","Currency=USD","Period=FQ","BEST_FPERIOD_OVERRIDE=FQ","FILING_STATUS=MR","SCALING_FORMAT=MLN","Sort=A","Dates=H","DateFormat=P","Fill=—","Direction=H","UseDPDF=Y")</f>
        <v>0</v>
      </c>
      <c r="AI50" s="13">
        <f>_xll.BDH("AMZN US Equity","OTHER_CURRENT_LIABS_DETAILED","FQ1 2017","FQ1 2017","Currency=USD","Period=FQ","BEST_FPERIOD_OVERRIDE=FQ","FILING_STATUS=MR","SCALING_FORMAT=MLN","Sort=A","Dates=H","DateFormat=P","Fill=—","Direction=H","UseDPDF=Y")</f>
        <v>0</v>
      </c>
      <c r="AJ50" s="13">
        <f>_xll.BDH("AMZN US Equity","OTHER_CURRENT_LIABS_DETAILED","FQ2 2017","FQ2 2017","Currency=USD","Period=FQ","BEST_FPERIOD_OVERRIDE=FQ","FILING_STATUS=MR","SCALING_FORMAT=MLN","Sort=A","Dates=H","DateFormat=P","Fill=—","Direction=H","UseDPDF=Y")</f>
        <v>0</v>
      </c>
      <c r="AK50" s="13">
        <f>_xll.BDH("AMZN US Equity","OTHER_CURRENT_LIABS_DETAILED","FQ3 2017","FQ3 2017","Currency=USD","Period=FQ","BEST_FPERIOD_OVERRIDE=FQ","FILING_STATUS=MR","SCALING_FORMAT=MLN","Sort=A","Dates=H","DateFormat=P","Fill=—","Direction=H","UseDPDF=Y")</f>
        <v>0</v>
      </c>
      <c r="AL50" s="13">
        <f>_xll.BDH("AMZN US Equity","OTHER_CURRENT_LIABS_DETAILED","FQ4 2017","FQ4 2017","Currency=USD","Period=FQ","BEST_FPERIOD_OVERRIDE=FQ","FILING_STATUS=MR","SCALING_FORMAT=MLN","Sort=A","Dates=H","DateFormat=P","Fill=—","Direction=H","UseDPDF=Y")</f>
        <v>0</v>
      </c>
      <c r="AM50" s="13">
        <f>_xll.BDH("AMZN US Equity","OTHER_CURRENT_LIABS_DETAILED","FQ1 2018","FQ1 2018","Currency=USD","Period=FQ","BEST_FPERIOD_OVERRIDE=FQ","FILING_STATUS=MR","SCALING_FORMAT=MLN","Sort=A","Dates=H","DateFormat=P","Fill=—","Direction=H","UseDPDF=Y")</f>
        <v>0</v>
      </c>
      <c r="AN50" s="13">
        <f>_xll.BDH("AMZN US Equity","OTHER_CURRENT_LIABS_DETAILED","FQ2 2018","FQ2 2018","Currency=USD","Period=FQ","BEST_FPERIOD_OVERRIDE=FQ","FILING_STATUS=MR","SCALING_FORMAT=MLN","Sort=A","Dates=H","DateFormat=P","Fill=—","Direction=H","UseDPDF=Y")</f>
        <v>0</v>
      </c>
    </row>
    <row r="51" spans="1:40" x14ac:dyDescent="0.25">
      <c r="A51" s="6" t="s">
        <v>292</v>
      </c>
      <c r="B51" s="6" t="s">
        <v>293</v>
      </c>
      <c r="C51" s="17">
        <f>_xll.BDH("AMZN US Equity","BS_CUR_LIAB","FQ1 2009","FQ1 2009","Currency=USD","Period=FQ","BEST_FPERIOD_OVERRIDE=FQ","FILING_STATUS=MR","SCALING_FORMAT=MLN","Sort=A","Dates=H","DateFormat=P","Fill=—","Direction=H","UseDPDF=Y")</f>
        <v>3410</v>
      </c>
      <c r="D51" s="17">
        <f>_xll.BDH("AMZN US Equity","BS_CUR_LIAB","FQ2 2009","FQ2 2009","Currency=USD","Period=FQ","BEST_FPERIOD_OVERRIDE=FQ","FILING_STATUS=MR","SCALING_FORMAT=MLN","Sort=A","Dates=H","DateFormat=P","Fill=—","Direction=H","UseDPDF=Y")</f>
        <v>3636</v>
      </c>
      <c r="E51" s="17">
        <f>_xll.BDH("AMZN US Equity","BS_CUR_LIAB","FQ3 2009","FQ3 2009","Currency=USD","Period=FQ","BEST_FPERIOD_OVERRIDE=FQ","FILING_STATUS=MR","SCALING_FORMAT=MLN","Sort=A","Dates=H","DateFormat=P","Fill=—","Direction=H","UseDPDF=Y")</f>
        <v>4537</v>
      </c>
      <c r="F51" s="17">
        <f>_xll.BDH("AMZN US Equity","BS_CUR_LIAB","FQ4 2009","FQ4 2009","Currency=USD","Period=FQ","BEST_FPERIOD_OVERRIDE=FQ","FILING_STATUS=MR","SCALING_FORMAT=MLN","Sort=A","Dates=H","DateFormat=P","Fill=—","Direction=H","UseDPDF=Y")</f>
        <v>7364</v>
      </c>
      <c r="G51" s="17">
        <f>_xll.BDH("AMZN US Equity","BS_CUR_LIAB","FQ1 2010","FQ1 2010","Currency=USD","Period=FQ","BEST_FPERIOD_OVERRIDE=FQ","FILING_STATUS=MR","SCALING_FORMAT=MLN","Sort=A","Dates=H","DateFormat=P","Fill=—","Direction=H","UseDPDF=Y")</f>
        <v>5193</v>
      </c>
      <c r="H51" s="17">
        <f>_xll.BDH("AMZN US Equity","BS_CUR_LIAB","FQ2 2010","FQ2 2010","Currency=USD","Period=FQ","BEST_FPERIOD_OVERRIDE=FQ","FILING_STATUS=MR","SCALING_FORMAT=MLN","Sort=A","Dates=H","DateFormat=P","Fill=—","Direction=H","UseDPDF=Y")</f>
        <v>5250</v>
      </c>
      <c r="I51" s="17">
        <f>_xll.BDH("AMZN US Equity","BS_CUR_LIAB","FQ3 2010","FQ3 2010","Currency=USD","Period=FQ","BEST_FPERIOD_OVERRIDE=FQ","FILING_STATUS=MR","SCALING_FORMAT=MLN","Sort=A","Dates=H","DateFormat=P","Fill=—","Direction=H","UseDPDF=Y")</f>
        <v>6375</v>
      </c>
      <c r="J51" s="17">
        <f>_xll.BDH("AMZN US Equity","BS_CUR_LIAB","FQ4 2010","FQ4 2010","Currency=USD","Period=FQ","BEST_FPERIOD_OVERRIDE=FQ","FILING_STATUS=MR","SCALING_FORMAT=MLN","Sort=A","Dates=H","DateFormat=P","Fill=—","Direction=H","UseDPDF=Y")</f>
        <v>10372</v>
      </c>
      <c r="K51" s="17">
        <f>_xll.BDH("AMZN US Equity","BS_CUR_LIAB","FQ1 2011","FQ1 2011","Currency=USD","Period=FQ","BEST_FPERIOD_OVERRIDE=FQ","FILING_STATUS=MR","SCALING_FORMAT=MLN","Sort=A","Dates=H","DateFormat=P","Fill=—","Direction=H","UseDPDF=Y")</f>
        <v>7730</v>
      </c>
      <c r="L51" s="17">
        <f>_xll.BDH("AMZN US Equity","BS_CUR_LIAB","FQ2 2011","FQ2 2011","Currency=USD","Period=FQ","BEST_FPERIOD_OVERRIDE=FQ","FILING_STATUS=MR","SCALING_FORMAT=MLN","Sort=A","Dates=H","DateFormat=P","Fill=—","Direction=H","UseDPDF=Y")</f>
        <v>8045</v>
      </c>
      <c r="M51" s="17">
        <f>_xll.BDH("AMZN US Equity","BS_CUR_LIAB","FQ3 2011","FQ3 2011","Currency=USD","Period=FQ","BEST_FPERIOD_OVERRIDE=FQ","FILING_STATUS=MR","SCALING_FORMAT=MLN","Sort=A","Dates=H","DateFormat=P","Fill=—","Direction=H","UseDPDF=Y")</f>
        <v>8978</v>
      </c>
      <c r="N51" s="17">
        <f>_xll.BDH("AMZN US Equity","BS_CUR_LIAB","FQ4 2011","FQ4 2011","Currency=USD","Period=FQ","BEST_FPERIOD_OVERRIDE=FQ","FILING_STATUS=MR","SCALING_FORMAT=MLN","Sort=A","Dates=H","DateFormat=P","Fill=—","Direction=H","UseDPDF=Y")</f>
        <v>14896</v>
      </c>
      <c r="O51" s="17">
        <f>_xll.BDH("AMZN US Equity","BS_CUR_LIAB","FQ1 2012","FQ1 2012","Currency=USD","Period=FQ","BEST_FPERIOD_OVERRIDE=FQ","FILING_STATUS=MR","SCALING_FORMAT=MLN","Sort=A","Dates=H","DateFormat=P","Fill=—","Direction=H","UseDPDF=Y")</f>
        <v>10488</v>
      </c>
      <c r="P51" s="17">
        <f>_xll.BDH("AMZN US Equity","BS_CUR_LIAB","FQ2 2012","FQ2 2012","Currency=USD","Period=FQ","BEST_FPERIOD_OVERRIDE=FQ","FILING_STATUS=MR","SCALING_FORMAT=MLN","Sort=A","Dates=H","DateFormat=P","Fill=—","Direction=H","UseDPDF=Y")</f>
        <v>10964</v>
      </c>
      <c r="Q51" s="17">
        <f>_xll.BDH("AMZN US Equity","BS_CUR_LIAB","FQ3 2012","FQ3 2012","Currency=USD","Period=FQ","BEST_FPERIOD_OVERRIDE=FQ","FILING_STATUS=MR","SCALING_FORMAT=MLN","Sort=A","Dates=H","DateFormat=P","Fill=—","Direction=H","UseDPDF=Y")</f>
        <v>12605</v>
      </c>
      <c r="R51" s="17">
        <f>_xll.BDH("AMZN US Equity","BS_CUR_LIAB","FQ4 2012","FQ4 2012","Currency=USD","Period=FQ","BEST_FPERIOD_OVERRIDE=FQ","FILING_STATUS=MR","SCALING_FORMAT=MLN","Sort=A","Dates=H","DateFormat=P","Fill=—","Direction=H","UseDPDF=Y")</f>
        <v>19002</v>
      </c>
      <c r="S51" s="17">
        <f>_xll.BDH("AMZN US Equity","BS_CUR_LIAB","FQ1 2013","FQ1 2013","Currency=USD","Period=FQ","BEST_FPERIOD_OVERRIDE=FQ","FILING_STATUS=MR","SCALING_FORMAT=MLN","Sort=A","Dates=H","DateFormat=P","Fill=—","Direction=H","UseDPDF=Y")</f>
        <v>14332</v>
      </c>
      <c r="T51" s="17">
        <f>_xll.BDH("AMZN US Equity","BS_CUR_LIAB","FQ2 2013","FQ2 2013","Currency=USD","Period=FQ","BEST_FPERIOD_OVERRIDE=FQ","FILING_STATUS=MR","SCALING_FORMAT=MLN","Sort=A","Dates=H","DateFormat=P","Fill=—","Direction=H","UseDPDF=Y")</f>
        <v>14735</v>
      </c>
      <c r="U51" s="17">
        <f>_xll.BDH("AMZN US Equity","BS_CUR_LIAB","FQ3 2013","FQ3 2013","Currency=USD","Period=FQ","BEST_FPERIOD_OVERRIDE=FQ","FILING_STATUS=MR","SCALING_FORMAT=MLN","Sort=A","Dates=H","DateFormat=P","Fill=—","Direction=H","UseDPDF=Y")</f>
        <v>16135</v>
      </c>
      <c r="V51" s="17">
        <f>_xll.BDH("AMZN US Equity","BS_CUR_LIAB","FQ4 2013","FQ4 2013","Currency=USD","Period=FQ","BEST_FPERIOD_OVERRIDE=FQ","FILING_STATUS=MR","SCALING_FORMAT=MLN","Sort=A","Dates=H","DateFormat=P","Fill=—","Direction=H","UseDPDF=Y")</f>
        <v>22980</v>
      </c>
      <c r="W51" s="17">
        <f>_xll.BDH("AMZN US Equity","BS_CUR_LIAB","FQ1 2014","FQ1 2014","Currency=USD","Period=FQ","BEST_FPERIOD_OVERRIDE=FQ","FILING_STATUS=MR","SCALING_FORMAT=MLN","Sort=A","Dates=H","DateFormat=P","Fill=—","Direction=H","UseDPDF=Y")</f>
        <v>18357</v>
      </c>
      <c r="X51" s="17">
        <f>_xll.BDH("AMZN US Equity","BS_CUR_LIAB","FQ2 2014","FQ2 2014","Currency=USD","Period=FQ","BEST_FPERIOD_OVERRIDE=FQ","FILING_STATUS=MR","SCALING_FORMAT=MLN","Sort=A","Dates=H","DateFormat=P","Fill=—","Direction=H","UseDPDF=Y")</f>
        <v>18751</v>
      </c>
      <c r="Y51" s="17">
        <f>_xll.BDH("AMZN US Equity","BS_CUR_LIAB","FQ3 2014","FQ3 2014","Currency=USD","Period=FQ","BEST_FPERIOD_OVERRIDE=FQ","FILING_STATUS=MR","SCALING_FORMAT=MLN","Sort=A","Dates=H","DateFormat=P","Fill=—","Direction=H","UseDPDF=Y")</f>
        <v>20842</v>
      </c>
      <c r="Z51" s="17">
        <f>_xll.BDH("AMZN US Equity","BS_CUR_LIAB","FQ4 2014","FQ4 2014","Currency=USD","Period=FQ","BEST_FPERIOD_OVERRIDE=FQ","FILING_STATUS=MR","SCALING_FORMAT=MLN","Sort=A","Dates=H","DateFormat=P","Fill=—","Direction=H","UseDPDF=Y")</f>
        <v>28089</v>
      </c>
      <c r="AA51" s="17">
        <f>_xll.BDH("AMZN US Equity","BS_CUR_LIAB","FQ1 2015","FQ1 2015","Currency=USD","Period=FQ","BEST_FPERIOD_OVERRIDE=FQ","FILING_STATUS=MR","SCALING_FORMAT=MLN","Sort=A","Dates=H","DateFormat=P","Fill=—","Direction=H","UseDPDF=Y")</f>
        <v>23177</v>
      </c>
      <c r="AB51" s="17">
        <f>_xll.BDH("AMZN US Equity","BS_CUR_LIAB","FQ2 2015","FQ2 2015","Currency=USD","Period=FQ","BEST_FPERIOD_OVERRIDE=FQ","FILING_STATUS=MR","SCALING_FORMAT=MLN","Sort=A","Dates=H","DateFormat=P","Fill=—","Direction=H","UseDPDF=Y")</f>
        <v>23912</v>
      </c>
      <c r="AC51" s="17">
        <f>_xll.BDH("AMZN US Equity","BS_CUR_LIAB","FQ3 2015","FQ3 2015","Currency=USD","Period=FQ","BEST_FPERIOD_OVERRIDE=FQ","FILING_STATUS=MR","SCALING_FORMAT=MLN","Sort=A","Dates=H","DateFormat=P","Fill=—","Direction=H","UseDPDF=Y")</f>
        <v>26657</v>
      </c>
      <c r="AD51" s="17">
        <f>_xll.BDH("AMZN US Equity","BS_CUR_LIAB","FQ4 2015","FQ4 2015","Currency=USD","Period=FQ","BEST_FPERIOD_OVERRIDE=FQ","FILING_STATUS=MR","SCALING_FORMAT=MLN","Sort=A","Dates=H","DateFormat=P","Fill=—","Direction=H","UseDPDF=Y")</f>
        <v>33887</v>
      </c>
      <c r="AE51" s="17">
        <f>_xll.BDH("AMZN US Equity","BS_CUR_LIAB","FQ1 2016","FQ1 2016","Currency=USD","Period=FQ","BEST_FPERIOD_OVERRIDE=FQ","FILING_STATUS=MR","SCALING_FORMAT=MLN","Sort=A","Dates=H","DateFormat=P","Fill=—","Direction=H","UseDPDF=Y")</f>
        <v>28187</v>
      </c>
      <c r="AF51" s="17">
        <f>_xll.BDH("AMZN US Equity","BS_CUR_LIAB","FQ2 2016","FQ2 2016","Currency=USD","Period=FQ","BEST_FPERIOD_OVERRIDE=FQ","FILING_STATUS=MR","SCALING_FORMAT=MLN","Sort=A","Dates=H","DateFormat=P","Fill=—","Direction=H","UseDPDF=Y")</f>
        <v>29587</v>
      </c>
      <c r="AG51" s="17">
        <f>_xll.BDH("AMZN US Equity","BS_CUR_LIAB","FQ3 2016","FQ3 2016","Currency=USD","Period=FQ","BEST_FPERIOD_OVERRIDE=FQ","FILING_STATUS=MR","SCALING_FORMAT=MLN","Sort=A","Dates=H","DateFormat=P","Fill=—","Direction=H","UseDPDF=Y")</f>
        <v>33498</v>
      </c>
      <c r="AH51" s="17">
        <f>_xll.BDH("AMZN US Equity","BS_CUR_LIAB","FQ4 2016","FQ4 2016","Currency=USD","Period=FQ","BEST_FPERIOD_OVERRIDE=FQ","FILING_STATUS=MR","SCALING_FORMAT=MLN","Sort=A","Dates=H","DateFormat=P","Fill=—","Direction=H","UseDPDF=Y")</f>
        <v>43816</v>
      </c>
      <c r="AI51" s="17">
        <f>_xll.BDH("AMZN US Equity","BS_CUR_LIAB","FQ1 2017","FQ1 2017","Currency=USD","Period=FQ","BEST_FPERIOD_OVERRIDE=FQ","FILING_STATUS=MR","SCALING_FORMAT=MLN","Sort=A","Dates=H","DateFormat=P","Fill=—","Direction=H","UseDPDF=Y")</f>
        <v>37399</v>
      </c>
      <c r="AJ51" s="17">
        <f>_xll.BDH("AMZN US Equity","BS_CUR_LIAB","FQ2 2017","FQ2 2017","Currency=USD","Period=FQ","BEST_FPERIOD_OVERRIDE=FQ","FILING_STATUS=MR","SCALING_FORMAT=MLN","Sort=A","Dates=H","DateFormat=P","Fill=—","Direction=H","UseDPDF=Y")</f>
        <v>40520</v>
      </c>
      <c r="AK51" s="17">
        <f>_xll.BDH("AMZN US Equity","BS_CUR_LIAB","FQ3 2017","FQ3 2017","Currency=USD","Period=FQ","BEST_FPERIOD_OVERRIDE=FQ","FILING_STATUS=MR","SCALING_FORMAT=MLN","Sort=A","Dates=H","DateFormat=P","Fill=—","Direction=H","UseDPDF=Y")</f>
        <v>47072</v>
      </c>
      <c r="AL51" s="17">
        <f>_xll.BDH("AMZN US Equity","BS_CUR_LIAB","FQ4 2017","FQ4 2017","Currency=USD","Period=FQ","BEST_FPERIOD_OVERRIDE=FQ","FILING_STATUS=MR","SCALING_FORMAT=MLN","Sort=A","Dates=H","DateFormat=P","Fill=—","Direction=H","UseDPDF=Y")</f>
        <v>57883</v>
      </c>
      <c r="AM51" s="17">
        <f>_xll.BDH("AMZN US Equity","BS_CUR_LIAB","FQ1 2018","FQ1 2018","Currency=USD","Period=FQ","BEST_FPERIOD_OVERRIDE=FQ","FILING_STATUS=MR","SCALING_FORMAT=MLN","Sort=A","Dates=H","DateFormat=P","Fill=—","Direction=H","UseDPDF=Y")</f>
        <v>48045</v>
      </c>
      <c r="AN51" s="17">
        <f>_xll.BDH("AMZN US Equity","BS_CUR_LIAB","FQ2 2018","FQ2 2018","Currency=USD","Period=FQ","BEST_FPERIOD_OVERRIDE=FQ","FILING_STATUS=MR","SCALING_FORMAT=MLN","Sort=A","Dates=H","DateFormat=P","Fill=—","Direction=H","UseDPDF=Y")</f>
        <v>50801</v>
      </c>
    </row>
    <row r="52" spans="1:40" x14ac:dyDescent="0.25">
      <c r="A52" s="10" t="s">
        <v>294</v>
      </c>
      <c r="B52" s="10" t="s">
        <v>295</v>
      </c>
      <c r="C52" s="13">
        <f>_xll.BDH("AMZN US Equity","BS_LT_BORROW","FQ1 2009","FQ1 2009","Currency=USD","Period=FQ","BEST_FPERIOD_OVERRIDE=FQ","FILING_STATUS=MR","SCALING_FORMAT=MLN","Sort=A","Dates=H","DateFormat=P","Fill=—","Direction=H","UseDPDF=Y")</f>
        <v>74</v>
      </c>
      <c r="D52" s="13">
        <f>_xll.BDH("AMZN US Equity","BS_LT_BORROW","FQ2 2009","FQ2 2009","Currency=USD","Period=FQ","BEST_FPERIOD_OVERRIDE=FQ","FILING_STATUS=MR","SCALING_FORMAT=MLN","Sort=A","Dates=H","DateFormat=P","Fill=—","Direction=H","UseDPDF=Y")</f>
        <v>109</v>
      </c>
      <c r="E52" s="13">
        <f>_xll.BDH("AMZN US Equity","BS_LT_BORROW","FQ3 2009","FQ3 2009","Currency=USD","Period=FQ","BEST_FPERIOD_OVERRIDE=FQ","FILING_STATUS=MR","SCALING_FORMAT=MLN","Sort=A","Dates=H","DateFormat=P","Fill=—","Direction=H","UseDPDF=Y")</f>
        <v>116</v>
      </c>
      <c r="F52" s="13">
        <f>_xll.BDH("AMZN US Equity","BS_LT_BORROW","FQ4 2009","FQ4 2009","Currency=USD","Period=FQ","BEST_FPERIOD_OVERRIDE=FQ","FILING_STATUS=MR","SCALING_FORMAT=MLN","Sort=A","Dates=H","DateFormat=P","Fill=—","Direction=H","UseDPDF=Y")</f>
        <v>240</v>
      </c>
      <c r="G52" s="13">
        <f>_xll.BDH("AMZN US Equity","BS_LT_BORROW","FQ1 2010","FQ1 2010","Currency=USD","Period=FQ","BEST_FPERIOD_OVERRIDE=FQ","FILING_STATUS=MR","SCALING_FORMAT=MLN","Sort=A","Dates=H","DateFormat=P","Fill=—","Direction=H","UseDPDF=Y")</f>
        <v>131</v>
      </c>
      <c r="H52" s="13">
        <f>_xll.BDH("AMZN US Equity","BS_LT_BORROW","FQ2 2010","FQ2 2010","Currency=USD","Period=FQ","BEST_FPERIOD_OVERRIDE=FQ","FILING_STATUS=MR","SCALING_FORMAT=MLN","Sort=A","Dates=H","DateFormat=P","Fill=—","Direction=H","UseDPDF=Y")</f>
        <v>132</v>
      </c>
      <c r="I52" s="13">
        <f>_xll.BDH("AMZN US Equity","BS_LT_BORROW","FQ3 2010","FQ3 2010","Currency=USD","Period=FQ","BEST_FPERIOD_OVERRIDE=FQ","FILING_STATUS=MR","SCALING_FORMAT=MLN","Sort=A","Dates=H","DateFormat=P","Fill=—","Direction=H","UseDPDF=Y")</f>
        <v>164</v>
      </c>
      <c r="J52" s="13">
        <f>_xll.BDH("AMZN US Equity","BS_LT_BORROW","FQ4 2010","FQ4 2010","Currency=USD","Period=FQ","BEST_FPERIOD_OVERRIDE=FQ","FILING_STATUS=MR","SCALING_FORMAT=MLN","Sort=A","Dates=H","DateFormat=P","Fill=—","Direction=H","UseDPDF=Y")</f>
        <v>460</v>
      </c>
      <c r="K52" s="13">
        <f>_xll.BDH("AMZN US Equity","BS_LT_BORROW","FQ1 2011","FQ1 2011","Currency=USD","Period=FQ","BEST_FPERIOD_OVERRIDE=FQ","FILING_STATUS=MR","SCALING_FORMAT=MLN","Sort=A","Dates=H","DateFormat=P","Fill=—","Direction=H","UseDPDF=Y")</f>
        <v>0</v>
      </c>
      <c r="L52" s="13">
        <f>_xll.BDH("AMZN US Equity","BS_LT_BORROW","FQ2 2011","FQ2 2011","Currency=USD","Period=FQ","BEST_FPERIOD_OVERRIDE=FQ","FILING_STATUS=MR","SCALING_FORMAT=MLN","Sort=A","Dates=H","DateFormat=P","Fill=—","Direction=H","UseDPDF=Y")</f>
        <v>0</v>
      </c>
      <c r="M52" s="13">
        <f>_xll.BDH("AMZN US Equity","BS_LT_BORROW","FQ3 2011","FQ3 2011","Currency=USD","Period=FQ","BEST_FPERIOD_OVERRIDE=FQ","FILING_STATUS=MR","SCALING_FORMAT=MLN","Sort=A","Dates=H","DateFormat=P","Fill=—","Direction=H","UseDPDF=Y")</f>
        <v>0</v>
      </c>
      <c r="N52" s="13">
        <f>_xll.BDH("AMZN US Equity","BS_LT_BORROW","FQ4 2011","FQ4 2011","Currency=USD","Period=FQ","BEST_FPERIOD_OVERRIDE=FQ","FILING_STATUS=MR","SCALING_FORMAT=MLN","Sort=A","Dates=H","DateFormat=P","Fill=—","Direction=H","UseDPDF=Y")</f>
        <v>1415</v>
      </c>
      <c r="O52" s="13">
        <f>_xll.BDH("AMZN US Equity","BS_LT_BORROW","FQ1 2012","FQ1 2012","Currency=USD","Period=FQ","BEST_FPERIOD_OVERRIDE=FQ","FILING_STATUS=MR","SCALING_FORMAT=MLN","Sort=A","Dates=H","DateFormat=P","Fill=—","Direction=H","UseDPDF=Y")</f>
        <v>0</v>
      </c>
      <c r="P52" s="13">
        <f>_xll.BDH("AMZN US Equity","BS_LT_BORROW","FQ2 2012","FQ2 2012","Currency=USD","Period=FQ","BEST_FPERIOD_OVERRIDE=FQ","FILING_STATUS=MR","SCALING_FORMAT=MLN","Sort=A","Dates=H","DateFormat=P","Fill=—","Direction=H","UseDPDF=Y")</f>
        <v>0</v>
      </c>
      <c r="Q52" s="13">
        <f>_xll.BDH("AMZN US Equity","BS_LT_BORROW","FQ3 2012","FQ3 2012","Currency=USD","Period=FQ","BEST_FPERIOD_OVERRIDE=FQ","FILING_STATUS=MR","SCALING_FORMAT=MLN","Sort=A","Dates=H","DateFormat=P","Fill=—","Direction=H","UseDPDF=Y")</f>
        <v>0</v>
      </c>
      <c r="R52" s="13">
        <f>_xll.BDH("AMZN US Equity","BS_LT_BORROW","FQ4 2012","FQ4 2012","Currency=USD","Period=FQ","BEST_FPERIOD_OVERRIDE=FQ","FILING_STATUS=MR","SCALING_FORMAT=MLN","Sort=A","Dates=H","DateFormat=P","Fill=—","Direction=H","UseDPDF=Y")</f>
        <v>3830</v>
      </c>
      <c r="S52" s="13">
        <f>_xll.BDH("AMZN US Equity","BS_LT_BORROW","FQ1 2013","FQ1 2013","Currency=USD","Period=FQ","BEST_FPERIOD_OVERRIDE=FQ","FILING_STATUS=MR","SCALING_FORMAT=MLN","Sort=A","Dates=H","DateFormat=P","Fill=—","Direction=H","UseDPDF=Y")</f>
        <v>3040</v>
      </c>
      <c r="T52" s="13">
        <f>_xll.BDH("AMZN US Equity","BS_LT_BORROW","FQ2 2013","FQ2 2013","Currency=USD","Period=FQ","BEST_FPERIOD_OVERRIDE=FQ","FILING_STATUS=MR","SCALING_FORMAT=MLN","Sort=A","Dates=H","DateFormat=P","Fill=—","Direction=H","UseDPDF=Y")</f>
        <v>3042</v>
      </c>
      <c r="U52" s="13">
        <f>_xll.BDH("AMZN US Equity","BS_LT_BORROW","FQ3 2013","FQ3 2013","Currency=USD","Period=FQ","BEST_FPERIOD_OVERRIDE=FQ","FILING_STATUS=MR","SCALING_FORMAT=MLN","Sort=A","Dates=H","DateFormat=P","Fill=—","Direction=H","UseDPDF=Y")</f>
        <v>3043</v>
      </c>
      <c r="V52" s="13">
        <f>_xll.BDH("AMZN US Equity","BS_LT_BORROW","FQ4 2013","FQ4 2013","Currency=USD","Period=FQ","BEST_FPERIOD_OVERRIDE=FQ","FILING_STATUS=MR","SCALING_FORMAT=MLN","Sort=A","Dates=H","DateFormat=P","Fill=—","Direction=H","UseDPDF=Y")</f>
        <v>5181</v>
      </c>
      <c r="W52" s="13">
        <f>_xll.BDH("AMZN US Equity","BS_LT_BORROW","FQ1 2014","FQ1 2014","Currency=USD","Period=FQ","BEST_FPERIOD_OVERRIDE=FQ","FILING_STATUS=MR","SCALING_FORMAT=MLN","Sort=A","Dates=H","DateFormat=P","Fill=—","Direction=H","UseDPDF=Y")</f>
        <v>3147</v>
      </c>
      <c r="X52" s="13">
        <f>_xll.BDH("AMZN US Equity","BS_LT_BORROW","FQ2 2014","FQ2 2014","Currency=USD","Period=FQ","BEST_FPERIOD_OVERRIDE=FQ","FILING_STATUS=MR","SCALING_FORMAT=MLN","Sort=A","Dates=H","DateFormat=P","Fill=—","Direction=H","UseDPDF=Y")</f>
        <v>3119</v>
      </c>
      <c r="Y52" s="13">
        <f>_xll.BDH("AMZN US Equity","BS_LT_BORROW","FQ3 2014","FQ3 2014","Currency=USD","Period=FQ","BEST_FPERIOD_OVERRIDE=FQ","FILING_STATUS=MR","SCALING_FORMAT=MLN","Sort=A","Dates=H","DateFormat=P","Fill=—","Direction=H","UseDPDF=Y")</f>
        <v>3099</v>
      </c>
      <c r="Z52" s="13">
        <f>_xll.BDH("AMZN US Equity","BS_LT_BORROW","FQ4 2014","FQ4 2014","Currency=USD","Period=FQ","BEST_FPERIOD_OVERRIDE=FQ","FILING_STATUS=MR","SCALING_FORMAT=MLN","Sort=A","Dates=H","DateFormat=P","Fill=—","Direction=H","UseDPDF=Y")</f>
        <v>12489</v>
      </c>
      <c r="AA52" s="13">
        <f>_xll.BDH("AMZN US Equity","BS_LT_BORROW","FQ1 2015","FQ1 2015","Currency=USD","Period=FQ","BEST_FPERIOD_OVERRIDE=FQ","FILING_STATUS=MR","SCALING_FORMAT=MLN","Sort=A","Dates=H","DateFormat=P","Fill=—","Direction=H","UseDPDF=Y")</f>
        <v>8257</v>
      </c>
      <c r="AB52" s="13">
        <f>_xll.BDH("AMZN US Equity","BS_LT_BORROW","FQ2 2015","FQ2 2015","Currency=USD","Period=FQ","BEST_FPERIOD_OVERRIDE=FQ","FILING_STATUS=MR","SCALING_FORMAT=MLN","Sort=A","Dates=H","DateFormat=P","Fill=—","Direction=H","UseDPDF=Y")</f>
        <v>8250</v>
      </c>
      <c r="AC52" s="13">
        <f>_xll.BDH("AMZN US Equity","BS_LT_BORROW","FQ3 2015","FQ3 2015","Currency=USD","Period=FQ","BEST_FPERIOD_OVERRIDE=FQ","FILING_STATUS=MR","SCALING_FORMAT=MLN","Sort=A","Dates=H","DateFormat=P","Fill=—","Direction=H","UseDPDF=Y")</f>
        <v>8243</v>
      </c>
      <c r="AD52" s="13">
        <f>_xll.BDH("AMZN US Equity","BS_LT_BORROW","FQ4 2015","FQ4 2015","Currency=USD","Period=FQ","BEST_FPERIOD_OVERRIDE=FQ","FILING_STATUS=MR","SCALING_FORMAT=MLN","Sort=A","Dates=H","DateFormat=P","Fill=—","Direction=H","UseDPDF=Y")</f>
        <v>14175</v>
      </c>
      <c r="AE52" s="13">
        <f>_xll.BDH("AMZN US Equity","BS_LT_BORROW","FQ1 2016","FQ1 2016","Currency=USD","Period=FQ","BEST_FPERIOD_OVERRIDE=FQ","FILING_STATUS=MR","SCALING_FORMAT=MLN","Sort=A","Dates=H","DateFormat=P","Fill=—","Direction=H","UseDPDF=Y")</f>
        <v>14219</v>
      </c>
      <c r="AF52" s="13">
        <f>_xll.BDH("AMZN US Equity","BS_LT_BORROW","FQ2 2016","FQ2 2016","Currency=USD","Period=FQ","BEST_FPERIOD_OVERRIDE=FQ","FILING_STATUS=MR","SCALING_FORMAT=MLN","Sort=A","Dates=H","DateFormat=P","Fill=—","Direction=H","UseDPDF=Y")</f>
        <v>14312</v>
      </c>
      <c r="AG52" s="13">
        <f>_xll.BDH("AMZN US Equity","BS_LT_BORROW","FQ3 2016","FQ3 2016","Currency=USD","Period=FQ","BEST_FPERIOD_OVERRIDE=FQ","FILING_STATUS=MR","SCALING_FORMAT=MLN","Sort=A","Dates=H","DateFormat=P","Fill=—","Direction=H","UseDPDF=Y")</f>
        <v>15105</v>
      </c>
      <c r="AH52" s="13">
        <f>_xll.BDH("AMZN US Equity","BS_LT_BORROW","FQ4 2016","FQ4 2016","Currency=USD","Period=FQ","BEST_FPERIOD_OVERRIDE=FQ","FILING_STATUS=MR","SCALING_FORMAT=MLN","Sort=A","Dates=H","DateFormat=P","Fill=—","Direction=H","UseDPDF=Y")</f>
        <v>15213</v>
      </c>
      <c r="AI52" s="13">
        <f>_xll.BDH("AMZN US Equity","BS_LT_BORROW","FQ1 2017","FQ1 2017","Currency=USD","Period=FQ","BEST_FPERIOD_OVERRIDE=FQ","FILING_STATUS=MR","SCALING_FORMAT=MLN","Sort=A","Dates=H","DateFormat=P","Fill=—","Direction=H","UseDPDF=Y")</f>
        <v>15991</v>
      </c>
      <c r="AJ52" s="13">
        <f>_xll.BDH("AMZN US Equity","BS_LT_BORROW","FQ2 2017","FQ2 2017","Currency=USD","Period=FQ","BEST_FPERIOD_OVERRIDE=FQ","FILING_STATUS=MR","SCALING_FORMAT=MLN","Sort=A","Dates=H","DateFormat=P","Fill=—","Direction=H","UseDPDF=Y")</f>
        <v>17483</v>
      </c>
      <c r="AK52" s="13">
        <f>_xll.BDH("AMZN US Equity","BS_LT_BORROW","FQ3 2017","FQ3 2017","Currency=USD","Period=FQ","BEST_FPERIOD_OVERRIDE=FQ","FILING_STATUS=MR","SCALING_FORMAT=MLN","Sort=A","Dates=H","DateFormat=P","Fill=—","Direction=H","UseDPDF=Y")</f>
        <v>36610</v>
      </c>
      <c r="AL52" s="13">
        <f>_xll.BDH("AMZN US Equity","BS_LT_BORROW","FQ4 2017","FQ4 2017","Currency=USD","Period=FQ","BEST_FPERIOD_OVERRIDE=FQ","FILING_STATUS=MR","SCALING_FORMAT=MLN","Sort=A","Dates=H","DateFormat=P","Fill=—","Direction=H","UseDPDF=Y")</f>
        <v>37926</v>
      </c>
      <c r="AM52" s="13">
        <f>_xll.BDH("AMZN US Equity","BS_LT_BORROW","FQ1 2018","FQ1 2018","Currency=USD","Period=FQ","BEST_FPERIOD_OVERRIDE=FQ","FILING_STATUS=MR","SCALING_FORMAT=MLN","Sort=A","Dates=H","DateFormat=P","Fill=—","Direction=H","UseDPDF=Y")</f>
        <v>37940</v>
      </c>
      <c r="AN52" s="13">
        <f>_xll.BDH("AMZN US Equity","BS_LT_BORROW","FQ2 2018","FQ2 2018","Currency=USD","Period=FQ","BEST_FPERIOD_OVERRIDE=FQ","FILING_STATUS=MR","SCALING_FORMAT=MLN","Sort=A","Dates=H","DateFormat=P","Fill=—","Direction=H","UseDPDF=Y")</f>
        <v>38838</v>
      </c>
    </row>
    <row r="53" spans="1:40" x14ac:dyDescent="0.25">
      <c r="A53" s="10" t="s">
        <v>296</v>
      </c>
      <c r="B53" s="10" t="s">
        <v>297</v>
      </c>
      <c r="C53" s="13">
        <f>_xll.BDH("AMZN US Equity","LONG_TERM_BORROWINGS_DETAILED","FQ1 2009","FQ1 2009","Currency=USD","Period=FQ","BEST_FPERIOD_OVERRIDE=FQ","FILING_STATUS=MR","SCALING_FORMAT=MLN","Sort=A","Dates=H","DateFormat=P","Fill=—","Direction=H","UseDPDF=Y")</f>
        <v>74</v>
      </c>
      <c r="D53" s="13">
        <f>_xll.BDH("AMZN US Equity","LONG_TERM_BORROWINGS_DETAILED","FQ2 2009","FQ2 2009","Currency=USD","Period=FQ","BEST_FPERIOD_OVERRIDE=FQ","FILING_STATUS=MR","SCALING_FORMAT=MLN","Sort=A","Dates=H","DateFormat=P","Fill=—","Direction=H","UseDPDF=Y")</f>
        <v>109</v>
      </c>
      <c r="E53" s="13">
        <f>_xll.BDH("AMZN US Equity","LONG_TERM_BORROWINGS_DETAILED","FQ3 2009","FQ3 2009","Currency=USD","Period=FQ","BEST_FPERIOD_OVERRIDE=FQ","FILING_STATUS=MR","SCALING_FORMAT=MLN","Sort=A","Dates=H","DateFormat=P","Fill=—","Direction=H","UseDPDF=Y")</f>
        <v>116</v>
      </c>
      <c r="F53" s="13">
        <f>_xll.BDH("AMZN US Equity","LONG_TERM_BORROWINGS_DETAILED","FQ4 2009","FQ4 2009","Currency=USD","Period=FQ","BEST_FPERIOD_OVERRIDE=FQ","FILING_STATUS=MR","SCALING_FORMAT=MLN","Sort=A","Dates=H","DateFormat=P","Fill=—","Direction=H","UseDPDF=Y")</f>
        <v>97</v>
      </c>
      <c r="G53" s="13">
        <f>_xll.BDH("AMZN US Equity","LONG_TERM_BORROWINGS_DETAILED","FQ1 2010","FQ1 2010","Currency=USD","Period=FQ","BEST_FPERIOD_OVERRIDE=FQ","FILING_STATUS=MR","SCALING_FORMAT=MLN","Sort=A","Dates=H","DateFormat=P","Fill=—","Direction=H","UseDPDF=Y")</f>
        <v>131</v>
      </c>
      <c r="H53" s="13">
        <f>_xll.BDH("AMZN US Equity","LONG_TERM_BORROWINGS_DETAILED","FQ2 2010","FQ2 2010","Currency=USD","Period=FQ","BEST_FPERIOD_OVERRIDE=FQ","FILING_STATUS=MR","SCALING_FORMAT=MLN","Sort=A","Dates=H","DateFormat=P","Fill=—","Direction=H","UseDPDF=Y")</f>
        <v>132</v>
      </c>
      <c r="I53" s="13">
        <f>_xll.BDH("AMZN US Equity","LONG_TERM_BORROWINGS_DETAILED","FQ3 2010","FQ3 2010","Currency=USD","Period=FQ","BEST_FPERIOD_OVERRIDE=FQ","FILING_STATUS=MR","SCALING_FORMAT=MLN","Sort=A","Dates=H","DateFormat=P","Fill=—","Direction=H","UseDPDF=Y")</f>
        <v>164</v>
      </c>
      <c r="J53" s="13">
        <f>_xll.BDH("AMZN US Equity","LONG_TERM_BORROWINGS_DETAILED","FQ4 2010","FQ4 2010","Currency=USD","Period=FQ","BEST_FPERIOD_OVERRIDE=FQ","FILING_STATUS=MR","SCALING_FORMAT=MLN","Sort=A","Dates=H","DateFormat=P","Fill=—","Direction=H","UseDPDF=Y")</f>
        <v>184</v>
      </c>
      <c r="K53" s="13">
        <f>_xll.BDH("AMZN US Equity","LONG_TERM_BORROWINGS_DETAILED","FQ1 2011","FQ1 2011","Currency=USD","Period=FQ","BEST_FPERIOD_OVERRIDE=FQ","FILING_STATUS=MR","SCALING_FORMAT=MLN","Sort=A","Dates=H","DateFormat=P","Fill=—","Direction=H","UseDPDF=Y")</f>
        <v>0</v>
      </c>
      <c r="L53" s="13">
        <f>_xll.BDH("AMZN US Equity","LONG_TERM_BORROWINGS_DETAILED","FQ2 2011","FQ2 2011","Currency=USD","Period=FQ","BEST_FPERIOD_OVERRIDE=FQ","FILING_STATUS=MR","SCALING_FORMAT=MLN","Sort=A","Dates=H","DateFormat=P","Fill=—","Direction=H","UseDPDF=Y")</f>
        <v>0</v>
      </c>
      <c r="M53" s="13">
        <f>_xll.BDH("AMZN US Equity","LONG_TERM_BORROWINGS_DETAILED","FQ3 2011","FQ3 2011","Currency=USD","Period=FQ","BEST_FPERIOD_OVERRIDE=FQ","FILING_STATUS=MR","SCALING_FORMAT=MLN","Sort=A","Dates=H","DateFormat=P","Fill=—","Direction=H","UseDPDF=Y")</f>
        <v>0</v>
      </c>
      <c r="N53" s="13">
        <f>_xll.BDH("AMZN US Equity","LONG_TERM_BORROWINGS_DETAILED","FQ4 2011","FQ4 2011","Currency=USD","Period=FQ","BEST_FPERIOD_OVERRIDE=FQ","FILING_STATUS=MR","SCALING_FORMAT=MLN","Sort=A","Dates=H","DateFormat=P","Fill=—","Direction=H","UseDPDF=Y")</f>
        <v>817</v>
      </c>
      <c r="O53" s="13">
        <f>_xll.BDH("AMZN US Equity","LONG_TERM_BORROWINGS_DETAILED","FQ1 2012","FQ1 2012","Currency=USD","Period=FQ","BEST_FPERIOD_OVERRIDE=FQ","FILING_STATUS=MR","SCALING_FORMAT=MLN","Sort=A","Dates=H","DateFormat=P","Fill=—","Direction=H","UseDPDF=Y")</f>
        <v>0</v>
      </c>
      <c r="P53" s="13">
        <f>_xll.BDH("AMZN US Equity","LONG_TERM_BORROWINGS_DETAILED","FQ2 2012","FQ2 2012","Currency=USD","Period=FQ","BEST_FPERIOD_OVERRIDE=FQ","FILING_STATUS=MR","SCALING_FORMAT=MLN","Sort=A","Dates=H","DateFormat=P","Fill=—","Direction=H","UseDPDF=Y")</f>
        <v>0</v>
      </c>
      <c r="Q53" s="13">
        <f>_xll.BDH("AMZN US Equity","LONG_TERM_BORROWINGS_DETAILED","FQ3 2012","FQ3 2012","Currency=USD","Period=FQ","BEST_FPERIOD_OVERRIDE=FQ","FILING_STATUS=MR","SCALING_FORMAT=MLN","Sort=A","Dates=H","DateFormat=P","Fill=—","Direction=H","UseDPDF=Y")</f>
        <v>0</v>
      </c>
      <c r="R53" s="13">
        <f>_xll.BDH("AMZN US Equity","LONG_TERM_BORROWINGS_DETAILED","FQ4 2012","FQ4 2012","Currency=USD","Period=FQ","BEST_FPERIOD_OVERRIDE=FQ","FILING_STATUS=MR","SCALING_FORMAT=MLN","Sort=A","Dates=H","DateFormat=P","Fill=—","Direction=H","UseDPDF=Y")</f>
        <v>3093</v>
      </c>
      <c r="S53" s="13">
        <f>_xll.BDH("AMZN US Equity","LONG_TERM_BORROWINGS_DETAILED","FQ1 2013","FQ1 2013","Currency=USD","Period=FQ","BEST_FPERIOD_OVERRIDE=FQ","FILING_STATUS=MR","SCALING_FORMAT=MLN","Sort=A","Dates=H","DateFormat=P","Fill=—","Direction=H","UseDPDF=Y")</f>
        <v>3040</v>
      </c>
      <c r="T53" s="13">
        <f>_xll.BDH("AMZN US Equity","LONG_TERM_BORROWINGS_DETAILED","FQ2 2013","FQ2 2013","Currency=USD","Period=FQ","BEST_FPERIOD_OVERRIDE=FQ","FILING_STATUS=MR","SCALING_FORMAT=MLN","Sort=A","Dates=H","DateFormat=P","Fill=—","Direction=H","UseDPDF=Y")</f>
        <v>3042</v>
      </c>
      <c r="U53" s="13">
        <f>_xll.BDH("AMZN US Equity","LONG_TERM_BORROWINGS_DETAILED","FQ3 2013","FQ3 2013","Currency=USD","Period=FQ","BEST_FPERIOD_OVERRIDE=FQ","FILING_STATUS=MR","SCALING_FORMAT=MLN","Sort=A","Dates=H","DateFormat=P","Fill=—","Direction=H","UseDPDF=Y")</f>
        <v>3043</v>
      </c>
      <c r="V53" s="13">
        <f>_xll.BDH("AMZN US Equity","LONG_TERM_BORROWINGS_DETAILED","FQ4 2013","FQ4 2013","Currency=USD","Period=FQ","BEST_FPERIOD_OVERRIDE=FQ","FILING_STATUS=MR","SCALING_FORMAT=MLN","Sort=A","Dates=H","DateFormat=P","Fill=—","Direction=H","UseDPDF=Y")</f>
        <v>3746</v>
      </c>
      <c r="W53" s="13">
        <f>_xll.BDH("AMZN US Equity","LONG_TERM_BORROWINGS_DETAILED","FQ1 2014","FQ1 2014","Currency=USD","Period=FQ","BEST_FPERIOD_OVERRIDE=FQ","FILING_STATUS=MR","SCALING_FORMAT=MLN","Sort=A","Dates=H","DateFormat=P","Fill=—","Direction=H","UseDPDF=Y")</f>
        <v>3147</v>
      </c>
      <c r="X53" s="13">
        <f>_xll.BDH("AMZN US Equity","LONG_TERM_BORROWINGS_DETAILED","FQ2 2014","FQ2 2014","Currency=USD","Period=FQ","BEST_FPERIOD_OVERRIDE=FQ","FILING_STATUS=MR","SCALING_FORMAT=MLN","Sort=A","Dates=H","DateFormat=P","Fill=—","Direction=H","UseDPDF=Y")</f>
        <v>3119</v>
      </c>
      <c r="Y53" s="13">
        <f>_xll.BDH("AMZN US Equity","LONG_TERM_BORROWINGS_DETAILED","FQ3 2014","FQ3 2014","Currency=USD","Period=FQ","BEST_FPERIOD_OVERRIDE=FQ","FILING_STATUS=MR","SCALING_FORMAT=MLN","Sort=A","Dates=H","DateFormat=P","Fill=—","Direction=H","UseDPDF=Y")</f>
        <v>3099</v>
      </c>
      <c r="Z53" s="13">
        <f>_xll.BDH("AMZN US Equity","LONG_TERM_BORROWINGS_DETAILED","FQ4 2014","FQ4 2014","Currency=USD","Period=FQ","BEST_FPERIOD_OVERRIDE=FQ","FILING_STATUS=MR","SCALING_FORMAT=MLN","Sort=A","Dates=H","DateFormat=P","Fill=—","Direction=H","UseDPDF=Y")</f>
        <v>8265</v>
      </c>
      <c r="AA53" s="13">
        <f>_xll.BDH("AMZN US Equity","LONG_TERM_BORROWINGS_DETAILED","FQ1 2015","FQ1 2015","Currency=USD","Period=FQ","BEST_FPERIOD_OVERRIDE=FQ","FILING_STATUS=MR","SCALING_FORMAT=MLN","Sort=A","Dates=H","DateFormat=P","Fill=—","Direction=H","UseDPDF=Y")</f>
        <v>8257</v>
      </c>
      <c r="AB53" s="13">
        <f>_xll.BDH("AMZN US Equity","LONG_TERM_BORROWINGS_DETAILED","FQ2 2015","FQ2 2015","Currency=USD","Period=FQ","BEST_FPERIOD_OVERRIDE=FQ","FILING_STATUS=MR","SCALING_FORMAT=MLN","Sort=A","Dates=H","DateFormat=P","Fill=—","Direction=H","UseDPDF=Y")</f>
        <v>8250</v>
      </c>
      <c r="AC53" s="13">
        <f>_xll.BDH("AMZN US Equity","LONG_TERM_BORROWINGS_DETAILED","FQ3 2015","FQ3 2015","Currency=USD","Period=FQ","BEST_FPERIOD_OVERRIDE=FQ","FILING_STATUS=MR","SCALING_FORMAT=MLN","Sort=A","Dates=H","DateFormat=P","Fill=—","Direction=H","UseDPDF=Y")</f>
        <v>8243</v>
      </c>
      <c r="AD53" s="13">
        <f>_xll.BDH("AMZN US Equity","LONG_TERM_BORROWINGS_DETAILED","FQ4 2015","FQ4 2015","Currency=USD","Period=FQ","BEST_FPERIOD_OVERRIDE=FQ","FILING_STATUS=MR","SCALING_FORMAT=MLN","Sort=A","Dates=H","DateFormat=P","Fill=—","Direction=H","UseDPDF=Y")</f>
        <v>8227</v>
      </c>
      <c r="AE53" s="13">
        <f>_xll.BDH("AMZN US Equity","LONG_TERM_BORROWINGS_DETAILED","FQ1 2016","FQ1 2016","Currency=USD","Period=FQ","BEST_FPERIOD_OVERRIDE=FQ","FILING_STATUS=MR","SCALING_FORMAT=MLN","Sort=A","Dates=H","DateFormat=P","Fill=—","Direction=H","UseDPDF=Y")</f>
        <v>8219</v>
      </c>
      <c r="AF53" s="13">
        <f>_xll.BDH("AMZN US Equity","LONG_TERM_BORROWINGS_DETAILED","FQ2 2016","FQ2 2016","Currency=USD","Period=FQ","BEST_FPERIOD_OVERRIDE=FQ","FILING_STATUS=MR","SCALING_FORMAT=MLN","Sort=A","Dates=H","DateFormat=P","Fill=—","Direction=H","UseDPDF=Y")</f>
        <v>8212</v>
      </c>
      <c r="AG53" s="13">
        <f>_xll.BDH("AMZN US Equity","LONG_TERM_BORROWINGS_DETAILED","FQ3 2016","FQ3 2016","Currency=USD","Period=FQ","BEST_FPERIOD_OVERRIDE=FQ","FILING_STATUS=MR","SCALING_FORMAT=MLN","Sort=A","Dates=H","DateFormat=P","Fill=—","Direction=H","UseDPDF=Y")</f>
        <v>8205</v>
      </c>
      <c r="AH53" s="13">
        <f>_xll.BDH("AMZN US Equity","LONG_TERM_BORROWINGS_DETAILED","FQ4 2016","FQ4 2016","Currency=USD","Period=FQ","BEST_FPERIOD_OVERRIDE=FQ","FILING_STATUS=MR","SCALING_FORMAT=MLN","Sort=A","Dates=H","DateFormat=P","Fill=—","Direction=H","UseDPDF=Y")</f>
        <v>7694</v>
      </c>
      <c r="AI53" s="13">
        <f>_xll.BDH("AMZN US Equity","LONG_TERM_BORROWINGS_DETAILED","FQ1 2017","FQ1 2017","Currency=USD","Period=FQ","BEST_FPERIOD_OVERRIDE=FQ","FILING_STATUS=MR","SCALING_FORMAT=MLN","Sort=A","Dates=H","DateFormat=P","Fill=—","Direction=H","UseDPDF=Y")</f>
        <v>7691</v>
      </c>
      <c r="AJ53" s="13">
        <f>_xll.BDH("AMZN US Equity","LONG_TERM_BORROWINGS_DETAILED","FQ2 2017","FQ2 2017","Currency=USD","Period=FQ","BEST_FPERIOD_OVERRIDE=FQ","FILING_STATUS=MR","SCALING_FORMAT=MLN","Sort=A","Dates=H","DateFormat=P","Fill=—","Direction=H","UseDPDF=Y")</f>
        <v>7683</v>
      </c>
      <c r="AK53" s="13">
        <f>_xll.BDH("AMZN US Equity","LONG_TERM_BORROWINGS_DETAILED","FQ3 2017","FQ3 2017","Currency=USD","Period=FQ","BEST_FPERIOD_OVERRIDE=FQ","FILING_STATUS=MR","SCALING_FORMAT=MLN","Sort=A","Dates=H","DateFormat=P","Fill=—","Direction=H","UseDPDF=Y")</f>
        <v>24710</v>
      </c>
      <c r="AL53" s="13">
        <f>_xll.BDH("AMZN US Equity","LONG_TERM_BORROWINGS_DETAILED","FQ4 2017","FQ4 2017","Currency=USD","Period=FQ","BEST_FPERIOD_OVERRIDE=FQ","FILING_STATUS=MR","SCALING_FORMAT=MLN","Sort=A","Dates=H","DateFormat=P","Fill=—","Direction=H","UseDPDF=Y")</f>
        <v>24743</v>
      </c>
      <c r="AM53" s="13">
        <f>_xll.BDH("AMZN US Equity","LONG_TERM_BORROWINGS_DETAILED","FQ1 2018","FQ1 2018","Currency=USD","Period=FQ","BEST_FPERIOD_OVERRIDE=FQ","FILING_STATUS=MR","SCALING_FORMAT=MLN","Sort=A","Dates=H","DateFormat=P","Fill=—","Direction=H","UseDPDF=Y")</f>
        <v>24640</v>
      </c>
      <c r="AN53" s="13">
        <f>_xll.BDH("AMZN US Equity","LONG_TERM_BORROWINGS_DETAILED","FQ2 2018","FQ2 2018","Currency=USD","Period=FQ","BEST_FPERIOD_OVERRIDE=FQ","FILING_STATUS=MR","SCALING_FORMAT=MLN","Sort=A","Dates=H","DateFormat=P","Fill=—","Direction=H","UseDPDF=Y")</f>
        <v>24638</v>
      </c>
    </row>
    <row r="54" spans="1:40" x14ac:dyDescent="0.25">
      <c r="A54" s="10" t="s">
        <v>298</v>
      </c>
      <c r="B54" s="10" t="s">
        <v>299</v>
      </c>
      <c r="C54" s="13" t="str">
        <f>_xll.BDH("AMZN US Equity","LT_CAPITAL_LEASE_OBLIGATIONS","FQ1 2009","FQ1 2009","Currency=USD","Period=FQ","BEST_FPERIOD_OVERRIDE=FQ","FILING_STATUS=MR","SCALING_FORMAT=MLN","Sort=A","Dates=H","DateFormat=P","Fill=—","Direction=H","UseDPDF=Y")</f>
        <v>—</v>
      </c>
      <c r="D54" s="13" t="str">
        <f>_xll.BDH("AMZN US Equity","LT_CAPITAL_LEASE_OBLIGATIONS","FQ2 2009","FQ2 2009","Currency=USD","Period=FQ","BEST_FPERIOD_OVERRIDE=FQ","FILING_STATUS=MR","SCALING_FORMAT=MLN","Sort=A","Dates=H","DateFormat=P","Fill=—","Direction=H","UseDPDF=Y")</f>
        <v>—</v>
      </c>
      <c r="E54" s="13" t="str">
        <f>_xll.BDH("AMZN US Equity","LT_CAPITAL_LEASE_OBLIGATIONS","FQ3 2009","FQ3 2009","Currency=USD","Period=FQ","BEST_FPERIOD_OVERRIDE=FQ","FILING_STATUS=MR","SCALING_FORMAT=MLN","Sort=A","Dates=H","DateFormat=P","Fill=—","Direction=H","UseDPDF=Y")</f>
        <v>—</v>
      </c>
      <c r="F54" s="13">
        <f>_xll.BDH("AMZN US Equity","LT_CAPITAL_LEASE_OBLIGATIONS","FQ4 2009","FQ4 2009","Currency=USD","Period=FQ","BEST_FPERIOD_OVERRIDE=FQ","FILING_STATUS=MR","SCALING_FORMAT=MLN","Sort=A","Dates=H","DateFormat=P","Fill=—","Direction=H","UseDPDF=Y")</f>
        <v>143</v>
      </c>
      <c r="G54" s="13" t="str">
        <f>_xll.BDH("AMZN US Equity","LT_CAPITAL_LEASE_OBLIGATIONS","FQ1 2010","FQ1 2010","Currency=USD","Period=FQ","BEST_FPERIOD_OVERRIDE=FQ","FILING_STATUS=MR","SCALING_FORMAT=MLN","Sort=A","Dates=H","DateFormat=P","Fill=—","Direction=H","UseDPDF=Y")</f>
        <v>—</v>
      </c>
      <c r="H54" s="13" t="str">
        <f>_xll.BDH("AMZN US Equity","LT_CAPITAL_LEASE_OBLIGATIONS","FQ2 2010","FQ2 2010","Currency=USD","Period=FQ","BEST_FPERIOD_OVERRIDE=FQ","FILING_STATUS=MR","SCALING_FORMAT=MLN","Sort=A","Dates=H","DateFormat=P","Fill=—","Direction=H","UseDPDF=Y")</f>
        <v>—</v>
      </c>
      <c r="I54" s="13" t="str">
        <f>_xll.BDH("AMZN US Equity","LT_CAPITAL_LEASE_OBLIGATIONS","FQ3 2010","FQ3 2010","Currency=USD","Period=FQ","BEST_FPERIOD_OVERRIDE=FQ","FILING_STATUS=MR","SCALING_FORMAT=MLN","Sort=A","Dates=H","DateFormat=P","Fill=—","Direction=H","UseDPDF=Y")</f>
        <v>—</v>
      </c>
      <c r="J54" s="13">
        <f>_xll.BDH("AMZN US Equity","LT_CAPITAL_LEASE_OBLIGATIONS","FQ4 2010","FQ4 2010","Currency=USD","Period=FQ","BEST_FPERIOD_OVERRIDE=FQ","FILING_STATUS=MR","SCALING_FORMAT=MLN","Sort=A","Dates=H","DateFormat=P","Fill=—","Direction=H","UseDPDF=Y")</f>
        <v>276</v>
      </c>
      <c r="K54" s="13" t="str">
        <f>_xll.BDH("AMZN US Equity","LT_CAPITAL_LEASE_OBLIGATIONS","FQ1 2011","FQ1 2011","Currency=USD","Period=FQ","BEST_FPERIOD_OVERRIDE=FQ","FILING_STATUS=MR","SCALING_FORMAT=MLN","Sort=A","Dates=H","DateFormat=P","Fill=—","Direction=H","UseDPDF=Y")</f>
        <v>—</v>
      </c>
      <c r="L54" s="13" t="str">
        <f>_xll.BDH("AMZN US Equity","LT_CAPITAL_LEASE_OBLIGATIONS","FQ2 2011","FQ2 2011","Currency=USD","Period=FQ","BEST_FPERIOD_OVERRIDE=FQ","FILING_STATUS=MR","SCALING_FORMAT=MLN","Sort=A","Dates=H","DateFormat=P","Fill=—","Direction=H","UseDPDF=Y")</f>
        <v>—</v>
      </c>
      <c r="M54" s="13" t="str">
        <f>_xll.BDH("AMZN US Equity","LT_CAPITAL_LEASE_OBLIGATIONS","FQ3 2011","FQ3 2011","Currency=USD","Period=FQ","BEST_FPERIOD_OVERRIDE=FQ","FILING_STATUS=MR","SCALING_FORMAT=MLN","Sort=A","Dates=H","DateFormat=P","Fill=—","Direction=H","UseDPDF=Y")</f>
        <v>—</v>
      </c>
      <c r="N54" s="13">
        <f>_xll.BDH("AMZN US Equity","LT_CAPITAL_LEASE_OBLIGATIONS","FQ4 2011","FQ4 2011","Currency=USD","Period=FQ","BEST_FPERIOD_OVERRIDE=FQ","FILING_STATUS=MR","SCALING_FORMAT=MLN","Sort=A","Dates=H","DateFormat=P","Fill=—","Direction=H","UseDPDF=Y")</f>
        <v>598</v>
      </c>
      <c r="O54" s="13" t="str">
        <f>_xll.BDH("AMZN US Equity","LT_CAPITAL_LEASE_OBLIGATIONS","FQ1 2012","FQ1 2012","Currency=USD","Period=FQ","BEST_FPERIOD_OVERRIDE=FQ","FILING_STATUS=MR","SCALING_FORMAT=MLN","Sort=A","Dates=H","DateFormat=P","Fill=—","Direction=H","UseDPDF=Y")</f>
        <v>—</v>
      </c>
      <c r="P54" s="13" t="str">
        <f>_xll.BDH("AMZN US Equity","LT_CAPITAL_LEASE_OBLIGATIONS","FQ2 2012","FQ2 2012","Currency=USD","Period=FQ","BEST_FPERIOD_OVERRIDE=FQ","FILING_STATUS=MR","SCALING_FORMAT=MLN","Sort=A","Dates=H","DateFormat=P","Fill=—","Direction=H","UseDPDF=Y")</f>
        <v>—</v>
      </c>
      <c r="Q54" s="13" t="str">
        <f>_xll.BDH("AMZN US Equity","LT_CAPITAL_LEASE_OBLIGATIONS","FQ3 2012","FQ3 2012","Currency=USD","Period=FQ","BEST_FPERIOD_OVERRIDE=FQ","FILING_STATUS=MR","SCALING_FORMAT=MLN","Sort=A","Dates=H","DateFormat=P","Fill=—","Direction=H","UseDPDF=Y")</f>
        <v>—</v>
      </c>
      <c r="R54" s="13">
        <f>_xll.BDH("AMZN US Equity","LT_CAPITAL_LEASE_OBLIGATIONS","FQ4 2012","FQ4 2012","Currency=USD","Period=FQ","BEST_FPERIOD_OVERRIDE=FQ","FILING_STATUS=MR","SCALING_FORMAT=MLN","Sort=A","Dates=H","DateFormat=P","Fill=—","Direction=H","UseDPDF=Y")</f>
        <v>737</v>
      </c>
      <c r="S54" s="13" t="str">
        <f>_xll.BDH("AMZN US Equity","LT_CAPITAL_LEASE_OBLIGATIONS","FQ1 2013","FQ1 2013","Currency=USD","Period=FQ","BEST_FPERIOD_OVERRIDE=FQ","FILING_STATUS=MR","SCALING_FORMAT=MLN","Sort=A","Dates=H","DateFormat=P","Fill=—","Direction=H","UseDPDF=Y")</f>
        <v>—</v>
      </c>
      <c r="T54" s="13" t="str">
        <f>_xll.BDH("AMZN US Equity","LT_CAPITAL_LEASE_OBLIGATIONS","FQ2 2013","FQ2 2013","Currency=USD","Period=FQ","BEST_FPERIOD_OVERRIDE=FQ","FILING_STATUS=MR","SCALING_FORMAT=MLN","Sort=A","Dates=H","DateFormat=P","Fill=—","Direction=H","UseDPDF=Y")</f>
        <v>—</v>
      </c>
      <c r="U54" s="13" t="str">
        <f>_xll.BDH("AMZN US Equity","LT_CAPITAL_LEASE_OBLIGATIONS","FQ3 2013","FQ3 2013","Currency=USD","Period=FQ","BEST_FPERIOD_OVERRIDE=FQ","FILING_STATUS=MR","SCALING_FORMAT=MLN","Sort=A","Dates=H","DateFormat=P","Fill=—","Direction=H","UseDPDF=Y")</f>
        <v>—</v>
      </c>
      <c r="V54" s="13">
        <f>_xll.BDH("AMZN US Equity","LT_CAPITAL_LEASE_OBLIGATIONS","FQ4 2013","FQ4 2013","Currency=USD","Period=FQ","BEST_FPERIOD_OVERRIDE=FQ","FILING_STATUS=MR","SCALING_FORMAT=MLN","Sort=A","Dates=H","DateFormat=P","Fill=—","Direction=H","UseDPDF=Y")</f>
        <v>1435</v>
      </c>
      <c r="W54" s="13" t="str">
        <f>_xll.BDH("AMZN US Equity","LT_CAPITAL_LEASE_OBLIGATIONS","FQ1 2014","FQ1 2014","Currency=USD","Period=FQ","BEST_FPERIOD_OVERRIDE=FQ","FILING_STATUS=MR","SCALING_FORMAT=MLN","Sort=A","Dates=H","DateFormat=P","Fill=—","Direction=H","UseDPDF=Y")</f>
        <v>—</v>
      </c>
      <c r="X54" s="13" t="str">
        <f>_xll.BDH("AMZN US Equity","LT_CAPITAL_LEASE_OBLIGATIONS","FQ2 2014","FQ2 2014","Currency=USD","Period=FQ","BEST_FPERIOD_OVERRIDE=FQ","FILING_STATUS=MR","SCALING_FORMAT=MLN","Sort=A","Dates=H","DateFormat=P","Fill=—","Direction=H","UseDPDF=Y")</f>
        <v>—</v>
      </c>
      <c r="Y54" s="13" t="str">
        <f>_xll.BDH("AMZN US Equity","LT_CAPITAL_LEASE_OBLIGATIONS","FQ3 2014","FQ3 2014","Currency=USD","Period=FQ","BEST_FPERIOD_OVERRIDE=FQ","FILING_STATUS=MR","SCALING_FORMAT=MLN","Sort=A","Dates=H","DateFormat=P","Fill=—","Direction=H","UseDPDF=Y")</f>
        <v>—</v>
      </c>
      <c r="Z54" s="13">
        <f>_xll.BDH("AMZN US Equity","LT_CAPITAL_LEASE_OBLIGATIONS","FQ4 2014","FQ4 2014","Currency=USD","Period=FQ","BEST_FPERIOD_OVERRIDE=FQ","FILING_STATUS=MR","SCALING_FORMAT=MLN","Sort=A","Dates=H","DateFormat=P","Fill=—","Direction=H","UseDPDF=Y")</f>
        <v>4224</v>
      </c>
      <c r="AA54" s="13" t="str">
        <f>_xll.BDH("AMZN US Equity","LT_CAPITAL_LEASE_OBLIGATIONS","FQ1 2015","FQ1 2015","Currency=USD","Period=FQ","BEST_FPERIOD_OVERRIDE=FQ","FILING_STATUS=MR","SCALING_FORMAT=MLN","Sort=A","Dates=H","DateFormat=P","Fill=—","Direction=H","UseDPDF=Y")</f>
        <v>—</v>
      </c>
      <c r="AB54" s="13" t="str">
        <f>_xll.BDH("AMZN US Equity","LT_CAPITAL_LEASE_OBLIGATIONS","FQ2 2015","FQ2 2015","Currency=USD","Period=FQ","BEST_FPERIOD_OVERRIDE=FQ","FILING_STATUS=MR","SCALING_FORMAT=MLN","Sort=A","Dates=H","DateFormat=P","Fill=—","Direction=H","UseDPDF=Y")</f>
        <v>—</v>
      </c>
      <c r="AC54" s="13" t="str">
        <f>_xll.BDH("AMZN US Equity","LT_CAPITAL_LEASE_OBLIGATIONS","FQ3 2015","FQ3 2015","Currency=USD","Period=FQ","BEST_FPERIOD_OVERRIDE=FQ","FILING_STATUS=MR","SCALING_FORMAT=MLN","Sort=A","Dates=H","DateFormat=P","Fill=—","Direction=H","UseDPDF=Y")</f>
        <v>—</v>
      </c>
      <c r="AD54" s="13">
        <f>_xll.BDH("AMZN US Equity","LT_CAPITAL_LEASE_OBLIGATIONS","FQ4 2015","FQ4 2015","Currency=USD","Period=FQ","BEST_FPERIOD_OVERRIDE=FQ","FILING_STATUS=MR","SCALING_FORMAT=MLN","Sort=A","Dates=H","DateFormat=P","Fill=—","Direction=H","UseDPDF=Y")</f>
        <v>5948</v>
      </c>
      <c r="AE54" s="13">
        <f>_xll.BDH("AMZN US Equity","LT_CAPITAL_LEASE_OBLIGATIONS","FQ1 2016","FQ1 2016","Currency=USD","Period=FQ","BEST_FPERIOD_OVERRIDE=FQ","FILING_STATUS=MR","SCALING_FORMAT=MLN","Sort=A","Dates=H","DateFormat=P","Fill=—","Direction=H","UseDPDF=Y")</f>
        <v>6000</v>
      </c>
      <c r="AF54" s="13">
        <f>_xll.BDH("AMZN US Equity","LT_CAPITAL_LEASE_OBLIGATIONS","FQ2 2016","FQ2 2016","Currency=USD","Period=FQ","BEST_FPERIOD_OVERRIDE=FQ","FILING_STATUS=MR","SCALING_FORMAT=MLN","Sort=A","Dates=H","DateFormat=P","Fill=—","Direction=H","UseDPDF=Y")</f>
        <v>6100</v>
      </c>
      <c r="AG54" s="13">
        <f>_xll.BDH("AMZN US Equity","LT_CAPITAL_LEASE_OBLIGATIONS","FQ3 2016","FQ3 2016","Currency=USD","Period=FQ","BEST_FPERIOD_OVERRIDE=FQ","FILING_STATUS=MR","SCALING_FORMAT=MLN","Sort=A","Dates=H","DateFormat=P","Fill=—","Direction=H","UseDPDF=Y")</f>
        <v>6900</v>
      </c>
      <c r="AH54" s="13">
        <f>_xll.BDH("AMZN US Equity","LT_CAPITAL_LEASE_OBLIGATIONS","FQ4 2016","FQ4 2016","Currency=USD","Period=FQ","BEST_FPERIOD_OVERRIDE=FQ","FILING_STATUS=MR","SCALING_FORMAT=MLN","Sort=A","Dates=H","DateFormat=P","Fill=—","Direction=H","UseDPDF=Y")</f>
        <v>7519</v>
      </c>
      <c r="AI54" s="13">
        <f>_xll.BDH("AMZN US Equity","LT_CAPITAL_LEASE_OBLIGATIONS","FQ1 2017","FQ1 2017","Currency=USD","Period=FQ","BEST_FPERIOD_OVERRIDE=FQ","FILING_STATUS=MR","SCALING_FORMAT=MLN","Sort=A","Dates=H","DateFormat=P","Fill=—","Direction=H","UseDPDF=Y")</f>
        <v>8300</v>
      </c>
      <c r="AJ54" s="13">
        <f>_xll.BDH("AMZN US Equity","LT_CAPITAL_LEASE_OBLIGATIONS","FQ2 2017","FQ2 2017","Currency=USD","Period=FQ","BEST_FPERIOD_OVERRIDE=FQ","FILING_STATUS=MR","SCALING_FORMAT=MLN","Sort=A","Dates=H","DateFormat=P","Fill=—","Direction=H","UseDPDF=Y")</f>
        <v>9800</v>
      </c>
      <c r="AK54" s="13">
        <f>_xll.BDH("AMZN US Equity","LT_CAPITAL_LEASE_OBLIGATIONS","FQ3 2017","FQ3 2017","Currency=USD","Period=FQ","BEST_FPERIOD_OVERRIDE=FQ","FILING_STATUS=MR","SCALING_FORMAT=MLN","Sort=A","Dates=H","DateFormat=P","Fill=—","Direction=H","UseDPDF=Y")</f>
        <v>11900</v>
      </c>
      <c r="AL54" s="13">
        <f>_xll.BDH("AMZN US Equity","LT_CAPITAL_LEASE_OBLIGATIONS","FQ4 2017","FQ4 2017","Currency=USD","Period=FQ","BEST_FPERIOD_OVERRIDE=FQ","FILING_STATUS=MR","SCALING_FORMAT=MLN","Sort=A","Dates=H","DateFormat=P","Fill=—","Direction=H","UseDPDF=Y")</f>
        <v>13183</v>
      </c>
      <c r="AM54" s="13">
        <f>_xll.BDH("AMZN US Equity","LT_CAPITAL_LEASE_OBLIGATIONS","FQ1 2018","FQ1 2018","Currency=USD","Period=FQ","BEST_FPERIOD_OVERRIDE=FQ","FILING_STATUS=MR","SCALING_FORMAT=MLN","Sort=A","Dates=H","DateFormat=P","Fill=—","Direction=H","UseDPDF=Y")</f>
        <v>13300</v>
      </c>
      <c r="AN54" s="13">
        <f>_xll.BDH("AMZN US Equity","LT_CAPITAL_LEASE_OBLIGATIONS","FQ2 2018","FQ2 2018","Currency=USD","Period=FQ","BEST_FPERIOD_OVERRIDE=FQ","FILING_STATUS=MR","SCALING_FORMAT=MLN","Sort=A","Dates=H","DateFormat=P","Fill=—","Direction=H","UseDPDF=Y")</f>
        <v>14200</v>
      </c>
    </row>
    <row r="55" spans="1:40" x14ac:dyDescent="0.25">
      <c r="A55" s="10" t="s">
        <v>300</v>
      </c>
      <c r="B55" s="10" t="s">
        <v>301</v>
      </c>
      <c r="C55" s="13">
        <f>_xll.BDH("AMZN US Equity","OTHER_NONCUR_LIABS_SUB_DETAILED","FQ1 2009","FQ1 2009","Currency=USD","Period=FQ","BEST_FPERIOD_OVERRIDE=FQ","FILING_STATUS=MR","SCALING_FORMAT=MLN","Sort=A","Dates=H","DateFormat=P","Fill=—","Direction=H","UseDPDF=Y")</f>
        <v>578</v>
      </c>
      <c r="D55" s="13">
        <f>_xll.BDH("AMZN US Equity","OTHER_NONCUR_LIABS_SUB_DETAILED","FQ2 2009","FQ2 2009","Currency=USD","Period=FQ","BEST_FPERIOD_OVERRIDE=FQ","FILING_STATUS=MR","SCALING_FORMAT=MLN","Sort=A","Dates=H","DateFormat=P","Fill=—","Direction=H","UseDPDF=Y")</f>
        <v>674</v>
      </c>
      <c r="E55" s="13">
        <f>_xll.BDH("AMZN US Equity","OTHER_NONCUR_LIABS_SUB_DETAILED","FQ3 2009","FQ3 2009","Currency=USD","Period=FQ","BEST_FPERIOD_OVERRIDE=FQ","FILING_STATUS=MR","SCALING_FORMAT=MLN","Sort=A","Dates=H","DateFormat=P","Fill=—","Direction=H","UseDPDF=Y")</f>
        <v>734</v>
      </c>
      <c r="F55" s="13">
        <f>_xll.BDH("AMZN US Equity","OTHER_NONCUR_LIABS_SUB_DETAILED","FQ4 2009","FQ4 2009","Currency=USD","Period=FQ","BEST_FPERIOD_OVERRIDE=FQ","FILING_STATUS=MR","SCALING_FORMAT=MLN","Sort=A","Dates=H","DateFormat=P","Fill=—","Direction=H","UseDPDF=Y")</f>
        <v>952</v>
      </c>
      <c r="G55" s="13">
        <f>_xll.BDH("AMZN US Equity","OTHER_NONCUR_LIABS_SUB_DETAILED","FQ1 2010","FQ1 2010","Currency=USD","Period=FQ","BEST_FPERIOD_OVERRIDE=FQ","FILING_STATUS=MR","SCALING_FORMAT=MLN","Sort=A","Dates=H","DateFormat=P","Fill=—","Direction=H","UseDPDF=Y")</f>
        <v>1100</v>
      </c>
      <c r="H55" s="13">
        <f>_xll.BDH("AMZN US Equity","OTHER_NONCUR_LIABS_SUB_DETAILED","FQ2 2010","FQ2 2010","Currency=USD","Period=FQ","BEST_FPERIOD_OVERRIDE=FQ","FILING_STATUS=MR","SCALING_FORMAT=MLN","Sort=A","Dates=H","DateFormat=P","Fill=—","Direction=H","UseDPDF=Y")</f>
        <v>1158</v>
      </c>
      <c r="I55" s="13">
        <f>_xll.BDH("AMZN US Equity","OTHER_NONCUR_LIABS_SUB_DETAILED","FQ3 2010","FQ3 2010","Currency=USD","Period=FQ","BEST_FPERIOD_OVERRIDE=FQ","FILING_STATUS=MR","SCALING_FORMAT=MLN","Sort=A","Dates=H","DateFormat=P","Fill=—","Direction=H","UseDPDF=Y")</f>
        <v>1226</v>
      </c>
      <c r="J55" s="13">
        <f>_xll.BDH("AMZN US Equity","OTHER_NONCUR_LIABS_SUB_DETAILED","FQ4 2010","FQ4 2010","Currency=USD","Period=FQ","BEST_FPERIOD_OVERRIDE=FQ","FILING_STATUS=MR","SCALING_FORMAT=MLN","Sort=A","Dates=H","DateFormat=P","Fill=—","Direction=H","UseDPDF=Y")</f>
        <v>1101</v>
      </c>
      <c r="K55" s="13">
        <f>_xll.BDH("AMZN US Equity","OTHER_NONCUR_LIABS_SUB_DETAILED","FQ1 2011","FQ1 2011","Currency=USD","Period=FQ","BEST_FPERIOD_OVERRIDE=FQ","FILING_STATUS=MR","SCALING_FORMAT=MLN","Sort=A","Dates=H","DateFormat=P","Fill=—","Direction=H","UseDPDF=Y")</f>
        <v>1805</v>
      </c>
      <c r="L55" s="13">
        <f>_xll.BDH("AMZN US Equity","OTHER_NONCUR_LIABS_SUB_DETAILED","FQ2 2011","FQ2 2011","Currency=USD","Period=FQ","BEST_FPERIOD_OVERRIDE=FQ","FILING_STATUS=MR","SCALING_FORMAT=MLN","Sort=A","Dates=H","DateFormat=P","Fill=—","Direction=H","UseDPDF=Y")</f>
        <v>2131</v>
      </c>
      <c r="M55" s="13">
        <f>_xll.BDH("AMZN US Equity","OTHER_NONCUR_LIABS_SUB_DETAILED","FQ3 2011","FQ3 2011","Currency=USD","Period=FQ","BEST_FPERIOD_OVERRIDE=FQ","FILING_STATUS=MR","SCALING_FORMAT=MLN","Sort=A","Dates=H","DateFormat=P","Fill=—","Direction=H","UseDPDF=Y")</f>
        <v>2310</v>
      </c>
      <c r="N55" s="13">
        <f>_xll.BDH("AMZN US Equity","OTHER_NONCUR_LIABS_SUB_DETAILED","FQ4 2011","FQ4 2011","Currency=USD","Period=FQ","BEST_FPERIOD_OVERRIDE=FQ","FILING_STATUS=MR","SCALING_FORMAT=MLN","Sort=A","Dates=H","DateFormat=P","Fill=—","Direction=H","UseDPDF=Y")</f>
        <v>1210</v>
      </c>
      <c r="O55" s="13">
        <f>_xll.BDH("AMZN US Equity","OTHER_NONCUR_LIABS_SUB_DETAILED","FQ1 2012","FQ1 2012","Currency=USD","Period=FQ","BEST_FPERIOD_OVERRIDE=FQ","FILING_STATUS=MR","SCALING_FORMAT=MLN","Sort=A","Dates=H","DateFormat=P","Fill=—","Direction=H","UseDPDF=Y")</f>
        <v>2580</v>
      </c>
      <c r="P55" s="13">
        <f>_xll.BDH("AMZN US Equity","OTHER_NONCUR_LIABS_SUB_DETAILED","FQ2 2012","FQ2 2012","Currency=USD","Period=FQ","BEST_FPERIOD_OVERRIDE=FQ","FILING_STATUS=MR","SCALING_FORMAT=MLN","Sort=A","Dates=H","DateFormat=P","Fill=—","Direction=H","UseDPDF=Y")</f>
        <v>2553</v>
      </c>
      <c r="Q55" s="13">
        <f>_xll.BDH("AMZN US Equity","OTHER_NONCUR_LIABS_SUB_DETAILED","FQ3 2012","FQ3 2012","Currency=USD","Period=FQ","BEST_FPERIOD_OVERRIDE=FQ","FILING_STATUS=MR","SCALING_FORMAT=MLN","Sort=A","Dates=H","DateFormat=P","Fill=—","Direction=H","UseDPDF=Y")</f>
        <v>2676</v>
      </c>
      <c r="R55" s="13">
        <f>_xll.BDH("AMZN US Equity","OTHER_NONCUR_LIABS_SUB_DETAILED","FQ4 2012","FQ4 2012","Currency=USD","Period=FQ","BEST_FPERIOD_OVERRIDE=FQ","FILING_STATUS=MR","SCALING_FORMAT=MLN","Sort=A","Dates=H","DateFormat=P","Fill=—","Direction=H","UseDPDF=Y")</f>
        <v>1531</v>
      </c>
      <c r="S55" s="13">
        <f>_xll.BDH("AMZN US Equity","OTHER_NONCUR_LIABS_SUB_DETAILED","FQ1 2013","FQ1 2013","Currency=USD","Period=FQ","BEST_FPERIOD_OVERRIDE=FQ","FILING_STATUS=MR","SCALING_FORMAT=MLN","Sort=A","Dates=H","DateFormat=P","Fill=—","Direction=H","UseDPDF=Y")</f>
        <v>2573</v>
      </c>
      <c r="T55" s="13">
        <f>_xll.BDH("AMZN US Equity","OTHER_NONCUR_LIABS_SUB_DETAILED","FQ2 2013","FQ2 2013","Currency=USD","Period=FQ","BEST_FPERIOD_OVERRIDE=FQ","FILING_STATUS=MR","SCALING_FORMAT=MLN","Sort=A","Dates=H","DateFormat=P","Fill=—","Direction=H","UseDPDF=Y")</f>
        <v>3113</v>
      </c>
      <c r="U55" s="13">
        <f>_xll.BDH("AMZN US Equity","OTHER_NONCUR_LIABS_SUB_DETAILED","FQ3 2013","FQ3 2013","Currency=USD","Period=FQ","BEST_FPERIOD_OVERRIDE=FQ","FILING_STATUS=MR","SCALING_FORMAT=MLN","Sort=A","Dates=H","DateFormat=P","Fill=—","Direction=H","UseDPDF=Y")</f>
        <v>3596</v>
      </c>
      <c r="V55" s="13">
        <f>_xll.BDH("AMZN US Equity","OTHER_NONCUR_LIABS_SUB_DETAILED","FQ4 2013","FQ4 2013","Currency=USD","Period=FQ","BEST_FPERIOD_OVERRIDE=FQ","FILING_STATUS=MR","SCALING_FORMAT=MLN","Sort=A","Dates=H","DateFormat=P","Fill=—","Direction=H","UseDPDF=Y")</f>
        <v>2252</v>
      </c>
      <c r="W55" s="13">
        <f>_xll.BDH("AMZN US Equity","OTHER_NONCUR_LIABS_SUB_DETAILED","FQ1 2014","FQ1 2014","Currency=USD","Period=FQ","BEST_FPERIOD_OVERRIDE=FQ","FILING_STATUS=MR","SCALING_FORMAT=MLN","Sort=A","Dates=H","DateFormat=P","Fill=—","Direction=H","UseDPDF=Y")</f>
        <v>4532</v>
      </c>
      <c r="X55" s="13">
        <f>_xll.BDH("AMZN US Equity","OTHER_NONCUR_LIABS_SUB_DETAILED","FQ2 2014","FQ2 2014","Currency=USD","Period=FQ","BEST_FPERIOD_OVERRIDE=FQ","FILING_STATUS=MR","SCALING_FORMAT=MLN","Sort=A","Dates=H","DateFormat=P","Fill=—","Direction=H","UseDPDF=Y")</f>
        <v>5426</v>
      </c>
      <c r="Y55" s="13">
        <f>_xll.BDH("AMZN US Equity","OTHER_NONCUR_LIABS_SUB_DETAILED","FQ3 2014","FQ3 2014","Currency=USD","Period=FQ","BEST_FPERIOD_OVERRIDE=FQ","FILING_STATUS=MR","SCALING_FORMAT=MLN","Sort=A","Dates=H","DateFormat=P","Fill=—","Direction=H","UseDPDF=Y")</f>
        <v>6142</v>
      </c>
      <c r="Z55" s="13">
        <f>_xll.BDH("AMZN US Equity","OTHER_NONCUR_LIABS_SUB_DETAILED","FQ4 2014","FQ4 2014","Currency=USD","Period=FQ","BEST_FPERIOD_OVERRIDE=FQ","FILING_STATUS=MR","SCALING_FORMAT=MLN","Sort=A","Dates=H","DateFormat=P","Fill=—","Direction=H","UseDPDF=Y")</f>
        <v>3186</v>
      </c>
      <c r="AA55" s="13">
        <f>_xll.BDH("AMZN US Equity","OTHER_NONCUR_LIABS_SUB_DETAILED","FQ1 2015","FQ1 2015","Currency=USD","Period=FQ","BEST_FPERIOD_OVERRIDE=FQ","FILING_STATUS=MR","SCALING_FORMAT=MLN","Sort=A","Dates=H","DateFormat=P","Fill=—","Direction=H","UseDPDF=Y")</f>
        <v>7768</v>
      </c>
      <c r="AB55" s="13">
        <f>_xll.BDH("AMZN US Equity","OTHER_NONCUR_LIABS_SUB_DETAILED","FQ2 2015","FQ2 2015","Currency=USD","Period=FQ","BEST_FPERIOD_OVERRIDE=FQ","FILING_STATUS=MR","SCALING_FORMAT=MLN","Sort=A","Dates=H","DateFormat=P","Fill=—","Direction=H","UseDPDF=Y")</f>
        <v>8510</v>
      </c>
      <c r="AC55" s="13">
        <f>_xll.BDH("AMZN US Equity","OTHER_NONCUR_LIABS_SUB_DETAILED","FQ3 2015","FQ3 2015","Currency=USD","Period=FQ","BEST_FPERIOD_OVERRIDE=FQ","FILING_STATUS=MR","SCALING_FORMAT=MLN","Sort=A","Dates=H","DateFormat=P","Fill=—","Direction=H","UseDPDF=Y")</f>
        <v>8900</v>
      </c>
      <c r="AD55" s="13">
        <f>_xll.BDH("AMZN US Equity","OTHER_NONCUR_LIABS_SUB_DETAILED","FQ4 2015","FQ4 2015","Currency=USD","Period=FQ","BEST_FPERIOD_OVERRIDE=FQ","FILING_STATUS=MR","SCALING_FORMAT=MLN","Sort=A","Dates=H","DateFormat=P","Fill=—","Direction=H","UseDPDF=Y")</f>
        <v>3301</v>
      </c>
      <c r="AE55" s="13">
        <f>_xll.BDH("AMZN US Equity","OTHER_NONCUR_LIABS_SUB_DETAILED","FQ1 2016","FQ1 2016","Currency=USD","Period=FQ","BEST_FPERIOD_OVERRIDE=FQ","FILING_STATUS=MR","SCALING_FORMAT=MLN","Sort=A","Dates=H","DateFormat=P","Fill=—","Direction=H","UseDPDF=Y")</f>
        <v>3966</v>
      </c>
      <c r="AF55" s="13">
        <f>_xll.BDH("AMZN US Equity","OTHER_NONCUR_LIABS_SUB_DETAILED","FQ2 2016","FQ2 2016","Currency=USD","Period=FQ","BEST_FPERIOD_OVERRIDE=FQ","FILING_STATUS=MR","SCALING_FORMAT=MLN","Sort=A","Dates=H","DateFormat=P","Fill=—","Direction=H","UseDPDF=Y")</f>
        <v>4639</v>
      </c>
      <c r="AG55" s="13">
        <f>_xll.BDH("AMZN US Equity","OTHER_NONCUR_LIABS_SUB_DETAILED","FQ3 2016","FQ3 2016","Currency=USD","Period=FQ","BEST_FPERIOD_OVERRIDE=FQ","FILING_STATUS=MR","SCALING_FORMAT=MLN","Sort=A","Dates=H","DateFormat=P","Fill=—","Direction=H","UseDPDF=Y")</f>
        <v>4512</v>
      </c>
      <c r="AH55" s="13">
        <f>_xll.BDH("AMZN US Equity","OTHER_NONCUR_LIABS_SUB_DETAILED","FQ4 2016","FQ4 2016","Currency=USD","Period=FQ","BEST_FPERIOD_OVERRIDE=FQ","FILING_STATUS=MR","SCALING_FORMAT=MLN","Sort=A","Dates=H","DateFormat=P","Fill=—","Direction=H","UseDPDF=Y")</f>
        <v>5088</v>
      </c>
      <c r="AI55" s="13">
        <f>_xll.BDH("AMZN US Equity","OTHER_NONCUR_LIABS_SUB_DETAILED","FQ1 2017","FQ1 2017","Currency=USD","Period=FQ","BEST_FPERIOD_OVERRIDE=FQ","FILING_STATUS=MR","SCALING_FORMAT=MLN","Sort=A","Dates=H","DateFormat=P","Fill=—","Direction=H","UseDPDF=Y")</f>
        <v>5905</v>
      </c>
      <c r="AJ55" s="13">
        <f>_xll.BDH("AMZN US Equity","OTHER_NONCUR_LIABS_SUB_DETAILED","FQ2 2017","FQ2 2017","Currency=USD","Period=FQ","BEST_FPERIOD_OVERRIDE=FQ","FILING_STATUS=MR","SCALING_FORMAT=MLN","Sort=A","Dates=H","DateFormat=P","Fill=—","Direction=H","UseDPDF=Y")</f>
        <v>6564</v>
      </c>
      <c r="AK55" s="13">
        <f>_xll.BDH("AMZN US Equity","OTHER_NONCUR_LIABS_SUB_DETAILED","FQ3 2017","FQ3 2017","Currency=USD","Period=FQ","BEST_FPERIOD_OVERRIDE=FQ","FILING_STATUS=MR","SCALING_FORMAT=MLN","Sort=A","Dates=H","DateFormat=P","Fill=—","Direction=H","UseDPDF=Y")</f>
        <v>6927</v>
      </c>
      <c r="AL55" s="13">
        <f>_xll.BDH("AMZN US Equity","OTHER_NONCUR_LIABS_SUB_DETAILED","FQ4 2017","FQ4 2017","Currency=USD","Period=FQ","BEST_FPERIOD_OVERRIDE=FQ","FILING_STATUS=MR","SCALING_FORMAT=MLN","Sort=A","Dates=H","DateFormat=P","Fill=—","Direction=H","UseDPDF=Y")</f>
        <v>7792</v>
      </c>
      <c r="AM55" s="13">
        <f>_xll.BDH("AMZN US Equity","OTHER_NONCUR_LIABS_SUB_DETAILED","FQ1 2018","FQ1 2018","Currency=USD","Period=FQ","BEST_FPERIOD_OVERRIDE=FQ","FILING_STATUS=MR","SCALING_FORMAT=MLN","Sort=A","Dates=H","DateFormat=P","Fill=—","Direction=H","UseDPDF=Y")</f>
        <v>8914</v>
      </c>
      <c r="AN55" s="13">
        <f>_xll.BDH("AMZN US Equity","OTHER_NONCUR_LIABS_SUB_DETAILED","FQ2 2018","FQ2 2018","Currency=USD","Period=FQ","BEST_FPERIOD_OVERRIDE=FQ","FILING_STATUS=MR","SCALING_FORMAT=MLN","Sort=A","Dates=H","DateFormat=P","Fill=—","Direction=H","UseDPDF=Y")</f>
        <v>9466</v>
      </c>
    </row>
    <row r="56" spans="1:40" x14ac:dyDescent="0.25">
      <c r="A56" s="10" t="s">
        <v>302</v>
      </c>
      <c r="B56" s="10" t="s">
        <v>303</v>
      </c>
      <c r="C56" s="13" t="str">
        <f>_xll.BDH("AMZN US Equity","BS_ACCRUED_LIABILITIES","FQ1 2009","FQ1 2009","Currency=USD","Period=FQ","BEST_FPERIOD_OVERRIDE=FQ","FILING_STATUS=MR","SCALING_FORMAT=MLN","Sort=A","Dates=H","DateFormat=P","Fill=—","Direction=H","UseDPDF=Y")</f>
        <v>—</v>
      </c>
      <c r="D56" s="13" t="str">
        <f>_xll.BDH("AMZN US Equity","BS_ACCRUED_LIABILITIES","FQ2 2009","FQ2 2009","Currency=USD","Period=FQ","BEST_FPERIOD_OVERRIDE=FQ","FILING_STATUS=MR","SCALING_FORMAT=MLN","Sort=A","Dates=H","DateFormat=P","Fill=—","Direction=H","UseDPDF=Y")</f>
        <v>—</v>
      </c>
      <c r="E56" s="13" t="str">
        <f>_xll.BDH("AMZN US Equity","BS_ACCRUED_LIABILITIES","FQ3 2009","FQ3 2009","Currency=USD","Period=FQ","BEST_FPERIOD_OVERRIDE=FQ","FILING_STATUS=MR","SCALING_FORMAT=MLN","Sort=A","Dates=H","DateFormat=P","Fill=—","Direction=H","UseDPDF=Y")</f>
        <v>—</v>
      </c>
      <c r="F56" s="13">
        <f>_xll.BDH("AMZN US Equity","BS_ACCRUED_LIABILITIES","FQ4 2009","FQ4 2009","Currency=USD","Period=FQ","BEST_FPERIOD_OVERRIDE=FQ","FILING_STATUS=MR","SCALING_FORMAT=MLN","Sort=A","Dates=H","DateFormat=P","Fill=—","Direction=H","UseDPDF=Y")</f>
        <v>0</v>
      </c>
      <c r="G56" s="13" t="str">
        <f>_xll.BDH("AMZN US Equity","BS_ACCRUED_LIABILITIES","FQ1 2010","FQ1 2010","Currency=USD","Period=FQ","BEST_FPERIOD_OVERRIDE=FQ","FILING_STATUS=MR","SCALING_FORMAT=MLN","Sort=A","Dates=H","DateFormat=P","Fill=—","Direction=H","UseDPDF=Y")</f>
        <v>—</v>
      </c>
      <c r="H56" s="13" t="str">
        <f>_xll.BDH("AMZN US Equity","BS_ACCRUED_LIABILITIES","FQ2 2010","FQ2 2010","Currency=USD","Period=FQ","BEST_FPERIOD_OVERRIDE=FQ","FILING_STATUS=MR","SCALING_FORMAT=MLN","Sort=A","Dates=H","DateFormat=P","Fill=—","Direction=H","UseDPDF=Y")</f>
        <v>—</v>
      </c>
      <c r="I56" s="13" t="str">
        <f>_xll.BDH("AMZN US Equity","BS_ACCRUED_LIABILITIES","FQ3 2010","FQ3 2010","Currency=USD","Period=FQ","BEST_FPERIOD_OVERRIDE=FQ","FILING_STATUS=MR","SCALING_FORMAT=MLN","Sort=A","Dates=H","DateFormat=P","Fill=—","Direction=H","UseDPDF=Y")</f>
        <v>—</v>
      </c>
      <c r="J56" s="13">
        <f>_xll.BDH("AMZN US Equity","BS_ACCRUED_LIABILITIES","FQ4 2010","FQ4 2010","Currency=USD","Period=FQ","BEST_FPERIOD_OVERRIDE=FQ","FILING_STATUS=MR","SCALING_FORMAT=MLN","Sort=A","Dates=H","DateFormat=P","Fill=—","Direction=H","UseDPDF=Y")</f>
        <v>0</v>
      </c>
      <c r="K56" s="13" t="str">
        <f>_xll.BDH("AMZN US Equity","BS_ACCRUED_LIABILITIES","FQ1 2011","FQ1 2011","Currency=USD","Period=FQ","BEST_FPERIOD_OVERRIDE=FQ","FILING_STATUS=MR","SCALING_FORMAT=MLN","Sort=A","Dates=H","DateFormat=P","Fill=—","Direction=H","UseDPDF=Y")</f>
        <v>—</v>
      </c>
      <c r="L56" s="13" t="str">
        <f>_xll.BDH("AMZN US Equity","BS_ACCRUED_LIABILITIES","FQ2 2011","FQ2 2011","Currency=USD","Period=FQ","BEST_FPERIOD_OVERRIDE=FQ","FILING_STATUS=MR","SCALING_FORMAT=MLN","Sort=A","Dates=H","DateFormat=P","Fill=—","Direction=H","UseDPDF=Y")</f>
        <v>—</v>
      </c>
      <c r="M56" s="13" t="str">
        <f>_xll.BDH("AMZN US Equity","BS_ACCRUED_LIABILITIES","FQ3 2011","FQ3 2011","Currency=USD","Period=FQ","BEST_FPERIOD_OVERRIDE=FQ","FILING_STATUS=MR","SCALING_FORMAT=MLN","Sort=A","Dates=H","DateFormat=P","Fill=—","Direction=H","UseDPDF=Y")</f>
        <v>—</v>
      </c>
      <c r="N56" s="13">
        <f>_xll.BDH("AMZN US Equity","BS_ACCRUED_LIABILITIES","FQ4 2011","FQ4 2011","Currency=USD","Period=FQ","BEST_FPERIOD_OVERRIDE=FQ","FILING_STATUS=MR","SCALING_FORMAT=MLN","Sort=A","Dates=H","DateFormat=P","Fill=—","Direction=H","UseDPDF=Y")</f>
        <v>0</v>
      </c>
      <c r="O56" s="13" t="str">
        <f>_xll.BDH("AMZN US Equity","BS_ACCRUED_LIABILITIES","FQ1 2012","FQ1 2012","Currency=USD","Period=FQ","BEST_FPERIOD_OVERRIDE=FQ","FILING_STATUS=MR","SCALING_FORMAT=MLN","Sort=A","Dates=H","DateFormat=P","Fill=—","Direction=H","UseDPDF=Y")</f>
        <v>—</v>
      </c>
      <c r="P56" s="13" t="str">
        <f>_xll.BDH("AMZN US Equity","BS_ACCRUED_LIABILITIES","FQ2 2012","FQ2 2012","Currency=USD","Period=FQ","BEST_FPERIOD_OVERRIDE=FQ","FILING_STATUS=MR","SCALING_FORMAT=MLN","Sort=A","Dates=H","DateFormat=P","Fill=—","Direction=H","UseDPDF=Y")</f>
        <v>—</v>
      </c>
      <c r="Q56" s="13" t="str">
        <f>_xll.BDH("AMZN US Equity","BS_ACCRUED_LIABILITIES","FQ3 2012","FQ3 2012","Currency=USD","Period=FQ","BEST_FPERIOD_OVERRIDE=FQ","FILING_STATUS=MR","SCALING_FORMAT=MLN","Sort=A","Dates=H","DateFormat=P","Fill=—","Direction=H","UseDPDF=Y")</f>
        <v>—</v>
      </c>
      <c r="R56" s="13">
        <f>_xll.BDH("AMZN US Equity","BS_ACCRUED_LIABILITIES","FQ4 2012","FQ4 2012","Currency=USD","Period=FQ","BEST_FPERIOD_OVERRIDE=FQ","FILING_STATUS=MR","SCALING_FORMAT=MLN","Sort=A","Dates=H","DateFormat=P","Fill=—","Direction=H","UseDPDF=Y")</f>
        <v>0</v>
      </c>
      <c r="S56" s="13" t="str">
        <f>_xll.BDH("AMZN US Equity","BS_ACCRUED_LIABILITIES","FQ1 2013","FQ1 2013","Currency=USD","Period=FQ","BEST_FPERIOD_OVERRIDE=FQ","FILING_STATUS=MR","SCALING_FORMAT=MLN","Sort=A","Dates=H","DateFormat=P","Fill=—","Direction=H","UseDPDF=Y")</f>
        <v>—</v>
      </c>
      <c r="T56" s="13" t="str">
        <f>_xll.BDH("AMZN US Equity","BS_ACCRUED_LIABILITIES","FQ2 2013","FQ2 2013","Currency=USD","Period=FQ","BEST_FPERIOD_OVERRIDE=FQ","FILING_STATUS=MR","SCALING_FORMAT=MLN","Sort=A","Dates=H","DateFormat=P","Fill=—","Direction=H","UseDPDF=Y")</f>
        <v>—</v>
      </c>
      <c r="U56" s="13" t="str">
        <f>_xll.BDH("AMZN US Equity","BS_ACCRUED_LIABILITIES","FQ3 2013","FQ3 2013","Currency=USD","Period=FQ","BEST_FPERIOD_OVERRIDE=FQ","FILING_STATUS=MR","SCALING_FORMAT=MLN","Sort=A","Dates=H","DateFormat=P","Fill=—","Direction=H","UseDPDF=Y")</f>
        <v>—</v>
      </c>
      <c r="V56" s="13">
        <f>_xll.BDH("AMZN US Equity","BS_ACCRUED_LIABILITIES","FQ4 2013","FQ4 2013","Currency=USD","Period=FQ","BEST_FPERIOD_OVERRIDE=FQ","FILING_STATUS=MR","SCALING_FORMAT=MLN","Sort=A","Dates=H","DateFormat=P","Fill=—","Direction=H","UseDPDF=Y")</f>
        <v>0</v>
      </c>
      <c r="W56" s="13" t="str">
        <f>_xll.BDH("AMZN US Equity","BS_ACCRUED_LIABILITIES","FQ1 2014","FQ1 2014","Currency=USD","Period=FQ","BEST_FPERIOD_OVERRIDE=FQ","FILING_STATUS=MR","SCALING_FORMAT=MLN","Sort=A","Dates=H","DateFormat=P","Fill=—","Direction=H","UseDPDF=Y")</f>
        <v>—</v>
      </c>
      <c r="X56" s="13" t="str">
        <f>_xll.BDH("AMZN US Equity","BS_ACCRUED_LIABILITIES","FQ2 2014","FQ2 2014","Currency=USD","Period=FQ","BEST_FPERIOD_OVERRIDE=FQ","FILING_STATUS=MR","SCALING_FORMAT=MLN","Sort=A","Dates=H","DateFormat=P","Fill=—","Direction=H","UseDPDF=Y")</f>
        <v>—</v>
      </c>
      <c r="Y56" s="13" t="str">
        <f>_xll.BDH("AMZN US Equity","BS_ACCRUED_LIABILITIES","FQ3 2014","FQ3 2014","Currency=USD","Period=FQ","BEST_FPERIOD_OVERRIDE=FQ","FILING_STATUS=MR","SCALING_FORMAT=MLN","Sort=A","Dates=H","DateFormat=P","Fill=—","Direction=H","UseDPDF=Y")</f>
        <v>—</v>
      </c>
      <c r="Z56" s="13">
        <f>_xll.BDH("AMZN US Equity","BS_ACCRUED_LIABILITIES","FQ4 2014","FQ4 2014","Currency=USD","Period=FQ","BEST_FPERIOD_OVERRIDE=FQ","FILING_STATUS=MR","SCALING_FORMAT=MLN","Sort=A","Dates=H","DateFormat=P","Fill=—","Direction=H","UseDPDF=Y")</f>
        <v>0</v>
      </c>
      <c r="AA56" s="13" t="str">
        <f>_xll.BDH("AMZN US Equity","BS_ACCRUED_LIABILITIES","FQ1 2015","FQ1 2015","Currency=USD","Period=FQ","BEST_FPERIOD_OVERRIDE=FQ","FILING_STATUS=MR","SCALING_FORMAT=MLN","Sort=A","Dates=H","DateFormat=P","Fill=—","Direction=H","UseDPDF=Y")</f>
        <v>—</v>
      </c>
      <c r="AB56" s="13" t="str">
        <f>_xll.BDH("AMZN US Equity","BS_ACCRUED_LIABILITIES","FQ2 2015","FQ2 2015","Currency=USD","Period=FQ","BEST_FPERIOD_OVERRIDE=FQ","FILING_STATUS=MR","SCALING_FORMAT=MLN","Sort=A","Dates=H","DateFormat=P","Fill=—","Direction=H","UseDPDF=Y")</f>
        <v>—</v>
      </c>
      <c r="AC56" s="13" t="str">
        <f>_xll.BDH("AMZN US Equity","BS_ACCRUED_LIABILITIES","FQ3 2015","FQ3 2015","Currency=USD","Period=FQ","BEST_FPERIOD_OVERRIDE=FQ","FILING_STATUS=MR","SCALING_FORMAT=MLN","Sort=A","Dates=H","DateFormat=P","Fill=—","Direction=H","UseDPDF=Y")</f>
        <v>—</v>
      </c>
      <c r="AD56" s="13">
        <f>_xll.BDH("AMZN US Equity","BS_ACCRUED_LIABILITIES","FQ4 2015","FQ4 2015","Currency=USD","Period=FQ","BEST_FPERIOD_OVERRIDE=FQ","FILING_STATUS=MR","SCALING_FORMAT=MLN","Sort=A","Dates=H","DateFormat=P","Fill=—","Direction=H","UseDPDF=Y")</f>
        <v>0</v>
      </c>
      <c r="AE56" s="13" t="str">
        <f>_xll.BDH("AMZN US Equity","BS_ACCRUED_LIABILITIES","FQ1 2016","FQ1 2016","Currency=USD","Period=FQ","BEST_FPERIOD_OVERRIDE=FQ","FILING_STATUS=MR","SCALING_FORMAT=MLN","Sort=A","Dates=H","DateFormat=P","Fill=—","Direction=H","UseDPDF=Y")</f>
        <v>—</v>
      </c>
      <c r="AF56" s="13" t="str">
        <f>_xll.BDH("AMZN US Equity","BS_ACCRUED_LIABILITIES","FQ2 2016","FQ2 2016","Currency=USD","Period=FQ","BEST_FPERIOD_OVERRIDE=FQ","FILING_STATUS=MR","SCALING_FORMAT=MLN","Sort=A","Dates=H","DateFormat=P","Fill=—","Direction=H","UseDPDF=Y")</f>
        <v>—</v>
      </c>
      <c r="AG56" s="13" t="str">
        <f>_xll.BDH("AMZN US Equity","BS_ACCRUED_LIABILITIES","FQ3 2016","FQ3 2016","Currency=USD","Period=FQ","BEST_FPERIOD_OVERRIDE=FQ","FILING_STATUS=MR","SCALING_FORMAT=MLN","Sort=A","Dates=H","DateFormat=P","Fill=—","Direction=H","UseDPDF=Y")</f>
        <v>—</v>
      </c>
      <c r="AH56" s="13">
        <f>_xll.BDH("AMZN US Equity","BS_ACCRUED_LIABILITIES","FQ4 2016","FQ4 2016","Currency=USD","Period=FQ","BEST_FPERIOD_OVERRIDE=FQ","FILING_STATUS=MR","SCALING_FORMAT=MLN","Sort=A","Dates=H","DateFormat=P","Fill=—","Direction=H","UseDPDF=Y")</f>
        <v>0</v>
      </c>
      <c r="AI56" s="13" t="str">
        <f>_xll.BDH("AMZN US Equity","BS_ACCRUED_LIABILITIES","FQ1 2017","FQ1 2017","Currency=USD","Period=FQ","BEST_FPERIOD_OVERRIDE=FQ","FILING_STATUS=MR","SCALING_FORMAT=MLN","Sort=A","Dates=H","DateFormat=P","Fill=—","Direction=H","UseDPDF=Y")</f>
        <v>—</v>
      </c>
      <c r="AJ56" s="13" t="str">
        <f>_xll.BDH("AMZN US Equity","BS_ACCRUED_LIABILITIES","FQ2 2017","FQ2 2017","Currency=USD","Period=FQ","BEST_FPERIOD_OVERRIDE=FQ","FILING_STATUS=MR","SCALING_FORMAT=MLN","Sort=A","Dates=H","DateFormat=P","Fill=—","Direction=H","UseDPDF=Y")</f>
        <v>—</v>
      </c>
      <c r="AK56" s="13" t="str">
        <f>_xll.BDH("AMZN US Equity","BS_ACCRUED_LIABILITIES","FQ3 2017","FQ3 2017","Currency=USD","Period=FQ","BEST_FPERIOD_OVERRIDE=FQ","FILING_STATUS=MR","SCALING_FORMAT=MLN","Sort=A","Dates=H","DateFormat=P","Fill=—","Direction=H","UseDPDF=Y")</f>
        <v>—</v>
      </c>
      <c r="AL56" s="13">
        <f>_xll.BDH("AMZN US Equity","BS_ACCRUED_LIABILITIES","FQ4 2017","FQ4 2017","Currency=USD","Period=FQ","BEST_FPERIOD_OVERRIDE=FQ","FILING_STATUS=MR","SCALING_FORMAT=MLN","Sort=A","Dates=H","DateFormat=P","Fill=—","Direction=H","UseDPDF=Y")</f>
        <v>0</v>
      </c>
      <c r="AM56" s="13" t="str">
        <f>_xll.BDH("AMZN US Equity","BS_ACCRUED_LIABILITIES","FQ1 2018","FQ1 2018","Currency=USD","Period=FQ","BEST_FPERIOD_OVERRIDE=FQ","FILING_STATUS=MR","SCALING_FORMAT=MLN","Sort=A","Dates=H","DateFormat=P","Fill=—","Direction=H","UseDPDF=Y")</f>
        <v>—</v>
      </c>
      <c r="AN56" s="13" t="str">
        <f>_xll.BDH("AMZN US Equity","BS_ACCRUED_LIABILITIES","FQ2 2018","FQ2 2018","Currency=USD","Period=FQ","BEST_FPERIOD_OVERRIDE=FQ","FILING_STATUS=MR","SCALING_FORMAT=MLN","Sort=A","Dates=H","DateFormat=P","Fill=—","Direction=H","UseDPDF=Y")</f>
        <v>—</v>
      </c>
    </row>
    <row r="57" spans="1:40" x14ac:dyDescent="0.25">
      <c r="A57" s="10" t="s">
        <v>304</v>
      </c>
      <c r="B57" s="10" t="s">
        <v>305</v>
      </c>
      <c r="C57" s="13" t="str">
        <f>_xll.BDH("AMZN US Equity","PENSION_LIABILITIES","FQ1 2009","FQ1 2009","Currency=USD","Period=FQ","BEST_FPERIOD_OVERRIDE=FQ","FILING_STATUS=MR","SCALING_FORMAT=MLN","Sort=A","Dates=H","DateFormat=P","Fill=—","Direction=H","UseDPDF=Y")</f>
        <v>—</v>
      </c>
      <c r="D57" s="13" t="str">
        <f>_xll.BDH("AMZN US Equity","PENSION_LIABILITIES","FQ2 2009","FQ2 2009","Currency=USD","Period=FQ","BEST_FPERIOD_OVERRIDE=FQ","FILING_STATUS=MR","SCALING_FORMAT=MLN","Sort=A","Dates=H","DateFormat=P","Fill=—","Direction=H","UseDPDF=Y")</f>
        <v>—</v>
      </c>
      <c r="E57" s="13" t="str">
        <f>_xll.BDH("AMZN US Equity","PENSION_LIABILITIES","FQ3 2009","FQ3 2009","Currency=USD","Period=FQ","BEST_FPERIOD_OVERRIDE=FQ","FILING_STATUS=MR","SCALING_FORMAT=MLN","Sort=A","Dates=H","DateFormat=P","Fill=—","Direction=H","UseDPDF=Y")</f>
        <v>—</v>
      </c>
      <c r="F57" s="13">
        <f>_xll.BDH("AMZN US Equity","PENSION_LIABILITIES","FQ4 2009","FQ4 2009","Currency=USD","Period=FQ","BEST_FPERIOD_OVERRIDE=FQ","FILING_STATUS=MR","SCALING_FORMAT=MLN","Sort=A","Dates=H","DateFormat=P","Fill=—","Direction=H","UseDPDF=Y")</f>
        <v>0</v>
      </c>
      <c r="G57" s="13" t="str">
        <f>_xll.BDH("AMZN US Equity","PENSION_LIABILITIES","FQ1 2010","FQ1 2010","Currency=USD","Period=FQ","BEST_FPERIOD_OVERRIDE=FQ","FILING_STATUS=MR","SCALING_FORMAT=MLN","Sort=A","Dates=H","DateFormat=P","Fill=—","Direction=H","UseDPDF=Y")</f>
        <v>—</v>
      </c>
      <c r="H57" s="13" t="str">
        <f>_xll.BDH("AMZN US Equity","PENSION_LIABILITIES","FQ2 2010","FQ2 2010","Currency=USD","Period=FQ","BEST_FPERIOD_OVERRIDE=FQ","FILING_STATUS=MR","SCALING_FORMAT=MLN","Sort=A","Dates=H","DateFormat=P","Fill=—","Direction=H","UseDPDF=Y")</f>
        <v>—</v>
      </c>
      <c r="I57" s="13" t="str">
        <f>_xll.BDH("AMZN US Equity","PENSION_LIABILITIES","FQ3 2010","FQ3 2010","Currency=USD","Period=FQ","BEST_FPERIOD_OVERRIDE=FQ","FILING_STATUS=MR","SCALING_FORMAT=MLN","Sort=A","Dates=H","DateFormat=P","Fill=—","Direction=H","UseDPDF=Y")</f>
        <v>—</v>
      </c>
      <c r="J57" s="13">
        <f>_xll.BDH("AMZN US Equity","PENSION_LIABILITIES","FQ4 2010","FQ4 2010","Currency=USD","Period=FQ","BEST_FPERIOD_OVERRIDE=FQ","FILING_STATUS=MR","SCALING_FORMAT=MLN","Sort=A","Dates=H","DateFormat=P","Fill=—","Direction=H","UseDPDF=Y")</f>
        <v>0</v>
      </c>
      <c r="K57" s="13" t="str">
        <f>_xll.BDH("AMZN US Equity","PENSION_LIABILITIES","FQ1 2011","FQ1 2011","Currency=USD","Period=FQ","BEST_FPERIOD_OVERRIDE=FQ","FILING_STATUS=MR","SCALING_FORMAT=MLN","Sort=A","Dates=H","DateFormat=P","Fill=—","Direction=H","UseDPDF=Y")</f>
        <v>—</v>
      </c>
      <c r="L57" s="13" t="str">
        <f>_xll.BDH("AMZN US Equity","PENSION_LIABILITIES","FQ2 2011","FQ2 2011","Currency=USD","Period=FQ","BEST_FPERIOD_OVERRIDE=FQ","FILING_STATUS=MR","SCALING_FORMAT=MLN","Sort=A","Dates=H","DateFormat=P","Fill=—","Direction=H","UseDPDF=Y")</f>
        <v>—</v>
      </c>
      <c r="M57" s="13" t="str">
        <f>_xll.BDH("AMZN US Equity","PENSION_LIABILITIES","FQ3 2011","FQ3 2011","Currency=USD","Period=FQ","BEST_FPERIOD_OVERRIDE=FQ","FILING_STATUS=MR","SCALING_FORMAT=MLN","Sort=A","Dates=H","DateFormat=P","Fill=—","Direction=H","UseDPDF=Y")</f>
        <v>—</v>
      </c>
      <c r="N57" s="13">
        <f>_xll.BDH("AMZN US Equity","PENSION_LIABILITIES","FQ4 2011","FQ4 2011","Currency=USD","Period=FQ","BEST_FPERIOD_OVERRIDE=FQ","FILING_STATUS=MR","SCALING_FORMAT=MLN","Sort=A","Dates=H","DateFormat=P","Fill=—","Direction=H","UseDPDF=Y")</f>
        <v>0</v>
      </c>
      <c r="O57" s="13" t="str">
        <f>_xll.BDH("AMZN US Equity","PENSION_LIABILITIES","FQ1 2012","FQ1 2012","Currency=USD","Period=FQ","BEST_FPERIOD_OVERRIDE=FQ","FILING_STATUS=MR","SCALING_FORMAT=MLN","Sort=A","Dates=H","DateFormat=P","Fill=—","Direction=H","UseDPDF=Y")</f>
        <v>—</v>
      </c>
      <c r="P57" s="13" t="str">
        <f>_xll.BDH("AMZN US Equity","PENSION_LIABILITIES","FQ2 2012","FQ2 2012","Currency=USD","Period=FQ","BEST_FPERIOD_OVERRIDE=FQ","FILING_STATUS=MR","SCALING_FORMAT=MLN","Sort=A","Dates=H","DateFormat=P","Fill=—","Direction=H","UseDPDF=Y")</f>
        <v>—</v>
      </c>
      <c r="Q57" s="13" t="str">
        <f>_xll.BDH("AMZN US Equity","PENSION_LIABILITIES","FQ3 2012","FQ3 2012","Currency=USD","Period=FQ","BEST_FPERIOD_OVERRIDE=FQ","FILING_STATUS=MR","SCALING_FORMAT=MLN","Sort=A","Dates=H","DateFormat=P","Fill=—","Direction=H","UseDPDF=Y")</f>
        <v>—</v>
      </c>
      <c r="R57" s="13">
        <f>_xll.BDH("AMZN US Equity","PENSION_LIABILITIES","FQ4 2012","FQ4 2012","Currency=USD","Period=FQ","BEST_FPERIOD_OVERRIDE=FQ","FILING_STATUS=MR","SCALING_FORMAT=MLN","Sort=A","Dates=H","DateFormat=P","Fill=—","Direction=H","UseDPDF=Y")</f>
        <v>0</v>
      </c>
      <c r="S57" s="13" t="str">
        <f>_xll.BDH("AMZN US Equity","PENSION_LIABILITIES","FQ1 2013","FQ1 2013","Currency=USD","Period=FQ","BEST_FPERIOD_OVERRIDE=FQ","FILING_STATUS=MR","SCALING_FORMAT=MLN","Sort=A","Dates=H","DateFormat=P","Fill=—","Direction=H","UseDPDF=Y")</f>
        <v>—</v>
      </c>
      <c r="T57" s="13" t="str">
        <f>_xll.BDH("AMZN US Equity","PENSION_LIABILITIES","FQ2 2013","FQ2 2013","Currency=USD","Period=FQ","BEST_FPERIOD_OVERRIDE=FQ","FILING_STATUS=MR","SCALING_FORMAT=MLN","Sort=A","Dates=H","DateFormat=P","Fill=—","Direction=H","UseDPDF=Y")</f>
        <v>—</v>
      </c>
      <c r="U57" s="13" t="str">
        <f>_xll.BDH("AMZN US Equity","PENSION_LIABILITIES","FQ3 2013","FQ3 2013","Currency=USD","Period=FQ","BEST_FPERIOD_OVERRIDE=FQ","FILING_STATUS=MR","SCALING_FORMAT=MLN","Sort=A","Dates=H","DateFormat=P","Fill=—","Direction=H","UseDPDF=Y")</f>
        <v>—</v>
      </c>
      <c r="V57" s="13">
        <f>_xll.BDH("AMZN US Equity","PENSION_LIABILITIES","FQ4 2013","FQ4 2013","Currency=USD","Period=FQ","BEST_FPERIOD_OVERRIDE=FQ","FILING_STATUS=MR","SCALING_FORMAT=MLN","Sort=A","Dates=H","DateFormat=P","Fill=—","Direction=H","UseDPDF=Y")</f>
        <v>0</v>
      </c>
      <c r="W57" s="13" t="str">
        <f>_xll.BDH("AMZN US Equity","PENSION_LIABILITIES","FQ1 2014","FQ1 2014","Currency=USD","Period=FQ","BEST_FPERIOD_OVERRIDE=FQ","FILING_STATUS=MR","SCALING_FORMAT=MLN","Sort=A","Dates=H","DateFormat=P","Fill=—","Direction=H","UseDPDF=Y")</f>
        <v>—</v>
      </c>
      <c r="X57" s="13" t="str">
        <f>_xll.BDH("AMZN US Equity","PENSION_LIABILITIES","FQ2 2014","FQ2 2014","Currency=USD","Period=FQ","BEST_FPERIOD_OVERRIDE=FQ","FILING_STATUS=MR","SCALING_FORMAT=MLN","Sort=A","Dates=H","DateFormat=P","Fill=—","Direction=H","UseDPDF=Y")</f>
        <v>—</v>
      </c>
      <c r="Y57" s="13" t="str">
        <f>_xll.BDH("AMZN US Equity","PENSION_LIABILITIES","FQ3 2014","FQ3 2014","Currency=USD","Period=FQ","BEST_FPERIOD_OVERRIDE=FQ","FILING_STATUS=MR","SCALING_FORMAT=MLN","Sort=A","Dates=H","DateFormat=P","Fill=—","Direction=H","UseDPDF=Y")</f>
        <v>—</v>
      </c>
      <c r="Z57" s="13">
        <f>_xll.BDH("AMZN US Equity","PENSION_LIABILITIES","FQ4 2014","FQ4 2014","Currency=USD","Period=FQ","BEST_FPERIOD_OVERRIDE=FQ","FILING_STATUS=MR","SCALING_FORMAT=MLN","Sort=A","Dates=H","DateFormat=P","Fill=—","Direction=H","UseDPDF=Y")</f>
        <v>0</v>
      </c>
      <c r="AA57" s="13" t="str">
        <f>_xll.BDH("AMZN US Equity","PENSION_LIABILITIES","FQ1 2015","FQ1 2015","Currency=USD","Period=FQ","BEST_FPERIOD_OVERRIDE=FQ","FILING_STATUS=MR","SCALING_FORMAT=MLN","Sort=A","Dates=H","DateFormat=P","Fill=—","Direction=H","UseDPDF=Y")</f>
        <v>—</v>
      </c>
      <c r="AB57" s="13" t="str">
        <f>_xll.BDH("AMZN US Equity","PENSION_LIABILITIES","FQ2 2015","FQ2 2015","Currency=USD","Period=FQ","BEST_FPERIOD_OVERRIDE=FQ","FILING_STATUS=MR","SCALING_FORMAT=MLN","Sort=A","Dates=H","DateFormat=P","Fill=—","Direction=H","UseDPDF=Y")</f>
        <v>—</v>
      </c>
      <c r="AC57" s="13" t="str">
        <f>_xll.BDH("AMZN US Equity","PENSION_LIABILITIES","FQ3 2015","FQ3 2015","Currency=USD","Period=FQ","BEST_FPERIOD_OVERRIDE=FQ","FILING_STATUS=MR","SCALING_FORMAT=MLN","Sort=A","Dates=H","DateFormat=P","Fill=—","Direction=H","UseDPDF=Y")</f>
        <v>—</v>
      </c>
      <c r="AD57" s="13">
        <f>_xll.BDH("AMZN US Equity","PENSION_LIABILITIES","FQ4 2015","FQ4 2015","Currency=USD","Period=FQ","BEST_FPERIOD_OVERRIDE=FQ","FILING_STATUS=MR","SCALING_FORMAT=MLN","Sort=A","Dates=H","DateFormat=P","Fill=—","Direction=H","UseDPDF=Y")</f>
        <v>0</v>
      </c>
      <c r="AE57" s="13" t="str">
        <f>_xll.BDH("AMZN US Equity","PENSION_LIABILITIES","FQ1 2016","FQ1 2016","Currency=USD","Period=FQ","BEST_FPERIOD_OVERRIDE=FQ","FILING_STATUS=MR","SCALING_FORMAT=MLN","Sort=A","Dates=H","DateFormat=P","Fill=—","Direction=H","UseDPDF=Y")</f>
        <v>—</v>
      </c>
      <c r="AF57" s="13" t="str">
        <f>_xll.BDH("AMZN US Equity","PENSION_LIABILITIES","FQ2 2016","FQ2 2016","Currency=USD","Period=FQ","BEST_FPERIOD_OVERRIDE=FQ","FILING_STATUS=MR","SCALING_FORMAT=MLN","Sort=A","Dates=H","DateFormat=P","Fill=—","Direction=H","UseDPDF=Y")</f>
        <v>—</v>
      </c>
      <c r="AG57" s="13" t="str">
        <f>_xll.BDH("AMZN US Equity","PENSION_LIABILITIES","FQ3 2016","FQ3 2016","Currency=USD","Period=FQ","BEST_FPERIOD_OVERRIDE=FQ","FILING_STATUS=MR","SCALING_FORMAT=MLN","Sort=A","Dates=H","DateFormat=P","Fill=—","Direction=H","UseDPDF=Y")</f>
        <v>—</v>
      </c>
      <c r="AH57" s="13">
        <f>_xll.BDH("AMZN US Equity","PENSION_LIABILITIES","FQ4 2016","FQ4 2016","Currency=USD","Period=FQ","BEST_FPERIOD_OVERRIDE=FQ","FILING_STATUS=MR","SCALING_FORMAT=MLN","Sort=A","Dates=H","DateFormat=P","Fill=—","Direction=H","UseDPDF=Y")</f>
        <v>0</v>
      </c>
      <c r="AI57" s="13" t="str">
        <f>_xll.BDH("AMZN US Equity","PENSION_LIABILITIES","FQ1 2017","FQ1 2017","Currency=USD","Period=FQ","BEST_FPERIOD_OVERRIDE=FQ","FILING_STATUS=MR","SCALING_FORMAT=MLN","Sort=A","Dates=H","DateFormat=P","Fill=—","Direction=H","UseDPDF=Y")</f>
        <v>—</v>
      </c>
      <c r="AJ57" s="13" t="str">
        <f>_xll.BDH("AMZN US Equity","PENSION_LIABILITIES","FQ2 2017","FQ2 2017","Currency=USD","Period=FQ","BEST_FPERIOD_OVERRIDE=FQ","FILING_STATUS=MR","SCALING_FORMAT=MLN","Sort=A","Dates=H","DateFormat=P","Fill=—","Direction=H","UseDPDF=Y")</f>
        <v>—</v>
      </c>
      <c r="AK57" s="13" t="str">
        <f>_xll.BDH("AMZN US Equity","PENSION_LIABILITIES","FQ3 2017","FQ3 2017","Currency=USD","Period=FQ","BEST_FPERIOD_OVERRIDE=FQ","FILING_STATUS=MR","SCALING_FORMAT=MLN","Sort=A","Dates=H","DateFormat=P","Fill=—","Direction=H","UseDPDF=Y")</f>
        <v>—</v>
      </c>
      <c r="AL57" s="13">
        <f>_xll.BDH("AMZN US Equity","PENSION_LIABILITIES","FQ4 2017","FQ4 2017","Currency=USD","Period=FQ","BEST_FPERIOD_OVERRIDE=FQ","FILING_STATUS=MR","SCALING_FORMAT=MLN","Sort=A","Dates=H","DateFormat=P","Fill=—","Direction=H","UseDPDF=Y")</f>
        <v>0</v>
      </c>
      <c r="AM57" s="13" t="str">
        <f>_xll.BDH("AMZN US Equity","PENSION_LIABILITIES","FQ1 2018","FQ1 2018","Currency=USD","Period=FQ","BEST_FPERIOD_OVERRIDE=FQ","FILING_STATUS=MR","SCALING_FORMAT=MLN","Sort=A","Dates=H","DateFormat=P","Fill=—","Direction=H","UseDPDF=Y")</f>
        <v>—</v>
      </c>
      <c r="AN57" s="13" t="str">
        <f>_xll.BDH("AMZN US Equity","PENSION_LIABILITIES","FQ2 2018","FQ2 2018","Currency=USD","Period=FQ","BEST_FPERIOD_OVERRIDE=FQ","FILING_STATUS=MR","SCALING_FORMAT=MLN","Sort=A","Dates=H","DateFormat=P","Fill=—","Direction=H","UseDPDF=Y")</f>
        <v>—</v>
      </c>
    </row>
    <row r="58" spans="1:40" x14ac:dyDescent="0.25">
      <c r="A58" s="10" t="s">
        <v>286</v>
      </c>
      <c r="B58" s="10" t="s">
        <v>306</v>
      </c>
      <c r="C58" s="13" t="str">
        <f>_xll.BDH("AMZN US Equity","LT_DEFERRED_REVENUE","FQ1 2009","FQ1 2009","Currency=USD","Period=FQ","BEST_FPERIOD_OVERRIDE=FQ","FILING_STATUS=MR","SCALING_FORMAT=MLN","Sort=A","Dates=H","DateFormat=P","Fill=—","Direction=H","UseDPDF=Y")</f>
        <v>—</v>
      </c>
      <c r="D58" s="13" t="str">
        <f>_xll.BDH("AMZN US Equity","LT_DEFERRED_REVENUE","FQ2 2009","FQ2 2009","Currency=USD","Period=FQ","BEST_FPERIOD_OVERRIDE=FQ","FILING_STATUS=MR","SCALING_FORMAT=MLN","Sort=A","Dates=H","DateFormat=P","Fill=—","Direction=H","UseDPDF=Y")</f>
        <v>—</v>
      </c>
      <c r="E58" s="13" t="str">
        <f>_xll.BDH("AMZN US Equity","LT_DEFERRED_REVENUE","FQ3 2009","FQ3 2009","Currency=USD","Period=FQ","BEST_FPERIOD_OVERRIDE=FQ","FILING_STATUS=MR","SCALING_FORMAT=MLN","Sort=A","Dates=H","DateFormat=P","Fill=—","Direction=H","UseDPDF=Y")</f>
        <v>—</v>
      </c>
      <c r="F58" s="13">
        <f>_xll.BDH("AMZN US Equity","LT_DEFERRED_REVENUE","FQ4 2009","FQ4 2009","Currency=USD","Period=FQ","BEST_FPERIOD_OVERRIDE=FQ","FILING_STATUS=MR","SCALING_FORMAT=MLN","Sort=A","Dates=H","DateFormat=P","Fill=—","Direction=H","UseDPDF=Y")</f>
        <v>0</v>
      </c>
      <c r="G58" s="13" t="str">
        <f>_xll.BDH("AMZN US Equity","LT_DEFERRED_REVENUE","FQ1 2010","FQ1 2010","Currency=USD","Period=FQ","BEST_FPERIOD_OVERRIDE=FQ","FILING_STATUS=MR","SCALING_FORMAT=MLN","Sort=A","Dates=H","DateFormat=P","Fill=—","Direction=H","UseDPDF=Y")</f>
        <v>—</v>
      </c>
      <c r="H58" s="13" t="str">
        <f>_xll.BDH("AMZN US Equity","LT_DEFERRED_REVENUE","FQ2 2010","FQ2 2010","Currency=USD","Period=FQ","BEST_FPERIOD_OVERRIDE=FQ","FILING_STATUS=MR","SCALING_FORMAT=MLN","Sort=A","Dates=H","DateFormat=P","Fill=—","Direction=H","UseDPDF=Y")</f>
        <v>—</v>
      </c>
      <c r="I58" s="13" t="str">
        <f>_xll.BDH("AMZN US Equity","LT_DEFERRED_REVENUE","FQ3 2010","FQ3 2010","Currency=USD","Period=FQ","BEST_FPERIOD_OVERRIDE=FQ","FILING_STATUS=MR","SCALING_FORMAT=MLN","Sort=A","Dates=H","DateFormat=P","Fill=—","Direction=H","UseDPDF=Y")</f>
        <v>—</v>
      </c>
      <c r="J58" s="13">
        <f>_xll.BDH("AMZN US Equity","LT_DEFERRED_REVENUE","FQ4 2010","FQ4 2010","Currency=USD","Period=FQ","BEST_FPERIOD_OVERRIDE=FQ","FILING_STATUS=MR","SCALING_FORMAT=MLN","Sort=A","Dates=H","DateFormat=P","Fill=—","Direction=H","UseDPDF=Y")</f>
        <v>0</v>
      </c>
      <c r="K58" s="13" t="str">
        <f>_xll.BDH("AMZN US Equity","LT_DEFERRED_REVENUE","FQ1 2011","FQ1 2011","Currency=USD","Period=FQ","BEST_FPERIOD_OVERRIDE=FQ","FILING_STATUS=MR","SCALING_FORMAT=MLN","Sort=A","Dates=H","DateFormat=P","Fill=—","Direction=H","UseDPDF=Y")</f>
        <v>—</v>
      </c>
      <c r="L58" s="13" t="str">
        <f>_xll.BDH("AMZN US Equity","LT_DEFERRED_REVENUE","FQ2 2011","FQ2 2011","Currency=USD","Period=FQ","BEST_FPERIOD_OVERRIDE=FQ","FILING_STATUS=MR","SCALING_FORMAT=MLN","Sort=A","Dates=H","DateFormat=P","Fill=—","Direction=H","UseDPDF=Y")</f>
        <v>—</v>
      </c>
      <c r="M58" s="13" t="str">
        <f>_xll.BDH("AMZN US Equity","LT_DEFERRED_REVENUE","FQ3 2011","FQ3 2011","Currency=USD","Period=FQ","BEST_FPERIOD_OVERRIDE=FQ","FILING_STATUS=MR","SCALING_FORMAT=MLN","Sort=A","Dates=H","DateFormat=P","Fill=—","Direction=H","UseDPDF=Y")</f>
        <v>—</v>
      </c>
      <c r="N58" s="13">
        <f>_xll.BDH("AMZN US Equity","LT_DEFERRED_REVENUE","FQ4 2011","FQ4 2011","Currency=USD","Period=FQ","BEST_FPERIOD_OVERRIDE=FQ","FILING_STATUS=MR","SCALING_FORMAT=MLN","Sort=A","Dates=H","DateFormat=P","Fill=—","Direction=H","UseDPDF=Y")</f>
        <v>0</v>
      </c>
      <c r="O58" s="13" t="str">
        <f>_xll.BDH("AMZN US Equity","LT_DEFERRED_REVENUE","FQ1 2012","FQ1 2012","Currency=USD","Period=FQ","BEST_FPERIOD_OVERRIDE=FQ","FILING_STATUS=MR","SCALING_FORMAT=MLN","Sort=A","Dates=H","DateFormat=P","Fill=—","Direction=H","UseDPDF=Y")</f>
        <v>—</v>
      </c>
      <c r="P58" s="13" t="str">
        <f>_xll.BDH("AMZN US Equity","LT_DEFERRED_REVENUE","FQ2 2012","FQ2 2012","Currency=USD","Period=FQ","BEST_FPERIOD_OVERRIDE=FQ","FILING_STATUS=MR","SCALING_FORMAT=MLN","Sort=A","Dates=H","DateFormat=P","Fill=—","Direction=H","UseDPDF=Y")</f>
        <v>—</v>
      </c>
      <c r="Q58" s="13" t="str">
        <f>_xll.BDH("AMZN US Equity","LT_DEFERRED_REVENUE","FQ3 2012","FQ3 2012","Currency=USD","Period=FQ","BEST_FPERIOD_OVERRIDE=FQ","FILING_STATUS=MR","SCALING_FORMAT=MLN","Sort=A","Dates=H","DateFormat=P","Fill=—","Direction=H","UseDPDF=Y")</f>
        <v>—</v>
      </c>
      <c r="R58" s="13">
        <f>_xll.BDH("AMZN US Equity","LT_DEFERRED_REVENUE","FQ4 2012","FQ4 2012","Currency=USD","Period=FQ","BEST_FPERIOD_OVERRIDE=FQ","FILING_STATUS=MR","SCALING_FORMAT=MLN","Sort=A","Dates=H","DateFormat=P","Fill=—","Direction=H","UseDPDF=Y")</f>
        <v>0</v>
      </c>
      <c r="S58" s="13" t="str">
        <f>_xll.BDH("AMZN US Equity","LT_DEFERRED_REVENUE","FQ1 2013","FQ1 2013","Currency=USD","Period=FQ","BEST_FPERIOD_OVERRIDE=FQ","FILING_STATUS=MR","SCALING_FORMAT=MLN","Sort=A","Dates=H","DateFormat=P","Fill=—","Direction=H","UseDPDF=Y")</f>
        <v>—</v>
      </c>
      <c r="T58" s="13" t="str">
        <f>_xll.BDH("AMZN US Equity","LT_DEFERRED_REVENUE","FQ2 2013","FQ2 2013","Currency=USD","Period=FQ","BEST_FPERIOD_OVERRIDE=FQ","FILING_STATUS=MR","SCALING_FORMAT=MLN","Sort=A","Dates=H","DateFormat=P","Fill=—","Direction=H","UseDPDF=Y")</f>
        <v>—</v>
      </c>
      <c r="U58" s="13" t="str">
        <f>_xll.BDH("AMZN US Equity","LT_DEFERRED_REVENUE","FQ3 2013","FQ3 2013","Currency=USD","Period=FQ","BEST_FPERIOD_OVERRIDE=FQ","FILING_STATUS=MR","SCALING_FORMAT=MLN","Sort=A","Dates=H","DateFormat=P","Fill=—","Direction=H","UseDPDF=Y")</f>
        <v>—</v>
      </c>
      <c r="V58" s="13">
        <f>_xll.BDH("AMZN US Equity","LT_DEFERRED_REVENUE","FQ4 2013","FQ4 2013","Currency=USD","Period=FQ","BEST_FPERIOD_OVERRIDE=FQ","FILING_STATUS=MR","SCALING_FORMAT=MLN","Sort=A","Dates=H","DateFormat=P","Fill=—","Direction=H","UseDPDF=Y")</f>
        <v>0</v>
      </c>
      <c r="W58" s="13" t="str">
        <f>_xll.BDH("AMZN US Equity","LT_DEFERRED_REVENUE","FQ1 2014","FQ1 2014","Currency=USD","Period=FQ","BEST_FPERIOD_OVERRIDE=FQ","FILING_STATUS=MR","SCALING_FORMAT=MLN","Sort=A","Dates=H","DateFormat=P","Fill=—","Direction=H","UseDPDF=Y")</f>
        <v>—</v>
      </c>
      <c r="X58" s="13" t="str">
        <f>_xll.BDH("AMZN US Equity","LT_DEFERRED_REVENUE","FQ2 2014","FQ2 2014","Currency=USD","Period=FQ","BEST_FPERIOD_OVERRIDE=FQ","FILING_STATUS=MR","SCALING_FORMAT=MLN","Sort=A","Dates=H","DateFormat=P","Fill=—","Direction=H","UseDPDF=Y")</f>
        <v>—</v>
      </c>
      <c r="Y58" s="13" t="str">
        <f>_xll.BDH("AMZN US Equity","LT_DEFERRED_REVENUE","FQ3 2014","FQ3 2014","Currency=USD","Period=FQ","BEST_FPERIOD_OVERRIDE=FQ","FILING_STATUS=MR","SCALING_FORMAT=MLN","Sort=A","Dates=H","DateFormat=P","Fill=—","Direction=H","UseDPDF=Y")</f>
        <v>—</v>
      </c>
      <c r="Z58" s="13">
        <f>_xll.BDH("AMZN US Equity","LT_DEFERRED_REVENUE","FQ4 2014","FQ4 2014","Currency=USD","Period=FQ","BEST_FPERIOD_OVERRIDE=FQ","FILING_STATUS=MR","SCALING_FORMAT=MLN","Sort=A","Dates=H","DateFormat=P","Fill=—","Direction=H","UseDPDF=Y")</f>
        <v>0</v>
      </c>
      <c r="AA58" s="13" t="str">
        <f>_xll.BDH("AMZN US Equity","LT_DEFERRED_REVENUE","FQ1 2015","FQ1 2015","Currency=USD","Period=FQ","BEST_FPERIOD_OVERRIDE=FQ","FILING_STATUS=MR","SCALING_FORMAT=MLN","Sort=A","Dates=H","DateFormat=P","Fill=—","Direction=H","UseDPDF=Y")</f>
        <v>—</v>
      </c>
      <c r="AB58" s="13" t="str">
        <f>_xll.BDH("AMZN US Equity","LT_DEFERRED_REVENUE","FQ2 2015","FQ2 2015","Currency=USD","Period=FQ","BEST_FPERIOD_OVERRIDE=FQ","FILING_STATUS=MR","SCALING_FORMAT=MLN","Sort=A","Dates=H","DateFormat=P","Fill=—","Direction=H","UseDPDF=Y")</f>
        <v>—</v>
      </c>
      <c r="AC58" s="13" t="str">
        <f>_xll.BDH("AMZN US Equity","LT_DEFERRED_REVENUE","FQ3 2015","FQ3 2015","Currency=USD","Period=FQ","BEST_FPERIOD_OVERRIDE=FQ","FILING_STATUS=MR","SCALING_FORMAT=MLN","Sort=A","Dates=H","DateFormat=P","Fill=—","Direction=H","UseDPDF=Y")</f>
        <v>—</v>
      </c>
      <c r="AD58" s="13">
        <f>_xll.BDH("AMZN US Equity","LT_DEFERRED_REVENUE","FQ4 2015","FQ4 2015","Currency=USD","Period=FQ","BEST_FPERIOD_OVERRIDE=FQ","FILING_STATUS=MR","SCALING_FORMAT=MLN","Sort=A","Dates=H","DateFormat=P","Fill=—","Direction=H","UseDPDF=Y")</f>
        <v>244</v>
      </c>
      <c r="AE58" s="13" t="str">
        <f>_xll.BDH("AMZN US Equity","LT_DEFERRED_REVENUE","FQ1 2016","FQ1 2016","Currency=USD","Period=FQ","BEST_FPERIOD_OVERRIDE=FQ","FILING_STATUS=MR","SCALING_FORMAT=MLN","Sort=A","Dates=H","DateFormat=P","Fill=—","Direction=H","UseDPDF=Y")</f>
        <v>—</v>
      </c>
      <c r="AF58" s="13" t="str">
        <f>_xll.BDH("AMZN US Equity","LT_DEFERRED_REVENUE","FQ2 2016","FQ2 2016","Currency=USD","Period=FQ","BEST_FPERIOD_OVERRIDE=FQ","FILING_STATUS=MR","SCALING_FORMAT=MLN","Sort=A","Dates=H","DateFormat=P","Fill=—","Direction=H","UseDPDF=Y")</f>
        <v>—</v>
      </c>
      <c r="AG58" s="13" t="str">
        <f>_xll.BDH("AMZN US Equity","LT_DEFERRED_REVENUE","FQ3 2016","FQ3 2016","Currency=USD","Period=FQ","BEST_FPERIOD_OVERRIDE=FQ","FILING_STATUS=MR","SCALING_FORMAT=MLN","Sort=A","Dates=H","DateFormat=P","Fill=—","Direction=H","UseDPDF=Y")</f>
        <v>—</v>
      </c>
      <c r="AH58" s="13">
        <f>_xll.BDH("AMZN US Equity","LT_DEFERRED_REVENUE","FQ4 2016","FQ4 2016","Currency=USD","Period=FQ","BEST_FPERIOD_OVERRIDE=FQ","FILING_STATUS=MR","SCALING_FORMAT=MLN","Sort=A","Dates=H","DateFormat=P","Fill=—","Direction=H","UseDPDF=Y")</f>
        <v>499</v>
      </c>
      <c r="AI58" s="13" t="str">
        <f>_xll.BDH("AMZN US Equity","LT_DEFERRED_REVENUE","FQ1 2017","FQ1 2017","Currency=USD","Period=FQ","BEST_FPERIOD_OVERRIDE=FQ","FILING_STATUS=MR","SCALING_FORMAT=MLN","Sort=A","Dates=H","DateFormat=P","Fill=—","Direction=H","UseDPDF=Y")</f>
        <v>—</v>
      </c>
      <c r="AJ58" s="13" t="str">
        <f>_xll.BDH("AMZN US Equity","LT_DEFERRED_REVENUE","FQ2 2017","FQ2 2017","Currency=USD","Period=FQ","BEST_FPERIOD_OVERRIDE=FQ","FILING_STATUS=MR","SCALING_FORMAT=MLN","Sort=A","Dates=H","DateFormat=P","Fill=—","Direction=H","UseDPDF=Y")</f>
        <v>—</v>
      </c>
      <c r="AK58" s="13" t="str">
        <f>_xll.BDH("AMZN US Equity","LT_DEFERRED_REVENUE","FQ3 2017","FQ3 2017","Currency=USD","Period=FQ","BEST_FPERIOD_OVERRIDE=FQ","FILING_STATUS=MR","SCALING_FORMAT=MLN","Sort=A","Dates=H","DateFormat=P","Fill=—","Direction=H","UseDPDF=Y")</f>
        <v>—</v>
      </c>
      <c r="AL58" s="13">
        <f>_xll.BDH("AMZN US Equity","LT_DEFERRED_REVENUE","FQ4 2017","FQ4 2017","Currency=USD","Period=FQ","BEST_FPERIOD_OVERRIDE=FQ","FILING_STATUS=MR","SCALING_FORMAT=MLN","Sort=A","Dates=H","DateFormat=P","Fill=—","Direction=H","UseDPDF=Y")</f>
        <v>1000</v>
      </c>
      <c r="AM58" s="13" t="str">
        <f>_xll.BDH("AMZN US Equity","LT_DEFERRED_REVENUE","FQ1 2018","FQ1 2018","Currency=USD","Period=FQ","BEST_FPERIOD_OVERRIDE=FQ","FILING_STATUS=MR","SCALING_FORMAT=MLN","Sort=A","Dates=H","DateFormat=P","Fill=—","Direction=H","UseDPDF=Y")</f>
        <v>—</v>
      </c>
      <c r="AN58" s="13" t="str">
        <f>_xll.BDH("AMZN US Equity","LT_DEFERRED_REVENUE","FQ2 2018","FQ2 2018","Currency=USD","Period=FQ","BEST_FPERIOD_OVERRIDE=FQ","FILING_STATUS=MR","SCALING_FORMAT=MLN","Sort=A","Dates=H","DateFormat=P","Fill=—","Direction=H","UseDPDF=Y")</f>
        <v>—</v>
      </c>
    </row>
    <row r="59" spans="1:40" x14ac:dyDescent="0.25">
      <c r="A59" s="10" t="s">
        <v>307</v>
      </c>
      <c r="B59" s="10" t="s">
        <v>308</v>
      </c>
      <c r="C59" s="13" t="str">
        <f>_xll.BDH("AMZN US Equity","BS_DEFERRED_TAX_LIABILITIES_LT","FQ1 2009","FQ1 2009","Currency=USD","Period=FQ","BEST_FPERIOD_OVERRIDE=FQ","FILING_STATUS=MR","SCALING_FORMAT=MLN","Sort=A","Dates=H","DateFormat=P","Fill=—","Direction=H","UseDPDF=Y")</f>
        <v>—</v>
      </c>
      <c r="D59" s="13" t="str">
        <f>_xll.BDH("AMZN US Equity","BS_DEFERRED_TAX_LIABILITIES_LT","FQ2 2009","FQ2 2009","Currency=USD","Period=FQ","BEST_FPERIOD_OVERRIDE=FQ","FILING_STATUS=MR","SCALING_FORMAT=MLN","Sort=A","Dates=H","DateFormat=P","Fill=—","Direction=H","UseDPDF=Y")</f>
        <v>—</v>
      </c>
      <c r="E59" s="13" t="str">
        <f>_xll.BDH("AMZN US Equity","BS_DEFERRED_TAX_LIABILITIES_LT","FQ3 2009","FQ3 2009","Currency=USD","Period=FQ","BEST_FPERIOD_OVERRIDE=FQ","FILING_STATUS=MR","SCALING_FORMAT=MLN","Sort=A","Dates=H","DateFormat=P","Fill=—","Direction=H","UseDPDF=Y")</f>
        <v>—</v>
      </c>
      <c r="F59" s="13" t="str">
        <f>_xll.BDH("AMZN US Equity","BS_DEFERRED_TAX_LIABILITIES_LT","FQ4 2009","FQ4 2009","Currency=USD","Period=FQ","BEST_FPERIOD_OVERRIDE=FQ","FILING_STATUS=MR","SCALING_FORMAT=MLN","Sort=A","Dates=H","DateFormat=P","Fill=—","Direction=H","UseDPDF=Y")</f>
        <v>—</v>
      </c>
      <c r="G59" s="13" t="str">
        <f>_xll.BDH("AMZN US Equity","BS_DEFERRED_TAX_LIABILITIES_LT","FQ1 2010","FQ1 2010","Currency=USD","Period=FQ","BEST_FPERIOD_OVERRIDE=FQ","FILING_STATUS=MR","SCALING_FORMAT=MLN","Sort=A","Dates=H","DateFormat=P","Fill=—","Direction=H","UseDPDF=Y")</f>
        <v>—</v>
      </c>
      <c r="H59" s="13" t="str">
        <f>_xll.BDH("AMZN US Equity","BS_DEFERRED_TAX_LIABILITIES_LT","FQ2 2010","FQ2 2010","Currency=USD","Period=FQ","BEST_FPERIOD_OVERRIDE=FQ","FILING_STATUS=MR","SCALING_FORMAT=MLN","Sort=A","Dates=H","DateFormat=P","Fill=—","Direction=H","UseDPDF=Y")</f>
        <v>—</v>
      </c>
      <c r="I59" s="13" t="str">
        <f>_xll.BDH("AMZN US Equity","BS_DEFERRED_TAX_LIABILITIES_LT","FQ3 2010","FQ3 2010","Currency=USD","Period=FQ","BEST_FPERIOD_OVERRIDE=FQ","FILING_STATUS=MR","SCALING_FORMAT=MLN","Sort=A","Dates=H","DateFormat=P","Fill=—","Direction=H","UseDPDF=Y")</f>
        <v>—</v>
      </c>
      <c r="J59" s="13" t="str">
        <f>_xll.BDH("AMZN US Equity","BS_DEFERRED_TAX_LIABILITIES_LT","FQ4 2010","FQ4 2010","Currency=USD","Period=FQ","BEST_FPERIOD_OVERRIDE=FQ","FILING_STATUS=MR","SCALING_FORMAT=MLN","Sort=A","Dates=H","DateFormat=P","Fill=—","Direction=H","UseDPDF=Y")</f>
        <v>—</v>
      </c>
      <c r="K59" s="13" t="str">
        <f>_xll.BDH("AMZN US Equity","BS_DEFERRED_TAX_LIABILITIES_LT","FQ1 2011","FQ1 2011","Currency=USD","Period=FQ","BEST_FPERIOD_OVERRIDE=FQ","FILING_STATUS=MR","SCALING_FORMAT=MLN","Sort=A","Dates=H","DateFormat=P","Fill=—","Direction=H","UseDPDF=Y")</f>
        <v>—</v>
      </c>
      <c r="L59" s="13" t="str">
        <f>_xll.BDH("AMZN US Equity","BS_DEFERRED_TAX_LIABILITIES_LT","FQ2 2011","FQ2 2011","Currency=USD","Period=FQ","BEST_FPERIOD_OVERRIDE=FQ","FILING_STATUS=MR","SCALING_FORMAT=MLN","Sort=A","Dates=H","DateFormat=P","Fill=—","Direction=H","UseDPDF=Y")</f>
        <v>—</v>
      </c>
      <c r="M59" s="13" t="str">
        <f>_xll.BDH("AMZN US Equity","BS_DEFERRED_TAX_LIABILITIES_LT","FQ3 2011","FQ3 2011","Currency=USD","Period=FQ","BEST_FPERIOD_OVERRIDE=FQ","FILING_STATUS=MR","SCALING_FORMAT=MLN","Sort=A","Dates=H","DateFormat=P","Fill=—","Direction=H","UseDPDF=Y")</f>
        <v>—</v>
      </c>
      <c r="N59" s="13" t="str">
        <f>_xll.BDH("AMZN US Equity","BS_DEFERRED_TAX_LIABILITIES_LT","FQ4 2011","FQ4 2011","Currency=USD","Period=FQ","BEST_FPERIOD_OVERRIDE=FQ","FILING_STATUS=MR","SCALING_FORMAT=MLN","Sort=A","Dates=H","DateFormat=P","Fill=—","Direction=H","UseDPDF=Y")</f>
        <v>—</v>
      </c>
      <c r="O59" s="13" t="str">
        <f>_xll.BDH("AMZN US Equity","BS_DEFERRED_TAX_LIABILITIES_LT","FQ1 2012","FQ1 2012","Currency=USD","Period=FQ","BEST_FPERIOD_OVERRIDE=FQ","FILING_STATUS=MR","SCALING_FORMAT=MLN","Sort=A","Dates=H","DateFormat=P","Fill=—","Direction=H","UseDPDF=Y")</f>
        <v>—</v>
      </c>
      <c r="P59" s="13" t="str">
        <f>_xll.BDH("AMZN US Equity","BS_DEFERRED_TAX_LIABILITIES_LT","FQ2 2012","FQ2 2012","Currency=USD","Period=FQ","BEST_FPERIOD_OVERRIDE=FQ","FILING_STATUS=MR","SCALING_FORMAT=MLN","Sort=A","Dates=H","DateFormat=P","Fill=—","Direction=H","UseDPDF=Y")</f>
        <v>—</v>
      </c>
      <c r="Q59" s="13" t="str">
        <f>_xll.BDH("AMZN US Equity","BS_DEFERRED_TAX_LIABILITIES_LT","FQ3 2012","FQ3 2012","Currency=USD","Period=FQ","BEST_FPERIOD_OVERRIDE=FQ","FILING_STATUS=MR","SCALING_FORMAT=MLN","Sort=A","Dates=H","DateFormat=P","Fill=—","Direction=H","UseDPDF=Y")</f>
        <v>—</v>
      </c>
      <c r="R59" s="13" t="str">
        <f>_xll.BDH("AMZN US Equity","BS_DEFERRED_TAX_LIABILITIES_LT","FQ4 2012","FQ4 2012","Currency=USD","Period=FQ","BEST_FPERIOD_OVERRIDE=FQ","FILING_STATUS=MR","SCALING_FORMAT=MLN","Sort=A","Dates=H","DateFormat=P","Fill=—","Direction=H","UseDPDF=Y")</f>
        <v>—</v>
      </c>
      <c r="S59" s="13" t="str">
        <f>_xll.BDH("AMZN US Equity","BS_DEFERRED_TAX_LIABILITIES_LT","FQ1 2013","FQ1 2013","Currency=USD","Period=FQ","BEST_FPERIOD_OVERRIDE=FQ","FILING_STATUS=MR","SCALING_FORMAT=MLN","Sort=A","Dates=H","DateFormat=P","Fill=—","Direction=H","UseDPDF=Y")</f>
        <v>—</v>
      </c>
      <c r="T59" s="13" t="str">
        <f>_xll.BDH("AMZN US Equity","BS_DEFERRED_TAX_LIABILITIES_LT","FQ2 2013","FQ2 2013","Currency=USD","Period=FQ","BEST_FPERIOD_OVERRIDE=FQ","FILING_STATUS=MR","SCALING_FORMAT=MLN","Sort=A","Dates=H","DateFormat=P","Fill=—","Direction=H","UseDPDF=Y")</f>
        <v>—</v>
      </c>
      <c r="U59" s="13" t="str">
        <f>_xll.BDH("AMZN US Equity","BS_DEFERRED_TAX_LIABILITIES_LT","FQ3 2013","FQ3 2013","Currency=USD","Period=FQ","BEST_FPERIOD_OVERRIDE=FQ","FILING_STATUS=MR","SCALING_FORMAT=MLN","Sort=A","Dates=H","DateFormat=P","Fill=—","Direction=H","UseDPDF=Y")</f>
        <v>—</v>
      </c>
      <c r="V59" s="13" t="str">
        <f>_xll.BDH("AMZN US Equity","BS_DEFERRED_TAX_LIABILITIES_LT","FQ4 2013","FQ4 2013","Currency=USD","Period=FQ","BEST_FPERIOD_OVERRIDE=FQ","FILING_STATUS=MR","SCALING_FORMAT=MLN","Sort=A","Dates=H","DateFormat=P","Fill=—","Direction=H","UseDPDF=Y")</f>
        <v>—</v>
      </c>
      <c r="W59" s="13" t="str">
        <f>_xll.BDH("AMZN US Equity","BS_DEFERRED_TAX_LIABILITIES_LT","FQ1 2014","FQ1 2014","Currency=USD","Period=FQ","BEST_FPERIOD_OVERRIDE=FQ","FILING_STATUS=MR","SCALING_FORMAT=MLN","Sort=A","Dates=H","DateFormat=P","Fill=—","Direction=H","UseDPDF=Y")</f>
        <v>—</v>
      </c>
      <c r="X59" s="13" t="str">
        <f>_xll.BDH("AMZN US Equity","BS_DEFERRED_TAX_LIABILITIES_LT","FQ2 2014","FQ2 2014","Currency=USD","Period=FQ","BEST_FPERIOD_OVERRIDE=FQ","FILING_STATUS=MR","SCALING_FORMAT=MLN","Sort=A","Dates=H","DateFormat=P","Fill=—","Direction=H","UseDPDF=Y")</f>
        <v>—</v>
      </c>
      <c r="Y59" s="13" t="str">
        <f>_xll.BDH("AMZN US Equity","BS_DEFERRED_TAX_LIABILITIES_LT","FQ3 2014","FQ3 2014","Currency=USD","Period=FQ","BEST_FPERIOD_OVERRIDE=FQ","FILING_STATUS=MR","SCALING_FORMAT=MLN","Sort=A","Dates=H","DateFormat=P","Fill=—","Direction=H","UseDPDF=Y")</f>
        <v>—</v>
      </c>
      <c r="Z59" s="13">
        <f>_xll.BDH("AMZN US Equity","BS_DEFERRED_TAX_LIABILITIES_LT","FQ4 2014","FQ4 2014","Currency=USD","Period=FQ","BEST_FPERIOD_OVERRIDE=FQ","FILING_STATUS=MR","SCALING_FORMAT=MLN","Sort=A","Dates=H","DateFormat=P","Fill=—","Direction=H","UseDPDF=Y")</f>
        <v>1021</v>
      </c>
      <c r="AA59" s="13" t="str">
        <f>_xll.BDH("AMZN US Equity","BS_DEFERRED_TAX_LIABILITIES_LT","FQ1 2015","FQ1 2015","Currency=USD","Period=FQ","BEST_FPERIOD_OVERRIDE=FQ","FILING_STATUS=MR","SCALING_FORMAT=MLN","Sort=A","Dates=H","DateFormat=P","Fill=—","Direction=H","UseDPDF=Y")</f>
        <v>—</v>
      </c>
      <c r="AB59" s="13" t="str">
        <f>_xll.BDH("AMZN US Equity","BS_DEFERRED_TAX_LIABILITIES_LT","FQ2 2015","FQ2 2015","Currency=USD","Period=FQ","BEST_FPERIOD_OVERRIDE=FQ","FILING_STATUS=MR","SCALING_FORMAT=MLN","Sort=A","Dates=H","DateFormat=P","Fill=—","Direction=H","UseDPDF=Y")</f>
        <v>—</v>
      </c>
      <c r="AC59" s="13" t="str">
        <f>_xll.BDH("AMZN US Equity","BS_DEFERRED_TAX_LIABILITIES_LT","FQ3 2015","FQ3 2015","Currency=USD","Period=FQ","BEST_FPERIOD_OVERRIDE=FQ","FILING_STATUS=MR","SCALING_FORMAT=MLN","Sort=A","Dates=H","DateFormat=P","Fill=—","Direction=H","UseDPDF=Y")</f>
        <v>—</v>
      </c>
      <c r="AD59" s="13">
        <f>_xll.BDH("AMZN US Equity","BS_DEFERRED_TAX_LIABILITIES_LT","FQ4 2015","FQ4 2015","Currency=USD","Period=FQ","BEST_FPERIOD_OVERRIDE=FQ","FILING_STATUS=MR","SCALING_FORMAT=MLN","Sort=A","Dates=H","DateFormat=P","Fill=—","Direction=H","UseDPDF=Y")</f>
        <v>407</v>
      </c>
      <c r="AE59" s="13" t="str">
        <f>_xll.BDH("AMZN US Equity","BS_DEFERRED_TAX_LIABILITIES_LT","FQ1 2016","FQ1 2016","Currency=USD","Period=FQ","BEST_FPERIOD_OVERRIDE=FQ","FILING_STATUS=MR","SCALING_FORMAT=MLN","Sort=A","Dates=H","DateFormat=P","Fill=—","Direction=H","UseDPDF=Y")</f>
        <v>—</v>
      </c>
      <c r="AF59" s="13" t="str">
        <f>_xll.BDH("AMZN US Equity","BS_DEFERRED_TAX_LIABILITIES_LT","FQ2 2016","FQ2 2016","Currency=USD","Period=FQ","BEST_FPERIOD_OVERRIDE=FQ","FILING_STATUS=MR","SCALING_FORMAT=MLN","Sort=A","Dates=H","DateFormat=P","Fill=—","Direction=H","UseDPDF=Y")</f>
        <v>—</v>
      </c>
      <c r="AG59" s="13" t="str">
        <f>_xll.BDH("AMZN US Equity","BS_DEFERRED_TAX_LIABILITIES_LT","FQ3 2016","FQ3 2016","Currency=USD","Period=FQ","BEST_FPERIOD_OVERRIDE=FQ","FILING_STATUS=MR","SCALING_FORMAT=MLN","Sort=A","Dates=H","DateFormat=P","Fill=—","Direction=H","UseDPDF=Y")</f>
        <v>—</v>
      </c>
      <c r="AH59" s="13">
        <f>_xll.BDH("AMZN US Equity","BS_DEFERRED_TAX_LIABILITIES_LT","FQ4 2016","FQ4 2016","Currency=USD","Period=FQ","BEST_FPERIOD_OVERRIDE=FQ","FILING_STATUS=MR","SCALING_FORMAT=MLN","Sort=A","Dates=H","DateFormat=P","Fill=—","Direction=H","UseDPDF=Y")</f>
        <v>392</v>
      </c>
      <c r="AI59" s="13" t="str">
        <f>_xll.BDH("AMZN US Equity","BS_DEFERRED_TAX_LIABILITIES_LT","FQ1 2017","FQ1 2017","Currency=USD","Period=FQ","BEST_FPERIOD_OVERRIDE=FQ","FILING_STATUS=MR","SCALING_FORMAT=MLN","Sort=A","Dates=H","DateFormat=P","Fill=—","Direction=H","UseDPDF=Y")</f>
        <v>—</v>
      </c>
      <c r="AJ59" s="13" t="str">
        <f>_xll.BDH("AMZN US Equity","BS_DEFERRED_TAX_LIABILITIES_LT","FQ2 2017","FQ2 2017","Currency=USD","Period=FQ","BEST_FPERIOD_OVERRIDE=FQ","FILING_STATUS=MR","SCALING_FORMAT=MLN","Sort=A","Dates=H","DateFormat=P","Fill=—","Direction=H","UseDPDF=Y")</f>
        <v>—</v>
      </c>
      <c r="AK59" s="13" t="str">
        <f>_xll.BDH("AMZN US Equity","BS_DEFERRED_TAX_LIABILITIES_LT","FQ3 2017","FQ3 2017","Currency=USD","Period=FQ","BEST_FPERIOD_OVERRIDE=FQ","FILING_STATUS=MR","SCALING_FORMAT=MLN","Sort=A","Dates=H","DateFormat=P","Fill=—","Direction=H","UseDPDF=Y")</f>
        <v>—</v>
      </c>
      <c r="AL59" s="13">
        <f>_xll.BDH("AMZN US Equity","BS_DEFERRED_TAX_LIABILITIES_LT","FQ4 2017","FQ4 2017","Currency=USD","Period=FQ","BEST_FPERIOD_OVERRIDE=FQ","FILING_STATUS=MR","SCALING_FORMAT=MLN","Sort=A","Dates=H","DateFormat=P","Fill=—","Direction=H","UseDPDF=Y")</f>
        <v>990</v>
      </c>
      <c r="AM59" s="13" t="str">
        <f>_xll.BDH("AMZN US Equity","BS_DEFERRED_TAX_LIABILITIES_LT","FQ1 2018","FQ1 2018","Currency=USD","Period=FQ","BEST_FPERIOD_OVERRIDE=FQ","FILING_STATUS=MR","SCALING_FORMAT=MLN","Sort=A","Dates=H","DateFormat=P","Fill=—","Direction=H","UseDPDF=Y")</f>
        <v>—</v>
      </c>
      <c r="AN59" s="13" t="str">
        <f>_xll.BDH("AMZN US Equity","BS_DEFERRED_TAX_LIABILITIES_LT","FQ2 2018","FQ2 2018","Currency=USD","Period=FQ","BEST_FPERIOD_OVERRIDE=FQ","FILING_STATUS=MR","SCALING_FORMAT=MLN","Sort=A","Dates=H","DateFormat=P","Fill=—","Direction=H","UseDPDF=Y")</f>
        <v>—</v>
      </c>
    </row>
    <row r="60" spans="1:40" x14ac:dyDescent="0.25">
      <c r="A60" s="10" t="s">
        <v>288</v>
      </c>
      <c r="B60" s="10" t="s">
        <v>309</v>
      </c>
      <c r="C60" s="13" t="str">
        <f>_xll.BDH("AMZN US Equity","BS_DERIVATIVE_&amp;_HEDGING_LIABS_LT","FQ1 2009","FQ1 2009","Currency=USD","Period=FQ","BEST_FPERIOD_OVERRIDE=FQ","FILING_STATUS=MR","SCALING_FORMAT=MLN","Sort=A","Dates=H","DateFormat=P","Fill=—","Direction=H","UseDPDF=Y")</f>
        <v>—</v>
      </c>
      <c r="D60" s="13" t="str">
        <f>_xll.BDH("AMZN US Equity","BS_DERIVATIVE_&amp;_HEDGING_LIABS_LT","FQ2 2009","FQ2 2009","Currency=USD","Period=FQ","BEST_FPERIOD_OVERRIDE=FQ","FILING_STATUS=MR","SCALING_FORMAT=MLN","Sort=A","Dates=H","DateFormat=P","Fill=—","Direction=H","UseDPDF=Y")</f>
        <v>—</v>
      </c>
      <c r="E60" s="13" t="str">
        <f>_xll.BDH("AMZN US Equity","BS_DERIVATIVE_&amp;_HEDGING_LIABS_LT","FQ3 2009","FQ3 2009","Currency=USD","Period=FQ","BEST_FPERIOD_OVERRIDE=FQ","FILING_STATUS=MR","SCALING_FORMAT=MLN","Sort=A","Dates=H","DateFormat=P","Fill=—","Direction=H","UseDPDF=Y")</f>
        <v>—</v>
      </c>
      <c r="F60" s="13" t="str">
        <f>_xll.BDH("AMZN US Equity","BS_DERIVATIVE_&amp;_HEDGING_LIABS_LT","FQ4 2009","FQ4 2009","Currency=USD","Period=FQ","BEST_FPERIOD_OVERRIDE=FQ","FILING_STATUS=MR","SCALING_FORMAT=MLN","Sort=A","Dates=H","DateFormat=P","Fill=—","Direction=H","UseDPDF=Y")</f>
        <v>—</v>
      </c>
      <c r="G60" s="13" t="str">
        <f>_xll.BDH("AMZN US Equity","BS_DERIVATIVE_&amp;_HEDGING_LIABS_LT","FQ1 2010","FQ1 2010","Currency=USD","Period=FQ","BEST_FPERIOD_OVERRIDE=FQ","FILING_STATUS=MR","SCALING_FORMAT=MLN","Sort=A","Dates=H","DateFormat=P","Fill=—","Direction=H","UseDPDF=Y")</f>
        <v>—</v>
      </c>
      <c r="H60" s="13" t="str">
        <f>_xll.BDH("AMZN US Equity","BS_DERIVATIVE_&amp;_HEDGING_LIABS_LT","FQ2 2010","FQ2 2010","Currency=USD","Period=FQ","BEST_FPERIOD_OVERRIDE=FQ","FILING_STATUS=MR","SCALING_FORMAT=MLN","Sort=A","Dates=H","DateFormat=P","Fill=—","Direction=H","UseDPDF=Y")</f>
        <v>—</v>
      </c>
      <c r="I60" s="13" t="str">
        <f>_xll.BDH("AMZN US Equity","BS_DERIVATIVE_&amp;_HEDGING_LIABS_LT","FQ3 2010","FQ3 2010","Currency=USD","Period=FQ","BEST_FPERIOD_OVERRIDE=FQ","FILING_STATUS=MR","SCALING_FORMAT=MLN","Sort=A","Dates=H","DateFormat=P","Fill=—","Direction=H","UseDPDF=Y")</f>
        <v>—</v>
      </c>
      <c r="J60" s="13">
        <f>_xll.BDH("AMZN US Equity","BS_DERIVATIVE_&amp;_HEDGING_LIABS_LT","FQ4 2010","FQ4 2010","Currency=USD","Period=FQ","BEST_FPERIOD_OVERRIDE=FQ","FILING_STATUS=MR","SCALING_FORMAT=MLN","Sort=A","Dates=H","DateFormat=P","Fill=—","Direction=H","UseDPDF=Y")</f>
        <v>0</v>
      </c>
      <c r="K60" s="13" t="str">
        <f>_xll.BDH("AMZN US Equity","BS_DERIVATIVE_&amp;_HEDGING_LIABS_LT","FQ1 2011","FQ1 2011","Currency=USD","Period=FQ","BEST_FPERIOD_OVERRIDE=FQ","FILING_STATUS=MR","SCALING_FORMAT=MLN","Sort=A","Dates=H","DateFormat=P","Fill=—","Direction=H","UseDPDF=Y")</f>
        <v>—</v>
      </c>
      <c r="L60" s="13" t="str">
        <f>_xll.BDH("AMZN US Equity","BS_DERIVATIVE_&amp;_HEDGING_LIABS_LT","FQ2 2011","FQ2 2011","Currency=USD","Period=FQ","BEST_FPERIOD_OVERRIDE=FQ","FILING_STATUS=MR","SCALING_FORMAT=MLN","Sort=A","Dates=H","DateFormat=P","Fill=—","Direction=H","UseDPDF=Y")</f>
        <v>—</v>
      </c>
      <c r="M60" s="13" t="str">
        <f>_xll.BDH("AMZN US Equity","BS_DERIVATIVE_&amp;_HEDGING_LIABS_LT","FQ3 2011","FQ3 2011","Currency=USD","Period=FQ","BEST_FPERIOD_OVERRIDE=FQ","FILING_STATUS=MR","SCALING_FORMAT=MLN","Sort=A","Dates=H","DateFormat=P","Fill=—","Direction=H","UseDPDF=Y")</f>
        <v>—</v>
      </c>
      <c r="N60" s="13">
        <f>_xll.BDH("AMZN US Equity","BS_DERIVATIVE_&amp;_HEDGING_LIABS_LT","FQ4 2011","FQ4 2011","Currency=USD","Period=FQ","BEST_FPERIOD_OVERRIDE=FQ","FILING_STATUS=MR","SCALING_FORMAT=MLN","Sort=A","Dates=H","DateFormat=P","Fill=—","Direction=H","UseDPDF=Y")</f>
        <v>0</v>
      </c>
      <c r="O60" s="13" t="str">
        <f>_xll.BDH("AMZN US Equity","BS_DERIVATIVE_&amp;_HEDGING_LIABS_LT","FQ1 2012","FQ1 2012","Currency=USD","Period=FQ","BEST_FPERIOD_OVERRIDE=FQ","FILING_STATUS=MR","SCALING_FORMAT=MLN","Sort=A","Dates=H","DateFormat=P","Fill=—","Direction=H","UseDPDF=Y")</f>
        <v>—</v>
      </c>
      <c r="P60" s="13" t="str">
        <f>_xll.BDH("AMZN US Equity","BS_DERIVATIVE_&amp;_HEDGING_LIABS_LT","FQ2 2012","FQ2 2012","Currency=USD","Period=FQ","BEST_FPERIOD_OVERRIDE=FQ","FILING_STATUS=MR","SCALING_FORMAT=MLN","Sort=A","Dates=H","DateFormat=P","Fill=—","Direction=H","UseDPDF=Y")</f>
        <v>—</v>
      </c>
      <c r="Q60" s="13" t="str">
        <f>_xll.BDH("AMZN US Equity","BS_DERIVATIVE_&amp;_HEDGING_LIABS_LT","FQ3 2012","FQ3 2012","Currency=USD","Period=FQ","BEST_FPERIOD_OVERRIDE=FQ","FILING_STATUS=MR","SCALING_FORMAT=MLN","Sort=A","Dates=H","DateFormat=P","Fill=—","Direction=H","UseDPDF=Y")</f>
        <v>—</v>
      </c>
      <c r="R60" s="13">
        <f>_xll.BDH("AMZN US Equity","BS_DERIVATIVE_&amp;_HEDGING_LIABS_LT","FQ4 2012","FQ4 2012","Currency=USD","Period=FQ","BEST_FPERIOD_OVERRIDE=FQ","FILING_STATUS=MR","SCALING_FORMAT=MLN","Sort=A","Dates=H","DateFormat=P","Fill=—","Direction=H","UseDPDF=Y")</f>
        <v>0</v>
      </c>
      <c r="S60" s="13" t="str">
        <f>_xll.BDH("AMZN US Equity","BS_DERIVATIVE_&amp;_HEDGING_LIABS_LT","FQ1 2013","FQ1 2013","Currency=USD","Period=FQ","BEST_FPERIOD_OVERRIDE=FQ","FILING_STATUS=MR","SCALING_FORMAT=MLN","Sort=A","Dates=H","DateFormat=P","Fill=—","Direction=H","UseDPDF=Y")</f>
        <v>—</v>
      </c>
      <c r="T60" s="13" t="str">
        <f>_xll.BDH("AMZN US Equity","BS_DERIVATIVE_&amp;_HEDGING_LIABS_LT","FQ2 2013","FQ2 2013","Currency=USD","Period=FQ","BEST_FPERIOD_OVERRIDE=FQ","FILING_STATUS=MR","SCALING_FORMAT=MLN","Sort=A","Dates=H","DateFormat=P","Fill=—","Direction=H","UseDPDF=Y")</f>
        <v>—</v>
      </c>
      <c r="U60" s="13" t="str">
        <f>_xll.BDH("AMZN US Equity","BS_DERIVATIVE_&amp;_HEDGING_LIABS_LT","FQ3 2013","FQ3 2013","Currency=USD","Period=FQ","BEST_FPERIOD_OVERRIDE=FQ","FILING_STATUS=MR","SCALING_FORMAT=MLN","Sort=A","Dates=H","DateFormat=P","Fill=—","Direction=H","UseDPDF=Y")</f>
        <v>—</v>
      </c>
      <c r="V60" s="13">
        <f>_xll.BDH("AMZN US Equity","BS_DERIVATIVE_&amp;_HEDGING_LIABS_LT","FQ4 2013","FQ4 2013","Currency=USD","Period=FQ","BEST_FPERIOD_OVERRIDE=FQ","FILING_STATUS=MR","SCALING_FORMAT=MLN","Sort=A","Dates=H","DateFormat=P","Fill=—","Direction=H","UseDPDF=Y")</f>
        <v>0</v>
      </c>
      <c r="W60" s="13" t="str">
        <f>_xll.BDH("AMZN US Equity","BS_DERIVATIVE_&amp;_HEDGING_LIABS_LT","FQ1 2014","FQ1 2014","Currency=USD","Period=FQ","BEST_FPERIOD_OVERRIDE=FQ","FILING_STATUS=MR","SCALING_FORMAT=MLN","Sort=A","Dates=H","DateFormat=P","Fill=—","Direction=H","UseDPDF=Y")</f>
        <v>—</v>
      </c>
      <c r="X60" s="13" t="str">
        <f>_xll.BDH("AMZN US Equity","BS_DERIVATIVE_&amp;_HEDGING_LIABS_LT","FQ2 2014","FQ2 2014","Currency=USD","Period=FQ","BEST_FPERIOD_OVERRIDE=FQ","FILING_STATUS=MR","SCALING_FORMAT=MLN","Sort=A","Dates=H","DateFormat=P","Fill=—","Direction=H","UseDPDF=Y")</f>
        <v>—</v>
      </c>
      <c r="Y60" s="13" t="str">
        <f>_xll.BDH("AMZN US Equity","BS_DERIVATIVE_&amp;_HEDGING_LIABS_LT","FQ3 2014","FQ3 2014","Currency=USD","Period=FQ","BEST_FPERIOD_OVERRIDE=FQ","FILING_STATUS=MR","SCALING_FORMAT=MLN","Sort=A","Dates=H","DateFormat=P","Fill=—","Direction=H","UseDPDF=Y")</f>
        <v>—</v>
      </c>
      <c r="Z60" s="13">
        <f>_xll.BDH("AMZN US Equity","BS_DERIVATIVE_&amp;_HEDGING_LIABS_LT","FQ4 2014","FQ4 2014","Currency=USD","Period=FQ","BEST_FPERIOD_OVERRIDE=FQ","FILING_STATUS=MR","SCALING_FORMAT=MLN","Sort=A","Dates=H","DateFormat=P","Fill=—","Direction=H","UseDPDF=Y")</f>
        <v>0</v>
      </c>
      <c r="AA60" s="13" t="str">
        <f>_xll.BDH("AMZN US Equity","BS_DERIVATIVE_&amp;_HEDGING_LIABS_LT","FQ1 2015","FQ1 2015","Currency=USD","Period=FQ","BEST_FPERIOD_OVERRIDE=FQ","FILING_STATUS=MR","SCALING_FORMAT=MLN","Sort=A","Dates=H","DateFormat=P","Fill=—","Direction=H","UseDPDF=Y")</f>
        <v>—</v>
      </c>
      <c r="AB60" s="13" t="str">
        <f>_xll.BDH("AMZN US Equity","BS_DERIVATIVE_&amp;_HEDGING_LIABS_LT","FQ2 2015","FQ2 2015","Currency=USD","Period=FQ","BEST_FPERIOD_OVERRIDE=FQ","FILING_STATUS=MR","SCALING_FORMAT=MLN","Sort=A","Dates=H","DateFormat=P","Fill=—","Direction=H","UseDPDF=Y")</f>
        <v>—</v>
      </c>
      <c r="AC60" s="13" t="str">
        <f>_xll.BDH("AMZN US Equity","BS_DERIVATIVE_&amp;_HEDGING_LIABS_LT","FQ3 2015","FQ3 2015","Currency=USD","Period=FQ","BEST_FPERIOD_OVERRIDE=FQ","FILING_STATUS=MR","SCALING_FORMAT=MLN","Sort=A","Dates=H","DateFormat=P","Fill=—","Direction=H","UseDPDF=Y")</f>
        <v>—</v>
      </c>
      <c r="AD60" s="13">
        <f>_xll.BDH("AMZN US Equity","BS_DERIVATIVE_&amp;_HEDGING_LIABS_LT","FQ4 2015","FQ4 2015","Currency=USD","Period=FQ","BEST_FPERIOD_OVERRIDE=FQ","FILING_STATUS=MR","SCALING_FORMAT=MLN","Sort=A","Dates=H","DateFormat=P","Fill=—","Direction=H","UseDPDF=Y")</f>
        <v>0</v>
      </c>
      <c r="AE60" s="13" t="str">
        <f>_xll.BDH("AMZN US Equity","BS_DERIVATIVE_&amp;_HEDGING_LIABS_LT","FQ1 2016","FQ1 2016","Currency=USD","Period=FQ","BEST_FPERIOD_OVERRIDE=FQ","FILING_STATUS=MR","SCALING_FORMAT=MLN","Sort=A","Dates=H","DateFormat=P","Fill=—","Direction=H","UseDPDF=Y")</f>
        <v>—</v>
      </c>
      <c r="AF60" s="13" t="str">
        <f>_xll.BDH("AMZN US Equity","BS_DERIVATIVE_&amp;_HEDGING_LIABS_LT","FQ2 2016","FQ2 2016","Currency=USD","Period=FQ","BEST_FPERIOD_OVERRIDE=FQ","FILING_STATUS=MR","SCALING_FORMAT=MLN","Sort=A","Dates=H","DateFormat=P","Fill=—","Direction=H","UseDPDF=Y")</f>
        <v>—</v>
      </c>
      <c r="AG60" s="13" t="str">
        <f>_xll.BDH("AMZN US Equity","BS_DERIVATIVE_&amp;_HEDGING_LIABS_LT","FQ3 2016","FQ3 2016","Currency=USD","Period=FQ","BEST_FPERIOD_OVERRIDE=FQ","FILING_STATUS=MR","SCALING_FORMAT=MLN","Sort=A","Dates=H","DateFormat=P","Fill=—","Direction=H","UseDPDF=Y")</f>
        <v>—</v>
      </c>
      <c r="AH60" s="13">
        <f>_xll.BDH("AMZN US Equity","BS_DERIVATIVE_&amp;_HEDGING_LIABS_LT","FQ4 2016","FQ4 2016","Currency=USD","Period=FQ","BEST_FPERIOD_OVERRIDE=FQ","FILING_STATUS=MR","SCALING_FORMAT=MLN","Sort=A","Dates=H","DateFormat=P","Fill=—","Direction=H","UseDPDF=Y")</f>
        <v>0</v>
      </c>
      <c r="AI60" s="13" t="str">
        <f>_xll.BDH("AMZN US Equity","BS_DERIVATIVE_&amp;_HEDGING_LIABS_LT","FQ1 2017","FQ1 2017","Currency=USD","Period=FQ","BEST_FPERIOD_OVERRIDE=FQ","FILING_STATUS=MR","SCALING_FORMAT=MLN","Sort=A","Dates=H","DateFormat=P","Fill=—","Direction=H","UseDPDF=Y")</f>
        <v>—</v>
      </c>
      <c r="AJ60" s="13" t="str">
        <f>_xll.BDH("AMZN US Equity","BS_DERIVATIVE_&amp;_HEDGING_LIABS_LT","FQ2 2017","FQ2 2017","Currency=USD","Period=FQ","BEST_FPERIOD_OVERRIDE=FQ","FILING_STATUS=MR","SCALING_FORMAT=MLN","Sort=A","Dates=H","DateFormat=P","Fill=—","Direction=H","UseDPDF=Y")</f>
        <v>—</v>
      </c>
      <c r="AK60" s="13" t="str">
        <f>_xll.BDH("AMZN US Equity","BS_DERIVATIVE_&amp;_HEDGING_LIABS_LT","FQ3 2017","FQ3 2017","Currency=USD","Period=FQ","BEST_FPERIOD_OVERRIDE=FQ","FILING_STATUS=MR","SCALING_FORMAT=MLN","Sort=A","Dates=H","DateFormat=P","Fill=—","Direction=H","UseDPDF=Y")</f>
        <v>—</v>
      </c>
      <c r="AL60" s="13">
        <f>_xll.BDH("AMZN US Equity","BS_DERIVATIVE_&amp;_HEDGING_LIABS_LT","FQ4 2017","FQ4 2017","Currency=USD","Period=FQ","BEST_FPERIOD_OVERRIDE=FQ","FILING_STATUS=MR","SCALING_FORMAT=MLN","Sort=A","Dates=H","DateFormat=P","Fill=—","Direction=H","UseDPDF=Y")</f>
        <v>0</v>
      </c>
      <c r="AM60" s="13" t="str">
        <f>_xll.BDH("AMZN US Equity","BS_DERIVATIVE_&amp;_HEDGING_LIABS_LT","FQ1 2018","FQ1 2018","Currency=USD","Period=FQ","BEST_FPERIOD_OVERRIDE=FQ","FILING_STATUS=MR","SCALING_FORMAT=MLN","Sort=A","Dates=H","DateFormat=P","Fill=—","Direction=H","UseDPDF=Y")</f>
        <v>—</v>
      </c>
      <c r="AN60" s="13" t="str">
        <f>_xll.BDH("AMZN US Equity","BS_DERIVATIVE_&amp;_HEDGING_LIABS_LT","FQ2 2018","FQ2 2018","Currency=USD","Period=FQ","BEST_FPERIOD_OVERRIDE=FQ","FILING_STATUS=MR","SCALING_FORMAT=MLN","Sort=A","Dates=H","DateFormat=P","Fill=—","Direction=H","UseDPDF=Y")</f>
        <v>—</v>
      </c>
    </row>
    <row r="61" spans="1:40" x14ac:dyDescent="0.25">
      <c r="A61" s="10" t="s">
        <v>310</v>
      </c>
      <c r="B61" s="10" t="s">
        <v>311</v>
      </c>
      <c r="C61" s="13">
        <f>_xll.BDH("AMZN US Equity","OTHER_NONCURRENT_LIABS_DETAILED","FQ1 2009","FQ1 2009","Currency=USD","Period=FQ","BEST_FPERIOD_OVERRIDE=FQ","FILING_STATUS=MR","SCALING_FORMAT=MLN","Sort=A","Dates=H","DateFormat=P","Fill=—","Direction=H","UseDPDF=Y")</f>
        <v>578</v>
      </c>
      <c r="D61" s="13">
        <f>_xll.BDH("AMZN US Equity","OTHER_NONCURRENT_LIABS_DETAILED","FQ2 2009","FQ2 2009","Currency=USD","Period=FQ","BEST_FPERIOD_OVERRIDE=FQ","FILING_STATUS=MR","SCALING_FORMAT=MLN","Sort=A","Dates=H","DateFormat=P","Fill=—","Direction=H","UseDPDF=Y")</f>
        <v>674</v>
      </c>
      <c r="E61" s="13">
        <f>_xll.BDH("AMZN US Equity","OTHER_NONCURRENT_LIABS_DETAILED","FQ3 2009","FQ3 2009","Currency=USD","Period=FQ","BEST_FPERIOD_OVERRIDE=FQ","FILING_STATUS=MR","SCALING_FORMAT=MLN","Sort=A","Dates=H","DateFormat=P","Fill=—","Direction=H","UseDPDF=Y")</f>
        <v>734</v>
      </c>
      <c r="F61" s="13">
        <f>_xll.BDH("AMZN US Equity","OTHER_NONCURRENT_LIABS_DETAILED","FQ4 2009","FQ4 2009","Currency=USD","Period=FQ","BEST_FPERIOD_OVERRIDE=FQ","FILING_STATUS=MR","SCALING_FORMAT=MLN","Sort=A","Dates=H","DateFormat=P","Fill=—","Direction=H","UseDPDF=Y")</f>
        <v>952</v>
      </c>
      <c r="G61" s="13">
        <f>_xll.BDH("AMZN US Equity","OTHER_NONCURRENT_LIABS_DETAILED","FQ1 2010","FQ1 2010","Currency=USD","Period=FQ","BEST_FPERIOD_OVERRIDE=FQ","FILING_STATUS=MR","SCALING_FORMAT=MLN","Sort=A","Dates=H","DateFormat=P","Fill=—","Direction=H","UseDPDF=Y")</f>
        <v>1100</v>
      </c>
      <c r="H61" s="13">
        <f>_xll.BDH("AMZN US Equity","OTHER_NONCURRENT_LIABS_DETAILED","FQ2 2010","FQ2 2010","Currency=USD","Period=FQ","BEST_FPERIOD_OVERRIDE=FQ","FILING_STATUS=MR","SCALING_FORMAT=MLN","Sort=A","Dates=H","DateFormat=P","Fill=—","Direction=H","UseDPDF=Y")</f>
        <v>1158</v>
      </c>
      <c r="I61" s="13">
        <f>_xll.BDH("AMZN US Equity","OTHER_NONCURRENT_LIABS_DETAILED","FQ3 2010","FQ3 2010","Currency=USD","Period=FQ","BEST_FPERIOD_OVERRIDE=FQ","FILING_STATUS=MR","SCALING_FORMAT=MLN","Sort=A","Dates=H","DateFormat=P","Fill=—","Direction=H","UseDPDF=Y")</f>
        <v>1226</v>
      </c>
      <c r="J61" s="13">
        <f>_xll.BDH("AMZN US Equity","OTHER_NONCURRENT_LIABS_DETAILED","FQ4 2010","FQ4 2010","Currency=USD","Period=FQ","BEST_FPERIOD_OVERRIDE=FQ","FILING_STATUS=MR","SCALING_FORMAT=MLN","Sort=A","Dates=H","DateFormat=P","Fill=—","Direction=H","UseDPDF=Y")</f>
        <v>1101</v>
      </c>
      <c r="K61" s="13">
        <f>_xll.BDH("AMZN US Equity","OTHER_NONCURRENT_LIABS_DETAILED","FQ1 2011","FQ1 2011","Currency=USD","Period=FQ","BEST_FPERIOD_OVERRIDE=FQ","FILING_STATUS=MR","SCALING_FORMAT=MLN","Sort=A","Dates=H","DateFormat=P","Fill=—","Direction=H","UseDPDF=Y")</f>
        <v>1805</v>
      </c>
      <c r="L61" s="13">
        <f>_xll.BDH("AMZN US Equity","OTHER_NONCURRENT_LIABS_DETAILED","FQ2 2011","FQ2 2011","Currency=USD","Period=FQ","BEST_FPERIOD_OVERRIDE=FQ","FILING_STATUS=MR","SCALING_FORMAT=MLN","Sort=A","Dates=H","DateFormat=P","Fill=—","Direction=H","UseDPDF=Y")</f>
        <v>2131</v>
      </c>
      <c r="M61" s="13">
        <f>_xll.BDH("AMZN US Equity","OTHER_NONCURRENT_LIABS_DETAILED","FQ3 2011","FQ3 2011","Currency=USD","Period=FQ","BEST_FPERIOD_OVERRIDE=FQ","FILING_STATUS=MR","SCALING_FORMAT=MLN","Sort=A","Dates=H","DateFormat=P","Fill=—","Direction=H","UseDPDF=Y")</f>
        <v>2310</v>
      </c>
      <c r="N61" s="13">
        <f>_xll.BDH("AMZN US Equity","OTHER_NONCURRENT_LIABS_DETAILED","FQ4 2011","FQ4 2011","Currency=USD","Period=FQ","BEST_FPERIOD_OVERRIDE=FQ","FILING_STATUS=MR","SCALING_FORMAT=MLN","Sort=A","Dates=H","DateFormat=P","Fill=—","Direction=H","UseDPDF=Y")</f>
        <v>1210</v>
      </c>
      <c r="O61" s="13">
        <f>_xll.BDH("AMZN US Equity","OTHER_NONCURRENT_LIABS_DETAILED","FQ1 2012","FQ1 2012","Currency=USD","Period=FQ","BEST_FPERIOD_OVERRIDE=FQ","FILING_STATUS=MR","SCALING_FORMAT=MLN","Sort=A","Dates=H","DateFormat=P","Fill=—","Direction=H","UseDPDF=Y")</f>
        <v>2580</v>
      </c>
      <c r="P61" s="13">
        <f>_xll.BDH("AMZN US Equity","OTHER_NONCURRENT_LIABS_DETAILED","FQ2 2012","FQ2 2012","Currency=USD","Period=FQ","BEST_FPERIOD_OVERRIDE=FQ","FILING_STATUS=MR","SCALING_FORMAT=MLN","Sort=A","Dates=H","DateFormat=P","Fill=—","Direction=H","UseDPDF=Y")</f>
        <v>2553</v>
      </c>
      <c r="Q61" s="13">
        <f>_xll.BDH("AMZN US Equity","OTHER_NONCURRENT_LIABS_DETAILED","FQ3 2012","FQ3 2012","Currency=USD","Period=FQ","BEST_FPERIOD_OVERRIDE=FQ","FILING_STATUS=MR","SCALING_FORMAT=MLN","Sort=A","Dates=H","DateFormat=P","Fill=—","Direction=H","UseDPDF=Y")</f>
        <v>2676</v>
      </c>
      <c r="R61" s="13">
        <f>_xll.BDH("AMZN US Equity","OTHER_NONCURRENT_LIABS_DETAILED","FQ4 2012","FQ4 2012","Currency=USD","Period=FQ","BEST_FPERIOD_OVERRIDE=FQ","FILING_STATUS=MR","SCALING_FORMAT=MLN","Sort=A","Dates=H","DateFormat=P","Fill=—","Direction=H","UseDPDF=Y")</f>
        <v>1531</v>
      </c>
      <c r="S61" s="13">
        <f>_xll.BDH("AMZN US Equity","OTHER_NONCURRENT_LIABS_DETAILED","FQ1 2013","FQ1 2013","Currency=USD","Period=FQ","BEST_FPERIOD_OVERRIDE=FQ","FILING_STATUS=MR","SCALING_FORMAT=MLN","Sort=A","Dates=H","DateFormat=P","Fill=—","Direction=H","UseDPDF=Y")</f>
        <v>2573</v>
      </c>
      <c r="T61" s="13">
        <f>_xll.BDH("AMZN US Equity","OTHER_NONCURRENT_LIABS_DETAILED","FQ2 2013","FQ2 2013","Currency=USD","Period=FQ","BEST_FPERIOD_OVERRIDE=FQ","FILING_STATUS=MR","SCALING_FORMAT=MLN","Sort=A","Dates=H","DateFormat=P","Fill=—","Direction=H","UseDPDF=Y")</f>
        <v>3113</v>
      </c>
      <c r="U61" s="13">
        <f>_xll.BDH("AMZN US Equity","OTHER_NONCURRENT_LIABS_DETAILED","FQ3 2013","FQ3 2013","Currency=USD","Period=FQ","BEST_FPERIOD_OVERRIDE=FQ","FILING_STATUS=MR","SCALING_FORMAT=MLN","Sort=A","Dates=H","DateFormat=P","Fill=—","Direction=H","UseDPDF=Y")</f>
        <v>3596</v>
      </c>
      <c r="V61" s="13">
        <f>_xll.BDH("AMZN US Equity","OTHER_NONCURRENT_LIABS_DETAILED","FQ4 2013","FQ4 2013","Currency=USD","Period=FQ","BEST_FPERIOD_OVERRIDE=FQ","FILING_STATUS=MR","SCALING_FORMAT=MLN","Sort=A","Dates=H","DateFormat=P","Fill=—","Direction=H","UseDPDF=Y")</f>
        <v>2252</v>
      </c>
      <c r="W61" s="13">
        <f>_xll.BDH("AMZN US Equity","OTHER_NONCURRENT_LIABS_DETAILED","FQ1 2014","FQ1 2014","Currency=USD","Period=FQ","BEST_FPERIOD_OVERRIDE=FQ","FILING_STATUS=MR","SCALING_FORMAT=MLN","Sort=A","Dates=H","DateFormat=P","Fill=—","Direction=H","UseDPDF=Y")</f>
        <v>4532</v>
      </c>
      <c r="X61" s="13">
        <f>_xll.BDH("AMZN US Equity","OTHER_NONCURRENT_LIABS_DETAILED","FQ2 2014","FQ2 2014","Currency=USD","Period=FQ","BEST_FPERIOD_OVERRIDE=FQ","FILING_STATUS=MR","SCALING_FORMAT=MLN","Sort=A","Dates=H","DateFormat=P","Fill=—","Direction=H","UseDPDF=Y")</f>
        <v>5426</v>
      </c>
      <c r="Y61" s="13">
        <f>_xll.BDH("AMZN US Equity","OTHER_NONCURRENT_LIABS_DETAILED","FQ3 2014","FQ3 2014","Currency=USD","Period=FQ","BEST_FPERIOD_OVERRIDE=FQ","FILING_STATUS=MR","SCALING_FORMAT=MLN","Sort=A","Dates=H","DateFormat=P","Fill=—","Direction=H","UseDPDF=Y")</f>
        <v>6142</v>
      </c>
      <c r="Z61" s="13">
        <f>_xll.BDH("AMZN US Equity","OTHER_NONCURRENT_LIABS_DETAILED","FQ4 2014","FQ4 2014","Currency=USD","Period=FQ","BEST_FPERIOD_OVERRIDE=FQ","FILING_STATUS=MR","SCALING_FORMAT=MLN","Sort=A","Dates=H","DateFormat=P","Fill=—","Direction=H","UseDPDF=Y")</f>
        <v>2165</v>
      </c>
      <c r="AA61" s="13">
        <f>_xll.BDH("AMZN US Equity","OTHER_NONCURRENT_LIABS_DETAILED","FQ1 2015","FQ1 2015","Currency=USD","Period=FQ","BEST_FPERIOD_OVERRIDE=FQ","FILING_STATUS=MR","SCALING_FORMAT=MLN","Sort=A","Dates=H","DateFormat=P","Fill=—","Direction=H","UseDPDF=Y")</f>
        <v>7768</v>
      </c>
      <c r="AB61" s="13">
        <f>_xll.BDH("AMZN US Equity","OTHER_NONCURRENT_LIABS_DETAILED","FQ2 2015","FQ2 2015","Currency=USD","Period=FQ","BEST_FPERIOD_OVERRIDE=FQ","FILING_STATUS=MR","SCALING_FORMAT=MLN","Sort=A","Dates=H","DateFormat=P","Fill=—","Direction=H","UseDPDF=Y")</f>
        <v>8510</v>
      </c>
      <c r="AC61" s="13">
        <f>_xll.BDH("AMZN US Equity","OTHER_NONCURRENT_LIABS_DETAILED","FQ3 2015","FQ3 2015","Currency=USD","Period=FQ","BEST_FPERIOD_OVERRIDE=FQ","FILING_STATUS=MR","SCALING_FORMAT=MLN","Sort=A","Dates=H","DateFormat=P","Fill=—","Direction=H","UseDPDF=Y")</f>
        <v>8900</v>
      </c>
      <c r="AD61" s="13">
        <f>_xll.BDH("AMZN US Equity","OTHER_NONCURRENT_LIABS_DETAILED","FQ4 2015","FQ4 2015","Currency=USD","Period=FQ","BEST_FPERIOD_OVERRIDE=FQ","FILING_STATUS=MR","SCALING_FORMAT=MLN","Sort=A","Dates=H","DateFormat=P","Fill=—","Direction=H","UseDPDF=Y")</f>
        <v>2650</v>
      </c>
      <c r="AE61" s="13">
        <f>_xll.BDH("AMZN US Equity","OTHER_NONCURRENT_LIABS_DETAILED","FQ1 2016","FQ1 2016","Currency=USD","Period=FQ","BEST_FPERIOD_OVERRIDE=FQ","FILING_STATUS=MR","SCALING_FORMAT=MLN","Sort=A","Dates=H","DateFormat=P","Fill=—","Direction=H","UseDPDF=Y")</f>
        <v>3966</v>
      </c>
      <c r="AF61" s="13">
        <f>_xll.BDH("AMZN US Equity","OTHER_NONCURRENT_LIABS_DETAILED","FQ2 2016","FQ2 2016","Currency=USD","Period=FQ","BEST_FPERIOD_OVERRIDE=FQ","FILING_STATUS=MR","SCALING_FORMAT=MLN","Sort=A","Dates=H","DateFormat=P","Fill=—","Direction=H","UseDPDF=Y")</f>
        <v>4639</v>
      </c>
      <c r="AG61" s="13">
        <f>_xll.BDH("AMZN US Equity","OTHER_NONCURRENT_LIABS_DETAILED","FQ3 2016","FQ3 2016","Currency=USD","Period=FQ","BEST_FPERIOD_OVERRIDE=FQ","FILING_STATUS=MR","SCALING_FORMAT=MLN","Sort=A","Dates=H","DateFormat=P","Fill=—","Direction=H","UseDPDF=Y")</f>
        <v>4512</v>
      </c>
      <c r="AH61" s="13">
        <f>_xll.BDH("AMZN US Equity","OTHER_NONCURRENT_LIABS_DETAILED","FQ4 2016","FQ4 2016","Currency=USD","Period=FQ","BEST_FPERIOD_OVERRIDE=FQ","FILING_STATUS=MR","SCALING_FORMAT=MLN","Sort=A","Dates=H","DateFormat=P","Fill=—","Direction=H","UseDPDF=Y")</f>
        <v>4197</v>
      </c>
      <c r="AI61" s="13">
        <f>_xll.BDH("AMZN US Equity","OTHER_NONCURRENT_LIABS_DETAILED","FQ1 2017","FQ1 2017","Currency=USD","Period=FQ","BEST_FPERIOD_OVERRIDE=FQ","FILING_STATUS=MR","SCALING_FORMAT=MLN","Sort=A","Dates=H","DateFormat=P","Fill=—","Direction=H","UseDPDF=Y")</f>
        <v>5905</v>
      </c>
      <c r="AJ61" s="13">
        <f>_xll.BDH("AMZN US Equity","OTHER_NONCURRENT_LIABS_DETAILED","FQ2 2017","FQ2 2017","Currency=USD","Period=FQ","BEST_FPERIOD_OVERRIDE=FQ","FILING_STATUS=MR","SCALING_FORMAT=MLN","Sort=A","Dates=H","DateFormat=P","Fill=—","Direction=H","UseDPDF=Y")</f>
        <v>6564</v>
      </c>
      <c r="AK61" s="13">
        <f>_xll.BDH("AMZN US Equity","OTHER_NONCURRENT_LIABS_DETAILED","FQ3 2017","FQ3 2017","Currency=USD","Period=FQ","BEST_FPERIOD_OVERRIDE=FQ","FILING_STATUS=MR","SCALING_FORMAT=MLN","Sort=A","Dates=H","DateFormat=P","Fill=—","Direction=H","UseDPDF=Y")</f>
        <v>6927</v>
      </c>
      <c r="AL61" s="13">
        <f>_xll.BDH("AMZN US Equity","OTHER_NONCURRENT_LIABS_DETAILED","FQ4 2017","FQ4 2017","Currency=USD","Period=FQ","BEST_FPERIOD_OVERRIDE=FQ","FILING_STATUS=MR","SCALING_FORMAT=MLN","Sort=A","Dates=H","DateFormat=P","Fill=—","Direction=H","UseDPDF=Y")</f>
        <v>5802</v>
      </c>
      <c r="AM61" s="13">
        <f>_xll.BDH("AMZN US Equity","OTHER_NONCURRENT_LIABS_DETAILED","FQ1 2018","FQ1 2018","Currency=USD","Period=FQ","BEST_FPERIOD_OVERRIDE=FQ","FILING_STATUS=MR","SCALING_FORMAT=MLN","Sort=A","Dates=H","DateFormat=P","Fill=—","Direction=H","UseDPDF=Y")</f>
        <v>8914</v>
      </c>
      <c r="AN61" s="13">
        <f>_xll.BDH("AMZN US Equity","OTHER_NONCURRENT_LIABS_DETAILED","FQ2 2018","FQ2 2018","Currency=USD","Period=FQ","BEST_FPERIOD_OVERRIDE=FQ","FILING_STATUS=MR","SCALING_FORMAT=MLN","Sort=A","Dates=H","DateFormat=P","Fill=—","Direction=H","UseDPDF=Y")</f>
        <v>9466</v>
      </c>
    </row>
    <row r="62" spans="1:40" x14ac:dyDescent="0.25">
      <c r="A62" s="6" t="s">
        <v>312</v>
      </c>
      <c r="B62" s="6" t="s">
        <v>313</v>
      </c>
      <c r="C62" s="17">
        <f>_xll.BDH("AMZN US Equity","NON_CUR_LIAB","FQ1 2009","FQ1 2009","Currency=USD","Period=FQ","BEST_FPERIOD_OVERRIDE=FQ","FILING_STATUS=MR","SCALING_FORMAT=MLN","Sort=A","Dates=H","DateFormat=P","Fill=—","Direction=H","UseDPDF=Y")</f>
        <v>652</v>
      </c>
      <c r="D62" s="17">
        <f>_xll.BDH("AMZN US Equity","NON_CUR_LIAB","FQ2 2009","FQ2 2009","Currency=USD","Period=FQ","BEST_FPERIOD_OVERRIDE=FQ","FILING_STATUS=MR","SCALING_FORMAT=MLN","Sort=A","Dates=H","DateFormat=P","Fill=—","Direction=H","UseDPDF=Y")</f>
        <v>783</v>
      </c>
      <c r="E62" s="17">
        <f>_xll.BDH("AMZN US Equity","NON_CUR_LIAB","FQ3 2009","FQ3 2009","Currency=USD","Period=FQ","BEST_FPERIOD_OVERRIDE=FQ","FILING_STATUS=MR","SCALING_FORMAT=MLN","Sort=A","Dates=H","DateFormat=P","Fill=—","Direction=H","UseDPDF=Y")</f>
        <v>850</v>
      </c>
      <c r="F62" s="17">
        <f>_xll.BDH("AMZN US Equity","NON_CUR_LIAB","FQ4 2009","FQ4 2009","Currency=USD","Period=FQ","BEST_FPERIOD_OVERRIDE=FQ","FILING_STATUS=MR","SCALING_FORMAT=MLN","Sort=A","Dates=H","DateFormat=P","Fill=—","Direction=H","UseDPDF=Y")</f>
        <v>1192</v>
      </c>
      <c r="G62" s="17">
        <f>_xll.BDH("AMZN US Equity","NON_CUR_LIAB","FQ1 2010","FQ1 2010","Currency=USD","Period=FQ","BEST_FPERIOD_OVERRIDE=FQ","FILING_STATUS=MR","SCALING_FORMAT=MLN","Sort=A","Dates=H","DateFormat=P","Fill=—","Direction=H","UseDPDF=Y")</f>
        <v>1231</v>
      </c>
      <c r="H62" s="17">
        <f>_xll.BDH("AMZN US Equity","NON_CUR_LIAB","FQ2 2010","FQ2 2010","Currency=USD","Period=FQ","BEST_FPERIOD_OVERRIDE=FQ","FILING_STATUS=MR","SCALING_FORMAT=MLN","Sort=A","Dates=H","DateFormat=P","Fill=—","Direction=H","UseDPDF=Y")</f>
        <v>1290</v>
      </c>
      <c r="I62" s="17">
        <f>_xll.BDH("AMZN US Equity","NON_CUR_LIAB","FQ3 2010","FQ3 2010","Currency=USD","Period=FQ","BEST_FPERIOD_OVERRIDE=FQ","FILING_STATUS=MR","SCALING_FORMAT=MLN","Sort=A","Dates=H","DateFormat=P","Fill=—","Direction=H","UseDPDF=Y")</f>
        <v>1390</v>
      </c>
      <c r="J62" s="17">
        <f>_xll.BDH("AMZN US Equity","NON_CUR_LIAB","FQ4 2010","FQ4 2010","Currency=USD","Period=FQ","BEST_FPERIOD_OVERRIDE=FQ","FILING_STATUS=MR","SCALING_FORMAT=MLN","Sort=A","Dates=H","DateFormat=P","Fill=—","Direction=H","UseDPDF=Y")</f>
        <v>1561</v>
      </c>
      <c r="K62" s="17">
        <f>_xll.BDH("AMZN US Equity","NON_CUR_LIAB","FQ1 2011","FQ1 2011","Currency=USD","Period=FQ","BEST_FPERIOD_OVERRIDE=FQ","FILING_STATUS=MR","SCALING_FORMAT=MLN","Sort=A","Dates=H","DateFormat=P","Fill=—","Direction=H","UseDPDF=Y")</f>
        <v>1805</v>
      </c>
      <c r="L62" s="17">
        <f>_xll.BDH("AMZN US Equity","NON_CUR_LIAB","FQ2 2011","FQ2 2011","Currency=USD","Period=FQ","BEST_FPERIOD_OVERRIDE=FQ","FILING_STATUS=MR","SCALING_FORMAT=MLN","Sort=A","Dates=H","DateFormat=P","Fill=—","Direction=H","UseDPDF=Y")</f>
        <v>2131</v>
      </c>
      <c r="M62" s="17">
        <f>_xll.BDH("AMZN US Equity","NON_CUR_LIAB","FQ3 2011","FQ3 2011","Currency=USD","Period=FQ","BEST_FPERIOD_OVERRIDE=FQ","FILING_STATUS=MR","SCALING_FORMAT=MLN","Sort=A","Dates=H","DateFormat=P","Fill=—","Direction=H","UseDPDF=Y")</f>
        <v>2310</v>
      </c>
      <c r="N62" s="17">
        <f>_xll.BDH("AMZN US Equity","NON_CUR_LIAB","FQ4 2011","FQ4 2011","Currency=USD","Period=FQ","BEST_FPERIOD_OVERRIDE=FQ","FILING_STATUS=MR","SCALING_FORMAT=MLN","Sort=A","Dates=H","DateFormat=P","Fill=—","Direction=H","UseDPDF=Y")</f>
        <v>2625</v>
      </c>
      <c r="O62" s="17">
        <f>_xll.BDH("AMZN US Equity","NON_CUR_LIAB","FQ1 2012","FQ1 2012","Currency=USD","Period=FQ","BEST_FPERIOD_OVERRIDE=FQ","FILING_STATUS=MR","SCALING_FORMAT=MLN","Sort=A","Dates=H","DateFormat=P","Fill=—","Direction=H","UseDPDF=Y")</f>
        <v>2580</v>
      </c>
      <c r="P62" s="17">
        <f>_xll.BDH("AMZN US Equity","NON_CUR_LIAB","FQ2 2012","FQ2 2012","Currency=USD","Period=FQ","BEST_FPERIOD_OVERRIDE=FQ","FILING_STATUS=MR","SCALING_FORMAT=MLN","Sort=A","Dates=H","DateFormat=P","Fill=—","Direction=H","UseDPDF=Y")</f>
        <v>2553</v>
      </c>
      <c r="Q62" s="17">
        <f>_xll.BDH("AMZN US Equity","NON_CUR_LIAB","FQ3 2012","FQ3 2012","Currency=USD","Period=FQ","BEST_FPERIOD_OVERRIDE=FQ","FILING_STATUS=MR","SCALING_FORMAT=MLN","Sort=A","Dates=H","DateFormat=P","Fill=—","Direction=H","UseDPDF=Y")</f>
        <v>2676</v>
      </c>
      <c r="R62" s="17">
        <f>_xll.BDH("AMZN US Equity","NON_CUR_LIAB","FQ4 2012","FQ4 2012","Currency=USD","Period=FQ","BEST_FPERIOD_OVERRIDE=FQ","FILING_STATUS=MR","SCALING_FORMAT=MLN","Sort=A","Dates=H","DateFormat=P","Fill=—","Direction=H","UseDPDF=Y")</f>
        <v>5361</v>
      </c>
      <c r="S62" s="17">
        <f>_xll.BDH("AMZN US Equity","NON_CUR_LIAB","FQ1 2013","FQ1 2013","Currency=USD","Period=FQ","BEST_FPERIOD_OVERRIDE=FQ","FILING_STATUS=MR","SCALING_FORMAT=MLN","Sort=A","Dates=H","DateFormat=P","Fill=—","Direction=H","UseDPDF=Y")</f>
        <v>5613</v>
      </c>
      <c r="T62" s="17">
        <f>_xll.BDH("AMZN US Equity","NON_CUR_LIAB","FQ2 2013","FQ2 2013","Currency=USD","Period=FQ","BEST_FPERIOD_OVERRIDE=FQ","FILING_STATUS=MR","SCALING_FORMAT=MLN","Sort=A","Dates=H","DateFormat=P","Fill=—","Direction=H","UseDPDF=Y")</f>
        <v>6155</v>
      </c>
      <c r="U62" s="17">
        <f>_xll.BDH("AMZN US Equity","NON_CUR_LIAB","FQ3 2013","FQ3 2013","Currency=USD","Period=FQ","BEST_FPERIOD_OVERRIDE=FQ","FILING_STATUS=MR","SCALING_FORMAT=MLN","Sort=A","Dates=H","DateFormat=P","Fill=—","Direction=H","UseDPDF=Y")</f>
        <v>6639</v>
      </c>
      <c r="V62" s="17">
        <f>_xll.BDH("AMZN US Equity","NON_CUR_LIAB","FQ4 2013","FQ4 2013","Currency=USD","Period=FQ","BEST_FPERIOD_OVERRIDE=FQ","FILING_STATUS=MR","SCALING_FORMAT=MLN","Sort=A","Dates=H","DateFormat=P","Fill=—","Direction=H","UseDPDF=Y")</f>
        <v>7433</v>
      </c>
      <c r="W62" s="17">
        <f>_xll.BDH("AMZN US Equity","NON_CUR_LIAB","FQ1 2014","FQ1 2014","Currency=USD","Period=FQ","BEST_FPERIOD_OVERRIDE=FQ","FILING_STATUS=MR","SCALING_FORMAT=MLN","Sort=A","Dates=H","DateFormat=P","Fill=—","Direction=H","UseDPDF=Y")</f>
        <v>7679</v>
      </c>
      <c r="X62" s="17">
        <f>_xll.BDH("AMZN US Equity","NON_CUR_LIAB","FQ2 2014","FQ2 2014","Currency=USD","Period=FQ","BEST_FPERIOD_OVERRIDE=FQ","FILING_STATUS=MR","SCALING_FORMAT=MLN","Sort=A","Dates=H","DateFormat=P","Fill=—","Direction=H","UseDPDF=Y")</f>
        <v>8545</v>
      </c>
      <c r="Y62" s="17">
        <f>_xll.BDH("AMZN US Equity","NON_CUR_LIAB","FQ3 2014","FQ3 2014","Currency=USD","Period=FQ","BEST_FPERIOD_OVERRIDE=FQ","FILING_STATUS=MR","SCALING_FORMAT=MLN","Sort=A","Dates=H","DateFormat=P","Fill=—","Direction=H","UseDPDF=Y")</f>
        <v>9241</v>
      </c>
      <c r="Z62" s="17">
        <f>_xll.BDH("AMZN US Equity","NON_CUR_LIAB","FQ4 2014","FQ4 2014","Currency=USD","Period=FQ","BEST_FPERIOD_OVERRIDE=FQ","FILING_STATUS=MR","SCALING_FORMAT=MLN","Sort=A","Dates=H","DateFormat=P","Fill=—","Direction=H","UseDPDF=Y")</f>
        <v>15675</v>
      </c>
      <c r="AA62" s="17">
        <f>_xll.BDH("AMZN US Equity","NON_CUR_LIAB","FQ1 2015","FQ1 2015","Currency=USD","Period=FQ","BEST_FPERIOD_OVERRIDE=FQ","FILING_STATUS=MR","SCALING_FORMAT=MLN","Sort=A","Dates=H","DateFormat=P","Fill=—","Direction=H","UseDPDF=Y")</f>
        <v>16025</v>
      </c>
      <c r="AB62" s="17">
        <f>_xll.BDH("AMZN US Equity","NON_CUR_LIAB","FQ2 2015","FQ2 2015","Currency=USD","Period=FQ","BEST_FPERIOD_OVERRIDE=FQ","FILING_STATUS=MR","SCALING_FORMAT=MLN","Sort=A","Dates=H","DateFormat=P","Fill=—","Direction=H","UseDPDF=Y")</f>
        <v>16760</v>
      </c>
      <c r="AC62" s="17">
        <f>_xll.BDH("AMZN US Equity","NON_CUR_LIAB","FQ3 2015","FQ3 2015","Currency=USD","Period=FQ","BEST_FPERIOD_OVERRIDE=FQ","FILING_STATUS=MR","SCALING_FORMAT=MLN","Sort=A","Dates=H","DateFormat=P","Fill=—","Direction=H","UseDPDF=Y")</f>
        <v>17143</v>
      </c>
      <c r="AD62" s="17">
        <f>_xll.BDH("AMZN US Equity","NON_CUR_LIAB","FQ4 2015","FQ4 2015","Currency=USD","Period=FQ","BEST_FPERIOD_OVERRIDE=FQ","FILING_STATUS=MR","SCALING_FORMAT=MLN","Sort=A","Dates=H","DateFormat=P","Fill=—","Direction=H","UseDPDF=Y")</f>
        <v>17476</v>
      </c>
      <c r="AE62" s="17">
        <f>_xll.BDH("AMZN US Equity","NON_CUR_LIAB","FQ1 2016","FQ1 2016","Currency=USD","Period=FQ","BEST_FPERIOD_OVERRIDE=FQ","FILING_STATUS=MR","SCALING_FORMAT=MLN","Sort=A","Dates=H","DateFormat=P","Fill=—","Direction=H","UseDPDF=Y")</f>
        <v>18185</v>
      </c>
      <c r="AF62" s="17">
        <f>_xll.BDH("AMZN US Equity","NON_CUR_LIAB","FQ2 2016","FQ2 2016","Currency=USD","Period=FQ","BEST_FPERIOD_OVERRIDE=FQ","FILING_STATUS=MR","SCALING_FORMAT=MLN","Sort=A","Dates=H","DateFormat=P","Fill=—","Direction=H","UseDPDF=Y")</f>
        <v>18951</v>
      </c>
      <c r="AG62" s="17">
        <f>_xll.BDH("AMZN US Equity","NON_CUR_LIAB","FQ3 2016","FQ3 2016","Currency=USD","Period=FQ","BEST_FPERIOD_OVERRIDE=FQ","FILING_STATUS=MR","SCALING_FORMAT=MLN","Sort=A","Dates=H","DateFormat=P","Fill=—","Direction=H","UseDPDF=Y")</f>
        <v>19617</v>
      </c>
      <c r="AH62" s="17">
        <f>_xll.BDH("AMZN US Equity","NON_CUR_LIAB","FQ4 2016","FQ4 2016","Currency=USD","Period=FQ","BEST_FPERIOD_OVERRIDE=FQ","FILING_STATUS=MR","SCALING_FORMAT=MLN","Sort=A","Dates=H","DateFormat=P","Fill=—","Direction=H","UseDPDF=Y")</f>
        <v>20301</v>
      </c>
      <c r="AI62" s="17">
        <f>_xll.BDH("AMZN US Equity","NON_CUR_LIAB","FQ1 2017","FQ1 2017","Currency=USD","Period=FQ","BEST_FPERIOD_OVERRIDE=FQ","FILING_STATUS=MR","SCALING_FORMAT=MLN","Sort=A","Dates=H","DateFormat=P","Fill=—","Direction=H","UseDPDF=Y")</f>
        <v>21896</v>
      </c>
      <c r="AJ62" s="17">
        <f>_xll.BDH("AMZN US Equity","NON_CUR_LIAB","FQ2 2017","FQ2 2017","Currency=USD","Period=FQ","BEST_FPERIOD_OVERRIDE=FQ","FILING_STATUS=MR","SCALING_FORMAT=MLN","Sort=A","Dates=H","DateFormat=P","Fill=—","Direction=H","UseDPDF=Y")</f>
        <v>24047</v>
      </c>
      <c r="AK62" s="17">
        <f>_xll.BDH("AMZN US Equity","NON_CUR_LIAB","FQ3 2017","FQ3 2017","Currency=USD","Period=FQ","BEST_FPERIOD_OVERRIDE=FQ","FILING_STATUS=MR","SCALING_FORMAT=MLN","Sort=A","Dates=H","DateFormat=P","Fill=—","Direction=H","UseDPDF=Y")</f>
        <v>43537</v>
      </c>
      <c r="AL62" s="17">
        <f>_xll.BDH("AMZN US Equity","NON_CUR_LIAB","FQ4 2017","FQ4 2017","Currency=USD","Period=FQ","BEST_FPERIOD_OVERRIDE=FQ","FILING_STATUS=MR","SCALING_FORMAT=MLN","Sort=A","Dates=H","DateFormat=P","Fill=—","Direction=H","UseDPDF=Y")</f>
        <v>45718</v>
      </c>
      <c r="AM62" s="17">
        <f>_xll.BDH("AMZN US Equity","NON_CUR_LIAB","FQ1 2018","FQ1 2018","Currency=USD","Period=FQ","BEST_FPERIOD_OVERRIDE=FQ","FILING_STATUS=MR","SCALING_FORMAT=MLN","Sort=A","Dates=H","DateFormat=P","Fill=—","Direction=H","UseDPDF=Y")</f>
        <v>46854</v>
      </c>
      <c r="AN62" s="17">
        <f>_xll.BDH("AMZN US Equity","NON_CUR_LIAB","FQ2 2018","FQ2 2018","Currency=USD","Period=FQ","BEST_FPERIOD_OVERRIDE=FQ","FILING_STATUS=MR","SCALING_FORMAT=MLN","Sort=A","Dates=H","DateFormat=P","Fill=—","Direction=H","UseDPDF=Y")</f>
        <v>48304</v>
      </c>
    </row>
    <row r="63" spans="1:40" x14ac:dyDescent="0.25">
      <c r="A63" s="6" t="s">
        <v>314</v>
      </c>
      <c r="B63" s="6" t="s">
        <v>315</v>
      </c>
      <c r="C63" s="17">
        <f>_xll.BDH("AMZN US Equity","BS_TOT_LIAB2","FQ1 2009","FQ1 2009","Currency=USD","Period=FQ","BEST_FPERIOD_OVERRIDE=FQ","FILING_STATUS=MR","SCALING_FORMAT=MLN","Sort=A","Dates=H","DateFormat=P","Fill=—","Direction=H","UseDPDF=Y")</f>
        <v>4062</v>
      </c>
      <c r="D63" s="17">
        <f>_xll.BDH("AMZN US Equity","BS_TOT_LIAB2","FQ2 2009","FQ2 2009","Currency=USD","Period=FQ","BEST_FPERIOD_OVERRIDE=FQ","FILING_STATUS=MR","SCALING_FORMAT=MLN","Sort=A","Dates=H","DateFormat=P","Fill=—","Direction=H","UseDPDF=Y")</f>
        <v>4419</v>
      </c>
      <c r="E63" s="17">
        <f>_xll.BDH("AMZN US Equity","BS_TOT_LIAB2","FQ3 2009","FQ3 2009","Currency=USD","Period=FQ","BEST_FPERIOD_OVERRIDE=FQ","FILING_STATUS=MR","SCALING_FORMAT=MLN","Sort=A","Dates=H","DateFormat=P","Fill=—","Direction=H","UseDPDF=Y")</f>
        <v>5387</v>
      </c>
      <c r="F63" s="17">
        <f>_xll.BDH("AMZN US Equity","BS_TOT_LIAB2","FQ4 2009","FQ4 2009","Currency=USD","Period=FQ","BEST_FPERIOD_OVERRIDE=FQ","FILING_STATUS=MR","SCALING_FORMAT=MLN","Sort=A","Dates=H","DateFormat=P","Fill=—","Direction=H","UseDPDF=Y")</f>
        <v>8556</v>
      </c>
      <c r="G63" s="17">
        <f>_xll.BDH("AMZN US Equity","BS_TOT_LIAB2","FQ1 2010","FQ1 2010","Currency=USD","Period=FQ","BEST_FPERIOD_OVERRIDE=FQ","FILING_STATUS=MR","SCALING_FORMAT=MLN","Sort=A","Dates=H","DateFormat=P","Fill=—","Direction=H","UseDPDF=Y")</f>
        <v>6424</v>
      </c>
      <c r="H63" s="17">
        <f>_xll.BDH("AMZN US Equity","BS_TOT_LIAB2","FQ2 2010","FQ2 2010","Currency=USD","Period=FQ","BEST_FPERIOD_OVERRIDE=FQ","FILING_STATUS=MR","SCALING_FORMAT=MLN","Sort=A","Dates=H","DateFormat=P","Fill=—","Direction=H","UseDPDF=Y")</f>
        <v>6540</v>
      </c>
      <c r="I63" s="17">
        <f>_xll.BDH("AMZN US Equity","BS_TOT_LIAB2","FQ3 2010","FQ3 2010","Currency=USD","Period=FQ","BEST_FPERIOD_OVERRIDE=FQ","FILING_STATUS=MR","SCALING_FORMAT=MLN","Sort=A","Dates=H","DateFormat=P","Fill=—","Direction=H","UseDPDF=Y")</f>
        <v>7765</v>
      </c>
      <c r="J63" s="17">
        <f>_xll.BDH("AMZN US Equity","BS_TOT_LIAB2","FQ4 2010","FQ4 2010","Currency=USD","Period=FQ","BEST_FPERIOD_OVERRIDE=FQ","FILING_STATUS=MR","SCALING_FORMAT=MLN","Sort=A","Dates=H","DateFormat=P","Fill=—","Direction=H","UseDPDF=Y")</f>
        <v>11933</v>
      </c>
      <c r="K63" s="17">
        <f>_xll.BDH("AMZN US Equity","BS_TOT_LIAB2","FQ1 2011","FQ1 2011","Currency=USD","Period=FQ","BEST_FPERIOD_OVERRIDE=FQ","FILING_STATUS=MR","SCALING_FORMAT=MLN","Sort=A","Dates=H","DateFormat=P","Fill=—","Direction=H","UseDPDF=Y")</f>
        <v>9535</v>
      </c>
      <c r="L63" s="17">
        <f>_xll.BDH("AMZN US Equity","BS_TOT_LIAB2","FQ2 2011","FQ2 2011","Currency=USD","Period=FQ","BEST_FPERIOD_OVERRIDE=FQ","FILING_STATUS=MR","SCALING_FORMAT=MLN","Sort=A","Dates=H","DateFormat=P","Fill=—","Direction=H","UseDPDF=Y")</f>
        <v>10176</v>
      </c>
      <c r="M63" s="17">
        <f>_xll.BDH("AMZN US Equity","BS_TOT_LIAB2","FQ3 2011","FQ3 2011","Currency=USD","Period=FQ","BEST_FPERIOD_OVERRIDE=FQ","FILING_STATUS=MR","SCALING_FORMAT=MLN","Sort=A","Dates=H","DateFormat=P","Fill=—","Direction=H","UseDPDF=Y")</f>
        <v>11288</v>
      </c>
      <c r="N63" s="17">
        <f>_xll.BDH("AMZN US Equity","BS_TOT_LIAB2","FQ4 2011","FQ4 2011","Currency=USD","Period=FQ","BEST_FPERIOD_OVERRIDE=FQ","FILING_STATUS=MR","SCALING_FORMAT=MLN","Sort=A","Dates=H","DateFormat=P","Fill=—","Direction=H","UseDPDF=Y")</f>
        <v>17521</v>
      </c>
      <c r="O63" s="17">
        <f>_xll.BDH("AMZN US Equity","BS_TOT_LIAB2","FQ1 2012","FQ1 2012","Currency=USD","Period=FQ","BEST_FPERIOD_OVERRIDE=FQ","FILING_STATUS=MR","SCALING_FORMAT=MLN","Sort=A","Dates=H","DateFormat=P","Fill=—","Direction=H","UseDPDF=Y")</f>
        <v>13068</v>
      </c>
      <c r="P63" s="17">
        <f>_xll.BDH("AMZN US Equity","BS_TOT_LIAB2","FQ2 2012","FQ2 2012","Currency=USD","Period=FQ","BEST_FPERIOD_OVERRIDE=FQ","FILING_STATUS=MR","SCALING_FORMAT=MLN","Sort=A","Dates=H","DateFormat=P","Fill=—","Direction=H","UseDPDF=Y")</f>
        <v>13517</v>
      </c>
      <c r="Q63" s="17">
        <f>_xll.BDH("AMZN US Equity","BS_TOT_LIAB2","FQ3 2012","FQ3 2012","Currency=USD","Period=FQ","BEST_FPERIOD_OVERRIDE=FQ","FILING_STATUS=MR","SCALING_FORMAT=MLN","Sort=A","Dates=H","DateFormat=P","Fill=—","Direction=H","UseDPDF=Y")</f>
        <v>15281</v>
      </c>
      <c r="R63" s="17">
        <f>_xll.BDH("AMZN US Equity","BS_TOT_LIAB2","FQ4 2012","FQ4 2012","Currency=USD","Period=FQ","BEST_FPERIOD_OVERRIDE=FQ","FILING_STATUS=MR","SCALING_FORMAT=MLN","Sort=A","Dates=H","DateFormat=P","Fill=—","Direction=H","UseDPDF=Y")</f>
        <v>24363</v>
      </c>
      <c r="S63" s="17">
        <f>_xll.BDH("AMZN US Equity","BS_TOT_LIAB2","FQ1 2013","FQ1 2013","Currency=USD","Period=FQ","BEST_FPERIOD_OVERRIDE=FQ","FILING_STATUS=MR","SCALING_FORMAT=MLN","Sort=A","Dates=H","DateFormat=P","Fill=—","Direction=H","UseDPDF=Y")</f>
        <v>19945</v>
      </c>
      <c r="T63" s="17">
        <f>_xll.BDH("AMZN US Equity","BS_TOT_LIAB2","FQ2 2013","FQ2 2013","Currency=USD","Period=FQ","BEST_FPERIOD_OVERRIDE=FQ","FILING_STATUS=MR","SCALING_FORMAT=MLN","Sort=A","Dates=H","DateFormat=P","Fill=—","Direction=H","UseDPDF=Y")</f>
        <v>20890</v>
      </c>
      <c r="U63" s="17">
        <f>_xll.BDH("AMZN US Equity","BS_TOT_LIAB2","FQ3 2013","FQ3 2013","Currency=USD","Period=FQ","BEST_FPERIOD_OVERRIDE=FQ","FILING_STATUS=MR","SCALING_FORMAT=MLN","Sort=A","Dates=H","DateFormat=P","Fill=—","Direction=H","UseDPDF=Y")</f>
        <v>22774</v>
      </c>
      <c r="V63" s="17">
        <f>_xll.BDH("AMZN US Equity","BS_TOT_LIAB2","FQ4 2013","FQ4 2013","Currency=USD","Period=FQ","BEST_FPERIOD_OVERRIDE=FQ","FILING_STATUS=MR","SCALING_FORMAT=MLN","Sort=A","Dates=H","DateFormat=P","Fill=—","Direction=H","UseDPDF=Y")</f>
        <v>30413</v>
      </c>
      <c r="W63" s="17">
        <f>_xll.BDH("AMZN US Equity","BS_TOT_LIAB2","FQ1 2014","FQ1 2014","Currency=USD","Period=FQ","BEST_FPERIOD_OVERRIDE=FQ","FILING_STATUS=MR","SCALING_FORMAT=MLN","Sort=A","Dates=H","DateFormat=P","Fill=—","Direction=H","UseDPDF=Y")</f>
        <v>26036</v>
      </c>
      <c r="X63" s="17">
        <f>_xll.BDH("AMZN US Equity","BS_TOT_LIAB2","FQ2 2014","FQ2 2014","Currency=USD","Period=FQ","BEST_FPERIOD_OVERRIDE=FQ","FILING_STATUS=MR","SCALING_FORMAT=MLN","Sort=A","Dates=H","DateFormat=P","Fill=—","Direction=H","UseDPDF=Y")</f>
        <v>27296</v>
      </c>
      <c r="Y63" s="17">
        <f>_xll.BDH("AMZN US Equity","BS_TOT_LIAB2","FQ3 2014","FQ3 2014","Currency=USD","Period=FQ","BEST_FPERIOD_OVERRIDE=FQ","FILING_STATUS=MR","SCALING_FORMAT=MLN","Sort=A","Dates=H","DateFormat=P","Fill=—","Direction=H","UseDPDF=Y")</f>
        <v>30083</v>
      </c>
      <c r="Z63" s="17">
        <f>_xll.BDH("AMZN US Equity","BS_TOT_LIAB2","FQ4 2014","FQ4 2014","Currency=USD","Period=FQ","BEST_FPERIOD_OVERRIDE=FQ","FILING_STATUS=MR","SCALING_FORMAT=MLN","Sort=A","Dates=H","DateFormat=P","Fill=—","Direction=H","UseDPDF=Y")</f>
        <v>43764</v>
      </c>
      <c r="AA63" s="17">
        <f>_xll.BDH("AMZN US Equity","BS_TOT_LIAB2","FQ1 2015","FQ1 2015","Currency=USD","Period=FQ","BEST_FPERIOD_OVERRIDE=FQ","FILING_STATUS=MR","SCALING_FORMAT=MLN","Sort=A","Dates=H","DateFormat=P","Fill=—","Direction=H","UseDPDF=Y")</f>
        <v>39202</v>
      </c>
      <c r="AB63" s="17">
        <f>_xll.BDH("AMZN US Equity","BS_TOT_LIAB2","FQ2 2015","FQ2 2015","Currency=USD","Period=FQ","BEST_FPERIOD_OVERRIDE=FQ","FILING_STATUS=MR","SCALING_FORMAT=MLN","Sort=A","Dates=H","DateFormat=P","Fill=—","Direction=H","UseDPDF=Y")</f>
        <v>40672</v>
      </c>
      <c r="AC63" s="17">
        <f>_xll.BDH("AMZN US Equity","BS_TOT_LIAB2","FQ3 2015","FQ3 2015","Currency=USD","Period=FQ","BEST_FPERIOD_OVERRIDE=FQ","FILING_STATUS=MR","SCALING_FORMAT=MLN","Sort=A","Dates=H","DateFormat=P","Fill=—","Direction=H","UseDPDF=Y")</f>
        <v>43800</v>
      </c>
      <c r="AD63" s="17">
        <f>_xll.BDH("AMZN US Equity","BS_TOT_LIAB2","FQ4 2015","FQ4 2015","Currency=USD","Period=FQ","BEST_FPERIOD_OVERRIDE=FQ","FILING_STATUS=MR","SCALING_FORMAT=MLN","Sort=A","Dates=H","DateFormat=P","Fill=—","Direction=H","UseDPDF=Y")</f>
        <v>51363</v>
      </c>
      <c r="AE63" s="17">
        <f>_xll.BDH("AMZN US Equity","BS_TOT_LIAB2","FQ1 2016","FQ1 2016","Currency=USD","Period=FQ","BEST_FPERIOD_OVERRIDE=FQ","FILING_STATUS=MR","SCALING_FORMAT=MLN","Sort=A","Dates=H","DateFormat=P","Fill=—","Direction=H","UseDPDF=Y")</f>
        <v>46372</v>
      </c>
      <c r="AF63" s="17">
        <f>_xll.BDH("AMZN US Equity","BS_TOT_LIAB2","FQ2 2016","FQ2 2016","Currency=USD","Period=FQ","BEST_FPERIOD_OVERRIDE=FQ","FILING_STATUS=MR","SCALING_FORMAT=MLN","Sort=A","Dates=H","DateFormat=P","Fill=—","Direction=H","UseDPDF=Y")</f>
        <v>48538</v>
      </c>
      <c r="AG63" s="17">
        <f>_xll.BDH("AMZN US Equity","BS_TOT_LIAB2","FQ3 2016","FQ3 2016","Currency=USD","Period=FQ","BEST_FPERIOD_OVERRIDE=FQ","FILING_STATUS=MR","SCALING_FORMAT=MLN","Sort=A","Dates=H","DateFormat=P","Fill=—","Direction=H","UseDPDF=Y")</f>
        <v>53115</v>
      </c>
      <c r="AH63" s="17">
        <f>_xll.BDH("AMZN US Equity","BS_TOT_LIAB2","FQ4 2016","FQ4 2016","Currency=USD","Period=FQ","BEST_FPERIOD_OVERRIDE=FQ","FILING_STATUS=MR","SCALING_FORMAT=MLN","Sort=A","Dates=H","DateFormat=P","Fill=—","Direction=H","UseDPDF=Y")</f>
        <v>64117</v>
      </c>
      <c r="AI63" s="17">
        <f>_xll.BDH("AMZN US Equity","BS_TOT_LIAB2","FQ1 2017","FQ1 2017","Currency=USD","Period=FQ","BEST_FPERIOD_OVERRIDE=FQ","FILING_STATUS=MR","SCALING_FORMAT=MLN","Sort=A","Dates=H","DateFormat=P","Fill=—","Direction=H","UseDPDF=Y")</f>
        <v>59295</v>
      </c>
      <c r="AJ63" s="17">
        <f>_xll.BDH("AMZN US Equity","BS_TOT_LIAB2","FQ2 2017","FQ2 2017","Currency=USD","Period=FQ","BEST_FPERIOD_OVERRIDE=FQ","FILING_STATUS=MR","SCALING_FORMAT=MLN","Sort=A","Dates=H","DateFormat=P","Fill=—","Direction=H","UseDPDF=Y")</f>
        <v>64567</v>
      </c>
      <c r="AK63" s="17">
        <f>_xll.BDH("AMZN US Equity","BS_TOT_LIAB2","FQ3 2017","FQ3 2017","Currency=USD","Period=FQ","BEST_FPERIOD_OVERRIDE=FQ","FILING_STATUS=MR","SCALING_FORMAT=MLN","Sort=A","Dates=H","DateFormat=P","Fill=—","Direction=H","UseDPDF=Y")</f>
        <v>90609</v>
      </c>
      <c r="AL63" s="17">
        <f>_xll.BDH("AMZN US Equity","BS_TOT_LIAB2","FQ4 2017","FQ4 2017","Currency=USD","Period=FQ","BEST_FPERIOD_OVERRIDE=FQ","FILING_STATUS=MR","SCALING_FORMAT=MLN","Sort=A","Dates=H","DateFormat=P","Fill=—","Direction=H","UseDPDF=Y")</f>
        <v>103601</v>
      </c>
      <c r="AM63" s="17">
        <f>_xll.BDH("AMZN US Equity","BS_TOT_LIAB2","FQ1 2018","FQ1 2018","Currency=USD","Period=FQ","BEST_FPERIOD_OVERRIDE=FQ","FILING_STATUS=MR","SCALING_FORMAT=MLN","Sort=A","Dates=H","DateFormat=P","Fill=—","Direction=H","UseDPDF=Y")</f>
        <v>94899</v>
      </c>
      <c r="AN63" s="17">
        <f>_xll.BDH("AMZN US Equity","BS_TOT_LIAB2","FQ2 2018","FQ2 2018","Currency=USD","Period=FQ","BEST_FPERIOD_OVERRIDE=FQ","FILING_STATUS=MR","SCALING_FORMAT=MLN","Sort=A","Dates=H","DateFormat=P","Fill=—","Direction=H","UseDPDF=Y")</f>
        <v>99105</v>
      </c>
    </row>
    <row r="64" spans="1:40" x14ac:dyDescent="0.25">
      <c r="A64" s="10" t="s">
        <v>316</v>
      </c>
      <c r="B64" s="10" t="s">
        <v>317</v>
      </c>
      <c r="C64" s="13">
        <f>_xll.BDH("AMZN US Equity","BS_PFD_EQTY_&amp;_HYBRID_CPTL","FQ1 2009","FQ1 2009","Currency=USD","Period=FQ","BEST_FPERIOD_OVERRIDE=FQ","FILING_STATUS=MR","SCALING_FORMAT=MLN","Sort=A","Dates=H","DateFormat=P","Fill=—","Direction=H","UseDPDF=Y")</f>
        <v>0</v>
      </c>
      <c r="D64" s="13">
        <f>_xll.BDH("AMZN US Equity","BS_PFD_EQTY_&amp;_HYBRID_CPTL","FQ2 2009","FQ2 2009","Currency=USD","Period=FQ","BEST_FPERIOD_OVERRIDE=FQ","FILING_STATUS=MR","SCALING_FORMAT=MLN","Sort=A","Dates=H","DateFormat=P","Fill=—","Direction=H","UseDPDF=Y")</f>
        <v>0</v>
      </c>
      <c r="E64" s="13">
        <f>_xll.BDH("AMZN US Equity","BS_PFD_EQTY_&amp;_HYBRID_CPTL","FQ3 2009","FQ3 2009","Currency=USD","Period=FQ","BEST_FPERIOD_OVERRIDE=FQ","FILING_STATUS=MR","SCALING_FORMAT=MLN","Sort=A","Dates=H","DateFormat=P","Fill=—","Direction=H","UseDPDF=Y")</f>
        <v>0</v>
      </c>
      <c r="F64" s="13">
        <f>_xll.BDH("AMZN US Equity","BS_PFD_EQTY_&amp;_HYBRID_CPTL","FQ4 2009","FQ4 2009","Currency=USD","Period=FQ","BEST_FPERIOD_OVERRIDE=FQ","FILING_STATUS=MR","SCALING_FORMAT=MLN","Sort=A","Dates=H","DateFormat=P","Fill=—","Direction=H","UseDPDF=Y")</f>
        <v>0</v>
      </c>
      <c r="G64" s="13">
        <f>_xll.BDH("AMZN US Equity","BS_PFD_EQTY_&amp;_HYBRID_CPTL","FQ1 2010","FQ1 2010","Currency=USD","Period=FQ","BEST_FPERIOD_OVERRIDE=FQ","FILING_STATUS=MR","SCALING_FORMAT=MLN","Sort=A","Dates=H","DateFormat=P","Fill=—","Direction=H","UseDPDF=Y")</f>
        <v>0</v>
      </c>
      <c r="H64" s="13">
        <f>_xll.BDH("AMZN US Equity","BS_PFD_EQTY_&amp;_HYBRID_CPTL","FQ2 2010","FQ2 2010","Currency=USD","Period=FQ","BEST_FPERIOD_OVERRIDE=FQ","FILING_STATUS=MR","SCALING_FORMAT=MLN","Sort=A","Dates=H","DateFormat=P","Fill=—","Direction=H","UseDPDF=Y")</f>
        <v>0</v>
      </c>
      <c r="I64" s="13">
        <f>_xll.BDH("AMZN US Equity","BS_PFD_EQTY_&amp;_HYBRID_CPTL","FQ3 2010","FQ3 2010","Currency=USD","Period=FQ","BEST_FPERIOD_OVERRIDE=FQ","FILING_STATUS=MR","SCALING_FORMAT=MLN","Sort=A","Dates=H","DateFormat=P","Fill=—","Direction=H","UseDPDF=Y")</f>
        <v>0</v>
      </c>
      <c r="J64" s="13">
        <f>_xll.BDH("AMZN US Equity","BS_PFD_EQTY_&amp;_HYBRID_CPTL","FQ4 2010","FQ4 2010","Currency=USD","Period=FQ","BEST_FPERIOD_OVERRIDE=FQ","FILING_STATUS=MR","SCALING_FORMAT=MLN","Sort=A","Dates=H","DateFormat=P","Fill=—","Direction=H","UseDPDF=Y")</f>
        <v>0</v>
      </c>
      <c r="K64" s="13">
        <f>_xll.BDH("AMZN US Equity","BS_PFD_EQTY_&amp;_HYBRID_CPTL","FQ1 2011","FQ1 2011","Currency=USD","Period=FQ","BEST_FPERIOD_OVERRIDE=FQ","FILING_STATUS=MR","SCALING_FORMAT=MLN","Sort=A","Dates=H","DateFormat=P","Fill=—","Direction=H","UseDPDF=Y")</f>
        <v>0</v>
      </c>
      <c r="L64" s="13">
        <f>_xll.BDH("AMZN US Equity","BS_PFD_EQTY_&amp;_HYBRID_CPTL","FQ2 2011","FQ2 2011","Currency=USD","Period=FQ","BEST_FPERIOD_OVERRIDE=FQ","FILING_STATUS=MR","SCALING_FORMAT=MLN","Sort=A","Dates=H","DateFormat=P","Fill=—","Direction=H","UseDPDF=Y")</f>
        <v>0</v>
      </c>
      <c r="M64" s="13">
        <f>_xll.BDH("AMZN US Equity","BS_PFD_EQTY_&amp;_HYBRID_CPTL","FQ3 2011","FQ3 2011","Currency=USD","Period=FQ","BEST_FPERIOD_OVERRIDE=FQ","FILING_STATUS=MR","SCALING_FORMAT=MLN","Sort=A","Dates=H","DateFormat=P","Fill=—","Direction=H","UseDPDF=Y")</f>
        <v>0</v>
      </c>
      <c r="N64" s="13">
        <f>_xll.BDH("AMZN US Equity","BS_PFD_EQTY_&amp;_HYBRID_CPTL","FQ4 2011","FQ4 2011","Currency=USD","Period=FQ","BEST_FPERIOD_OVERRIDE=FQ","FILING_STATUS=MR","SCALING_FORMAT=MLN","Sort=A","Dates=H","DateFormat=P","Fill=—","Direction=H","UseDPDF=Y")</f>
        <v>0</v>
      </c>
      <c r="O64" s="13">
        <f>_xll.BDH("AMZN US Equity","BS_PFD_EQTY_&amp;_HYBRID_CPTL","FQ1 2012","FQ1 2012","Currency=USD","Period=FQ","BEST_FPERIOD_OVERRIDE=FQ","FILING_STATUS=MR","SCALING_FORMAT=MLN","Sort=A","Dates=H","DateFormat=P","Fill=—","Direction=H","UseDPDF=Y")</f>
        <v>0</v>
      </c>
      <c r="P64" s="13">
        <f>_xll.BDH("AMZN US Equity","BS_PFD_EQTY_&amp;_HYBRID_CPTL","FQ2 2012","FQ2 2012","Currency=USD","Period=FQ","BEST_FPERIOD_OVERRIDE=FQ","FILING_STATUS=MR","SCALING_FORMAT=MLN","Sort=A","Dates=H","DateFormat=P","Fill=—","Direction=H","UseDPDF=Y")</f>
        <v>0</v>
      </c>
      <c r="Q64" s="13">
        <f>_xll.BDH("AMZN US Equity","BS_PFD_EQTY_&amp;_HYBRID_CPTL","FQ3 2012","FQ3 2012","Currency=USD","Period=FQ","BEST_FPERIOD_OVERRIDE=FQ","FILING_STATUS=MR","SCALING_FORMAT=MLN","Sort=A","Dates=H","DateFormat=P","Fill=—","Direction=H","UseDPDF=Y")</f>
        <v>0</v>
      </c>
      <c r="R64" s="13">
        <f>_xll.BDH("AMZN US Equity","BS_PFD_EQTY_&amp;_HYBRID_CPTL","FQ4 2012","FQ4 2012","Currency=USD","Period=FQ","BEST_FPERIOD_OVERRIDE=FQ","FILING_STATUS=MR","SCALING_FORMAT=MLN","Sort=A","Dates=H","DateFormat=P","Fill=—","Direction=H","UseDPDF=Y")</f>
        <v>0</v>
      </c>
      <c r="S64" s="13">
        <f>_xll.BDH("AMZN US Equity","BS_PFD_EQTY_&amp;_HYBRID_CPTL","FQ1 2013","FQ1 2013","Currency=USD","Period=FQ","BEST_FPERIOD_OVERRIDE=FQ","FILING_STATUS=MR","SCALING_FORMAT=MLN","Sort=A","Dates=H","DateFormat=P","Fill=—","Direction=H","UseDPDF=Y")</f>
        <v>0</v>
      </c>
      <c r="T64" s="13">
        <f>_xll.BDH("AMZN US Equity","BS_PFD_EQTY_&amp;_HYBRID_CPTL","FQ2 2013","FQ2 2013","Currency=USD","Period=FQ","BEST_FPERIOD_OVERRIDE=FQ","FILING_STATUS=MR","SCALING_FORMAT=MLN","Sort=A","Dates=H","DateFormat=P","Fill=—","Direction=H","UseDPDF=Y")</f>
        <v>0</v>
      </c>
      <c r="U64" s="13">
        <f>_xll.BDH("AMZN US Equity","BS_PFD_EQTY_&amp;_HYBRID_CPTL","FQ3 2013","FQ3 2013","Currency=USD","Period=FQ","BEST_FPERIOD_OVERRIDE=FQ","FILING_STATUS=MR","SCALING_FORMAT=MLN","Sort=A","Dates=H","DateFormat=P","Fill=—","Direction=H","UseDPDF=Y")</f>
        <v>0</v>
      </c>
      <c r="V64" s="13">
        <f>_xll.BDH("AMZN US Equity","BS_PFD_EQTY_&amp;_HYBRID_CPTL","FQ4 2013","FQ4 2013","Currency=USD","Period=FQ","BEST_FPERIOD_OVERRIDE=FQ","FILING_STATUS=MR","SCALING_FORMAT=MLN","Sort=A","Dates=H","DateFormat=P","Fill=—","Direction=H","UseDPDF=Y")</f>
        <v>0</v>
      </c>
      <c r="W64" s="13">
        <f>_xll.BDH("AMZN US Equity","BS_PFD_EQTY_&amp;_HYBRID_CPTL","FQ1 2014","FQ1 2014","Currency=USD","Period=FQ","BEST_FPERIOD_OVERRIDE=FQ","FILING_STATUS=MR","SCALING_FORMAT=MLN","Sort=A","Dates=H","DateFormat=P","Fill=—","Direction=H","UseDPDF=Y")</f>
        <v>0</v>
      </c>
      <c r="X64" s="13">
        <f>_xll.BDH("AMZN US Equity","BS_PFD_EQTY_&amp;_HYBRID_CPTL","FQ2 2014","FQ2 2014","Currency=USD","Period=FQ","BEST_FPERIOD_OVERRIDE=FQ","FILING_STATUS=MR","SCALING_FORMAT=MLN","Sort=A","Dates=H","DateFormat=P","Fill=—","Direction=H","UseDPDF=Y")</f>
        <v>0</v>
      </c>
      <c r="Y64" s="13">
        <f>_xll.BDH("AMZN US Equity","BS_PFD_EQTY_&amp;_HYBRID_CPTL","FQ3 2014","FQ3 2014","Currency=USD","Period=FQ","BEST_FPERIOD_OVERRIDE=FQ","FILING_STATUS=MR","SCALING_FORMAT=MLN","Sort=A","Dates=H","DateFormat=P","Fill=—","Direction=H","UseDPDF=Y")</f>
        <v>0</v>
      </c>
      <c r="Z64" s="13">
        <f>_xll.BDH("AMZN US Equity","BS_PFD_EQTY_&amp;_HYBRID_CPTL","FQ4 2014","FQ4 2014","Currency=USD","Period=FQ","BEST_FPERIOD_OVERRIDE=FQ","FILING_STATUS=MR","SCALING_FORMAT=MLN","Sort=A","Dates=H","DateFormat=P","Fill=—","Direction=H","UseDPDF=Y")</f>
        <v>0</v>
      </c>
      <c r="AA64" s="13">
        <f>_xll.BDH("AMZN US Equity","BS_PFD_EQTY_&amp;_HYBRID_CPTL","FQ1 2015","FQ1 2015","Currency=USD","Period=FQ","BEST_FPERIOD_OVERRIDE=FQ","FILING_STATUS=MR","SCALING_FORMAT=MLN","Sort=A","Dates=H","DateFormat=P","Fill=—","Direction=H","UseDPDF=Y")</f>
        <v>0</v>
      </c>
      <c r="AB64" s="13">
        <f>_xll.BDH("AMZN US Equity","BS_PFD_EQTY_&amp;_HYBRID_CPTL","FQ2 2015","FQ2 2015","Currency=USD","Period=FQ","BEST_FPERIOD_OVERRIDE=FQ","FILING_STATUS=MR","SCALING_FORMAT=MLN","Sort=A","Dates=H","DateFormat=P","Fill=—","Direction=H","UseDPDF=Y")</f>
        <v>0</v>
      </c>
      <c r="AC64" s="13">
        <f>_xll.BDH("AMZN US Equity","BS_PFD_EQTY_&amp;_HYBRID_CPTL","FQ3 2015","FQ3 2015","Currency=USD","Period=FQ","BEST_FPERIOD_OVERRIDE=FQ","FILING_STATUS=MR","SCALING_FORMAT=MLN","Sort=A","Dates=H","DateFormat=P","Fill=—","Direction=H","UseDPDF=Y")</f>
        <v>0</v>
      </c>
      <c r="AD64" s="13">
        <f>_xll.BDH("AMZN US Equity","BS_PFD_EQTY_&amp;_HYBRID_CPTL","FQ4 2015","FQ4 2015","Currency=USD","Period=FQ","BEST_FPERIOD_OVERRIDE=FQ","FILING_STATUS=MR","SCALING_FORMAT=MLN","Sort=A","Dates=H","DateFormat=P","Fill=—","Direction=H","UseDPDF=Y")</f>
        <v>0</v>
      </c>
      <c r="AE64" s="13">
        <f>_xll.BDH("AMZN US Equity","BS_PFD_EQTY_&amp;_HYBRID_CPTL","FQ1 2016","FQ1 2016","Currency=USD","Period=FQ","BEST_FPERIOD_OVERRIDE=FQ","FILING_STATUS=MR","SCALING_FORMAT=MLN","Sort=A","Dates=H","DateFormat=P","Fill=—","Direction=H","UseDPDF=Y")</f>
        <v>0</v>
      </c>
      <c r="AF64" s="13">
        <f>_xll.BDH("AMZN US Equity","BS_PFD_EQTY_&amp;_HYBRID_CPTL","FQ2 2016","FQ2 2016","Currency=USD","Period=FQ","BEST_FPERIOD_OVERRIDE=FQ","FILING_STATUS=MR","SCALING_FORMAT=MLN","Sort=A","Dates=H","DateFormat=P","Fill=—","Direction=H","UseDPDF=Y")</f>
        <v>0</v>
      </c>
      <c r="AG64" s="13">
        <f>_xll.BDH("AMZN US Equity","BS_PFD_EQTY_&amp;_HYBRID_CPTL","FQ3 2016","FQ3 2016","Currency=USD","Period=FQ","BEST_FPERIOD_OVERRIDE=FQ","FILING_STATUS=MR","SCALING_FORMAT=MLN","Sort=A","Dates=H","DateFormat=P","Fill=—","Direction=H","UseDPDF=Y")</f>
        <v>0</v>
      </c>
      <c r="AH64" s="13">
        <f>_xll.BDH("AMZN US Equity","BS_PFD_EQTY_&amp;_HYBRID_CPTL","FQ4 2016","FQ4 2016","Currency=USD","Period=FQ","BEST_FPERIOD_OVERRIDE=FQ","FILING_STATUS=MR","SCALING_FORMAT=MLN","Sort=A","Dates=H","DateFormat=P","Fill=—","Direction=H","UseDPDF=Y")</f>
        <v>0</v>
      </c>
      <c r="AI64" s="13">
        <f>_xll.BDH("AMZN US Equity","BS_PFD_EQTY_&amp;_HYBRID_CPTL","FQ1 2017","FQ1 2017","Currency=USD","Period=FQ","BEST_FPERIOD_OVERRIDE=FQ","FILING_STATUS=MR","SCALING_FORMAT=MLN","Sort=A","Dates=H","DateFormat=P","Fill=—","Direction=H","UseDPDF=Y")</f>
        <v>0</v>
      </c>
      <c r="AJ64" s="13">
        <f>_xll.BDH("AMZN US Equity","BS_PFD_EQTY_&amp;_HYBRID_CPTL","FQ2 2017","FQ2 2017","Currency=USD","Period=FQ","BEST_FPERIOD_OVERRIDE=FQ","FILING_STATUS=MR","SCALING_FORMAT=MLN","Sort=A","Dates=H","DateFormat=P","Fill=—","Direction=H","UseDPDF=Y")</f>
        <v>0</v>
      </c>
      <c r="AK64" s="13">
        <f>_xll.BDH("AMZN US Equity","BS_PFD_EQTY_&amp;_HYBRID_CPTL","FQ3 2017","FQ3 2017","Currency=USD","Period=FQ","BEST_FPERIOD_OVERRIDE=FQ","FILING_STATUS=MR","SCALING_FORMAT=MLN","Sort=A","Dates=H","DateFormat=P","Fill=—","Direction=H","UseDPDF=Y")</f>
        <v>0</v>
      </c>
      <c r="AL64" s="13">
        <f>_xll.BDH("AMZN US Equity","BS_PFD_EQTY_&amp;_HYBRID_CPTL","FQ4 2017","FQ4 2017","Currency=USD","Period=FQ","BEST_FPERIOD_OVERRIDE=FQ","FILING_STATUS=MR","SCALING_FORMAT=MLN","Sort=A","Dates=H","DateFormat=P","Fill=—","Direction=H","UseDPDF=Y")</f>
        <v>0</v>
      </c>
      <c r="AM64" s="13">
        <f>_xll.BDH("AMZN US Equity","BS_PFD_EQTY_&amp;_HYBRID_CPTL","FQ1 2018","FQ1 2018","Currency=USD","Period=FQ","BEST_FPERIOD_OVERRIDE=FQ","FILING_STATUS=MR","SCALING_FORMAT=MLN","Sort=A","Dates=H","DateFormat=P","Fill=—","Direction=H","UseDPDF=Y")</f>
        <v>0</v>
      </c>
      <c r="AN64" s="13">
        <f>_xll.BDH("AMZN US Equity","BS_PFD_EQTY_&amp;_HYBRID_CPTL","FQ2 2018","FQ2 2018","Currency=USD","Period=FQ","BEST_FPERIOD_OVERRIDE=FQ","FILING_STATUS=MR","SCALING_FORMAT=MLN","Sort=A","Dates=H","DateFormat=P","Fill=—","Direction=H","UseDPDF=Y")</f>
        <v>0</v>
      </c>
    </row>
    <row r="65" spans="1:40" x14ac:dyDescent="0.25">
      <c r="A65" s="10" t="s">
        <v>318</v>
      </c>
      <c r="B65" s="10" t="s">
        <v>319</v>
      </c>
      <c r="C65" s="13">
        <f>_xll.BDH("AMZN US Equity","BS_SH_CAP_AND_APIC","FQ1 2009","FQ1 2009","Currency=USD","Period=FQ","BEST_FPERIOD_OVERRIDE=FQ","FILING_STATUS=MR","SCALING_FORMAT=MLN","Sort=A","Dates=H","DateFormat=P","Fill=—","Direction=H","UseDPDF=Y")</f>
        <v>4214</v>
      </c>
      <c r="D65" s="13">
        <f>_xll.BDH("AMZN US Equity","BS_SH_CAP_AND_APIC","FQ2 2009","FQ2 2009","Currency=USD","Period=FQ","BEST_FPERIOD_OVERRIDE=FQ","FILING_STATUS=MR","SCALING_FORMAT=MLN","Sort=A","Dates=H","DateFormat=P","Fill=—","Direction=H","UseDPDF=Y")</f>
        <v>4325</v>
      </c>
      <c r="E65" s="13">
        <f>_xll.BDH("AMZN US Equity","BS_SH_CAP_AND_APIC","FQ3 2009","FQ3 2009","Currency=USD","Period=FQ","BEST_FPERIOD_OVERRIDE=FQ","FILING_STATUS=MR","SCALING_FORMAT=MLN","Sort=A","Dates=H","DateFormat=P","Fill=—","Direction=H","UseDPDF=Y")</f>
        <v>4432</v>
      </c>
      <c r="F65" s="13">
        <f>_xll.BDH("AMZN US Equity","BS_SH_CAP_AND_APIC","FQ4 2009","FQ4 2009","Currency=USD","Period=FQ","BEST_FPERIOD_OVERRIDE=FQ","FILING_STATUS=MR","SCALING_FORMAT=MLN","Sort=A","Dates=H","DateFormat=P","Fill=—","Direction=H","UseDPDF=Y")</f>
        <v>5741</v>
      </c>
      <c r="G65" s="13">
        <f>_xll.BDH("AMZN US Equity","BS_SH_CAP_AND_APIC","FQ1 2010","FQ1 2010","Currency=USD","Period=FQ","BEST_FPERIOD_OVERRIDE=FQ","FILING_STATUS=MR","SCALING_FORMAT=MLN","Sort=A","Dates=H","DateFormat=P","Fill=—","Direction=H","UseDPDF=Y")</f>
        <v>5892</v>
      </c>
      <c r="H65" s="13">
        <f>_xll.BDH("AMZN US Equity","BS_SH_CAP_AND_APIC","FQ2 2010","FQ2 2010","Currency=USD","Period=FQ","BEST_FPERIOD_OVERRIDE=FQ","FILING_STATUS=MR","SCALING_FORMAT=MLN","Sort=A","Dates=H","DateFormat=P","Fill=—","Direction=H","UseDPDF=Y")</f>
        <v>6061</v>
      </c>
      <c r="I65" s="13">
        <f>_xll.BDH("AMZN US Equity","BS_SH_CAP_AND_APIC","FQ3 2010","FQ3 2010","Currency=USD","Period=FQ","BEST_FPERIOD_OVERRIDE=FQ","FILING_STATUS=MR","SCALING_FORMAT=MLN","Sort=A","Dates=H","DateFormat=P","Fill=—","Direction=H","UseDPDF=Y")</f>
        <v>6220</v>
      </c>
      <c r="J65" s="13">
        <f>_xll.BDH("AMZN US Equity","BS_SH_CAP_AND_APIC","FQ4 2010","FQ4 2010","Currency=USD","Period=FQ","BEST_FPERIOD_OVERRIDE=FQ","FILING_STATUS=MR","SCALING_FORMAT=MLN","Sort=A","Dates=H","DateFormat=P","Fill=—","Direction=H","UseDPDF=Y")</f>
        <v>6330</v>
      </c>
      <c r="K65" s="13">
        <f>_xll.BDH("AMZN US Equity","BS_SH_CAP_AND_APIC","FQ1 2011","FQ1 2011","Currency=USD","Period=FQ","BEST_FPERIOD_OVERRIDE=FQ","FILING_STATUS=MR","SCALING_FORMAT=MLN","Sort=A","Dates=H","DateFormat=P","Fill=—","Direction=H","UseDPDF=Y")</f>
        <v>6488</v>
      </c>
      <c r="L65" s="13">
        <f>_xll.BDH("AMZN US Equity","BS_SH_CAP_AND_APIC","FQ2 2011","FQ2 2011","Currency=USD","Period=FQ","BEST_FPERIOD_OVERRIDE=FQ","FILING_STATUS=MR","SCALING_FORMAT=MLN","Sort=A","Dates=H","DateFormat=P","Fill=—","Direction=H","UseDPDF=Y")</f>
        <v>6680</v>
      </c>
      <c r="M65" s="13">
        <f>_xll.BDH("AMZN US Equity","BS_SH_CAP_AND_APIC","FQ3 2011","FQ3 2011","Currency=USD","Period=FQ","BEST_FPERIOD_OVERRIDE=FQ","FILING_STATUS=MR","SCALING_FORMAT=MLN","Sort=A","Dates=H","DateFormat=P","Fill=—","Direction=H","UseDPDF=Y")</f>
        <v>6829</v>
      </c>
      <c r="N65" s="13">
        <f>_xll.BDH("AMZN US Equity","BS_SH_CAP_AND_APIC","FQ4 2011","FQ4 2011","Currency=USD","Period=FQ","BEST_FPERIOD_OVERRIDE=FQ","FILING_STATUS=MR","SCALING_FORMAT=MLN","Sort=A","Dates=H","DateFormat=P","Fill=—","Direction=H","UseDPDF=Y")</f>
        <v>6995</v>
      </c>
      <c r="O65" s="13">
        <f>_xll.BDH("AMZN US Equity","BS_SH_CAP_AND_APIC","FQ1 2012","FQ1 2012","Currency=USD","Period=FQ","BEST_FPERIOD_OVERRIDE=FQ","FILING_STATUS=MR","SCALING_FORMAT=MLN","Sort=A","Dates=H","DateFormat=P","Fill=—","Direction=H","UseDPDF=Y")</f>
        <v>7197</v>
      </c>
      <c r="P65" s="13">
        <f>_xll.BDH("AMZN US Equity","BS_SH_CAP_AND_APIC","FQ2 2012","FQ2 2012","Currency=USD","Period=FQ","BEST_FPERIOD_OVERRIDE=FQ","FILING_STATUS=MR","SCALING_FORMAT=MLN","Sort=A","Dates=H","DateFormat=P","Fill=—","Direction=H","UseDPDF=Y")</f>
        <v>7578</v>
      </c>
      <c r="Q65" s="13">
        <f>_xll.BDH("AMZN US Equity","BS_SH_CAP_AND_APIC","FQ3 2012","FQ3 2012","Currency=USD","Period=FQ","BEST_FPERIOD_OVERRIDE=FQ","FILING_STATUS=MR","SCALING_FORMAT=MLN","Sort=A","Dates=H","DateFormat=P","Fill=—","Direction=H","UseDPDF=Y")</f>
        <v>7868</v>
      </c>
      <c r="R65" s="13">
        <f>_xll.BDH("AMZN US Equity","BS_SH_CAP_AND_APIC","FQ4 2012","FQ4 2012","Currency=USD","Period=FQ","BEST_FPERIOD_OVERRIDE=FQ","FILING_STATUS=MR","SCALING_FORMAT=MLN","Sort=A","Dates=H","DateFormat=P","Fill=—","Direction=H","UseDPDF=Y")</f>
        <v>8352</v>
      </c>
      <c r="S65" s="13">
        <f>_xll.BDH("AMZN US Equity","BS_SH_CAP_AND_APIC","FQ1 2013","FQ1 2013","Currency=USD","Period=FQ","BEST_FPERIOD_OVERRIDE=FQ","FILING_STATUS=MR","SCALING_FORMAT=MLN","Sort=A","Dates=H","DateFormat=P","Fill=—","Direction=H","UseDPDF=Y")</f>
        <v>8590</v>
      </c>
      <c r="T65" s="13">
        <f>_xll.BDH("AMZN US Equity","BS_SH_CAP_AND_APIC","FQ2 2013","FQ2 2013","Currency=USD","Period=FQ","BEST_FPERIOD_OVERRIDE=FQ","FILING_STATUS=MR","SCALING_FORMAT=MLN","Sort=A","Dates=H","DateFormat=P","Fill=—","Direction=H","UseDPDF=Y")</f>
        <v>8898</v>
      </c>
      <c r="U65" s="13">
        <f>_xll.BDH("AMZN US Equity","BS_SH_CAP_AND_APIC","FQ3 2013","FQ3 2013","Currency=USD","Period=FQ","BEST_FPERIOD_OVERRIDE=FQ","FILING_STATUS=MR","SCALING_FORMAT=MLN","Sort=A","Dates=H","DateFormat=P","Fill=—","Direction=H","UseDPDF=Y")</f>
        <v>9180</v>
      </c>
      <c r="V65" s="13">
        <f>_xll.BDH("AMZN US Equity","BS_SH_CAP_AND_APIC","FQ4 2013","FQ4 2013","Currency=USD","Period=FQ","BEST_FPERIOD_OVERRIDE=FQ","FILING_STATUS=MR","SCALING_FORMAT=MLN","Sort=A","Dates=H","DateFormat=P","Fill=—","Direction=H","UseDPDF=Y")</f>
        <v>9578</v>
      </c>
      <c r="W65" s="13">
        <f>_xll.BDH("AMZN US Equity","BS_SH_CAP_AND_APIC","FQ1 2014","FQ1 2014","Currency=USD","Period=FQ","BEST_FPERIOD_OVERRIDE=FQ","FILING_STATUS=MR","SCALING_FORMAT=MLN","Sort=A","Dates=H","DateFormat=P","Fill=—","Direction=H","UseDPDF=Y")</f>
        <v>10024</v>
      </c>
      <c r="X65" s="13">
        <f>_xll.BDH("AMZN US Equity","BS_SH_CAP_AND_APIC","FQ2 2014","FQ2 2014","Currency=USD","Period=FQ","BEST_FPERIOD_OVERRIDE=FQ","FILING_STATUS=MR","SCALING_FORMAT=MLN","Sort=A","Dates=H","DateFormat=P","Fill=—","Direction=H","UseDPDF=Y")</f>
        <v>10410</v>
      </c>
      <c r="Y65" s="13">
        <f>_xll.BDH("AMZN US Equity","BS_SH_CAP_AND_APIC","FQ3 2014","FQ3 2014","Currency=USD","Period=FQ","BEST_FPERIOD_OVERRIDE=FQ","FILING_STATUS=MR","SCALING_FORMAT=MLN","Sort=A","Dates=H","DateFormat=P","Fill=—","Direction=H","UseDPDF=Y")</f>
        <v>10832</v>
      </c>
      <c r="Z65" s="13">
        <f>_xll.BDH("AMZN US Equity","BS_SH_CAP_AND_APIC","FQ4 2014","FQ4 2014","Currency=USD","Period=FQ","BEST_FPERIOD_OVERRIDE=FQ","FILING_STATUS=MR","SCALING_FORMAT=MLN","Sort=A","Dates=H","DateFormat=P","Fill=—","Direction=H","UseDPDF=Y")</f>
        <v>11140</v>
      </c>
      <c r="AA65" s="13">
        <f>_xll.BDH("AMZN US Equity","BS_SH_CAP_AND_APIC","FQ1 2015","FQ1 2015","Currency=USD","Period=FQ","BEST_FPERIOD_OVERRIDE=FQ","FILING_STATUS=MR","SCALING_FORMAT=MLN","Sort=A","Dates=H","DateFormat=P","Fill=—","Direction=H","UseDPDF=Y")</f>
        <v>11570</v>
      </c>
      <c r="AB65" s="13">
        <f>_xll.BDH("AMZN US Equity","BS_SH_CAP_AND_APIC","FQ2 2015","FQ2 2015","Currency=USD","Period=FQ","BEST_FPERIOD_OVERRIDE=FQ","FILING_STATUS=MR","SCALING_FORMAT=MLN","Sort=A","Dates=H","DateFormat=P","Fill=—","Direction=H","UseDPDF=Y")</f>
        <v>12238</v>
      </c>
      <c r="AC65" s="13">
        <f>_xll.BDH("AMZN US Equity","BS_SH_CAP_AND_APIC","FQ3 2015","FQ3 2015","Currency=USD","Period=FQ","BEST_FPERIOD_OVERRIDE=FQ","FILING_STATUS=MR","SCALING_FORMAT=MLN","Sort=A","Dates=H","DateFormat=P","Fill=—","Direction=H","UseDPDF=Y")</f>
        <v>12879</v>
      </c>
      <c r="AD65" s="13">
        <f>_xll.BDH("AMZN US Equity","BS_SH_CAP_AND_APIC","FQ4 2015","FQ4 2015","Currency=USD","Period=FQ","BEST_FPERIOD_OVERRIDE=FQ","FILING_STATUS=MR","SCALING_FORMAT=MLN","Sort=A","Dates=H","DateFormat=P","Fill=—","Direction=H","UseDPDF=Y")</f>
        <v>13399</v>
      </c>
      <c r="AE65" s="13">
        <f>_xll.BDH("AMZN US Equity","BS_SH_CAP_AND_APIC","FQ1 2016","FQ1 2016","Currency=USD","Period=FQ","BEST_FPERIOD_OVERRIDE=FQ","FILING_STATUS=MR","SCALING_FORMAT=MLN","Sort=A","Dates=H","DateFormat=P","Fill=—","Direction=H","UseDPDF=Y")</f>
        <v>14149</v>
      </c>
      <c r="AF65" s="13">
        <f>_xll.BDH("AMZN US Equity","BS_SH_CAP_AND_APIC","FQ2 2016","FQ2 2016","Currency=USD","Period=FQ","BEST_FPERIOD_OVERRIDE=FQ","FILING_STATUS=MR","SCALING_FORMAT=MLN","Sort=A","Dates=H","DateFormat=P","Fill=—","Direction=H","UseDPDF=Y")</f>
        <v>15031</v>
      </c>
      <c r="AG65" s="13">
        <f>_xll.BDH("AMZN US Equity","BS_SH_CAP_AND_APIC","FQ3 2016","FQ3 2016","Currency=USD","Period=FQ","BEST_FPERIOD_OVERRIDE=FQ","FILING_STATUS=MR","SCALING_FORMAT=MLN","Sort=A","Dates=H","DateFormat=P","Fill=—","Direction=H","UseDPDF=Y")</f>
        <v>15973</v>
      </c>
      <c r="AH65" s="13">
        <f>_xll.BDH("AMZN US Equity","BS_SH_CAP_AND_APIC","FQ4 2016","FQ4 2016","Currency=USD","Period=FQ","BEST_FPERIOD_OVERRIDE=FQ","FILING_STATUS=MR","SCALING_FORMAT=MLN","Sort=A","Dates=H","DateFormat=P","Fill=—","Direction=H","UseDPDF=Y")</f>
        <v>17191</v>
      </c>
      <c r="AI65" s="13">
        <f>_xll.BDH("AMZN US Equity","BS_SH_CAP_AND_APIC","FQ1 2017","FQ1 2017","Currency=USD","Period=FQ","BEST_FPERIOD_OVERRIDE=FQ","FILING_STATUS=MR","SCALING_FORMAT=MLN","Sort=A","Dates=H","DateFormat=P","Fill=—","Direction=H","UseDPDF=Y")</f>
        <v>17981</v>
      </c>
      <c r="AJ65" s="13">
        <f>_xll.BDH("AMZN US Equity","BS_SH_CAP_AND_APIC","FQ2 2017","FQ2 2017","Currency=USD","Period=FQ","BEST_FPERIOD_OVERRIDE=FQ","FILING_STATUS=MR","SCALING_FORMAT=MLN","Sort=A","Dates=H","DateFormat=P","Fill=—","Direction=H","UseDPDF=Y")</f>
        <v>19134</v>
      </c>
      <c r="AK65" s="13">
        <f>_xll.BDH("AMZN US Equity","BS_SH_CAP_AND_APIC","FQ3 2017","FQ3 2017","Currency=USD","Period=FQ","BEST_FPERIOD_OVERRIDE=FQ","FILING_STATUS=MR","SCALING_FORMAT=MLN","Sort=A","Dates=H","DateFormat=P","Fill=—","Direction=H","UseDPDF=Y")</f>
        <v>20217</v>
      </c>
      <c r="AL65" s="13">
        <f>_xll.BDH("AMZN US Equity","BS_SH_CAP_AND_APIC","FQ4 2017","FQ4 2017","Currency=USD","Period=FQ","BEST_FPERIOD_OVERRIDE=FQ","FILING_STATUS=MR","SCALING_FORMAT=MLN","Sort=A","Dates=H","DateFormat=P","Fill=—","Direction=H","UseDPDF=Y")</f>
        <v>21394</v>
      </c>
      <c r="AM65" s="13">
        <f>_xll.BDH("AMZN US Equity","BS_SH_CAP_AND_APIC","FQ1 2018","FQ1 2018","Currency=USD","Period=FQ","BEST_FPERIOD_OVERRIDE=FQ","FILING_STATUS=MR","SCALING_FORMAT=MLN","Sort=A","Dates=H","DateFormat=P","Fill=—","Direction=H","UseDPDF=Y")</f>
        <v>22568</v>
      </c>
      <c r="AN65" s="13">
        <f>_xll.BDH("AMZN US Equity","BS_SH_CAP_AND_APIC","FQ2 2018","FQ2 2018","Currency=USD","Period=FQ","BEST_FPERIOD_OVERRIDE=FQ","FILING_STATUS=MR","SCALING_FORMAT=MLN","Sort=A","Dates=H","DateFormat=P","Fill=—","Direction=H","UseDPDF=Y")</f>
        <v>24033</v>
      </c>
    </row>
    <row r="66" spans="1:40" x14ac:dyDescent="0.25">
      <c r="A66" s="10" t="s">
        <v>320</v>
      </c>
      <c r="B66" s="10" t="s">
        <v>321</v>
      </c>
      <c r="C66" s="13">
        <f>_xll.BDH("AMZN US Equity","BS_COMMON_STOCK","FQ1 2009","FQ1 2009","Currency=USD","Period=FQ","BEST_FPERIOD_OVERRIDE=FQ","FILING_STATUS=MR","SCALING_FORMAT=MLN","Sort=A","Dates=H","DateFormat=P","Fill=—","Direction=H","UseDPDF=Y")</f>
        <v>4</v>
      </c>
      <c r="D66" s="13">
        <f>_xll.BDH("AMZN US Equity","BS_COMMON_STOCK","FQ2 2009","FQ2 2009","Currency=USD","Period=FQ","BEST_FPERIOD_OVERRIDE=FQ","FILING_STATUS=MR","SCALING_FORMAT=MLN","Sort=A","Dates=H","DateFormat=P","Fill=—","Direction=H","UseDPDF=Y")</f>
        <v>4</v>
      </c>
      <c r="E66" s="13">
        <f>_xll.BDH("AMZN US Equity","BS_COMMON_STOCK","FQ3 2009","FQ3 2009","Currency=USD","Period=FQ","BEST_FPERIOD_OVERRIDE=FQ","FILING_STATUS=MR","SCALING_FORMAT=MLN","Sort=A","Dates=H","DateFormat=P","Fill=—","Direction=H","UseDPDF=Y")</f>
        <v>4</v>
      </c>
      <c r="F66" s="13">
        <f>_xll.BDH("AMZN US Equity","BS_COMMON_STOCK","FQ4 2009","FQ4 2009","Currency=USD","Period=FQ","BEST_FPERIOD_OVERRIDE=FQ","FILING_STATUS=MR","SCALING_FORMAT=MLN","Sort=A","Dates=H","DateFormat=P","Fill=—","Direction=H","UseDPDF=Y")</f>
        <v>5</v>
      </c>
      <c r="G66" s="13">
        <f>_xll.BDH("AMZN US Equity","BS_COMMON_STOCK","FQ1 2010","FQ1 2010","Currency=USD","Period=FQ","BEST_FPERIOD_OVERRIDE=FQ","FILING_STATUS=MR","SCALING_FORMAT=MLN","Sort=A","Dates=H","DateFormat=P","Fill=—","Direction=H","UseDPDF=Y")</f>
        <v>5</v>
      </c>
      <c r="H66" s="13">
        <f>_xll.BDH("AMZN US Equity","BS_COMMON_STOCK","FQ2 2010","FQ2 2010","Currency=USD","Period=FQ","BEST_FPERIOD_OVERRIDE=FQ","FILING_STATUS=MR","SCALING_FORMAT=MLN","Sort=A","Dates=H","DateFormat=P","Fill=—","Direction=H","UseDPDF=Y")</f>
        <v>5</v>
      </c>
      <c r="I66" s="13">
        <f>_xll.BDH("AMZN US Equity","BS_COMMON_STOCK","FQ3 2010","FQ3 2010","Currency=USD","Period=FQ","BEST_FPERIOD_OVERRIDE=FQ","FILING_STATUS=MR","SCALING_FORMAT=MLN","Sort=A","Dates=H","DateFormat=P","Fill=—","Direction=H","UseDPDF=Y")</f>
        <v>5</v>
      </c>
      <c r="J66" s="13">
        <f>_xll.BDH("AMZN US Equity","BS_COMMON_STOCK","FQ4 2010","FQ4 2010","Currency=USD","Period=FQ","BEST_FPERIOD_OVERRIDE=FQ","FILING_STATUS=MR","SCALING_FORMAT=MLN","Sort=A","Dates=H","DateFormat=P","Fill=—","Direction=H","UseDPDF=Y")</f>
        <v>5</v>
      </c>
      <c r="K66" s="13">
        <f>_xll.BDH("AMZN US Equity","BS_COMMON_STOCK","FQ1 2011","FQ1 2011","Currency=USD","Period=FQ","BEST_FPERIOD_OVERRIDE=FQ","FILING_STATUS=MR","SCALING_FORMAT=MLN","Sort=A","Dates=H","DateFormat=P","Fill=—","Direction=H","UseDPDF=Y")</f>
        <v>5</v>
      </c>
      <c r="L66" s="13">
        <f>_xll.BDH("AMZN US Equity","BS_COMMON_STOCK","FQ2 2011","FQ2 2011","Currency=USD","Period=FQ","BEST_FPERIOD_OVERRIDE=FQ","FILING_STATUS=MR","SCALING_FORMAT=MLN","Sort=A","Dates=H","DateFormat=P","Fill=—","Direction=H","UseDPDF=Y")</f>
        <v>5</v>
      </c>
      <c r="M66" s="13">
        <f>_xll.BDH("AMZN US Equity","BS_COMMON_STOCK","FQ3 2011","FQ3 2011","Currency=USD","Period=FQ","BEST_FPERIOD_OVERRIDE=FQ","FILING_STATUS=MR","SCALING_FORMAT=MLN","Sort=A","Dates=H","DateFormat=P","Fill=—","Direction=H","UseDPDF=Y")</f>
        <v>5</v>
      </c>
      <c r="N66" s="13">
        <f>_xll.BDH("AMZN US Equity","BS_COMMON_STOCK","FQ4 2011","FQ4 2011","Currency=USD","Period=FQ","BEST_FPERIOD_OVERRIDE=FQ","FILING_STATUS=MR","SCALING_FORMAT=MLN","Sort=A","Dates=H","DateFormat=P","Fill=—","Direction=H","UseDPDF=Y")</f>
        <v>5</v>
      </c>
      <c r="O66" s="13">
        <f>_xll.BDH("AMZN US Equity","BS_COMMON_STOCK","FQ1 2012","FQ1 2012","Currency=USD","Period=FQ","BEST_FPERIOD_OVERRIDE=FQ","FILING_STATUS=MR","SCALING_FORMAT=MLN","Sort=A","Dates=H","DateFormat=P","Fill=—","Direction=H","UseDPDF=Y")</f>
        <v>5</v>
      </c>
      <c r="P66" s="13">
        <f>_xll.BDH("AMZN US Equity","BS_COMMON_STOCK","FQ2 2012","FQ2 2012","Currency=USD","Period=FQ","BEST_FPERIOD_OVERRIDE=FQ","FILING_STATUS=MR","SCALING_FORMAT=MLN","Sort=A","Dates=H","DateFormat=P","Fill=—","Direction=H","UseDPDF=Y")</f>
        <v>5</v>
      </c>
      <c r="Q66" s="13">
        <f>_xll.BDH("AMZN US Equity","BS_COMMON_STOCK","FQ3 2012","FQ3 2012","Currency=USD","Period=FQ","BEST_FPERIOD_OVERRIDE=FQ","FILING_STATUS=MR","SCALING_FORMAT=MLN","Sort=A","Dates=H","DateFormat=P","Fill=—","Direction=H","UseDPDF=Y")</f>
        <v>5</v>
      </c>
      <c r="R66" s="13">
        <f>_xll.BDH("AMZN US Equity","BS_COMMON_STOCK","FQ4 2012","FQ4 2012","Currency=USD","Period=FQ","BEST_FPERIOD_OVERRIDE=FQ","FILING_STATUS=MR","SCALING_FORMAT=MLN","Sort=A","Dates=H","DateFormat=P","Fill=—","Direction=H","UseDPDF=Y")</f>
        <v>5</v>
      </c>
      <c r="S66" s="13">
        <f>_xll.BDH("AMZN US Equity","BS_COMMON_STOCK","FQ1 2013","FQ1 2013","Currency=USD","Period=FQ","BEST_FPERIOD_OVERRIDE=FQ","FILING_STATUS=MR","SCALING_FORMAT=MLN","Sort=A","Dates=H","DateFormat=P","Fill=—","Direction=H","UseDPDF=Y")</f>
        <v>5</v>
      </c>
      <c r="T66" s="13">
        <f>_xll.BDH("AMZN US Equity","BS_COMMON_STOCK","FQ2 2013","FQ2 2013","Currency=USD","Period=FQ","BEST_FPERIOD_OVERRIDE=FQ","FILING_STATUS=MR","SCALING_FORMAT=MLN","Sort=A","Dates=H","DateFormat=P","Fill=—","Direction=H","UseDPDF=Y")</f>
        <v>5</v>
      </c>
      <c r="U66" s="13">
        <f>_xll.BDH("AMZN US Equity","BS_COMMON_STOCK","FQ3 2013","FQ3 2013","Currency=USD","Period=FQ","BEST_FPERIOD_OVERRIDE=FQ","FILING_STATUS=MR","SCALING_FORMAT=MLN","Sort=A","Dates=H","DateFormat=P","Fill=—","Direction=H","UseDPDF=Y")</f>
        <v>5</v>
      </c>
      <c r="V66" s="13">
        <f>_xll.BDH("AMZN US Equity","BS_COMMON_STOCK","FQ4 2013","FQ4 2013","Currency=USD","Period=FQ","BEST_FPERIOD_OVERRIDE=FQ","FILING_STATUS=MR","SCALING_FORMAT=MLN","Sort=A","Dates=H","DateFormat=P","Fill=—","Direction=H","UseDPDF=Y")</f>
        <v>5</v>
      </c>
      <c r="W66" s="13">
        <f>_xll.BDH("AMZN US Equity","BS_COMMON_STOCK","FQ1 2014","FQ1 2014","Currency=USD","Period=FQ","BEST_FPERIOD_OVERRIDE=FQ","FILING_STATUS=MR","SCALING_FORMAT=MLN","Sort=A","Dates=H","DateFormat=P","Fill=—","Direction=H","UseDPDF=Y")</f>
        <v>5</v>
      </c>
      <c r="X66" s="13">
        <f>_xll.BDH("AMZN US Equity","BS_COMMON_STOCK","FQ2 2014","FQ2 2014","Currency=USD","Period=FQ","BEST_FPERIOD_OVERRIDE=FQ","FILING_STATUS=MR","SCALING_FORMAT=MLN","Sort=A","Dates=H","DateFormat=P","Fill=—","Direction=H","UseDPDF=Y")</f>
        <v>5</v>
      </c>
      <c r="Y66" s="13">
        <f>_xll.BDH("AMZN US Equity","BS_COMMON_STOCK","FQ3 2014","FQ3 2014","Currency=USD","Period=FQ","BEST_FPERIOD_OVERRIDE=FQ","FILING_STATUS=MR","SCALING_FORMAT=MLN","Sort=A","Dates=H","DateFormat=P","Fill=—","Direction=H","UseDPDF=Y")</f>
        <v>5</v>
      </c>
      <c r="Z66" s="13">
        <f>_xll.BDH("AMZN US Equity","BS_COMMON_STOCK","FQ4 2014","FQ4 2014","Currency=USD","Period=FQ","BEST_FPERIOD_OVERRIDE=FQ","FILING_STATUS=MR","SCALING_FORMAT=MLN","Sort=A","Dates=H","DateFormat=P","Fill=—","Direction=H","UseDPDF=Y")</f>
        <v>5</v>
      </c>
      <c r="AA66" s="13">
        <f>_xll.BDH("AMZN US Equity","BS_COMMON_STOCK","FQ1 2015","FQ1 2015","Currency=USD","Period=FQ","BEST_FPERIOD_OVERRIDE=FQ","FILING_STATUS=MR","SCALING_FORMAT=MLN","Sort=A","Dates=H","DateFormat=P","Fill=—","Direction=H","UseDPDF=Y")</f>
        <v>5</v>
      </c>
      <c r="AB66" s="13">
        <f>_xll.BDH("AMZN US Equity","BS_COMMON_STOCK","FQ2 2015","FQ2 2015","Currency=USD","Period=FQ","BEST_FPERIOD_OVERRIDE=FQ","FILING_STATUS=MR","SCALING_FORMAT=MLN","Sort=A","Dates=H","DateFormat=P","Fill=—","Direction=H","UseDPDF=Y")</f>
        <v>5</v>
      </c>
      <c r="AC66" s="13">
        <f>_xll.BDH("AMZN US Equity","BS_COMMON_STOCK","FQ3 2015","FQ3 2015","Currency=USD","Period=FQ","BEST_FPERIOD_OVERRIDE=FQ","FILING_STATUS=MR","SCALING_FORMAT=MLN","Sort=A","Dates=H","DateFormat=P","Fill=—","Direction=H","UseDPDF=Y")</f>
        <v>5</v>
      </c>
      <c r="AD66" s="13">
        <f>_xll.BDH("AMZN US Equity","BS_COMMON_STOCK","FQ4 2015","FQ4 2015","Currency=USD","Period=FQ","BEST_FPERIOD_OVERRIDE=FQ","FILING_STATUS=MR","SCALING_FORMAT=MLN","Sort=A","Dates=H","DateFormat=P","Fill=—","Direction=H","UseDPDF=Y")</f>
        <v>5</v>
      </c>
      <c r="AE66" s="13">
        <f>_xll.BDH("AMZN US Equity","BS_COMMON_STOCK","FQ1 2016","FQ1 2016","Currency=USD","Period=FQ","BEST_FPERIOD_OVERRIDE=FQ","FILING_STATUS=MR","SCALING_FORMAT=MLN","Sort=A","Dates=H","DateFormat=P","Fill=—","Direction=H","UseDPDF=Y")</f>
        <v>5</v>
      </c>
      <c r="AF66" s="13">
        <f>_xll.BDH("AMZN US Equity","BS_COMMON_STOCK","FQ2 2016","FQ2 2016","Currency=USD","Period=FQ","BEST_FPERIOD_OVERRIDE=FQ","FILING_STATUS=MR","SCALING_FORMAT=MLN","Sort=A","Dates=H","DateFormat=P","Fill=—","Direction=H","UseDPDF=Y")</f>
        <v>5</v>
      </c>
      <c r="AG66" s="13">
        <f>_xll.BDH("AMZN US Equity","BS_COMMON_STOCK","FQ3 2016","FQ3 2016","Currency=USD","Period=FQ","BEST_FPERIOD_OVERRIDE=FQ","FILING_STATUS=MR","SCALING_FORMAT=MLN","Sort=A","Dates=H","DateFormat=P","Fill=—","Direction=H","UseDPDF=Y")</f>
        <v>5</v>
      </c>
      <c r="AH66" s="13">
        <f>_xll.BDH("AMZN US Equity","BS_COMMON_STOCK","FQ4 2016","FQ4 2016","Currency=USD","Period=FQ","BEST_FPERIOD_OVERRIDE=FQ","FILING_STATUS=MR","SCALING_FORMAT=MLN","Sort=A","Dates=H","DateFormat=P","Fill=—","Direction=H","UseDPDF=Y")</f>
        <v>5</v>
      </c>
      <c r="AI66" s="13">
        <f>_xll.BDH("AMZN US Equity","BS_COMMON_STOCK","FQ1 2017","FQ1 2017","Currency=USD","Period=FQ","BEST_FPERIOD_OVERRIDE=FQ","FILING_STATUS=MR","SCALING_FORMAT=MLN","Sort=A","Dates=H","DateFormat=P","Fill=—","Direction=H","UseDPDF=Y")</f>
        <v>5</v>
      </c>
      <c r="AJ66" s="13">
        <f>_xll.BDH("AMZN US Equity","BS_COMMON_STOCK","FQ2 2017","FQ2 2017","Currency=USD","Period=FQ","BEST_FPERIOD_OVERRIDE=FQ","FILING_STATUS=MR","SCALING_FORMAT=MLN","Sort=A","Dates=H","DateFormat=P","Fill=—","Direction=H","UseDPDF=Y")</f>
        <v>5</v>
      </c>
      <c r="AK66" s="13">
        <f>_xll.BDH("AMZN US Equity","BS_COMMON_STOCK","FQ3 2017","FQ3 2017","Currency=USD","Period=FQ","BEST_FPERIOD_OVERRIDE=FQ","FILING_STATUS=MR","SCALING_FORMAT=MLN","Sort=A","Dates=H","DateFormat=P","Fill=—","Direction=H","UseDPDF=Y")</f>
        <v>5</v>
      </c>
      <c r="AL66" s="13">
        <f>_xll.BDH("AMZN US Equity","BS_COMMON_STOCK","FQ4 2017","FQ4 2017","Currency=USD","Period=FQ","BEST_FPERIOD_OVERRIDE=FQ","FILING_STATUS=MR","SCALING_FORMAT=MLN","Sort=A","Dates=H","DateFormat=P","Fill=—","Direction=H","UseDPDF=Y")</f>
        <v>5</v>
      </c>
      <c r="AM66" s="13">
        <f>_xll.BDH("AMZN US Equity","BS_COMMON_STOCK","FQ1 2018","FQ1 2018","Currency=USD","Period=FQ","BEST_FPERIOD_OVERRIDE=FQ","FILING_STATUS=MR","SCALING_FORMAT=MLN","Sort=A","Dates=H","DateFormat=P","Fill=—","Direction=H","UseDPDF=Y")</f>
        <v>5</v>
      </c>
      <c r="AN66" s="13">
        <f>_xll.BDH("AMZN US Equity","BS_COMMON_STOCK","FQ2 2018","FQ2 2018","Currency=USD","Period=FQ","BEST_FPERIOD_OVERRIDE=FQ","FILING_STATUS=MR","SCALING_FORMAT=MLN","Sort=A","Dates=H","DateFormat=P","Fill=—","Direction=H","UseDPDF=Y")</f>
        <v>5</v>
      </c>
    </row>
    <row r="67" spans="1:40" x14ac:dyDescent="0.25">
      <c r="A67" s="10" t="s">
        <v>322</v>
      </c>
      <c r="B67" s="10" t="s">
        <v>323</v>
      </c>
      <c r="C67" s="13">
        <f>_xll.BDH("AMZN US Equity","BS_ADD_PAID_IN_CAP","FQ1 2009","FQ1 2009","Currency=USD","Period=FQ","BEST_FPERIOD_OVERRIDE=FQ","FILING_STATUS=MR","SCALING_FORMAT=MLN","Sort=A","Dates=H","DateFormat=P","Fill=—","Direction=H","UseDPDF=Y")</f>
        <v>4210</v>
      </c>
      <c r="D67" s="13">
        <f>_xll.BDH("AMZN US Equity","BS_ADD_PAID_IN_CAP","FQ2 2009","FQ2 2009","Currency=USD","Period=FQ","BEST_FPERIOD_OVERRIDE=FQ","FILING_STATUS=MR","SCALING_FORMAT=MLN","Sort=A","Dates=H","DateFormat=P","Fill=—","Direction=H","UseDPDF=Y")</f>
        <v>4321</v>
      </c>
      <c r="E67" s="13">
        <f>_xll.BDH("AMZN US Equity","BS_ADD_PAID_IN_CAP","FQ3 2009","FQ3 2009","Currency=USD","Period=FQ","BEST_FPERIOD_OVERRIDE=FQ","FILING_STATUS=MR","SCALING_FORMAT=MLN","Sort=A","Dates=H","DateFormat=P","Fill=—","Direction=H","UseDPDF=Y")</f>
        <v>4428</v>
      </c>
      <c r="F67" s="13">
        <f>_xll.BDH("AMZN US Equity","BS_ADD_PAID_IN_CAP","FQ4 2009","FQ4 2009","Currency=USD","Period=FQ","BEST_FPERIOD_OVERRIDE=FQ","FILING_STATUS=MR","SCALING_FORMAT=MLN","Sort=A","Dates=H","DateFormat=P","Fill=—","Direction=H","UseDPDF=Y")</f>
        <v>5736</v>
      </c>
      <c r="G67" s="13">
        <f>_xll.BDH("AMZN US Equity","BS_ADD_PAID_IN_CAP","FQ1 2010","FQ1 2010","Currency=USD","Period=FQ","BEST_FPERIOD_OVERRIDE=FQ","FILING_STATUS=MR","SCALING_FORMAT=MLN","Sort=A","Dates=H","DateFormat=P","Fill=—","Direction=H","UseDPDF=Y")</f>
        <v>5887</v>
      </c>
      <c r="H67" s="13">
        <f>_xll.BDH("AMZN US Equity","BS_ADD_PAID_IN_CAP","FQ2 2010","FQ2 2010","Currency=USD","Period=FQ","BEST_FPERIOD_OVERRIDE=FQ","FILING_STATUS=MR","SCALING_FORMAT=MLN","Sort=A","Dates=H","DateFormat=P","Fill=—","Direction=H","UseDPDF=Y")</f>
        <v>6056</v>
      </c>
      <c r="I67" s="13">
        <f>_xll.BDH("AMZN US Equity","BS_ADD_PAID_IN_CAP","FQ3 2010","FQ3 2010","Currency=USD","Period=FQ","BEST_FPERIOD_OVERRIDE=FQ","FILING_STATUS=MR","SCALING_FORMAT=MLN","Sort=A","Dates=H","DateFormat=P","Fill=—","Direction=H","UseDPDF=Y")</f>
        <v>6215</v>
      </c>
      <c r="J67" s="13">
        <f>_xll.BDH("AMZN US Equity","BS_ADD_PAID_IN_CAP","FQ4 2010","FQ4 2010","Currency=USD","Period=FQ","BEST_FPERIOD_OVERRIDE=FQ","FILING_STATUS=MR","SCALING_FORMAT=MLN","Sort=A","Dates=H","DateFormat=P","Fill=—","Direction=H","UseDPDF=Y")</f>
        <v>6325</v>
      </c>
      <c r="K67" s="13">
        <f>_xll.BDH("AMZN US Equity","BS_ADD_PAID_IN_CAP","FQ1 2011","FQ1 2011","Currency=USD","Period=FQ","BEST_FPERIOD_OVERRIDE=FQ","FILING_STATUS=MR","SCALING_FORMAT=MLN","Sort=A","Dates=H","DateFormat=P","Fill=—","Direction=H","UseDPDF=Y")</f>
        <v>6483</v>
      </c>
      <c r="L67" s="13">
        <f>_xll.BDH("AMZN US Equity","BS_ADD_PAID_IN_CAP","FQ2 2011","FQ2 2011","Currency=USD","Period=FQ","BEST_FPERIOD_OVERRIDE=FQ","FILING_STATUS=MR","SCALING_FORMAT=MLN","Sort=A","Dates=H","DateFormat=P","Fill=—","Direction=H","UseDPDF=Y")</f>
        <v>6675</v>
      </c>
      <c r="M67" s="13">
        <f>_xll.BDH("AMZN US Equity","BS_ADD_PAID_IN_CAP","FQ3 2011","FQ3 2011","Currency=USD","Period=FQ","BEST_FPERIOD_OVERRIDE=FQ","FILING_STATUS=MR","SCALING_FORMAT=MLN","Sort=A","Dates=H","DateFormat=P","Fill=—","Direction=H","UseDPDF=Y")</f>
        <v>6824</v>
      </c>
      <c r="N67" s="13">
        <f>_xll.BDH("AMZN US Equity","BS_ADD_PAID_IN_CAP","FQ4 2011","FQ4 2011","Currency=USD","Period=FQ","BEST_FPERIOD_OVERRIDE=FQ","FILING_STATUS=MR","SCALING_FORMAT=MLN","Sort=A","Dates=H","DateFormat=P","Fill=—","Direction=H","UseDPDF=Y")</f>
        <v>6990</v>
      </c>
      <c r="O67" s="13">
        <f>_xll.BDH("AMZN US Equity","BS_ADD_PAID_IN_CAP","FQ1 2012","FQ1 2012","Currency=USD","Period=FQ","BEST_FPERIOD_OVERRIDE=FQ","FILING_STATUS=MR","SCALING_FORMAT=MLN","Sort=A","Dates=H","DateFormat=P","Fill=—","Direction=H","UseDPDF=Y")</f>
        <v>7192</v>
      </c>
      <c r="P67" s="13">
        <f>_xll.BDH("AMZN US Equity","BS_ADD_PAID_IN_CAP","FQ2 2012","FQ2 2012","Currency=USD","Period=FQ","BEST_FPERIOD_OVERRIDE=FQ","FILING_STATUS=MR","SCALING_FORMAT=MLN","Sort=A","Dates=H","DateFormat=P","Fill=—","Direction=H","UseDPDF=Y")</f>
        <v>7573</v>
      </c>
      <c r="Q67" s="13">
        <f>_xll.BDH("AMZN US Equity","BS_ADD_PAID_IN_CAP","FQ3 2012","FQ3 2012","Currency=USD","Period=FQ","BEST_FPERIOD_OVERRIDE=FQ","FILING_STATUS=MR","SCALING_FORMAT=MLN","Sort=A","Dates=H","DateFormat=P","Fill=—","Direction=H","UseDPDF=Y")</f>
        <v>7863</v>
      </c>
      <c r="R67" s="13">
        <f>_xll.BDH("AMZN US Equity","BS_ADD_PAID_IN_CAP","FQ4 2012","FQ4 2012","Currency=USD","Period=FQ","BEST_FPERIOD_OVERRIDE=FQ","FILING_STATUS=MR","SCALING_FORMAT=MLN","Sort=A","Dates=H","DateFormat=P","Fill=—","Direction=H","UseDPDF=Y")</f>
        <v>8347</v>
      </c>
      <c r="S67" s="13">
        <f>_xll.BDH("AMZN US Equity","BS_ADD_PAID_IN_CAP","FQ1 2013","FQ1 2013","Currency=USD","Period=FQ","BEST_FPERIOD_OVERRIDE=FQ","FILING_STATUS=MR","SCALING_FORMAT=MLN","Sort=A","Dates=H","DateFormat=P","Fill=—","Direction=H","UseDPDF=Y")</f>
        <v>8585</v>
      </c>
      <c r="T67" s="13">
        <f>_xll.BDH("AMZN US Equity","BS_ADD_PAID_IN_CAP","FQ2 2013","FQ2 2013","Currency=USD","Period=FQ","BEST_FPERIOD_OVERRIDE=FQ","FILING_STATUS=MR","SCALING_FORMAT=MLN","Sort=A","Dates=H","DateFormat=P","Fill=—","Direction=H","UseDPDF=Y")</f>
        <v>8893</v>
      </c>
      <c r="U67" s="13">
        <f>_xll.BDH("AMZN US Equity","BS_ADD_PAID_IN_CAP","FQ3 2013","FQ3 2013","Currency=USD","Period=FQ","BEST_FPERIOD_OVERRIDE=FQ","FILING_STATUS=MR","SCALING_FORMAT=MLN","Sort=A","Dates=H","DateFormat=P","Fill=—","Direction=H","UseDPDF=Y")</f>
        <v>9175</v>
      </c>
      <c r="V67" s="13">
        <f>_xll.BDH("AMZN US Equity","BS_ADD_PAID_IN_CAP","FQ4 2013","FQ4 2013","Currency=USD","Period=FQ","BEST_FPERIOD_OVERRIDE=FQ","FILING_STATUS=MR","SCALING_FORMAT=MLN","Sort=A","Dates=H","DateFormat=P","Fill=—","Direction=H","UseDPDF=Y")</f>
        <v>9573</v>
      </c>
      <c r="W67" s="13">
        <f>_xll.BDH("AMZN US Equity","BS_ADD_PAID_IN_CAP","FQ1 2014","FQ1 2014","Currency=USD","Period=FQ","BEST_FPERIOD_OVERRIDE=FQ","FILING_STATUS=MR","SCALING_FORMAT=MLN","Sort=A","Dates=H","DateFormat=P","Fill=—","Direction=H","UseDPDF=Y")</f>
        <v>10019</v>
      </c>
      <c r="X67" s="13">
        <f>_xll.BDH("AMZN US Equity","BS_ADD_PAID_IN_CAP","FQ2 2014","FQ2 2014","Currency=USD","Period=FQ","BEST_FPERIOD_OVERRIDE=FQ","FILING_STATUS=MR","SCALING_FORMAT=MLN","Sort=A","Dates=H","DateFormat=P","Fill=—","Direction=H","UseDPDF=Y")</f>
        <v>10405</v>
      </c>
      <c r="Y67" s="13">
        <f>_xll.BDH("AMZN US Equity","BS_ADD_PAID_IN_CAP","FQ3 2014","FQ3 2014","Currency=USD","Period=FQ","BEST_FPERIOD_OVERRIDE=FQ","FILING_STATUS=MR","SCALING_FORMAT=MLN","Sort=A","Dates=H","DateFormat=P","Fill=—","Direction=H","UseDPDF=Y")</f>
        <v>10827</v>
      </c>
      <c r="Z67" s="13">
        <f>_xll.BDH("AMZN US Equity","BS_ADD_PAID_IN_CAP","FQ4 2014","FQ4 2014","Currency=USD","Period=FQ","BEST_FPERIOD_OVERRIDE=FQ","FILING_STATUS=MR","SCALING_FORMAT=MLN","Sort=A","Dates=H","DateFormat=P","Fill=—","Direction=H","UseDPDF=Y")</f>
        <v>11135</v>
      </c>
      <c r="AA67" s="13">
        <f>_xll.BDH("AMZN US Equity","BS_ADD_PAID_IN_CAP","FQ1 2015","FQ1 2015","Currency=USD","Period=FQ","BEST_FPERIOD_OVERRIDE=FQ","FILING_STATUS=MR","SCALING_FORMAT=MLN","Sort=A","Dates=H","DateFormat=P","Fill=—","Direction=H","UseDPDF=Y")</f>
        <v>11565</v>
      </c>
      <c r="AB67" s="13">
        <f>_xll.BDH("AMZN US Equity","BS_ADD_PAID_IN_CAP","FQ2 2015","FQ2 2015","Currency=USD","Period=FQ","BEST_FPERIOD_OVERRIDE=FQ","FILING_STATUS=MR","SCALING_FORMAT=MLN","Sort=A","Dates=H","DateFormat=P","Fill=—","Direction=H","UseDPDF=Y")</f>
        <v>12233</v>
      </c>
      <c r="AC67" s="13">
        <f>_xll.BDH("AMZN US Equity","BS_ADD_PAID_IN_CAP","FQ3 2015","FQ3 2015","Currency=USD","Period=FQ","BEST_FPERIOD_OVERRIDE=FQ","FILING_STATUS=MR","SCALING_FORMAT=MLN","Sort=A","Dates=H","DateFormat=P","Fill=—","Direction=H","UseDPDF=Y")</f>
        <v>12874</v>
      </c>
      <c r="AD67" s="13">
        <f>_xll.BDH("AMZN US Equity","BS_ADD_PAID_IN_CAP","FQ4 2015","FQ4 2015","Currency=USD","Period=FQ","BEST_FPERIOD_OVERRIDE=FQ","FILING_STATUS=MR","SCALING_FORMAT=MLN","Sort=A","Dates=H","DateFormat=P","Fill=—","Direction=H","UseDPDF=Y")</f>
        <v>13394</v>
      </c>
      <c r="AE67" s="13">
        <f>_xll.BDH("AMZN US Equity","BS_ADD_PAID_IN_CAP","FQ1 2016","FQ1 2016","Currency=USD","Period=FQ","BEST_FPERIOD_OVERRIDE=FQ","FILING_STATUS=MR","SCALING_FORMAT=MLN","Sort=A","Dates=H","DateFormat=P","Fill=—","Direction=H","UseDPDF=Y")</f>
        <v>14144</v>
      </c>
      <c r="AF67" s="13">
        <f>_xll.BDH("AMZN US Equity","BS_ADD_PAID_IN_CAP","FQ2 2016","FQ2 2016","Currency=USD","Period=FQ","BEST_FPERIOD_OVERRIDE=FQ","FILING_STATUS=MR","SCALING_FORMAT=MLN","Sort=A","Dates=H","DateFormat=P","Fill=—","Direction=H","UseDPDF=Y")</f>
        <v>15026</v>
      </c>
      <c r="AG67" s="13">
        <f>_xll.BDH("AMZN US Equity","BS_ADD_PAID_IN_CAP","FQ3 2016","FQ3 2016","Currency=USD","Period=FQ","BEST_FPERIOD_OVERRIDE=FQ","FILING_STATUS=MR","SCALING_FORMAT=MLN","Sort=A","Dates=H","DateFormat=P","Fill=—","Direction=H","UseDPDF=Y")</f>
        <v>15968</v>
      </c>
      <c r="AH67" s="13">
        <f>_xll.BDH("AMZN US Equity","BS_ADD_PAID_IN_CAP","FQ4 2016","FQ4 2016","Currency=USD","Period=FQ","BEST_FPERIOD_OVERRIDE=FQ","FILING_STATUS=MR","SCALING_FORMAT=MLN","Sort=A","Dates=H","DateFormat=P","Fill=—","Direction=H","UseDPDF=Y")</f>
        <v>17186</v>
      </c>
      <c r="AI67" s="13">
        <f>_xll.BDH("AMZN US Equity","BS_ADD_PAID_IN_CAP","FQ1 2017","FQ1 2017","Currency=USD","Period=FQ","BEST_FPERIOD_OVERRIDE=FQ","FILING_STATUS=MR","SCALING_FORMAT=MLN","Sort=A","Dates=H","DateFormat=P","Fill=—","Direction=H","UseDPDF=Y")</f>
        <v>17976</v>
      </c>
      <c r="AJ67" s="13">
        <f>_xll.BDH("AMZN US Equity","BS_ADD_PAID_IN_CAP","FQ2 2017","FQ2 2017","Currency=USD","Period=FQ","BEST_FPERIOD_OVERRIDE=FQ","FILING_STATUS=MR","SCALING_FORMAT=MLN","Sort=A","Dates=H","DateFormat=P","Fill=—","Direction=H","UseDPDF=Y")</f>
        <v>19129</v>
      </c>
      <c r="AK67" s="13">
        <f>_xll.BDH("AMZN US Equity","BS_ADD_PAID_IN_CAP","FQ3 2017","FQ3 2017","Currency=USD","Period=FQ","BEST_FPERIOD_OVERRIDE=FQ","FILING_STATUS=MR","SCALING_FORMAT=MLN","Sort=A","Dates=H","DateFormat=P","Fill=—","Direction=H","UseDPDF=Y")</f>
        <v>20212</v>
      </c>
      <c r="AL67" s="13">
        <f>_xll.BDH("AMZN US Equity","BS_ADD_PAID_IN_CAP","FQ4 2017","FQ4 2017","Currency=USD","Period=FQ","BEST_FPERIOD_OVERRIDE=FQ","FILING_STATUS=MR","SCALING_FORMAT=MLN","Sort=A","Dates=H","DateFormat=P","Fill=—","Direction=H","UseDPDF=Y")</f>
        <v>21389</v>
      </c>
      <c r="AM67" s="13">
        <f>_xll.BDH("AMZN US Equity","BS_ADD_PAID_IN_CAP","FQ1 2018","FQ1 2018","Currency=USD","Period=FQ","BEST_FPERIOD_OVERRIDE=FQ","FILING_STATUS=MR","SCALING_FORMAT=MLN","Sort=A","Dates=H","DateFormat=P","Fill=—","Direction=H","UseDPDF=Y")</f>
        <v>22563</v>
      </c>
      <c r="AN67" s="13">
        <f>_xll.BDH("AMZN US Equity","BS_ADD_PAID_IN_CAP","FQ2 2018","FQ2 2018","Currency=USD","Period=FQ","BEST_FPERIOD_OVERRIDE=FQ","FILING_STATUS=MR","SCALING_FORMAT=MLN","Sort=A","Dates=H","DateFormat=P","Fill=—","Direction=H","UseDPDF=Y")</f>
        <v>24028</v>
      </c>
    </row>
    <row r="68" spans="1:40" x14ac:dyDescent="0.25">
      <c r="A68" s="10" t="s">
        <v>324</v>
      </c>
      <c r="B68" s="10" t="s">
        <v>325</v>
      </c>
      <c r="C68" s="13">
        <f>_xll.BDH("AMZN US Equity","BS_AMT_OF_TSY_STOCK","FQ1 2009","FQ1 2009","Currency=USD","Period=FQ","BEST_FPERIOD_OVERRIDE=FQ","FILING_STATUS=MR","SCALING_FORMAT=MLN","Sort=A","Dates=H","DateFormat=P","Fill=—","Direction=H","UseDPDF=Y")</f>
        <v>600</v>
      </c>
      <c r="D68" s="13">
        <f>_xll.BDH("AMZN US Equity","BS_AMT_OF_TSY_STOCK","FQ2 2009","FQ2 2009","Currency=USD","Period=FQ","BEST_FPERIOD_OVERRIDE=FQ","FILING_STATUS=MR","SCALING_FORMAT=MLN","Sort=A","Dates=H","DateFormat=P","Fill=—","Direction=H","UseDPDF=Y")</f>
        <v>600</v>
      </c>
      <c r="E68" s="13">
        <f>_xll.BDH("AMZN US Equity","BS_AMT_OF_TSY_STOCK","FQ3 2009","FQ3 2009","Currency=USD","Period=FQ","BEST_FPERIOD_OVERRIDE=FQ","FILING_STATUS=MR","SCALING_FORMAT=MLN","Sort=A","Dates=H","DateFormat=P","Fill=—","Direction=H","UseDPDF=Y")</f>
        <v>600</v>
      </c>
      <c r="F68" s="13">
        <f>_xll.BDH("AMZN US Equity","BS_AMT_OF_TSY_STOCK","FQ4 2009","FQ4 2009","Currency=USD","Period=FQ","BEST_FPERIOD_OVERRIDE=FQ","FILING_STATUS=MR","SCALING_FORMAT=MLN","Sort=A","Dates=H","DateFormat=P","Fill=—","Direction=H","UseDPDF=Y")</f>
        <v>600</v>
      </c>
      <c r="G68" s="13">
        <f>_xll.BDH("AMZN US Equity","BS_AMT_OF_TSY_STOCK","FQ1 2010","FQ1 2010","Currency=USD","Period=FQ","BEST_FPERIOD_OVERRIDE=FQ","FILING_STATUS=MR","SCALING_FORMAT=MLN","Sort=A","Dates=H","DateFormat=P","Fill=—","Direction=H","UseDPDF=Y")</f>
        <v>600</v>
      </c>
      <c r="H68" s="13">
        <f>_xll.BDH("AMZN US Equity","BS_AMT_OF_TSY_STOCK","FQ2 2010","FQ2 2010","Currency=USD","Period=FQ","BEST_FPERIOD_OVERRIDE=FQ","FILING_STATUS=MR","SCALING_FORMAT=MLN","Sort=A","Dates=H","DateFormat=P","Fill=—","Direction=H","UseDPDF=Y")</f>
        <v>600</v>
      </c>
      <c r="I68" s="13">
        <f>_xll.BDH("AMZN US Equity","BS_AMT_OF_TSY_STOCK","FQ3 2010","FQ3 2010","Currency=USD","Period=FQ","BEST_FPERIOD_OVERRIDE=FQ","FILING_STATUS=MR","SCALING_FORMAT=MLN","Sort=A","Dates=H","DateFormat=P","Fill=—","Direction=H","UseDPDF=Y")</f>
        <v>600</v>
      </c>
      <c r="J68" s="13">
        <f>_xll.BDH("AMZN US Equity","BS_AMT_OF_TSY_STOCK","FQ4 2010","FQ4 2010","Currency=USD","Period=FQ","BEST_FPERIOD_OVERRIDE=FQ","FILING_STATUS=MR","SCALING_FORMAT=MLN","Sort=A","Dates=H","DateFormat=P","Fill=—","Direction=H","UseDPDF=Y")</f>
        <v>600</v>
      </c>
      <c r="K68" s="13">
        <f>_xll.BDH("AMZN US Equity","BS_AMT_OF_TSY_STOCK","FQ1 2011","FQ1 2011","Currency=USD","Period=FQ","BEST_FPERIOD_OVERRIDE=FQ","FILING_STATUS=MR","SCALING_FORMAT=MLN","Sort=A","Dates=H","DateFormat=P","Fill=—","Direction=H","UseDPDF=Y")</f>
        <v>600</v>
      </c>
      <c r="L68" s="13">
        <f>_xll.BDH("AMZN US Equity","BS_AMT_OF_TSY_STOCK","FQ2 2011","FQ2 2011","Currency=USD","Period=FQ","BEST_FPERIOD_OVERRIDE=FQ","FILING_STATUS=MR","SCALING_FORMAT=MLN","Sort=A","Dates=H","DateFormat=P","Fill=—","Direction=H","UseDPDF=Y")</f>
        <v>600</v>
      </c>
      <c r="M68" s="13">
        <f>_xll.BDH("AMZN US Equity","BS_AMT_OF_TSY_STOCK","FQ3 2011","FQ3 2011","Currency=USD","Period=FQ","BEST_FPERIOD_OVERRIDE=FQ","FILING_STATUS=MR","SCALING_FORMAT=MLN","Sort=A","Dates=H","DateFormat=P","Fill=—","Direction=H","UseDPDF=Y")</f>
        <v>600</v>
      </c>
      <c r="N68" s="13">
        <f>_xll.BDH("AMZN US Equity","BS_AMT_OF_TSY_STOCK","FQ4 2011","FQ4 2011","Currency=USD","Period=FQ","BEST_FPERIOD_OVERRIDE=FQ","FILING_STATUS=MR","SCALING_FORMAT=MLN","Sort=A","Dates=H","DateFormat=P","Fill=—","Direction=H","UseDPDF=Y")</f>
        <v>877</v>
      </c>
      <c r="O68" s="13">
        <f>_xll.BDH("AMZN US Equity","BS_AMT_OF_TSY_STOCK","FQ1 2012","FQ1 2012","Currency=USD","Period=FQ","BEST_FPERIOD_OVERRIDE=FQ","FILING_STATUS=MR","SCALING_FORMAT=MLN","Sort=A","Dates=H","DateFormat=P","Fill=—","Direction=H","UseDPDF=Y")</f>
        <v>1837</v>
      </c>
      <c r="P68" s="13">
        <f>_xll.BDH("AMZN US Equity","BS_AMT_OF_TSY_STOCK","FQ2 2012","FQ2 2012","Currency=USD","Period=FQ","BEST_FPERIOD_OVERRIDE=FQ","FILING_STATUS=MR","SCALING_FORMAT=MLN","Sort=A","Dates=H","DateFormat=P","Fill=—","Direction=H","UseDPDF=Y")</f>
        <v>1837</v>
      </c>
      <c r="Q68" s="13">
        <f>_xll.BDH("AMZN US Equity","BS_AMT_OF_TSY_STOCK","FQ3 2012","FQ3 2012","Currency=USD","Period=FQ","BEST_FPERIOD_OVERRIDE=FQ","FILING_STATUS=MR","SCALING_FORMAT=MLN","Sort=A","Dates=H","DateFormat=P","Fill=—","Direction=H","UseDPDF=Y")</f>
        <v>1837</v>
      </c>
      <c r="R68" s="13">
        <f>_xll.BDH("AMZN US Equity","BS_AMT_OF_TSY_STOCK","FQ4 2012","FQ4 2012","Currency=USD","Period=FQ","BEST_FPERIOD_OVERRIDE=FQ","FILING_STATUS=MR","SCALING_FORMAT=MLN","Sort=A","Dates=H","DateFormat=P","Fill=—","Direction=H","UseDPDF=Y")</f>
        <v>1837</v>
      </c>
      <c r="S68" s="13">
        <f>_xll.BDH("AMZN US Equity","BS_AMT_OF_TSY_STOCK","FQ1 2013","FQ1 2013","Currency=USD","Period=FQ","BEST_FPERIOD_OVERRIDE=FQ","FILING_STATUS=MR","SCALING_FORMAT=MLN","Sort=A","Dates=H","DateFormat=P","Fill=—","Direction=H","UseDPDF=Y")</f>
        <v>1837</v>
      </c>
      <c r="T68" s="13">
        <f>_xll.BDH("AMZN US Equity","BS_AMT_OF_TSY_STOCK","FQ2 2013","FQ2 2013","Currency=USD","Period=FQ","BEST_FPERIOD_OVERRIDE=FQ","FILING_STATUS=MR","SCALING_FORMAT=MLN","Sort=A","Dates=H","DateFormat=P","Fill=—","Direction=H","UseDPDF=Y")</f>
        <v>1837</v>
      </c>
      <c r="U68" s="13">
        <f>_xll.BDH("AMZN US Equity","BS_AMT_OF_TSY_STOCK","FQ3 2013","FQ3 2013","Currency=USD","Period=FQ","BEST_FPERIOD_OVERRIDE=FQ","FILING_STATUS=MR","SCALING_FORMAT=MLN","Sort=A","Dates=H","DateFormat=P","Fill=—","Direction=H","UseDPDF=Y")</f>
        <v>1837</v>
      </c>
      <c r="V68" s="13">
        <f>_xll.BDH("AMZN US Equity","BS_AMT_OF_TSY_STOCK","FQ4 2013","FQ4 2013","Currency=USD","Period=FQ","BEST_FPERIOD_OVERRIDE=FQ","FILING_STATUS=MR","SCALING_FORMAT=MLN","Sort=A","Dates=H","DateFormat=P","Fill=—","Direction=H","UseDPDF=Y")</f>
        <v>1837</v>
      </c>
      <c r="W68" s="13">
        <f>_xll.BDH("AMZN US Equity","BS_AMT_OF_TSY_STOCK","FQ1 2014","FQ1 2014","Currency=USD","Period=FQ","BEST_FPERIOD_OVERRIDE=FQ","FILING_STATUS=MR","SCALING_FORMAT=MLN","Sort=A","Dates=H","DateFormat=P","Fill=—","Direction=H","UseDPDF=Y")</f>
        <v>1837</v>
      </c>
      <c r="X68" s="13">
        <f>_xll.BDH("AMZN US Equity","BS_AMT_OF_TSY_STOCK","FQ2 2014","FQ2 2014","Currency=USD","Period=FQ","BEST_FPERIOD_OVERRIDE=FQ","FILING_STATUS=MR","SCALING_FORMAT=MLN","Sort=A","Dates=H","DateFormat=P","Fill=—","Direction=H","UseDPDF=Y")</f>
        <v>1837</v>
      </c>
      <c r="Y68" s="13">
        <f>_xll.BDH("AMZN US Equity","BS_AMT_OF_TSY_STOCK","FQ3 2014","FQ3 2014","Currency=USD","Period=FQ","BEST_FPERIOD_OVERRIDE=FQ","FILING_STATUS=MR","SCALING_FORMAT=MLN","Sort=A","Dates=H","DateFormat=P","Fill=—","Direction=H","UseDPDF=Y")</f>
        <v>1837</v>
      </c>
      <c r="Z68" s="13">
        <f>_xll.BDH("AMZN US Equity","BS_AMT_OF_TSY_STOCK","FQ4 2014","FQ4 2014","Currency=USD","Period=FQ","BEST_FPERIOD_OVERRIDE=FQ","FILING_STATUS=MR","SCALING_FORMAT=MLN","Sort=A","Dates=H","DateFormat=P","Fill=—","Direction=H","UseDPDF=Y")</f>
        <v>1837</v>
      </c>
      <c r="AA68" s="13">
        <f>_xll.BDH("AMZN US Equity","BS_AMT_OF_TSY_STOCK","FQ1 2015","FQ1 2015","Currency=USD","Period=FQ","BEST_FPERIOD_OVERRIDE=FQ","FILING_STATUS=MR","SCALING_FORMAT=MLN","Sort=A","Dates=H","DateFormat=P","Fill=—","Direction=H","UseDPDF=Y")</f>
        <v>1837</v>
      </c>
      <c r="AB68" s="13">
        <f>_xll.BDH("AMZN US Equity","BS_AMT_OF_TSY_STOCK","FQ2 2015","FQ2 2015","Currency=USD","Period=FQ","BEST_FPERIOD_OVERRIDE=FQ","FILING_STATUS=MR","SCALING_FORMAT=MLN","Sort=A","Dates=H","DateFormat=P","Fill=—","Direction=H","UseDPDF=Y")</f>
        <v>1837</v>
      </c>
      <c r="AC68" s="13">
        <f>_xll.BDH("AMZN US Equity","BS_AMT_OF_TSY_STOCK","FQ3 2015","FQ3 2015","Currency=USD","Period=FQ","BEST_FPERIOD_OVERRIDE=FQ","FILING_STATUS=MR","SCALING_FORMAT=MLN","Sort=A","Dates=H","DateFormat=P","Fill=—","Direction=H","UseDPDF=Y")</f>
        <v>1837</v>
      </c>
      <c r="AD68" s="13">
        <f>_xll.BDH("AMZN US Equity","BS_AMT_OF_TSY_STOCK","FQ4 2015","FQ4 2015","Currency=USD","Period=FQ","BEST_FPERIOD_OVERRIDE=FQ","FILING_STATUS=MR","SCALING_FORMAT=MLN","Sort=A","Dates=H","DateFormat=P","Fill=—","Direction=H","UseDPDF=Y")</f>
        <v>1837</v>
      </c>
      <c r="AE68" s="13">
        <f>_xll.BDH("AMZN US Equity","BS_AMT_OF_TSY_STOCK","FQ1 2016","FQ1 2016","Currency=USD","Period=FQ","BEST_FPERIOD_OVERRIDE=FQ","FILING_STATUS=MR","SCALING_FORMAT=MLN","Sort=A","Dates=H","DateFormat=P","Fill=—","Direction=H","UseDPDF=Y")</f>
        <v>1837</v>
      </c>
      <c r="AF68" s="13">
        <f>_xll.BDH("AMZN US Equity","BS_AMT_OF_TSY_STOCK","FQ2 2016","FQ2 2016","Currency=USD","Period=FQ","BEST_FPERIOD_OVERRIDE=FQ","FILING_STATUS=MR","SCALING_FORMAT=MLN","Sort=A","Dates=H","DateFormat=P","Fill=—","Direction=H","UseDPDF=Y")</f>
        <v>1837</v>
      </c>
      <c r="AG68" s="13">
        <f>_xll.BDH("AMZN US Equity","BS_AMT_OF_TSY_STOCK","FQ3 2016","FQ3 2016","Currency=USD","Period=FQ","BEST_FPERIOD_OVERRIDE=FQ","FILING_STATUS=MR","SCALING_FORMAT=MLN","Sort=A","Dates=H","DateFormat=P","Fill=—","Direction=H","UseDPDF=Y")</f>
        <v>1837</v>
      </c>
      <c r="AH68" s="13">
        <f>_xll.BDH("AMZN US Equity","BS_AMT_OF_TSY_STOCK","FQ4 2016","FQ4 2016","Currency=USD","Period=FQ","BEST_FPERIOD_OVERRIDE=FQ","FILING_STATUS=MR","SCALING_FORMAT=MLN","Sort=A","Dates=H","DateFormat=P","Fill=—","Direction=H","UseDPDF=Y")</f>
        <v>1837</v>
      </c>
      <c r="AI68" s="13">
        <f>_xll.BDH("AMZN US Equity","BS_AMT_OF_TSY_STOCK","FQ1 2017","FQ1 2017","Currency=USD","Period=FQ","BEST_FPERIOD_OVERRIDE=FQ","FILING_STATUS=MR","SCALING_FORMAT=MLN","Sort=A","Dates=H","DateFormat=P","Fill=—","Direction=H","UseDPDF=Y")</f>
        <v>1837</v>
      </c>
      <c r="AJ68" s="13">
        <f>_xll.BDH("AMZN US Equity","BS_AMT_OF_TSY_STOCK","FQ2 2017","FQ2 2017","Currency=USD","Period=FQ","BEST_FPERIOD_OVERRIDE=FQ","FILING_STATUS=MR","SCALING_FORMAT=MLN","Sort=A","Dates=H","DateFormat=P","Fill=—","Direction=H","UseDPDF=Y")</f>
        <v>1837</v>
      </c>
      <c r="AK68" s="13">
        <f>_xll.BDH("AMZN US Equity","BS_AMT_OF_TSY_STOCK","FQ3 2017","FQ3 2017","Currency=USD","Period=FQ","BEST_FPERIOD_OVERRIDE=FQ","FILING_STATUS=MR","SCALING_FORMAT=MLN","Sort=A","Dates=H","DateFormat=P","Fill=—","Direction=H","UseDPDF=Y")</f>
        <v>1837</v>
      </c>
      <c r="AL68" s="13">
        <f>_xll.BDH("AMZN US Equity","BS_AMT_OF_TSY_STOCK","FQ4 2017","FQ4 2017","Currency=USD","Period=FQ","BEST_FPERIOD_OVERRIDE=FQ","FILING_STATUS=MR","SCALING_FORMAT=MLN","Sort=A","Dates=H","DateFormat=P","Fill=—","Direction=H","UseDPDF=Y")</f>
        <v>1837</v>
      </c>
      <c r="AM68" s="13">
        <f>_xll.BDH("AMZN US Equity","BS_AMT_OF_TSY_STOCK","FQ1 2018","FQ1 2018","Currency=USD","Period=FQ","BEST_FPERIOD_OVERRIDE=FQ","FILING_STATUS=MR","SCALING_FORMAT=MLN","Sort=A","Dates=H","DateFormat=P","Fill=—","Direction=H","UseDPDF=Y")</f>
        <v>1837</v>
      </c>
      <c r="AN68" s="13">
        <f>_xll.BDH("AMZN US Equity","BS_AMT_OF_TSY_STOCK","FQ2 2018","FQ2 2018","Currency=USD","Period=FQ","BEST_FPERIOD_OVERRIDE=FQ","FILING_STATUS=MR","SCALING_FORMAT=MLN","Sort=A","Dates=H","DateFormat=P","Fill=—","Direction=H","UseDPDF=Y")</f>
        <v>1837</v>
      </c>
    </row>
    <row r="69" spans="1:40" x14ac:dyDescent="0.25">
      <c r="A69" s="10" t="s">
        <v>326</v>
      </c>
      <c r="B69" s="10" t="s">
        <v>327</v>
      </c>
      <c r="C69" s="13">
        <f>_xll.BDH("AMZN US Equity","BS_PURE_RETAINED_EARNINGS","FQ1 2009","FQ1 2009","Currency=USD","Period=FQ","BEST_FPERIOD_OVERRIDE=FQ","FILING_STATUS=MR","SCALING_FORMAT=MLN","Sort=A","Dates=H","DateFormat=P","Fill=—","Direction=H","UseDPDF=Y")</f>
        <v>-553</v>
      </c>
      <c r="D69" s="13">
        <f>_xll.BDH("AMZN US Equity","BS_PURE_RETAINED_EARNINGS","FQ2 2009","FQ2 2009","Currency=USD","Period=FQ","BEST_FPERIOD_OVERRIDE=FQ","FILING_STATUS=MR","SCALING_FORMAT=MLN","Sort=A","Dates=H","DateFormat=P","Fill=—","Direction=H","UseDPDF=Y")</f>
        <v>-411</v>
      </c>
      <c r="E69" s="13">
        <f>_xll.BDH("AMZN US Equity","BS_PURE_RETAINED_EARNINGS","FQ3 2009","FQ3 2009","Currency=USD","Period=FQ","BEST_FPERIOD_OVERRIDE=FQ","FILING_STATUS=MR","SCALING_FORMAT=MLN","Sort=A","Dates=H","DateFormat=P","Fill=—","Direction=H","UseDPDF=Y")</f>
        <v>-212</v>
      </c>
      <c r="F69" s="13">
        <f>_xll.BDH("AMZN US Equity","BS_PURE_RETAINED_EARNINGS","FQ4 2009","FQ4 2009","Currency=USD","Period=FQ","BEST_FPERIOD_OVERRIDE=FQ","FILING_STATUS=MR","SCALING_FORMAT=MLN","Sort=A","Dates=H","DateFormat=P","Fill=—","Direction=H","UseDPDF=Y")</f>
        <v>172</v>
      </c>
      <c r="G69" s="13">
        <f>_xll.BDH("AMZN US Equity","BS_PURE_RETAINED_EARNINGS","FQ1 2010","FQ1 2010","Currency=USD","Period=FQ","BEST_FPERIOD_OVERRIDE=FQ","FILING_STATUS=MR","SCALING_FORMAT=MLN","Sort=A","Dates=H","DateFormat=P","Fill=—","Direction=H","UseDPDF=Y")</f>
        <v>471</v>
      </c>
      <c r="H69" s="13">
        <f>_xll.BDH("AMZN US Equity","BS_PURE_RETAINED_EARNINGS","FQ2 2010","FQ2 2010","Currency=USD","Period=FQ","BEST_FPERIOD_OVERRIDE=FQ","FILING_STATUS=MR","SCALING_FORMAT=MLN","Sort=A","Dates=H","DateFormat=P","Fill=—","Direction=H","UseDPDF=Y")</f>
        <v>678</v>
      </c>
      <c r="I69" s="13">
        <f>_xll.BDH("AMZN US Equity","BS_PURE_RETAINED_EARNINGS","FQ3 2010","FQ3 2010","Currency=USD","Period=FQ","BEST_FPERIOD_OVERRIDE=FQ","FILING_STATUS=MR","SCALING_FORMAT=MLN","Sort=A","Dates=H","DateFormat=P","Fill=—","Direction=H","UseDPDF=Y")</f>
        <v>908</v>
      </c>
      <c r="J69" s="13">
        <f>_xll.BDH("AMZN US Equity","BS_PURE_RETAINED_EARNINGS","FQ4 2010","FQ4 2010","Currency=USD","Period=FQ","BEST_FPERIOD_OVERRIDE=FQ","FILING_STATUS=MR","SCALING_FORMAT=MLN","Sort=A","Dates=H","DateFormat=P","Fill=—","Direction=H","UseDPDF=Y")</f>
        <v>1324</v>
      </c>
      <c r="K69" s="13">
        <f>_xll.BDH("AMZN US Equity","BS_PURE_RETAINED_EARNINGS","FQ1 2011","FQ1 2011","Currency=USD","Period=FQ","BEST_FPERIOD_OVERRIDE=FQ","FILING_STATUS=MR","SCALING_FORMAT=MLN","Sort=A","Dates=H","DateFormat=P","Fill=—","Direction=H","UseDPDF=Y")</f>
        <v>1525</v>
      </c>
      <c r="L69" s="13">
        <f>_xll.BDH("AMZN US Equity","BS_PURE_RETAINED_EARNINGS","FQ2 2011","FQ2 2011","Currency=USD","Period=FQ","BEST_FPERIOD_OVERRIDE=FQ","FILING_STATUS=MR","SCALING_FORMAT=MLN","Sort=A","Dates=H","DateFormat=P","Fill=—","Direction=H","UseDPDF=Y")</f>
        <v>1715</v>
      </c>
      <c r="M69" s="13">
        <f>_xll.BDH("AMZN US Equity","BS_PURE_RETAINED_EARNINGS","FQ3 2011","FQ3 2011","Currency=USD","Period=FQ","BEST_FPERIOD_OVERRIDE=FQ","FILING_STATUS=MR","SCALING_FORMAT=MLN","Sort=A","Dates=H","DateFormat=P","Fill=—","Direction=H","UseDPDF=Y")</f>
        <v>1778</v>
      </c>
      <c r="N69" s="13">
        <f>_xll.BDH("AMZN US Equity","BS_PURE_RETAINED_EARNINGS","FQ4 2011","FQ4 2011","Currency=USD","Period=FQ","BEST_FPERIOD_OVERRIDE=FQ","FILING_STATUS=MR","SCALING_FORMAT=MLN","Sort=A","Dates=H","DateFormat=P","Fill=—","Direction=H","UseDPDF=Y")</f>
        <v>1955</v>
      </c>
      <c r="O69" s="13">
        <f>_xll.BDH("AMZN US Equity","BS_PURE_RETAINED_EARNINGS","FQ1 2012","FQ1 2012","Currency=USD","Period=FQ","BEST_FPERIOD_OVERRIDE=FQ","FILING_STATUS=MR","SCALING_FORMAT=MLN","Sort=A","Dates=H","DateFormat=P","Fill=—","Direction=H","UseDPDF=Y")</f>
        <v>2085</v>
      </c>
      <c r="P69" s="13">
        <f>_xll.BDH("AMZN US Equity","BS_PURE_RETAINED_EARNINGS","FQ2 2012","FQ2 2012","Currency=USD","Period=FQ","BEST_FPERIOD_OVERRIDE=FQ","FILING_STATUS=MR","SCALING_FORMAT=MLN","Sort=A","Dates=H","DateFormat=P","Fill=—","Direction=H","UseDPDF=Y")</f>
        <v>2092</v>
      </c>
      <c r="Q69" s="13">
        <f>_xll.BDH("AMZN US Equity","BS_PURE_RETAINED_EARNINGS","FQ3 2012","FQ3 2012","Currency=USD","Period=FQ","BEST_FPERIOD_OVERRIDE=FQ","FILING_STATUS=MR","SCALING_FORMAT=MLN","Sort=A","Dates=H","DateFormat=P","Fill=—","Direction=H","UseDPDF=Y")</f>
        <v>1818</v>
      </c>
      <c r="R69" s="13">
        <f>_xll.BDH("AMZN US Equity","BS_PURE_RETAINED_EARNINGS","FQ4 2012","FQ4 2012","Currency=USD","Period=FQ","BEST_FPERIOD_OVERRIDE=FQ","FILING_STATUS=MR","SCALING_FORMAT=MLN","Sort=A","Dates=H","DateFormat=P","Fill=—","Direction=H","UseDPDF=Y")</f>
        <v>1916</v>
      </c>
      <c r="S69" s="13">
        <f>_xll.BDH("AMZN US Equity","BS_PURE_RETAINED_EARNINGS","FQ1 2013","FQ1 2013","Currency=USD","Period=FQ","BEST_FPERIOD_OVERRIDE=FQ","FILING_STATUS=MR","SCALING_FORMAT=MLN","Sort=A","Dates=H","DateFormat=P","Fill=—","Direction=H","UseDPDF=Y")</f>
        <v>1998</v>
      </c>
      <c r="T69" s="13">
        <f>_xll.BDH("AMZN US Equity","BS_PURE_RETAINED_EARNINGS","FQ2 2013","FQ2 2013","Currency=USD","Period=FQ","BEST_FPERIOD_OVERRIDE=FQ","FILING_STATUS=MR","SCALING_FORMAT=MLN","Sort=A","Dates=H","DateFormat=P","Fill=—","Direction=H","UseDPDF=Y")</f>
        <v>1991</v>
      </c>
      <c r="U69" s="13">
        <f>_xll.BDH("AMZN US Equity","BS_PURE_RETAINED_EARNINGS","FQ3 2013","FQ3 2013","Currency=USD","Period=FQ","BEST_FPERIOD_OVERRIDE=FQ","FILING_STATUS=MR","SCALING_FORMAT=MLN","Sort=A","Dates=H","DateFormat=P","Fill=—","Direction=H","UseDPDF=Y")</f>
        <v>1950</v>
      </c>
      <c r="V69" s="13">
        <f>_xll.BDH("AMZN US Equity","BS_PURE_RETAINED_EARNINGS","FQ4 2013","FQ4 2013","Currency=USD","Period=FQ","BEST_FPERIOD_OVERRIDE=FQ","FILING_STATUS=MR","SCALING_FORMAT=MLN","Sort=A","Dates=H","DateFormat=P","Fill=—","Direction=H","UseDPDF=Y")</f>
        <v>2190</v>
      </c>
      <c r="W69" s="13">
        <f>_xll.BDH("AMZN US Equity","BS_PURE_RETAINED_EARNINGS","FQ1 2014","FQ1 2014","Currency=USD","Period=FQ","BEST_FPERIOD_OVERRIDE=FQ","FILING_STATUS=MR","SCALING_FORMAT=MLN","Sort=A","Dates=H","DateFormat=P","Fill=—","Direction=H","UseDPDF=Y")</f>
        <v>2298</v>
      </c>
      <c r="X69" s="13">
        <f>_xll.BDH("AMZN US Equity","BS_PURE_RETAINED_EARNINGS","FQ2 2014","FQ2 2014","Currency=USD","Period=FQ","BEST_FPERIOD_OVERRIDE=FQ","FILING_STATUS=MR","SCALING_FORMAT=MLN","Sort=A","Dates=H","DateFormat=P","Fill=—","Direction=H","UseDPDF=Y")</f>
        <v>2172</v>
      </c>
      <c r="Y69" s="13">
        <f>_xll.BDH("AMZN US Equity","BS_PURE_RETAINED_EARNINGS","FQ3 2014","FQ3 2014","Currency=USD","Period=FQ","BEST_FPERIOD_OVERRIDE=FQ","FILING_STATUS=MR","SCALING_FORMAT=MLN","Sort=A","Dates=H","DateFormat=P","Fill=—","Direction=H","UseDPDF=Y")</f>
        <v>1735</v>
      </c>
      <c r="Z69" s="13">
        <f>_xll.BDH("AMZN US Equity","BS_PURE_RETAINED_EARNINGS","FQ4 2014","FQ4 2014","Currency=USD","Period=FQ","BEST_FPERIOD_OVERRIDE=FQ","FILING_STATUS=MR","SCALING_FORMAT=MLN","Sort=A","Dates=H","DateFormat=P","Fill=—","Direction=H","UseDPDF=Y")</f>
        <v>1949</v>
      </c>
      <c r="AA69" s="13">
        <f>_xll.BDH("AMZN US Equity","BS_PURE_RETAINED_EARNINGS","FQ1 2015","FQ1 2015","Currency=USD","Period=FQ","BEST_FPERIOD_OVERRIDE=FQ","FILING_STATUS=MR","SCALING_FORMAT=MLN","Sort=A","Dates=H","DateFormat=P","Fill=—","Direction=H","UseDPDF=Y")</f>
        <v>1892</v>
      </c>
      <c r="AB69" s="13">
        <f>_xll.BDH("AMZN US Equity","BS_PURE_RETAINED_EARNINGS","FQ2 2015","FQ2 2015","Currency=USD","Period=FQ","BEST_FPERIOD_OVERRIDE=FQ","FILING_STATUS=MR","SCALING_FORMAT=MLN","Sort=A","Dates=H","DateFormat=P","Fill=—","Direction=H","UseDPDF=Y")</f>
        <v>1984</v>
      </c>
      <c r="AC69" s="13">
        <f>_xll.BDH("AMZN US Equity","BS_PURE_RETAINED_EARNINGS","FQ3 2015","FQ3 2015","Currency=USD","Period=FQ","BEST_FPERIOD_OVERRIDE=FQ","FILING_STATUS=MR","SCALING_FORMAT=MLN","Sort=A","Dates=H","DateFormat=P","Fill=—","Direction=H","UseDPDF=Y")</f>
        <v>2063</v>
      </c>
      <c r="AD69" s="13">
        <f>_xll.BDH("AMZN US Equity","BS_PURE_RETAINED_EARNINGS","FQ4 2015","FQ4 2015","Currency=USD","Period=FQ","BEST_FPERIOD_OVERRIDE=FQ","FILING_STATUS=MR","SCALING_FORMAT=MLN","Sort=A","Dates=H","DateFormat=P","Fill=—","Direction=H","UseDPDF=Y")</f>
        <v>2545</v>
      </c>
      <c r="AE69" s="13">
        <f>_xll.BDH("AMZN US Equity","BS_PURE_RETAINED_EARNINGS","FQ1 2016","FQ1 2016","Currency=USD","Period=FQ","BEST_FPERIOD_OVERRIDE=FQ","FILING_STATUS=MR","SCALING_FORMAT=MLN","Sort=A","Dates=H","DateFormat=P","Fill=—","Direction=H","UseDPDF=Y")</f>
        <v>3058</v>
      </c>
      <c r="AF69" s="13">
        <f>_xll.BDH("AMZN US Equity","BS_PURE_RETAINED_EARNINGS","FQ2 2016","FQ2 2016","Currency=USD","Period=FQ","BEST_FPERIOD_OVERRIDE=FQ","FILING_STATUS=MR","SCALING_FORMAT=MLN","Sort=A","Dates=H","DateFormat=P","Fill=—","Direction=H","UseDPDF=Y")</f>
        <v>3915</v>
      </c>
      <c r="AG69" s="13">
        <f>_xll.BDH("AMZN US Equity","BS_PURE_RETAINED_EARNINGS","FQ3 2016","FQ3 2016","Currency=USD","Period=FQ","BEST_FPERIOD_OVERRIDE=FQ","FILING_STATUS=MR","SCALING_FORMAT=MLN","Sort=A","Dates=H","DateFormat=P","Fill=—","Direction=H","UseDPDF=Y")</f>
        <v>4167</v>
      </c>
      <c r="AH69" s="13">
        <f>_xll.BDH("AMZN US Equity","BS_PURE_RETAINED_EARNINGS","FQ4 2016","FQ4 2016","Currency=USD","Period=FQ","BEST_FPERIOD_OVERRIDE=FQ","FILING_STATUS=MR","SCALING_FORMAT=MLN","Sort=A","Dates=H","DateFormat=P","Fill=—","Direction=H","UseDPDF=Y")</f>
        <v>4916</v>
      </c>
      <c r="AI69" s="13">
        <f>_xll.BDH("AMZN US Equity","BS_PURE_RETAINED_EARNINGS","FQ1 2017","FQ1 2017","Currency=USD","Period=FQ","BEST_FPERIOD_OVERRIDE=FQ","FILING_STATUS=MR","SCALING_FORMAT=MLN","Sort=A","Dates=H","DateFormat=P","Fill=—","Direction=H","UseDPDF=Y")</f>
        <v>6327</v>
      </c>
      <c r="AJ69" s="13">
        <f>_xll.BDH("AMZN US Equity","BS_PURE_RETAINED_EARNINGS","FQ2 2017","FQ2 2017","Currency=USD","Period=FQ","BEST_FPERIOD_OVERRIDE=FQ","FILING_STATUS=MR","SCALING_FORMAT=MLN","Sort=A","Dates=H","DateFormat=P","Fill=—","Direction=H","UseDPDF=Y")</f>
        <v>6524</v>
      </c>
      <c r="AK69" s="13">
        <f>_xll.BDH("AMZN US Equity","BS_PURE_RETAINED_EARNINGS","FQ3 2017","FQ3 2017","Currency=USD","Period=FQ","BEST_FPERIOD_OVERRIDE=FQ","FILING_STATUS=MR","SCALING_FORMAT=MLN","Sort=A","Dates=H","DateFormat=P","Fill=—","Direction=H","UseDPDF=Y")</f>
        <v>6779</v>
      </c>
      <c r="AL69" s="13">
        <f>_xll.BDH("AMZN US Equity","BS_PURE_RETAINED_EARNINGS","FQ4 2017","FQ4 2017","Currency=USD","Period=FQ","BEST_FPERIOD_OVERRIDE=FQ","FILING_STATUS=MR","SCALING_FORMAT=MLN","Sort=A","Dates=H","DateFormat=P","Fill=—","Direction=H","UseDPDF=Y")</f>
        <v>8636</v>
      </c>
      <c r="AM69" s="13">
        <f>_xll.BDH("AMZN US Equity","BS_PURE_RETAINED_EARNINGS","FQ1 2018","FQ1 2018","Currency=USD","Period=FQ","BEST_FPERIOD_OVERRIDE=FQ","FILING_STATUS=MR","SCALING_FORMAT=MLN","Sort=A","Dates=H","DateFormat=P","Fill=—","Direction=H","UseDPDF=Y")</f>
        <v>11199</v>
      </c>
      <c r="AN69" s="13">
        <f>_xll.BDH("AMZN US Equity","BS_PURE_RETAINED_EARNINGS","FQ2 2018","FQ2 2018","Currency=USD","Period=FQ","BEST_FPERIOD_OVERRIDE=FQ","FILING_STATUS=MR","SCALING_FORMAT=MLN","Sort=A","Dates=H","DateFormat=P","Fill=—","Direction=H","UseDPDF=Y")</f>
        <v>13733</v>
      </c>
    </row>
    <row r="70" spans="1:40" x14ac:dyDescent="0.25">
      <c r="A70" s="10" t="s">
        <v>328</v>
      </c>
      <c r="B70" s="10" t="s">
        <v>329</v>
      </c>
      <c r="C70" s="14">
        <f>_xll.BDH("AMZN US Equity","OTHER_INS_RES_TO_SHRHLDR_EQY","FQ1 2009","FQ1 2009","Currency=USD","Period=FQ","BEST_FPERIOD_OVERRIDE=FQ","FILING_STATUS=MR","Sort=A","Dates=H","DateFormat=P","Fill=—","Direction=H","UseDPDF=Y")</f>
        <v>-143</v>
      </c>
      <c r="D70" s="14">
        <f>_xll.BDH("AMZN US Equity","OTHER_INS_RES_TO_SHRHLDR_EQY","FQ2 2009","FQ2 2009","Currency=USD","Period=FQ","BEST_FPERIOD_OVERRIDE=FQ","FILING_STATUS=MR","Sort=A","Dates=H","DateFormat=P","Fill=—","Direction=H","UseDPDF=Y")</f>
        <v>-58</v>
      </c>
      <c r="E70" s="14">
        <f>_xll.BDH("AMZN US Equity","OTHER_INS_RES_TO_SHRHLDR_EQY","FQ3 2009","FQ3 2009","Currency=USD","Period=FQ","BEST_FPERIOD_OVERRIDE=FQ","FILING_STATUS=MR","Sort=A","Dates=H","DateFormat=P","Fill=—","Direction=H","UseDPDF=Y")</f>
        <v>-35</v>
      </c>
      <c r="F70" s="14">
        <f>_xll.BDH("AMZN US Equity","OTHER_INS_RES_TO_SHRHLDR_EQY","FQ4 2009","FQ4 2009","Currency=USD","Period=FQ","BEST_FPERIOD_OVERRIDE=FQ","FILING_STATUS=MR","Sort=A","Dates=H","DateFormat=P","Fill=—","Direction=H","UseDPDF=Y")</f>
        <v>-56</v>
      </c>
      <c r="G70" s="14">
        <f>_xll.BDH("AMZN US Equity","OTHER_INS_RES_TO_SHRHLDR_EQY","FQ1 2010","FQ1 2010","Currency=USD","Period=FQ","BEST_FPERIOD_OVERRIDE=FQ","FILING_STATUS=MR","Sort=A","Dates=H","DateFormat=P","Fill=—","Direction=H","UseDPDF=Y")</f>
        <v>-145</v>
      </c>
      <c r="H70" s="14">
        <f>_xll.BDH("AMZN US Equity","OTHER_INS_RES_TO_SHRHLDR_EQY","FQ2 2010","FQ2 2010","Currency=USD","Period=FQ","BEST_FPERIOD_OVERRIDE=FQ","FILING_STATUS=MR","Sort=A","Dates=H","DateFormat=P","Fill=—","Direction=H","UseDPDF=Y")</f>
        <v>-282</v>
      </c>
      <c r="I70" s="14">
        <f>_xll.BDH("AMZN US Equity","OTHER_INS_RES_TO_SHRHLDR_EQY","FQ3 2010","FQ3 2010","Currency=USD","Period=FQ","BEST_FPERIOD_OVERRIDE=FQ","FILING_STATUS=MR","Sort=A","Dates=H","DateFormat=P","Fill=—","Direction=H","UseDPDF=Y")</f>
        <v>-131</v>
      </c>
      <c r="J70" s="14">
        <f>_xll.BDH("AMZN US Equity","OTHER_INS_RES_TO_SHRHLDR_EQY","FQ4 2010","FQ4 2010","Currency=USD","Period=FQ","BEST_FPERIOD_OVERRIDE=FQ","FILING_STATUS=MR","Sort=A","Dates=H","DateFormat=P","Fill=—","Direction=H","UseDPDF=Y")</f>
        <v>-190</v>
      </c>
      <c r="K70" s="14">
        <f>_xll.BDH("AMZN US Equity","OTHER_INS_RES_TO_SHRHLDR_EQY","FQ1 2011","FQ1 2011","Currency=USD","Period=FQ","BEST_FPERIOD_OVERRIDE=FQ","FILING_STATUS=MR","Sort=A","Dates=H","DateFormat=P","Fill=—","Direction=H","UseDPDF=Y")</f>
        <v>-66</v>
      </c>
      <c r="L70" s="14">
        <f>_xll.BDH("AMZN US Equity","OTHER_INS_RES_TO_SHRHLDR_EQY","FQ2 2011","FQ2 2011","Currency=USD","Period=FQ","BEST_FPERIOD_OVERRIDE=FQ","FILING_STATUS=MR","Sort=A","Dates=H","DateFormat=P","Fill=—","Direction=H","UseDPDF=Y")</f>
        <v>-30</v>
      </c>
      <c r="M70" s="14">
        <f>_xll.BDH("AMZN US Equity","OTHER_INS_RES_TO_SHRHLDR_EQY","FQ3 2011","FQ3 2011","Currency=USD","Period=FQ","BEST_FPERIOD_OVERRIDE=FQ","FILING_STATUS=MR","Sort=A","Dates=H","DateFormat=P","Fill=—","Direction=H","UseDPDF=Y")</f>
        <v>-241</v>
      </c>
      <c r="N70" s="14">
        <f>_xll.BDH("AMZN US Equity","OTHER_INS_RES_TO_SHRHLDR_EQY","FQ4 2011","FQ4 2011","Currency=USD","Period=FQ","BEST_FPERIOD_OVERRIDE=FQ","FILING_STATUS=MR","Sort=A","Dates=H","DateFormat=P","Fill=—","Direction=H","UseDPDF=Y")</f>
        <v>-316</v>
      </c>
      <c r="O70" s="14">
        <f>_xll.BDH("AMZN US Equity","OTHER_INS_RES_TO_SHRHLDR_EQY","FQ1 2012","FQ1 2012","Currency=USD","Period=FQ","BEST_FPERIOD_OVERRIDE=FQ","FILING_STATUS=MR","Sort=A","Dates=H","DateFormat=P","Fill=—","Direction=H","UseDPDF=Y")</f>
        <v>-174</v>
      </c>
      <c r="P70" s="14">
        <f>_xll.BDH("AMZN US Equity","OTHER_INS_RES_TO_SHRHLDR_EQY","FQ2 2012","FQ2 2012","Currency=USD","Period=FQ","BEST_FPERIOD_OVERRIDE=FQ","FILING_STATUS=MR","Sort=A","Dates=H","DateFormat=P","Fill=—","Direction=H","UseDPDF=Y")</f>
        <v>-328</v>
      </c>
      <c r="Q70" s="14">
        <f>_xll.BDH("AMZN US Equity","OTHER_INS_RES_TO_SHRHLDR_EQY","FQ3 2012","FQ3 2012","Currency=USD","Period=FQ","BEST_FPERIOD_OVERRIDE=FQ","FILING_STATUS=MR","Sort=A","Dates=H","DateFormat=P","Fill=—","Direction=H","UseDPDF=Y")</f>
        <v>-296</v>
      </c>
      <c r="R70" s="14">
        <f>_xll.BDH("AMZN US Equity","OTHER_INS_RES_TO_SHRHLDR_EQY","FQ4 2012","FQ4 2012","Currency=USD","Period=FQ","BEST_FPERIOD_OVERRIDE=FQ","FILING_STATUS=MR","Sort=A","Dates=H","DateFormat=P","Fill=—","Direction=H","UseDPDF=Y")</f>
        <v>-239</v>
      </c>
      <c r="S70" s="14">
        <f>_xll.BDH("AMZN US Equity","OTHER_INS_RES_TO_SHRHLDR_EQY","FQ1 2013","FQ1 2013","Currency=USD","Period=FQ","BEST_FPERIOD_OVERRIDE=FQ","FILING_STATUS=MR","Sort=A","Dates=H","DateFormat=P","Fill=—","Direction=H","UseDPDF=Y")</f>
        <v>-319</v>
      </c>
      <c r="T70" s="14">
        <f>_xll.BDH("AMZN US Equity","OTHER_INS_RES_TO_SHRHLDR_EQY","FQ2 2013","FQ2 2013","Currency=USD","Period=FQ","BEST_FPERIOD_OVERRIDE=FQ","FILING_STATUS=MR","Sort=A","Dates=H","DateFormat=P","Fill=—","Direction=H","UseDPDF=Y")</f>
        <v>-319</v>
      </c>
      <c r="U70" s="14">
        <f>_xll.BDH("AMZN US Equity","OTHER_INS_RES_TO_SHRHLDR_EQY","FQ3 2013","FQ3 2013","Currency=USD","Period=FQ","BEST_FPERIOD_OVERRIDE=FQ","FILING_STATUS=MR","Sort=A","Dates=H","DateFormat=P","Fill=—","Direction=H","UseDPDF=Y")</f>
        <v>-206</v>
      </c>
      <c r="V70" s="14">
        <f>_xll.BDH("AMZN US Equity","OTHER_INS_RES_TO_SHRHLDR_EQY","FQ4 2013","FQ4 2013","Currency=USD","Period=FQ","BEST_FPERIOD_OVERRIDE=FQ","FILING_STATUS=MR","Sort=A","Dates=H","DateFormat=P","Fill=—","Direction=H","UseDPDF=Y")</f>
        <v>-185</v>
      </c>
      <c r="W70" s="14">
        <f>_xll.BDH("AMZN US Equity","OTHER_INS_RES_TO_SHRHLDR_EQY","FQ1 2014","FQ1 2014","Currency=USD","Period=FQ","BEST_FPERIOD_OVERRIDE=FQ","FILING_STATUS=MR","Sort=A","Dates=H","DateFormat=P","Fill=—","Direction=H","UseDPDF=Y")</f>
        <v>-157</v>
      </c>
      <c r="X70" s="14">
        <f>_xll.BDH("AMZN US Equity","OTHER_INS_RES_TO_SHRHLDR_EQY","FQ2 2014","FQ2 2014","Currency=USD","Period=FQ","BEST_FPERIOD_OVERRIDE=FQ","FILING_STATUS=MR","Sort=A","Dates=H","DateFormat=P","Fill=—","Direction=H","UseDPDF=Y")</f>
        <v>-143</v>
      </c>
      <c r="Y70" s="14">
        <f>_xll.BDH("AMZN US Equity","OTHER_INS_RES_TO_SHRHLDR_EQY","FQ3 2014","FQ3 2014","Currency=USD","Period=FQ","BEST_FPERIOD_OVERRIDE=FQ","FILING_STATUS=MR","Sort=A","Dates=H","DateFormat=P","Fill=—","Direction=H","UseDPDF=Y")</f>
        <v>-394</v>
      </c>
      <c r="Z70" s="14">
        <f>_xll.BDH("AMZN US Equity","OTHER_INS_RES_TO_SHRHLDR_EQY","FQ4 2014","FQ4 2014","Currency=USD","Period=FQ","BEST_FPERIOD_OVERRIDE=FQ","FILING_STATUS=MR","Sort=A","Dates=H","DateFormat=P","Fill=—","Direction=H","UseDPDF=Y")</f>
        <v>-511</v>
      </c>
      <c r="AA70" s="14">
        <f>_xll.BDH("AMZN US Equity","OTHER_INS_RES_TO_SHRHLDR_EQY","FQ1 2015","FQ1 2015","Currency=USD","Period=FQ","BEST_FPERIOD_OVERRIDE=FQ","FILING_STATUS=MR","Sort=A","Dates=H","DateFormat=P","Fill=—","Direction=H","UseDPDF=Y")</f>
        <v>-752</v>
      </c>
      <c r="AB70" s="14">
        <f>_xll.BDH("AMZN US Equity","OTHER_INS_RES_TO_SHRHLDR_EQY","FQ2 2015","FQ2 2015","Currency=USD","Period=FQ","BEST_FPERIOD_OVERRIDE=FQ","FILING_STATUS=MR","Sort=A","Dates=H","DateFormat=P","Fill=—","Direction=H","UseDPDF=Y")</f>
        <v>-617</v>
      </c>
      <c r="AC70" s="14">
        <f>_xll.BDH("AMZN US Equity","OTHER_INS_RES_TO_SHRHLDR_EQY","FQ3 2015","FQ3 2015","Currency=USD","Period=FQ","BEST_FPERIOD_OVERRIDE=FQ","FILING_STATUS=MR","Sort=A","Dates=H","DateFormat=P","Fill=—","Direction=H","UseDPDF=Y")</f>
        <v>-675</v>
      </c>
      <c r="AD70" s="14">
        <f>_xll.BDH("AMZN US Equity","OTHER_INS_RES_TO_SHRHLDR_EQY","FQ4 2015","FQ4 2015","Currency=USD","Period=FQ","BEST_FPERIOD_OVERRIDE=FQ","FILING_STATUS=MR","Sort=A","Dates=H","DateFormat=P","Fill=—","Direction=H","UseDPDF=Y")</f>
        <v>-723</v>
      </c>
      <c r="AE70" s="14">
        <f>_xll.BDH("AMZN US Equity","OTHER_INS_RES_TO_SHRHLDR_EQY","FQ1 2016","FQ1 2016","Currency=USD","Period=FQ","BEST_FPERIOD_OVERRIDE=FQ","FILING_STATUS=MR","Sort=A","Dates=H","DateFormat=P","Fill=—","Direction=H","UseDPDF=Y")</f>
        <v>-614</v>
      </c>
      <c r="AF70" s="14">
        <f>_xll.BDH("AMZN US Equity","OTHER_INS_RES_TO_SHRHLDR_EQY","FQ2 2016","FQ2 2016","Currency=USD","Period=FQ","BEST_FPERIOD_OVERRIDE=FQ","FILING_STATUS=MR","Sort=A","Dates=H","DateFormat=P","Fill=—","Direction=H","UseDPDF=Y")</f>
        <v>-571</v>
      </c>
      <c r="AG70" s="14">
        <f>_xll.BDH("AMZN US Equity","OTHER_INS_RES_TO_SHRHLDR_EQY","FQ3 2016","FQ3 2016","Currency=USD","Period=FQ","BEST_FPERIOD_OVERRIDE=FQ","FILING_STATUS=MR","Sort=A","Dates=H","DateFormat=P","Fill=—","Direction=H","UseDPDF=Y")</f>
        <v>-521</v>
      </c>
      <c r="AH70" s="14">
        <f>_xll.BDH("AMZN US Equity","OTHER_INS_RES_TO_SHRHLDR_EQY","FQ4 2016","FQ4 2016","Currency=USD","Period=FQ","BEST_FPERIOD_OVERRIDE=FQ","FILING_STATUS=MR","Sort=A","Dates=H","DateFormat=P","Fill=—","Direction=H","UseDPDF=Y")</f>
        <v>-985</v>
      </c>
      <c r="AI70" s="14">
        <f>_xll.BDH("AMZN US Equity","OTHER_INS_RES_TO_SHRHLDR_EQY","FQ1 2017","FQ1 2017","Currency=USD","Period=FQ","BEST_FPERIOD_OVERRIDE=FQ","FILING_STATUS=MR","Sort=A","Dates=H","DateFormat=P","Fill=—","Direction=H","UseDPDF=Y")</f>
        <v>-797</v>
      </c>
      <c r="AJ70" s="14">
        <f>_xll.BDH("AMZN US Equity","OTHER_INS_RES_TO_SHRHLDR_EQY","FQ2 2017","FQ2 2017","Currency=USD","Period=FQ","BEST_FPERIOD_OVERRIDE=FQ","FILING_STATUS=MR","Sort=A","Dates=H","DateFormat=P","Fill=—","Direction=H","UseDPDF=Y")</f>
        <v>-607</v>
      </c>
      <c r="AK70" s="14">
        <f>_xll.BDH("AMZN US Equity","OTHER_INS_RES_TO_SHRHLDR_EQY","FQ3 2017","FQ3 2017","Currency=USD","Period=FQ","BEST_FPERIOD_OVERRIDE=FQ","FILING_STATUS=MR","Sort=A","Dates=H","DateFormat=P","Fill=—","Direction=H","UseDPDF=Y")</f>
        <v>-501</v>
      </c>
      <c r="AL70" s="14">
        <f>_xll.BDH("AMZN US Equity","OTHER_INS_RES_TO_SHRHLDR_EQY","FQ4 2017","FQ4 2017","Currency=USD","Period=FQ","BEST_FPERIOD_OVERRIDE=FQ","FILING_STATUS=MR","Sort=A","Dates=H","DateFormat=P","Fill=—","Direction=H","UseDPDF=Y")</f>
        <v>-484</v>
      </c>
      <c r="AM70" s="14">
        <f>_xll.BDH("AMZN US Equity","OTHER_INS_RES_TO_SHRHLDR_EQY","FQ1 2018","FQ1 2018","Currency=USD","Period=FQ","BEST_FPERIOD_OVERRIDE=FQ","FILING_STATUS=MR","Sort=A","Dates=H","DateFormat=P","Fill=—","Direction=H","UseDPDF=Y")</f>
        <v>-467</v>
      </c>
      <c r="AN70" s="14">
        <f>_xll.BDH("AMZN US Equity","OTHER_INS_RES_TO_SHRHLDR_EQY","FQ2 2018","FQ2 2018","Currency=USD","Period=FQ","BEST_FPERIOD_OVERRIDE=FQ","FILING_STATUS=MR","Sort=A","Dates=H","DateFormat=P","Fill=—","Direction=H","UseDPDF=Y")</f>
        <v>-934</v>
      </c>
    </row>
    <row r="71" spans="1:40" x14ac:dyDescent="0.25">
      <c r="A71" s="6" t="s">
        <v>330</v>
      </c>
      <c r="B71" s="6" t="s">
        <v>331</v>
      </c>
      <c r="C71" s="17">
        <f>_xll.BDH("AMZN US Equity","EQTY_BEF_MINORITY_INT_DETAILED","FQ1 2009","FQ1 2009","Currency=USD","Period=FQ","BEST_FPERIOD_OVERRIDE=FQ","FILING_STATUS=MR","SCALING_FORMAT=MLN","Sort=A","Dates=H","DateFormat=P","Fill=—","Direction=H","UseDPDF=Y")</f>
        <v>2918</v>
      </c>
      <c r="D71" s="17">
        <f>_xll.BDH("AMZN US Equity","EQTY_BEF_MINORITY_INT_DETAILED","FQ2 2009","FQ2 2009","Currency=USD","Period=FQ","BEST_FPERIOD_OVERRIDE=FQ","FILING_STATUS=MR","SCALING_FORMAT=MLN","Sort=A","Dates=H","DateFormat=P","Fill=—","Direction=H","UseDPDF=Y")</f>
        <v>3256</v>
      </c>
      <c r="E71" s="17">
        <f>_xll.BDH("AMZN US Equity","EQTY_BEF_MINORITY_INT_DETAILED","FQ3 2009","FQ3 2009","Currency=USD","Period=FQ","BEST_FPERIOD_OVERRIDE=FQ","FILING_STATUS=MR","SCALING_FORMAT=MLN","Sort=A","Dates=H","DateFormat=P","Fill=—","Direction=H","UseDPDF=Y")</f>
        <v>3585</v>
      </c>
      <c r="F71" s="17">
        <f>_xll.BDH("AMZN US Equity","EQTY_BEF_MINORITY_INT_DETAILED","FQ4 2009","FQ4 2009","Currency=USD","Period=FQ","BEST_FPERIOD_OVERRIDE=FQ","FILING_STATUS=MR","SCALING_FORMAT=MLN","Sort=A","Dates=H","DateFormat=P","Fill=—","Direction=H","UseDPDF=Y")</f>
        <v>5257</v>
      </c>
      <c r="G71" s="17">
        <f>_xll.BDH("AMZN US Equity","EQTY_BEF_MINORITY_INT_DETAILED","FQ1 2010","FQ1 2010","Currency=USD","Period=FQ","BEST_FPERIOD_OVERRIDE=FQ","FILING_STATUS=MR","SCALING_FORMAT=MLN","Sort=A","Dates=H","DateFormat=P","Fill=—","Direction=H","UseDPDF=Y")</f>
        <v>5618</v>
      </c>
      <c r="H71" s="17">
        <f>_xll.BDH("AMZN US Equity","EQTY_BEF_MINORITY_INT_DETAILED","FQ2 2010","FQ2 2010","Currency=USD","Period=FQ","BEST_FPERIOD_OVERRIDE=FQ","FILING_STATUS=MR","SCALING_FORMAT=MLN","Sort=A","Dates=H","DateFormat=P","Fill=—","Direction=H","UseDPDF=Y")</f>
        <v>5857</v>
      </c>
      <c r="I71" s="17">
        <f>_xll.BDH("AMZN US Equity","EQTY_BEF_MINORITY_INT_DETAILED","FQ3 2010","FQ3 2010","Currency=USD","Period=FQ","BEST_FPERIOD_OVERRIDE=FQ","FILING_STATUS=MR","SCALING_FORMAT=MLN","Sort=A","Dates=H","DateFormat=P","Fill=—","Direction=H","UseDPDF=Y")</f>
        <v>6397</v>
      </c>
      <c r="J71" s="17">
        <f>_xll.BDH("AMZN US Equity","EQTY_BEF_MINORITY_INT_DETAILED","FQ4 2010","FQ4 2010","Currency=USD","Period=FQ","BEST_FPERIOD_OVERRIDE=FQ","FILING_STATUS=MR","SCALING_FORMAT=MLN","Sort=A","Dates=H","DateFormat=P","Fill=—","Direction=H","UseDPDF=Y")</f>
        <v>6864</v>
      </c>
      <c r="K71" s="17">
        <f>_xll.BDH("AMZN US Equity","EQTY_BEF_MINORITY_INT_DETAILED","FQ1 2011","FQ1 2011","Currency=USD","Period=FQ","BEST_FPERIOD_OVERRIDE=FQ","FILING_STATUS=MR","SCALING_FORMAT=MLN","Sort=A","Dates=H","DateFormat=P","Fill=—","Direction=H","UseDPDF=Y")</f>
        <v>7347</v>
      </c>
      <c r="L71" s="17">
        <f>_xll.BDH("AMZN US Equity","EQTY_BEF_MINORITY_INT_DETAILED","FQ2 2011","FQ2 2011","Currency=USD","Period=FQ","BEST_FPERIOD_OVERRIDE=FQ","FILING_STATUS=MR","SCALING_FORMAT=MLN","Sort=A","Dates=H","DateFormat=P","Fill=—","Direction=H","UseDPDF=Y")</f>
        <v>7765</v>
      </c>
      <c r="M71" s="17">
        <f>_xll.BDH("AMZN US Equity","EQTY_BEF_MINORITY_INT_DETAILED","FQ3 2011","FQ3 2011","Currency=USD","Period=FQ","BEST_FPERIOD_OVERRIDE=FQ","FILING_STATUS=MR","SCALING_FORMAT=MLN","Sort=A","Dates=H","DateFormat=P","Fill=—","Direction=H","UseDPDF=Y")</f>
        <v>7766</v>
      </c>
      <c r="N71" s="17">
        <f>_xll.BDH("AMZN US Equity","EQTY_BEF_MINORITY_INT_DETAILED","FQ4 2011","FQ4 2011","Currency=USD","Period=FQ","BEST_FPERIOD_OVERRIDE=FQ","FILING_STATUS=MR","SCALING_FORMAT=MLN","Sort=A","Dates=H","DateFormat=P","Fill=—","Direction=H","UseDPDF=Y")</f>
        <v>7757</v>
      </c>
      <c r="O71" s="17">
        <f>_xll.BDH("AMZN US Equity","EQTY_BEF_MINORITY_INT_DETAILED","FQ1 2012","FQ1 2012","Currency=USD","Period=FQ","BEST_FPERIOD_OVERRIDE=FQ","FILING_STATUS=MR","SCALING_FORMAT=MLN","Sort=A","Dates=H","DateFormat=P","Fill=—","Direction=H","UseDPDF=Y")</f>
        <v>7271</v>
      </c>
      <c r="P71" s="17">
        <f>_xll.BDH("AMZN US Equity","EQTY_BEF_MINORITY_INT_DETAILED","FQ2 2012","FQ2 2012","Currency=USD","Period=FQ","BEST_FPERIOD_OVERRIDE=FQ","FILING_STATUS=MR","SCALING_FORMAT=MLN","Sort=A","Dates=H","DateFormat=P","Fill=—","Direction=H","UseDPDF=Y")</f>
        <v>7505</v>
      </c>
      <c r="Q71" s="17">
        <f>_xll.BDH("AMZN US Equity","EQTY_BEF_MINORITY_INT_DETAILED","FQ3 2012","FQ3 2012","Currency=USD","Period=FQ","BEST_FPERIOD_OVERRIDE=FQ","FILING_STATUS=MR","SCALING_FORMAT=MLN","Sort=A","Dates=H","DateFormat=P","Fill=—","Direction=H","UseDPDF=Y")</f>
        <v>7553</v>
      </c>
      <c r="R71" s="17">
        <f>_xll.BDH("AMZN US Equity","EQTY_BEF_MINORITY_INT_DETAILED","FQ4 2012","FQ4 2012","Currency=USD","Period=FQ","BEST_FPERIOD_OVERRIDE=FQ","FILING_STATUS=MR","SCALING_FORMAT=MLN","Sort=A","Dates=H","DateFormat=P","Fill=—","Direction=H","UseDPDF=Y")</f>
        <v>8192</v>
      </c>
      <c r="S71" s="17">
        <f>_xll.BDH("AMZN US Equity","EQTY_BEF_MINORITY_INT_DETAILED","FQ1 2013","FQ1 2013","Currency=USD","Period=FQ","BEST_FPERIOD_OVERRIDE=FQ","FILING_STATUS=MR","SCALING_FORMAT=MLN","Sort=A","Dates=H","DateFormat=P","Fill=—","Direction=H","UseDPDF=Y")</f>
        <v>8432</v>
      </c>
      <c r="T71" s="17">
        <f>_xll.BDH("AMZN US Equity","EQTY_BEF_MINORITY_INT_DETAILED","FQ2 2013","FQ2 2013","Currency=USD","Period=FQ","BEST_FPERIOD_OVERRIDE=FQ","FILING_STATUS=MR","SCALING_FORMAT=MLN","Sort=A","Dates=H","DateFormat=P","Fill=—","Direction=H","UseDPDF=Y")</f>
        <v>8733</v>
      </c>
      <c r="U71" s="17">
        <f>_xll.BDH("AMZN US Equity","EQTY_BEF_MINORITY_INT_DETAILED","FQ3 2013","FQ3 2013","Currency=USD","Period=FQ","BEST_FPERIOD_OVERRIDE=FQ","FILING_STATUS=MR","SCALING_FORMAT=MLN","Sort=A","Dates=H","DateFormat=P","Fill=—","Direction=H","UseDPDF=Y")</f>
        <v>9087</v>
      </c>
      <c r="V71" s="17">
        <f>_xll.BDH("AMZN US Equity","EQTY_BEF_MINORITY_INT_DETAILED","FQ4 2013","FQ4 2013","Currency=USD","Period=FQ","BEST_FPERIOD_OVERRIDE=FQ","FILING_STATUS=MR","SCALING_FORMAT=MLN","Sort=A","Dates=H","DateFormat=P","Fill=—","Direction=H","UseDPDF=Y")</f>
        <v>9746</v>
      </c>
      <c r="W71" s="17">
        <f>_xll.BDH("AMZN US Equity","EQTY_BEF_MINORITY_INT_DETAILED","FQ1 2014","FQ1 2014","Currency=USD","Period=FQ","BEST_FPERIOD_OVERRIDE=FQ","FILING_STATUS=MR","SCALING_FORMAT=MLN","Sort=A","Dates=H","DateFormat=P","Fill=—","Direction=H","UseDPDF=Y")</f>
        <v>10328</v>
      </c>
      <c r="X71" s="17">
        <f>_xll.BDH("AMZN US Equity","EQTY_BEF_MINORITY_INT_DETAILED","FQ2 2014","FQ2 2014","Currency=USD","Period=FQ","BEST_FPERIOD_OVERRIDE=FQ","FILING_STATUS=MR","SCALING_FORMAT=MLN","Sort=A","Dates=H","DateFormat=P","Fill=—","Direction=H","UseDPDF=Y")</f>
        <v>10602</v>
      </c>
      <c r="Y71" s="17">
        <f>_xll.BDH("AMZN US Equity","EQTY_BEF_MINORITY_INT_DETAILED","FQ3 2014","FQ3 2014","Currency=USD","Period=FQ","BEST_FPERIOD_OVERRIDE=FQ","FILING_STATUS=MR","SCALING_FORMAT=MLN","Sort=A","Dates=H","DateFormat=P","Fill=—","Direction=H","UseDPDF=Y")</f>
        <v>10336</v>
      </c>
      <c r="Z71" s="17">
        <f>_xll.BDH("AMZN US Equity","EQTY_BEF_MINORITY_INT_DETAILED","FQ4 2014","FQ4 2014","Currency=USD","Period=FQ","BEST_FPERIOD_OVERRIDE=FQ","FILING_STATUS=MR","SCALING_FORMAT=MLN","Sort=A","Dates=H","DateFormat=P","Fill=—","Direction=H","UseDPDF=Y")</f>
        <v>10741</v>
      </c>
      <c r="AA71" s="17">
        <f>_xll.BDH("AMZN US Equity","EQTY_BEF_MINORITY_INT_DETAILED","FQ1 2015","FQ1 2015","Currency=USD","Period=FQ","BEST_FPERIOD_OVERRIDE=FQ","FILING_STATUS=MR","SCALING_FORMAT=MLN","Sort=A","Dates=H","DateFormat=P","Fill=—","Direction=H","UseDPDF=Y")</f>
        <v>10873</v>
      </c>
      <c r="AB71" s="17">
        <f>_xll.BDH("AMZN US Equity","EQTY_BEF_MINORITY_INT_DETAILED","FQ2 2015","FQ2 2015","Currency=USD","Period=FQ","BEST_FPERIOD_OVERRIDE=FQ","FILING_STATUS=MR","SCALING_FORMAT=MLN","Sort=A","Dates=H","DateFormat=P","Fill=—","Direction=H","UseDPDF=Y")</f>
        <v>11768</v>
      </c>
      <c r="AC71" s="17">
        <f>_xll.BDH("AMZN US Equity","EQTY_BEF_MINORITY_INT_DETAILED","FQ3 2015","FQ3 2015","Currency=USD","Period=FQ","BEST_FPERIOD_OVERRIDE=FQ","FILING_STATUS=MR","SCALING_FORMAT=MLN","Sort=A","Dates=H","DateFormat=P","Fill=—","Direction=H","UseDPDF=Y")</f>
        <v>12430</v>
      </c>
      <c r="AD71" s="17">
        <f>_xll.BDH("AMZN US Equity","EQTY_BEF_MINORITY_INT_DETAILED","FQ4 2015","FQ4 2015","Currency=USD","Period=FQ","BEST_FPERIOD_OVERRIDE=FQ","FILING_STATUS=MR","SCALING_FORMAT=MLN","Sort=A","Dates=H","DateFormat=P","Fill=—","Direction=H","UseDPDF=Y")</f>
        <v>13384</v>
      </c>
      <c r="AE71" s="17">
        <f>_xll.BDH("AMZN US Equity","EQTY_BEF_MINORITY_INT_DETAILED","FQ1 2016","FQ1 2016","Currency=USD","Period=FQ","BEST_FPERIOD_OVERRIDE=FQ","FILING_STATUS=MR","SCALING_FORMAT=MLN","Sort=A","Dates=H","DateFormat=P","Fill=—","Direction=H","UseDPDF=Y")</f>
        <v>14756</v>
      </c>
      <c r="AF71" s="17">
        <f>_xll.BDH("AMZN US Equity","EQTY_BEF_MINORITY_INT_DETAILED","FQ2 2016","FQ2 2016","Currency=USD","Period=FQ","BEST_FPERIOD_OVERRIDE=FQ","FILING_STATUS=MR","SCALING_FORMAT=MLN","Sort=A","Dates=H","DateFormat=P","Fill=—","Direction=H","UseDPDF=Y")</f>
        <v>16538</v>
      </c>
      <c r="AG71" s="17">
        <f>_xll.BDH("AMZN US Equity","EQTY_BEF_MINORITY_INT_DETAILED","FQ3 2016","FQ3 2016","Currency=USD","Period=FQ","BEST_FPERIOD_OVERRIDE=FQ","FILING_STATUS=MR","SCALING_FORMAT=MLN","Sort=A","Dates=H","DateFormat=P","Fill=—","Direction=H","UseDPDF=Y")</f>
        <v>17782</v>
      </c>
      <c r="AH71" s="17">
        <f>_xll.BDH("AMZN US Equity","EQTY_BEF_MINORITY_INT_DETAILED","FQ4 2016","FQ4 2016","Currency=USD","Period=FQ","BEST_FPERIOD_OVERRIDE=FQ","FILING_STATUS=MR","SCALING_FORMAT=MLN","Sort=A","Dates=H","DateFormat=P","Fill=—","Direction=H","UseDPDF=Y")</f>
        <v>19285</v>
      </c>
      <c r="AI71" s="17">
        <f>_xll.BDH("AMZN US Equity","EQTY_BEF_MINORITY_INT_DETAILED","FQ1 2017","FQ1 2017","Currency=USD","Period=FQ","BEST_FPERIOD_OVERRIDE=FQ","FILING_STATUS=MR","SCALING_FORMAT=MLN","Sort=A","Dates=H","DateFormat=P","Fill=—","Direction=H","UseDPDF=Y")</f>
        <v>21674</v>
      </c>
      <c r="AJ71" s="17">
        <f>_xll.BDH("AMZN US Equity","EQTY_BEF_MINORITY_INT_DETAILED","FQ2 2017","FQ2 2017","Currency=USD","Period=FQ","BEST_FPERIOD_OVERRIDE=FQ","FILING_STATUS=MR","SCALING_FORMAT=MLN","Sort=A","Dates=H","DateFormat=P","Fill=—","Direction=H","UseDPDF=Y")</f>
        <v>23214</v>
      </c>
      <c r="AK71" s="17">
        <f>_xll.BDH("AMZN US Equity","EQTY_BEF_MINORITY_INT_DETAILED","FQ3 2017","FQ3 2017","Currency=USD","Period=FQ","BEST_FPERIOD_OVERRIDE=FQ","FILING_STATUS=MR","SCALING_FORMAT=MLN","Sort=A","Dates=H","DateFormat=P","Fill=—","Direction=H","UseDPDF=Y")</f>
        <v>24658</v>
      </c>
      <c r="AL71" s="17">
        <f>_xll.BDH("AMZN US Equity","EQTY_BEF_MINORITY_INT_DETAILED","FQ4 2017","FQ4 2017","Currency=USD","Period=FQ","BEST_FPERIOD_OVERRIDE=FQ","FILING_STATUS=MR","SCALING_FORMAT=MLN","Sort=A","Dates=H","DateFormat=P","Fill=—","Direction=H","UseDPDF=Y")</f>
        <v>27709</v>
      </c>
      <c r="AM71" s="17">
        <f>_xll.BDH("AMZN US Equity","EQTY_BEF_MINORITY_INT_DETAILED","FQ1 2018","FQ1 2018","Currency=USD","Period=FQ","BEST_FPERIOD_OVERRIDE=FQ","FILING_STATUS=MR","SCALING_FORMAT=MLN","Sort=A","Dates=H","DateFormat=P","Fill=—","Direction=H","UseDPDF=Y")</f>
        <v>31463</v>
      </c>
      <c r="AN71" s="17">
        <f>_xll.BDH("AMZN US Equity","EQTY_BEF_MINORITY_INT_DETAILED","FQ2 2018","FQ2 2018","Currency=USD","Period=FQ","BEST_FPERIOD_OVERRIDE=FQ","FILING_STATUS=MR","SCALING_FORMAT=MLN","Sort=A","Dates=H","DateFormat=P","Fill=—","Direction=H","UseDPDF=Y")</f>
        <v>34995</v>
      </c>
    </row>
    <row r="72" spans="1:40" x14ac:dyDescent="0.25">
      <c r="A72" s="10" t="s">
        <v>332</v>
      </c>
      <c r="B72" s="10" t="s">
        <v>333</v>
      </c>
      <c r="C72" s="13">
        <f>_xll.BDH("AMZN US Equity","MINORITY_NONCONTROLLING_INTEREST","FQ1 2009","FQ1 2009","Currency=USD","Period=FQ","BEST_FPERIOD_OVERRIDE=FQ","FILING_STATUS=MR","SCALING_FORMAT=MLN","Sort=A","Dates=H","DateFormat=P","Fill=—","Direction=H","UseDPDF=Y")</f>
        <v>0</v>
      </c>
      <c r="D72" s="13">
        <f>_xll.BDH("AMZN US Equity","MINORITY_NONCONTROLLING_INTEREST","FQ2 2009","FQ2 2009","Currency=USD","Period=FQ","BEST_FPERIOD_OVERRIDE=FQ","FILING_STATUS=MR","SCALING_FORMAT=MLN","Sort=A","Dates=H","DateFormat=P","Fill=—","Direction=H","UseDPDF=Y")</f>
        <v>0</v>
      </c>
      <c r="E72" s="13">
        <f>_xll.BDH("AMZN US Equity","MINORITY_NONCONTROLLING_INTEREST","FQ3 2009","FQ3 2009","Currency=USD","Period=FQ","BEST_FPERIOD_OVERRIDE=FQ","FILING_STATUS=MR","SCALING_FORMAT=MLN","Sort=A","Dates=H","DateFormat=P","Fill=—","Direction=H","UseDPDF=Y")</f>
        <v>0</v>
      </c>
      <c r="F72" s="13">
        <f>_xll.BDH("AMZN US Equity","MINORITY_NONCONTROLLING_INTEREST","FQ4 2009","FQ4 2009","Currency=USD","Period=FQ","BEST_FPERIOD_OVERRIDE=FQ","FILING_STATUS=MR","SCALING_FORMAT=MLN","Sort=A","Dates=H","DateFormat=P","Fill=—","Direction=H","UseDPDF=Y")</f>
        <v>0</v>
      </c>
      <c r="G72" s="13">
        <f>_xll.BDH("AMZN US Equity","MINORITY_NONCONTROLLING_INTEREST","FQ1 2010","FQ1 2010","Currency=USD","Period=FQ","BEST_FPERIOD_OVERRIDE=FQ","FILING_STATUS=MR","SCALING_FORMAT=MLN","Sort=A","Dates=H","DateFormat=P","Fill=—","Direction=H","UseDPDF=Y")</f>
        <v>0</v>
      </c>
      <c r="H72" s="13">
        <f>_xll.BDH("AMZN US Equity","MINORITY_NONCONTROLLING_INTEREST","FQ2 2010","FQ2 2010","Currency=USD","Period=FQ","BEST_FPERIOD_OVERRIDE=FQ","FILING_STATUS=MR","SCALING_FORMAT=MLN","Sort=A","Dates=H","DateFormat=P","Fill=—","Direction=H","UseDPDF=Y")</f>
        <v>0</v>
      </c>
      <c r="I72" s="13">
        <f>_xll.BDH("AMZN US Equity","MINORITY_NONCONTROLLING_INTEREST","FQ3 2010","FQ3 2010","Currency=USD","Period=FQ","BEST_FPERIOD_OVERRIDE=FQ","FILING_STATUS=MR","SCALING_FORMAT=MLN","Sort=A","Dates=H","DateFormat=P","Fill=—","Direction=H","UseDPDF=Y")</f>
        <v>0</v>
      </c>
      <c r="J72" s="13">
        <f>_xll.BDH("AMZN US Equity","MINORITY_NONCONTROLLING_INTEREST","FQ4 2010","FQ4 2010","Currency=USD","Period=FQ","BEST_FPERIOD_OVERRIDE=FQ","FILING_STATUS=MR","SCALING_FORMAT=MLN","Sort=A","Dates=H","DateFormat=P","Fill=—","Direction=H","UseDPDF=Y")</f>
        <v>0</v>
      </c>
      <c r="K72" s="13">
        <f>_xll.BDH("AMZN US Equity","MINORITY_NONCONTROLLING_INTEREST","FQ1 2011","FQ1 2011","Currency=USD","Period=FQ","BEST_FPERIOD_OVERRIDE=FQ","FILING_STATUS=MR","SCALING_FORMAT=MLN","Sort=A","Dates=H","DateFormat=P","Fill=—","Direction=H","UseDPDF=Y")</f>
        <v>0</v>
      </c>
      <c r="L72" s="13">
        <f>_xll.BDH("AMZN US Equity","MINORITY_NONCONTROLLING_INTEREST","FQ2 2011","FQ2 2011","Currency=USD","Period=FQ","BEST_FPERIOD_OVERRIDE=FQ","FILING_STATUS=MR","SCALING_FORMAT=MLN","Sort=A","Dates=H","DateFormat=P","Fill=—","Direction=H","UseDPDF=Y")</f>
        <v>0</v>
      </c>
      <c r="M72" s="13">
        <f>_xll.BDH("AMZN US Equity","MINORITY_NONCONTROLLING_INTEREST","FQ3 2011","FQ3 2011","Currency=USD","Period=FQ","BEST_FPERIOD_OVERRIDE=FQ","FILING_STATUS=MR","SCALING_FORMAT=MLN","Sort=A","Dates=H","DateFormat=P","Fill=—","Direction=H","UseDPDF=Y")</f>
        <v>0</v>
      </c>
      <c r="N72" s="13">
        <f>_xll.BDH("AMZN US Equity","MINORITY_NONCONTROLLING_INTEREST","FQ4 2011","FQ4 2011","Currency=USD","Period=FQ","BEST_FPERIOD_OVERRIDE=FQ","FILING_STATUS=MR","SCALING_FORMAT=MLN","Sort=A","Dates=H","DateFormat=P","Fill=—","Direction=H","UseDPDF=Y")</f>
        <v>0</v>
      </c>
      <c r="O72" s="13">
        <f>_xll.BDH("AMZN US Equity","MINORITY_NONCONTROLLING_INTEREST","FQ1 2012","FQ1 2012","Currency=USD","Period=FQ","BEST_FPERIOD_OVERRIDE=FQ","FILING_STATUS=MR","SCALING_FORMAT=MLN","Sort=A","Dates=H","DateFormat=P","Fill=—","Direction=H","UseDPDF=Y")</f>
        <v>0</v>
      </c>
      <c r="P72" s="13">
        <f>_xll.BDH("AMZN US Equity","MINORITY_NONCONTROLLING_INTEREST","FQ2 2012","FQ2 2012","Currency=USD","Period=FQ","BEST_FPERIOD_OVERRIDE=FQ","FILING_STATUS=MR","SCALING_FORMAT=MLN","Sort=A","Dates=H","DateFormat=P","Fill=—","Direction=H","UseDPDF=Y")</f>
        <v>0</v>
      </c>
      <c r="Q72" s="13">
        <f>_xll.BDH("AMZN US Equity","MINORITY_NONCONTROLLING_INTEREST","FQ3 2012","FQ3 2012","Currency=USD","Period=FQ","BEST_FPERIOD_OVERRIDE=FQ","FILING_STATUS=MR","SCALING_FORMAT=MLN","Sort=A","Dates=H","DateFormat=P","Fill=—","Direction=H","UseDPDF=Y")</f>
        <v>0</v>
      </c>
      <c r="R72" s="13">
        <f>_xll.BDH("AMZN US Equity","MINORITY_NONCONTROLLING_INTEREST","FQ4 2012","FQ4 2012","Currency=USD","Period=FQ","BEST_FPERIOD_OVERRIDE=FQ","FILING_STATUS=MR","SCALING_FORMAT=MLN","Sort=A","Dates=H","DateFormat=P","Fill=—","Direction=H","UseDPDF=Y")</f>
        <v>0</v>
      </c>
      <c r="S72" s="13">
        <f>_xll.BDH("AMZN US Equity","MINORITY_NONCONTROLLING_INTEREST","FQ1 2013","FQ1 2013","Currency=USD","Period=FQ","BEST_FPERIOD_OVERRIDE=FQ","FILING_STATUS=MR","SCALING_FORMAT=MLN","Sort=A","Dates=H","DateFormat=P","Fill=—","Direction=H","UseDPDF=Y")</f>
        <v>0</v>
      </c>
      <c r="T72" s="13">
        <f>_xll.BDH("AMZN US Equity","MINORITY_NONCONTROLLING_INTEREST","FQ2 2013","FQ2 2013","Currency=USD","Period=FQ","BEST_FPERIOD_OVERRIDE=FQ","FILING_STATUS=MR","SCALING_FORMAT=MLN","Sort=A","Dates=H","DateFormat=P","Fill=—","Direction=H","UseDPDF=Y")</f>
        <v>0</v>
      </c>
      <c r="U72" s="13">
        <f>_xll.BDH("AMZN US Equity","MINORITY_NONCONTROLLING_INTEREST","FQ3 2013","FQ3 2013","Currency=USD","Period=FQ","BEST_FPERIOD_OVERRIDE=FQ","FILING_STATUS=MR","SCALING_FORMAT=MLN","Sort=A","Dates=H","DateFormat=P","Fill=—","Direction=H","UseDPDF=Y")</f>
        <v>0</v>
      </c>
      <c r="V72" s="13">
        <f>_xll.BDH("AMZN US Equity","MINORITY_NONCONTROLLING_INTEREST","FQ4 2013","FQ4 2013","Currency=USD","Period=FQ","BEST_FPERIOD_OVERRIDE=FQ","FILING_STATUS=MR","SCALING_FORMAT=MLN","Sort=A","Dates=H","DateFormat=P","Fill=—","Direction=H","UseDPDF=Y")</f>
        <v>0</v>
      </c>
      <c r="W72" s="13">
        <f>_xll.BDH("AMZN US Equity","MINORITY_NONCONTROLLING_INTEREST","FQ1 2014","FQ1 2014","Currency=USD","Period=FQ","BEST_FPERIOD_OVERRIDE=FQ","FILING_STATUS=MR","SCALING_FORMAT=MLN","Sort=A","Dates=H","DateFormat=P","Fill=—","Direction=H","UseDPDF=Y")</f>
        <v>0</v>
      </c>
      <c r="X72" s="13">
        <f>_xll.BDH("AMZN US Equity","MINORITY_NONCONTROLLING_INTEREST","FQ2 2014","FQ2 2014","Currency=USD","Period=FQ","BEST_FPERIOD_OVERRIDE=FQ","FILING_STATUS=MR","SCALING_FORMAT=MLN","Sort=A","Dates=H","DateFormat=P","Fill=—","Direction=H","UseDPDF=Y")</f>
        <v>0</v>
      </c>
      <c r="Y72" s="13">
        <f>_xll.BDH("AMZN US Equity","MINORITY_NONCONTROLLING_INTEREST","FQ3 2014","FQ3 2014","Currency=USD","Period=FQ","BEST_FPERIOD_OVERRIDE=FQ","FILING_STATUS=MR","SCALING_FORMAT=MLN","Sort=A","Dates=H","DateFormat=P","Fill=—","Direction=H","UseDPDF=Y")</f>
        <v>0</v>
      </c>
      <c r="Z72" s="13">
        <f>_xll.BDH("AMZN US Equity","MINORITY_NONCONTROLLING_INTEREST","FQ4 2014","FQ4 2014","Currency=USD","Period=FQ","BEST_FPERIOD_OVERRIDE=FQ","FILING_STATUS=MR","SCALING_FORMAT=MLN","Sort=A","Dates=H","DateFormat=P","Fill=—","Direction=H","UseDPDF=Y")</f>
        <v>0</v>
      </c>
      <c r="AA72" s="13">
        <f>_xll.BDH("AMZN US Equity","MINORITY_NONCONTROLLING_INTEREST","FQ1 2015","FQ1 2015","Currency=USD","Period=FQ","BEST_FPERIOD_OVERRIDE=FQ","FILING_STATUS=MR","SCALING_FORMAT=MLN","Sort=A","Dates=H","DateFormat=P","Fill=—","Direction=H","UseDPDF=Y")</f>
        <v>0</v>
      </c>
      <c r="AB72" s="13">
        <f>_xll.BDH("AMZN US Equity","MINORITY_NONCONTROLLING_INTEREST","FQ2 2015","FQ2 2015","Currency=USD","Period=FQ","BEST_FPERIOD_OVERRIDE=FQ","FILING_STATUS=MR","SCALING_FORMAT=MLN","Sort=A","Dates=H","DateFormat=P","Fill=—","Direction=H","UseDPDF=Y")</f>
        <v>0</v>
      </c>
      <c r="AC72" s="13">
        <f>_xll.BDH("AMZN US Equity","MINORITY_NONCONTROLLING_INTEREST","FQ3 2015","FQ3 2015","Currency=USD","Period=FQ","BEST_FPERIOD_OVERRIDE=FQ","FILING_STATUS=MR","SCALING_FORMAT=MLN","Sort=A","Dates=H","DateFormat=P","Fill=—","Direction=H","UseDPDF=Y")</f>
        <v>0</v>
      </c>
      <c r="AD72" s="13">
        <f>_xll.BDH("AMZN US Equity","MINORITY_NONCONTROLLING_INTEREST","FQ4 2015","FQ4 2015","Currency=USD","Period=FQ","BEST_FPERIOD_OVERRIDE=FQ","FILING_STATUS=MR","SCALING_FORMAT=MLN","Sort=A","Dates=H","DateFormat=P","Fill=—","Direction=H","UseDPDF=Y")</f>
        <v>0</v>
      </c>
      <c r="AE72" s="13">
        <f>_xll.BDH("AMZN US Equity","MINORITY_NONCONTROLLING_INTEREST","FQ1 2016","FQ1 2016","Currency=USD","Period=FQ","BEST_FPERIOD_OVERRIDE=FQ","FILING_STATUS=MR","SCALING_FORMAT=MLN","Sort=A","Dates=H","DateFormat=P","Fill=—","Direction=H","UseDPDF=Y")</f>
        <v>0</v>
      </c>
      <c r="AF72" s="13">
        <f>_xll.BDH("AMZN US Equity","MINORITY_NONCONTROLLING_INTEREST","FQ2 2016","FQ2 2016","Currency=USD","Period=FQ","BEST_FPERIOD_OVERRIDE=FQ","FILING_STATUS=MR","SCALING_FORMAT=MLN","Sort=A","Dates=H","DateFormat=P","Fill=—","Direction=H","UseDPDF=Y")</f>
        <v>0</v>
      </c>
      <c r="AG72" s="13">
        <f>_xll.BDH("AMZN US Equity","MINORITY_NONCONTROLLING_INTEREST","FQ3 2016","FQ3 2016","Currency=USD","Period=FQ","BEST_FPERIOD_OVERRIDE=FQ","FILING_STATUS=MR","SCALING_FORMAT=MLN","Sort=A","Dates=H","DateFormat=P","Fill=—","Direction=H","UseDPDF=Y")</f>
        <v>0</v>
      </c>
      <c r="AH72" s="13">
        <f>_xll.BDH("AMZN US Equity","MINORITY_NONCONTROLLING_INTEREST","FQ4 2016","FQ4 2016","Currency=USD","Period=FQ","BEST_FPERIOD_OVERRIDE=FQ","FILING_STATUS=MR","SCALING_FORMAT=MLN","Sort=A","Dates=H","DateFormat=P","Fill=—","Direction=H","UseDPDF=Y")</f>
        <v>0</v>
      </c>
      <c r="AI72" s="13">
        <f>_xll.BDH("AMZN US Equity","MINORITY_NONCONTROLLING_INTEREST","FQ1 2017","FQ1 2017","Currency=USD","Period=FQ","BEST_FPERIOD_OVERRIDE=FQ","FILING_STATUS=MR","SCALING_FORMAT=MLN","Sort=A","Dates=H","DateFormat=P","Fill=—","Direction=H","UseDPDF=Y")</f>
        <v>0</v>
      </c>
      <c r="AJ72" s="13">
        <f>_xll.BDH("AMZN US Equity","MINORITY_NONCONTROLLING_INTEREST","FQ2 2017","FQ2 2017","Currency=USD","Period=FQ","BEST_FPERIOD_OVERRIDE=FQ","FILING_STATUS=MR","SCALING_FORMAT=MLN","Sort=A","Dates=H","DateFormat=P","Fill=—","Direction=H","UseDPDF=Y")</f>
        <v>0</v>
      </c>
      <c r="AK72" s="13">
        <f>_xll.BDH("AMZN US Equity","MINORITY_NONCONTROLLING_INTEREST","FQ3 2017","FQ3 2017","Currency=USD","Period=FQ","BEST_FPERIOD_OVERRIDE=FQ","FILING_STATUS=MR","SCALING_FORMAT=MLN","Sort=A","Dates=H","DateFormat=P","Fill=—","Direction=H","UseDPDF=Y")</f>
        <v>0</v>
      </c>
      <c r="AL72" s="13">
        <f>_xll.BDH("AMZN US Equity","MINORITY_NONCONTROLLING_INTEREST","FQ4 2017","FQ4 2017","Currency=USD","Period=FQ","BEST_FPERIOD_OVERRIDE=FQ","FILING_STATUS=MR","SCALING_FORMAT=MLN","Sort=A","Dates=H","DateFormat=P","Fill=—","Direction=H","UseDPDF=Y")</f>
        <v>0</v>
      </c>
      <c r="AM72" s="13">
        <f>_xll.BDH("AMZN US Equity","MINORITY_NONCONTROLLING_INTEREST","FQ1 2018","FQ1 2018","Currency=USD","Period=FQ","BEST_FPERIOD_OVERRIDE=FQ","FILING_STATUS=MR","SCALING_FORMAT=MLN","Sort=A","Dates=H","DateFormat=P","Fill=—","Direction=H","UseDPDF=Y")</f>
        <v>0</v>
      </c>
      <c r="AN72" s="13">
        <f>_xll.BDH("AMZN US Equity","MINORITY_NONCONTROLLING_INTEREST","FQ2 2018","FQ2 2018","Currency=USD","Period=FQ","BEST_FPERIOD_OVERRIDE=FQ","FILING_STATUS=MR","SCALING_FORMAT=MLN","Sort=A","Dates=H","DateFormat=P","Fill=—","Direction=H","UseDPDF=Y")</f>
        <v>0</v>
      </c>
    </row>
    <row r="73" spans="1:40" x14ac:dyDescent="0.25">
      <c r="A73" s="6" t="s">
        <v>334</v>
      </c>
      <c r="B73" s="6" t="s">
        <v>335</v>
      </c>
      <c r="C73" s="17">
        <f>_xll.BDH("AMZN US Equity","TOTAL_EQUITY","FQ1 2009","FQ1 2009","Currency=USD","Period=FQ","BEST_FPERIOD_OVERRIDE=FQ","FILING_STATUS=MR","SCALING_FORMAT=MLN","Sort=A","Dates=H","DateFormat=P","Fill=—","Direction=H","UseDPDF=Y")</f>
        <v>2918</v>
      </c>
      <c r="D73" s="17">
        <f>_xll.BDH("AMZN US Equity","TOTAL_EQUITY","FQ2 2009","FQ2 2009","Currency=USD","Period=FQ","BEST_FPERIOD_OVERRIDE=FQ","FILING_STATUS=MR","SCALING_FORMAT=MLN","Sort=A","Dates=H","DateFormat=P","Fill=—","Direction=H","UseDPDF=Y")</f>
        <v>3256</v>
      </c>
      <c r="E73" s="17">
        <f>_xll.BDH("AMZN US Equity","TOTAL_EQUITY","FQ3 2009","FQ3 2009","Currency=USD","Period=FQ","BEST_FPERIOD_OVERRIDE=FQ","FILING_STATUS=MR","SCALING_FORMAT=MLN","Sort=A","Dates=H","DateFormat=P","Fill=—","Direction=H","UseDPDF=Y")</f>
        <v>3585</v>
      </c>
      <c r="F73" s="17">
        <f>_xll.BDH("AMZN US Equity","TOTAL_EQUITY","FQ4 2009","FQ4 2009","Currency=USD","Period=FQ","BEST_FPERIOD_OVERRIDE=FQ","FILING_STATUS=MR","SCALING_FORMAT=MLN","Sort=A","Dates=H","DateFormat=P","Fill=—","Direction=H","UseDPDF=Y")</f>
        <v>5257</v>
      </c>
      <c r="G73" s="17">
        <f>_xll.BDH("AMZN US Equity","TOTAL_EQUITY","FQ1 2010","FQ1 2010","Currency=USD","Period=FQ","BEST_FPERIOD_OVERRIDE=FQ","FILING_STATUS=MR","SCALING_FORMAT=MLN","Sort=A","Dates=H","DateFormat=P","Fill=—","Direction=H","UseDPDF=Y")</f>
        <v>5618</v>
      </c>
      <c r="H73" s="17">
        <f>_xll.BDH("AMZN US Equity","TOTAL_EQUITY","FQ2 2010","FQ2 2010","Currency=USD","Period=FQ","BEST_FPERIOD_OVERRIDE=FQ","FILING_STATUS=MR","SCALING_FORMAT=MLN","Sort=A","Dates=H","DateFormat=P","Fill=—","Direction=H","UseDPDF=Y")</f>
        <v>5857</v>
      </c>
      <c r="I73" s="17">
        <f>_xll.BDH("AMZN US Equity","TOTAL_EQUITY","FQ3 2010","FQ3 2010","Currency=USD","Period=FQ","BEST_FPERIOD_OVERRIDE=FQ","FILING_STATUS=MR","SCALING_FORMAT=MLN","Sort=A","Dates=H","DateFormat=P","Fill=—","Direction=H","UseDPDF=Y")</f>
        <v>6397</v>
      </c>
      <c r="J73" s="17">
        <f>_xll.BDH("AMZN US Equity","TOTAL_EQUITY","FQ4 2010","FQ4 2010","Currency=USD","Period=FQ","BEST_FPERIOD_OVERRIDE=FQ","FILING_STATUS=MR","SCALING_FORMAT=MLN","Sort=A","Dates=H","DateFormat=P","Fill=—","Direction=H","UseDPDF=Y")</f>
        <v>6864</v>
      </c>
      <c r="K73" s="17">
        <f>_xll.BDH("AMZN US Equity","TOTAL_EQUITY","FQ1 2011","FQ1 2011","Currency=USD","Period=FQ","BEST_FPERIOD_OVERRIDE=FQ","FILING_STATUS=MR","SCALING_FORMAT=MLN","Sort=A","Dates=H","DateFormat=P","Fill=—","Direction=H","UseDPDF=Y")</f>
        <v>7347</v>
      </c>
      <c r="L73" s="17">
        <f>_xll.BDH("AMZN US Equity","TOTAL_EQUITY","FQ2 2011","FQ2 2011","Currency=USD","Period=FQ","BEST_FPERIOD_OVERRIDE=FQ","FILING_STATUS=MR","SCALING_FORMAT=MLN","Sort=A","Dates=H","DateFormat=P","Fill=—","Direction=H","UseDPDF=Y")</f>
        <v>7765</v>
      </c>
      <c r="M73" s="17">
        <f>_xll.BDH("AMZN US Equity","TOTAL_EQUITY","FQ3 2011","FQ3 2011","Currency=USD","Period=FQ","BEST_FPERIOD_OVERRIDE=FQ","FILING_STATUS=MR","SCALING_FORMAT=MLN","Sort=A","Dates=H","DateFormat=P","Fill=—","Direction=H","UseDPDF=Y")</f>
        <v>7766</v>
      </c>
      <c r="N73" s="17">
        <f>_xll.BDH("AMZN US Equity","TOTAL_EQUITY","FQ4 2011","FQ4 2011","Currency=USD","Period=FQ","BEST_FPERIOD_OVERRIDE=FQ","FILING_STATUS=MR","SCALING_FORMAT=MLN","Sort=A","Dates=H","DateFormat=P","Fill=—","Direction=H","UseDPDF=Y")</f>
        <v>7757</v>
      </c>
      <c r="O73" s="17">
        <f>_xll.BDH("AMZN US Equity","TOTAL_EQUITY","FQ1 2012","FQ1 2012","Currency=USD","Period=FQ","BEST_FPERIOD_OVERRIDE=FQ","FILING_STATUS=MR","SCALING_FORMAT=MLN","Sort=A","Dates=H","DateFormat=P","Fill=—","Direction=H","UseDPDF=Y")</f>
        <v>7271</v>
      </c>
      <c r="P73" s="17">
        <f>_xll.BDH("AMZN US Equity","TOTAL_EQUITY","FQ2 2012","FQ2 2012","Currency=USD","Period=FQ","BEST_FPERIOD_OVERRIDE=FQ","FILING_STATUS=MR","SCALING_FORMAT=MLN","Sort=A","Dates=H","DateFormat=P","Fill=—","Direction=H","UseDPDF=Y")</f>
        <v>7505</v>
      </c>
      <c r="Q73" s="17">
        <f>_xll.BDH("AMZN US Equity","TOTAL_EQUITY","FQ3 2012","FQ3 2012","Currency=USD","Period=FQ","BEST_FPERIOD_OVERRIDE=FQ","FILING_STATUS=MR","SCALING_FORMAT=MLN","Sort=A","Dates=H","DateFormat=P","Fill=—","Direction=H","UseDPDF=Y")</f>
        <v>7553</v>
      </c>
      <c r="R73" s="17">
        <f>_xll.BDH("AMZN US Equity","TOTAL_EQUITY","FQ4 2012","FQ4 2012","Currency=USD","Period=FQ","BEST_FPERIOD_OVERRIDE=FQ","FILING_STATUS=MR","SCALING_FORMAT=MLN","Sort=A","Dates=H","DateFormat=P","Fill=—","Direction=H","UseDPDF=Y")</f>
        <v>8192</v>
      </c>
      <c r="S73" s="17">
        <f>_xll.BDH("AMZN US Equity","TOTAL_EQUITY","FQ1 2013","FQ1 2013","Currency=USD","Period=FQ","BEST_FPERIOD_OVERRIDE=FQ","FILING_STATUS=MR","SCALING_FORMAT=MLN","Sort=A","Dates=H","DateFormat=P","Fill=—","Direction=H","UseDPDF=Y")</f>
        <v>8432</v>
      </c>
      <c r="T73" s="17">
        <f>_xll.BDH("AMZN US Equity","TOTAL_EQUITY","FQ2 2013","FQ2 2013","Currency=USD","Period=FQ","BEST_FPERIOD_OVERRIDE=FQ","FILING_STATUS=MR","SCALING_FORMAT=MLN","Sort=A","Dates=H","DateFormat=P","Fill=—","Direction=H","UseDPDF=Y")</f>
        <v>8733</v>
      </c>
      <c r="U73" s="17">
        <f>_xll.BDH("AMZN US Equity","TOTAL_EQUITY","FQ3 2013","FQ3 2013","Currency=USD","Period=FQ","BEST_FPERIOD_OVERRIDE=FQ","FILING_STATUS=MR","SCALING_FORMAT=MLN","Sort=A","Dates=H","DateFormat=P","Fill=—","Direction=H","UseDPDF=Y")</f>
        <v>9087</v>
      </c>
      <c r="V73" s="17">
        <f>_xll.BDH("AMZN US Equity","TOTAL_EQUITY","FQ4 2013","FQ4 2013","Currency=USD","Period=FQ","BEST_FPERIOD_OVERRIDE=FQ","FILING_STATUS=MR","SCALING_FORMAT=MLN","Sort=A","Dates=H","DateFormat=P","Fill=—","Direction=H","UseDPDF=Y")</f>
        <v>9746</v>
      </c>
      <c r="W73" s="17">
        <f>_xll.BDH("AMZN US Equity","TOTAL_EQUITY","FQ1 2014","FQ1 2014","Currency=USD","Period=FQ","BEST_FPERIOD_OVERRIDE=FQ","FILING_STATUS=MR","SCALING_FORMAT=MLN","Sort=A","Dates=H","DateFormat=P","Fill=—","Direction=H","UseDPDF=Y")</f>
        <v>10328</v>
      </c>
      <c r="X73" s="17">
        <f>_xll.BDH("AMZN US Equity","TOTAL_EQUITY","FQ2 2014","FQ2 2014","Currency=USD","Period=FQ","BEST_FPERIOD_OVERRIDE=FQ","FILING_STATUS=MR","SCALING_FORMAT=MLN","Sort=A","Dates=H","DateFormat=P","Fill=—","Direction=H","UseDPDF=Y")</f>
        <v>10602</v>
      </c>
      <c r="Y73" s="17">
        <f>_xll.BDH("AMZN US Equity","TOTAL_EQUITY","FQ3 2014","FQ3 2014","Currency=USD","Period=FQ","BEST_FPERIOD_OVERRIDE=FQ","FILING_STATUS=MR","SCALING_FORMAT=MLN","Sort=A","Dates=H","DateFormat=P","Fill=—","Direction=H","UseDPDF=Y")</f>
        <v>10336</v>
      </c>
      <c r="Z73" s="17">
        <f>_xll.BDH("AMZN US Equity","TOTAL_EQUITY","FQ4 2014","FQ4 2014","Currency=USD","Period=FQ","BEST_FPERIOD_OVERRIDE=FQ","FILING_STATUS=MR","SCALING_FORMAT=MLN","Sort=A","Dates=H","DateFormat=P","Fill=—","Direction=H","UseDPDF=Y")</f>
        <v>10741</v>
      </c>
      <c r="AA73" s="17">
        <f>_xll.BDH("AMZN US Equity","TOTAL_EQUITY","FQ1 2015","FQ1 2015","Currency=USD","Period=FQ","BEST_FPERIOD_OVERRIDE=FQ","FILING_STATUS=MR","SCALING_FORMAT=MLN","Sort=A","Dates=H","DateFormat=P","Fill=—","Direction=H","UseDPDF=Y")</f>
        <v>10873</v>
      </c>
      <c r="AB73" s="17">
        <f>_xll.BDH("AMZN US Equity","TOTAL_EQUITY","FQ2 2015","FQ2 2015","Currency=USD","Period=FQ","BEST_FPERIOD_OVERRIDE=FQ","FILING_STATUS=MR","SCALING_FORMAT=MLN","Sort=A","Dates=H","DateFormat=P","Fill=—","Direction=H","UseDPDF=Y")</f>
        <v>11768</v>
      </c>
      <c r="AC73" s="17">
        <f>_xll.BDH("AMZN US Equity","TOTAL_EQUITY","FQ3 2015","FQ3 2015","Currency=USD","Period=FQ","BEST_FPERIOD_OVERRIDE=FQ","FILING_STATUS=MR","SCALING_FORMAT=MLN","Sort=A","Dates=H","DateFormat=P","Fill=—","Direction=H","UseDPDF=Y")</f>
        <v>12430</v>
      </c>
      <c r="AD73" s="17">
        <f>_xll.BDH("AMZN US Equity","TOTAL_EQUITY","FQ4 2015","FQ4 2015","Currency=USD","Period=FQ","BEST_FPERIOD_OVERRIDE=FQ","FILING_STATUS=MR","SCALING_FORMAT=MLN","Sort=A","Dates=H","DateFormat=P","Fill=—","Direction=H","UseDPDF=Y")</f>
        <v>13384</v>
      </c>
      <c r="AE73" s="17">
        <f>_xll.BDH("AMZN US Equity","TOTAL_EQUITY","FQ1 2016","FQ1 2016","Currency=USD","Period=FQ","BEST_FPERIOD_OVERRIDE=FQ","FILING_STATUS=MR","SCALING_FORMAT=MLN","Sort=A","Dates=H","DateFormat=P","Fill=—","Direction=H","UseDPDF=Y")</f>
        <v>14756</v>
      </c>
      <c r="AF73" s="17">
        <f>_xll.BDH("AMZN US Equity","TOTAL_EQUITY","FQ2 2016","FQ2 2016","Currency=USD","Period=FQ","BEST_FPERIOD_OVERRIDE=FQ","FILING_STATUS=MR","SCALING_FORMAT=MLN","Sort=A","Dates=H","DateFormat=P","Fill=—","Direction=H","UseDPDF=Y")</f>
        <v>16538</v>
      </c>
      <c r="AG73" s="17">
        <f>_xll.BDH("AMZN US Equity","TOTAL_EQUITY","FQ3 2016","FQ3 2016","Currency=USD","Period=FQ","BEST_FPERIOD_OVERRIDE=FQ","FILING_STATUS=MR","SCALING_FORMAT=MLN","Sort=A","Dates=H","DateFormat=P","Fill=—","Direction=H","UseDPDF=Y")</f>
        <v>17782</v>
      </c>
      <c r="AH73" s="17">
        <f>_xll.BDH("AMZN US Equity","TOTAL_EQUITY","FQ4 2016","FQ4 2016","Currency=USD","Period=FQ","BEST_FPERIOD_OVERRIDE=FQ","FILING_STATUS=MR","SCALING_FORMAT=MLN","Sort=A","Dates=H","DateFormat=P","Fill=—","Direction=H","UseDPDF=Y")</f>
        <v>19285</v>
      </c>
      <c r="AI73" s="17">
        <f>_xll.BDH("AMZN US Equity","TOTAL_EQUITY","FQ1 2017","FQ1 2017","Currency=USD","Period=FQ","BEST_FPERIOD_OVERRIDE=FQ","FILING_STATUS=MR","SCALING_FORMAT=MLN","Sort=A","Dates=H","DateFormat=P","Fill=—","Direction=H","UseDPDF=Y")</f>
        <v>21674</v>
      </c>
      <c r="AJ73" s="17">
        <f>_xll.BDH("AMZN US Equity","TOTAL_EQUITY","FQ2 2017","FQ2 2017","Currency=USD","Period=FQ","BEST_FPERIOD_OVERRIDE=FQ","FILING_STATUS=MR","SCALING_FORMAT=MLN","Sort=A","Dates=H","DateFormat=P","Fill=—","Direction=H","UseDPDF=Y")</f>
        <v>23214</v>
      </c>
      <c r="AK73" s="17">
        <f>_xll.BDH("AMZN US Equity","TOTAL_EQUITY","FQ3 2017","FQ3 2017","Currency=USD","Period=FQ","BEST_FPERIOD_OVERRIDE=FQ","FILING_STATUS=MR","SCALING_FORMAT=MLN","Sort=A","Dates=H","DateFormat=P","Fill=—","Direction=H","UseDPDF=Y")</f>
        <v>24658</v>
      </c>
      <c r="AL73" s="17">
        <f>_xll.BDH("AMZN US Equity","TOTAL_EQUITY","FQ4 2017","FQ4 2017","Currency=USD","Period=FQ","BEST_FPERIOD_OVERRIDE=FQ","FILING_STATUS=MR","SCALING_FORMAT=MLN","Sort=A","Dates=H","DateFormat=P","Fill=—","Direction=H","UseDPDF=Y")</f>
        <v>27709</v>
      </c>
      <c r="AM73" s="17">
        <f>_xll.BDH("AMZN US Equity","TOTAL_EQUITY","FQ1 2018","FQ1 2018","Currency=USD","Period=FQ","BEST_FPERIOD_OVERRIDE=FQ","FILING_STATUS=MR","SCALING_FORMAT=MLN","Sort=A","Dates=H","DateFormat=P","Fill=—","Direction=H","UseDPDF=Y")</f>
        <v>31463</v>
      </c>
      <c r="AN73" s="17">
        <f>_xll.BDH("AMZN US Equity","TOTAL_EQUITY","FQ2 2018","FQ2 2018","Currency=USD","Period=FQ","BEST_FPERIOD_OVERRIDE=FQ","FILING_STATUS=MR","SCALING_FORMAT=MLN","Sort=A","Dates=H","DateFormat=P","Fill=—","Direction=H","UseDPDF=Y")</f>
        <v>34995</v>
      </c>
    </row>
    <row r="74" spans="1:40" x14ac:dyDescent="0.25">
      <c r="A74" s="6" t="s">
        <v>336</v>
      </c>
      <c r="B74" s="6" t="s">
        <v>337</v>
      </c>
      <c r="C74" s="17">
        <f>_xll.BDH("AMZN US Equity","TOT_LIAB_AND_EQY","FQ1 2009","FQ1 2009","Currency=USD","Period=FQ","BEST_FPERIOD_OVERRIDE=FQ","FILING_STATUS=MR","SCALING_FORMAT=MLN","Sort=A","Dates=H","DateFormat=P","Fill=—","Direction=H","UseDPDF=Y")</f>
        <v>6980</v>
      </c>
      <c r="D74" s="17">
        <f>_xll.BDH("AMZN US Equity","TOT_LIAB_AND_EQY","FQ2 2009","FQ2 2009","Currency=USD","Period=FQ","BEST_FPERIOD_OVERRIDE=FQ","FILING_STATUS=MR","SCALING_FORMAT=MLN","Sort=A","Dates=H","DateFormat=P","Fill=—","Direction=H","UseDPDF=Y")</f>
        <v>7675</v>
      </c>
      <c r="E74" s="17">
        <f>_xll.BDH("AMZN US Equity","TOT_LIAB_AND_EQY","FQ3 2009","FQ3 2009","Currency=USD","Period=FQ","BEST_FPERIOD_OVERRIDE=FQ","FILING_STATUS=MR","SCALING_FORMAT=MLN","Sort=A","Dates=H","DateFormat=P","Fill=—","Direction=H","UseDPDF=Y")</f>
        <v>8972</v>
      </c>
      <c r="F74" s="17">
        <f>_xll.BDH("AMZN US Equity","TOT_LIAB_AND_EQY","FQ4 2009","FQ4 2009","Currency=USD","Period=FQ","BEST_FPERIOD_OVERRIDE=FQ","FILING_STATUS=MR","SCALING_FORMAT=MLN","Sort=A","Dates=H","DateFormat=P","Fill=—","Direction=H","UseDPDF=Y")</f>
        <v>13813</v>
      </c>
      <c r="G74" s="17">
        <f>_xll.BDH("AMZN US Equity","TOT_LIAB_AND_EQY","FQ1 2010","FQ1 2010","Currency=USD","Period=FQ","BEST_FPERIOD_OVERRIDE=FQ","FILING_STATUS=MR","SCALING_FORMAT=MLN","Sort=A","Dates=H","DateFormat=P","Fill=—","Direction=H","UseDPDF=Y")</f>
        <v>12042</v>
      </c>
      <c r="H74" s="17">
        <f>_xll.BDH("AMZN US Equity","TOT_LIAB_AND_EQY","FQ2 2010","FQ2 2010","Currency=USD","Period=FQ","BEST_FPERIOD_OVERRIDE=FQ","FILING_STATUS=MR","SCALING_FORMAT=MLN","Sort=A","Dates=H","DateFormat=P","Fill=—","Direction=H","UseDPDF=Y")</f>
        <v>12397</v>
      </c>
      <c r="I74" s="17">
        <f>_xll.BDH("AMZN US Equity","TOT_LIAB_AND_EQY","FQ3 2010","FQ3 2010","Currency=USD","Period=FQ","BEST_FPERIOD_OVERRIDE=FQ","FILING_STATUS=MR","SCALING_FORMAT=MLN","Sort=A","Dates=H","DateFormat=P","Fill=—","Direction=H","UseDPDF=Y")</f>
        <v>14162</v>
      </c>
      <c r="J74" s="17">
        <f>_xll.BDH("AMZN US Equity","TOT_LIAB_AND_EQY","FQ4 2010","FQ4 2010","Currency=USD","Period=FQ","BEST_FPERIOD_OVERRIDE=FQ","FILING_STATUS=MR","SCALING_FORMAT=MLN","Sort=A","Dates=H","DateFormat=P","Fill=—","Direction=H","UseDPDF=Y")</f>
        <v>18797</v>
      </c>
      <c r="K74" s="17">
        <f>_xll.BDH("AMZN US Equity","TOT_LIAB_AND_EQY","FQ1 2011","FQ1 2011","Currency=USD","Period=FQ","BEST_FPERIOD_OVERRIDE=FQ","FILING_STATUS=MR","SCALING_FORMAT=MLN","Sort=A","Dates=H","DateFormat=P","Fill=—","Direction=H","UseDPDF=Y")</f>
        <v>16882</v>
      </c>
      <c r="L74" s="17">
        <f>_xll.BDH("AMZN US Equity","TOT_LIAB_AND_EQY","FQ2 2011","FQ2 2011","Currency=USD","Period=FQ","BEST_FPERIOD_OVERRIDE=FQ","FILING_STATUS=MR","SCALING_FORMAT=MLN","Sort=A","Dates=H","DateFormat=P","Fill=—","Direction=H","UseDPDF=Y")</f>
        <v>17941</v>
      </c>
      <c r="M74" s="17">
        <f>_xll.BDH("AMZN US Equity","TOT_LIAB_AND_EQY","FQ3 2011","FQ3 2011","Currency=USD","Period=FQ","BEST_FPERIOD_OVERRIDE=FQ","FILING_STATUS=MR","SCALING_FORMAT=MLN","Sort=A","Dates=H","DateFormat=P","Fill=—","Direction=H","UseDPDF=Y")</f>
        <v>19054</v>
      </c>
      <c r="N74" s="17">
        <f>_xll.BDH("AMZN US Equity","TOT_LIAB_AND_EQY","FQ4 2011","FQ4 2011","Currency=USD","Period=FQ","BEST_FPERIOD_OVERRIDE=FQ","FILING_STATUS=MR","SCALING_FORMAT=MLN","Sort=A","Dates=H","DateFormat=P","Fill=—","Direction=H","UseDPDF=Y")</f>
        <v>25278</v>
      </c>
      <c r="O74" s="17">
        <f>_xll.BDH("AMZN US Equity","TOT_LIAB_AND_EQY","FQ1 2012","FQ1 2012","Currency=USD","Period=FQ","BEST_FPERIOD_OVERRIDE=FQ","FILING_STATUS=MR","SCALING_FORMAT=MLN","Sort=A","Dates=H","DateFormat=P","Fill=—","Direction=H","UseDPDF=Y")</f>
        <v>20339</v>
      </c>
      <c r="P74" s="17">
        <f>_xll.BDH("AMZN US Equity","TOT_LIAB_AND_EQY","FQ2 2012","FQ2 2012","Currency=USD","Period=FQ","BEST_FPERIOD_OVERRIDE=FQ","FILING_STATUS=MR","SCALING_FORMAT=MLN","Sort=A","Dates=H","DateFormat=P","Fill=—","Direction=H","UseDPDF=Y")</f>
        <v>21022</v>
      </c>
      <c r="Q74" s="17">
        <f>_xll.BDH("AMZN US Equity","TOT_LIAB_AND_EQY","FQ3 2012","FQ3 2012","Currency=USD","Period=FQ","BEST_FPERIOD_OVERRIDE=FQ","FILING_STATUS=MR","SCALING_FORMAT=MLN","Sort=A","Dates=H","DateFormat=P","Fill=—","Direction=H","UseDPDF=Y")</f>
        <v>22834</v>
      </c>
      <c r="R74" s="17">
        <f>_xll.BDH("AMZN US Equity","TOT_LIAB_AND_EQY","FQ4 2012","FQ4 2012","Currency=USD","Period=FQ","BEST_FPERIOD_OVERRIDE=FQ","FILING_STATUS=MR","SCALING_FORMAT=MLN","Sort=A","Dates=H","DateFormat=P","Fill=—","Direction=H","UseDPDF=Y")</f>
        <v>32555</v>
      </c>
      <c r="S74" s="17">
        <f>_xll.BDH("AMZN US Equity","TOT_LIAB_AND_EQY","FQ1 2013","FQ1 2013","Currency=USD","Period=FQ","BEST_FPERIOD_OVERRIDE=FQ","FILING_STATUS=MR","SCALING_FORMAT=MLN","Sort=A","Dates=H","DateFormat=P","Fill=—","Direction=H","UseDPDF=Y")</f>
        <v>28377</v>
      </c>
      <c r="T74" s="17">
        <f>_xll.BDH("AMZN US Equity","TOT_LIAB_AND_EQY","FQ2 2013","FQ2 2013","Currency=USD","Period=FQ","BEST_FPERIOD_OVERRIDE=FQ","FILING_STATUS=MR","SCALING_FORMAT=MLN","Sort=A","Dates=H","DateFormat=P","Fill=—","Direction=H","UseDPDF=Y")</f>
        <v>29623</v>
      </c>
      <c r="U74" s="17">
        <f>_xll.BDH("AMZN US Equity","TOT_LIAB_AND_EQY","FQ3 2013","FQ3 2013","Currency=USD","Period=FQ","BEST_FPERIOD_OVERRIDE=FQ","FILING_STATUS=MR","SCALING_FORMAT=MLN","Sort=A","Dates=H","DateFormat=P","Fill=—","Direction=H","UseDPDF=Y")</f>
        <v>31861</v>
      </c>
      <c r="V74" s="17">
        <f>_xll.BDH("AMZN US Equity","TOT_LIAB_AND_EQY","FQ4 2013","FQ4 2013","Currency=USD","Period=FQ","BEST_FPERIOD_OVERRIDE=FQ","FILING_STATUS=MR","SCALING_FORMAT=MLN","Sort=A","Dates=H","DateFormat=P","Fill=—","Direction=H","UseDPDF=Y")</f>
        <v>40159</v>
      </c>
      <c r="W74" s="17">
        <f>_xll.BDH("AMZN US Equity","TOT_LIAB_AND_EQY","FQ1 2014","FQ1 2014","Currency=USD","Period=FQ","BEST_FPERIOD_OVERRIDE=FQ","FILING_STATUS=MR","SCALING_FORMAT=MLN","Sort=A","Dates=H","DateFormat=P","Fill=—","Direction=H","UseDPDF=Y")</f>
        <v>36364</v>
      </c>
      <c r="X74" s="17">
        <f>_xll.BDH("AMZN US Equity","TOT_LIAB_AND_EQY","FQ2 2014","FQ2 2014","Currency=USD","Period=FQ","BEST_FPERIOD_OVERRIDE=FQ","FILING_STATUS=MR","SCALING_FORMAT=MLN","Sort=A","Dates=H","DateFormat=P","Fill=—","Direction=H","UseDPDF=Y")</f>
        <v>37898</v>
      </c>
      <c r="Y74" s="17">
        <f>_xll.BDH("AMZN US Equity","TOT_LIAB_AND_EQY","FQ3 2014","FQ3 2014","Currency=USD","Period=FQ","BEST_FPERIOD_OVERRIDE=FQ","FILING_STATUS=MR","SCALING_FORMAT=MLN","Sort=A","Dates=H","DateFormat=P","Fill=—","Direction=H","UseDPDF=Y")</f>
        <v>40419</v>
      </c>
      <c r="Z74" s="17">
        <f>_xll.BDH("AMZN US Equity","TOT_LIAB_AND_EQY","FQ4 2014","FQ4 2014","Currency=USD","Period=FQ","BEST_FPERIOD_OVERRIDE=FQ","FILING_STATUS=MR","SCALING_FORMAT=MLN","Sort=A","Dates=H","DateFormat=P","Fill=—","Direction=H","UseDPDF=Y")</f>
        <v>54505</v>
      </c>
      <c r="AA74" s="17">
        <f>_xll.BDH("AMZN US Equity","TOT_LIAB_AND_EQY","FQ1 2015","FQ1 2015","Currency=USD","Period=FQ","BEST_FPERIOD_OVERRIDE=FQ","FILING_STATUS=MR","SCALING_FORMAT=MLN","Sort=A","Dates=H","DateFormat=P","Fill=—","Direction=H","UseDPDF=Y")</f>
        <v>50075</v>
      </c>
      <c r="AB74" s="17">
        <f>_xll.BDH("AMZN US Equity","TOT_LIAB_AND_EQY","FQ2 2015","FQ2 2015","Currency=USD","Period=FQ","BEST_FPERIOD_OVERRIDE=FQ","FILING_STATUS=MR","SCALING_FORMAT=MLN","Sort=A","Dates=H","DateFormat=P","Fill=—","Direction=H","UseDPDF=Y")</f>
        <v>52440</v>
      </c>
      <c r="AC74" s="17">
        <f>_xll.BDH("AMZN US Equity","TOT_LIAB_AND_EQY","FQ3 2015","FQ3 2015","Currency=USD","Period=FQ","BEST_FPERIOD_OVERRIDE=FQ","FILING_STATUS=MR","SCALING_FORMAT=MLN","Sort=A","Dates=H","DateFormat=P","Fill=—","Direction=H","UseDPDF=Y")</f>
        <v>56230</v>
      </c>
      <c r="AD74" s="17">
        <f>_xll.BDH("AMZN US Equity","TOT_LIAB_AND_EQY","FQ4 2015","FQ4 2015","Currency=USD","Period=FQ","BEST_FPERIOD_OVERRIDE=FQ","FILING_STATUS=MR","SCALING_FORMAT=MLN","Sort=A","Dates=H","DateFormat=P","Fill=—","Direction=H","UseDPDF=Y")</f>
        <v>64747</v>
      </c>
      <c r="AE74" s="17">
        <f>_xll.BDH("AMZN US Equity","TOT_LIAB_AND_EQY","FQ1 2016","FQ1 2016","Currency=USD","Period=FQ","BEST_FPERIOD_OVERRIDE=FQ","FILING_STATUS=MR","SCALING_FORMAT=MLN","Sort=A","Dates=H","DateFormat=P","Fill=—","Direction=H","UseDPDF=Y")</f>
        <v>61128</v>
      </c>
      <c r="AF74" s="17">
        <f>_xll.BDH("AMZN US Equity","TOT_LIAB_AND_EQY","FQ2 2016","FQ2 2016","Currency=USD","Period=FQ","BEST_FPERIOD_OVERRIDE=FQ","FILING_STATUS=MR","SCALING_FORMAT=MLN","Sort=A","Dates=H","DateFormat=P","Fill=—","Direction=H","UseDPDF=Y")</f>
        <v>65076</v>
      </c>
      <c r="AG74" s="17">
        <f>_xll.BDH("AMZN US Equity","TOT_LIAB_AND_EQY","FQ3 2016","FQ3 2016","Currency=USD","Period=FQ","BEST_FPERIOD_OVERRIDE=FQ","FILING_STATUS=MR","SCALING_FORMAT=MLN","Sort=A","Dates=H","DateFormat=P","Fill=—","Direction=H","UseDPDF=Y")</f>
        <v>70897</v>
      </c>
      <c r="AH74" s="17">
        <f>_xll.BDH("AMZN US Equity","TOT_LIAB_AND_EQY","FQ4 2016","FQ4 2016","Currency=USD","Period=FQ","BEST_FPERIOD_OVERRIDE=FQ","FILING_STATUS=MR","SCALING_FORMAT=MLN","Sort=A","Dates=H","DateFormat=P","Fill=—","Direction=H","UseDPDF=Y")</f>
        <v>83402</v>
      </c>
      <c r="AI74" s="17">
        <f>_xll.BDH("AMZN US Equity","TOT_LIAB_AND_EQY","FQ1 2017","FQ1 2017","Currency=USD","Period=FQ","BEST_FPERIOD_OVERRIDE=FQ","FILING_STATUS=MR","SCALING_FORMAT=MLN","Sort=A","Dates=H","DateFormat=P","Fill=—","Direction=H","UseDPDF=Y")</f>
        <v>80969</v>
      </c>
      <c r="AJ74" s="17">
        <f>_xll.BDH("AMZN US Equity","TOT_LIAB_AND_EQY","FQ2 2017","FQ2 2017","Currency=USD","Period=FQ","BEST_FPERIOD_OVERRIDE=FQ","FILING_STATUS=MR","SCALING_FORMAT=MLN","Sort=A","Dates=H","DateFormat=P","Fill=—","Direction=H","UseDPDF=Y")</f>
        <v>87781</v>
      </c>
      <c r="AK74" s="17">
        <f>_xll.BDH("AMZN US Equity","TOT_LIAB_AND_EQY","FQ3 2017","FQ3 2017","Currency=USD","Period=FQ","BEST_FPERIOD_OVERRIDE=FQ","FILING_STATUS=MR","SCALING_FORMAT=MLN","Sort=A","Dates=H","DateFormat=P","Fill=—","Direction=H","UseDPDF=Y")</f>
        <v>115267</v>
      </c>
      <c r="AL74" s="17">
        <f>_xll.BDH("AMZN US Equity","TOT_LIAB_AND_EQY","FQ4 2017","FQ4 2017","Currency=USD","Period=FQ","BEST_FPERIOD_OVERRIDE=FQ","FILING_STATUS=MR","SCALING_FORMAT=MLN","Sort=A","Dates=H","DateFormat=P","Fill=—","Direction=H","UseDPDF=Y")</f>
        <v>131310</v>
      </c>
      <c r="AM74" s="17">
        <f>_xll.BDH("AMZN US Equity","TOT_LIAB_AND_EQY","FQ1 2018","FQ1 2018","Currency=USD","Period=FQ","BEST_FPERIOD_OVERRIDE=FQ","FILING_STATUS=MR","SCALING_FORMAT=MLN","Sort=A","Dates=H","DateFormat=P","Fill=—","Direction=H","UseDPDF=Y")</f>
        <v>126362</v>
      </c>
      <c r="AN74" s="17">
        <f>_xll.BDH("AMZN US Equity","TOT_LIAB_AND_EQY","FQ2 2018","FQ2 2018","Currency=USD","Period=FQ","BEST_FPERIOD_OVERRIDE=FQ","FILING_STATUS=MR","SCALING_FORMAT=MLN","Sort=A","Dates=H","DateFormat=P","Fill=—","Direction=H","UseDPDF=Y")</f>
        <v>134100</v>
      </c>
    </row>
    <row r="75" spans="1:40" x14ac:dyDescent="0.25">
      <c r="A75" s="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</row>
    <row r="76" spans="1:40" x14ac:dyDescent="0.25">
      <c r="A76" s="6" t="s">
        <v>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</row>
    <row r="77" spans="1:40" x14ac:dyDescent="0.25">
      <c r="A77" s="10" t="s">
        <v>181</v>
      </c>
      <c r="B77" s="10" t="s">
        <v>182</v>
      </c>
      <c r="C77" s="12" t="s">
        <v>183</v>
      </c>
      <c r="D77" s="12" t="s">
        <v>183</v>
      </c>
      <c r="E77" s="12" t="s">
        <v>183</v>
      </c>
      <c r="F77" s="12" t="s">
        <v>183</v>
      </c>
      <c r="G77" s="12" t="s">
        <v>183</v>
      </c>
      <c r="H77" s="12" t="s">
        <v>183</v>
      </c>
      <c r="I77" s="12" t="s">
        <v>183</v>
      </c>
      <c r="J77" s="12" t="s">
        <v>183</v>
      </c>
      <c r="K77" s="12" t="s">
        <v>183</v>
      </c>
      <c r="L77" s="12" t="s">
        <v>183</v>
      </c>
      <c r="M77" s="12" t="s">
        <v>183</v>
      </c>
      <c r="N77" s="12" t="s">
        <v>183</v>
      </c>
      <c r="O77" s="12" t="s">
        <v>183</v>
      </c>
      <c r="P77" s="12" t="s">
        <v>183</v>
      </c>
      <c r="Q77" s="12" t="s">
        <v>183</v>
      </c>
      <c r="R77" s="12" t="s">
        <v>183</v>
      </c>
      <c r="S77" s="12" t="s">
        <v>183</v>
      </c>
      <c r="T77" s="12" t="s">
        <v>183</v>
      </c>
      <c r="U77" s="12" t="s">
        <v>183</v>
      </c>
      <c r="V77" s="12" t="s">
        <v>183</v>
      </c>
      <c r="W77" s="12" t="s">
        <v>183</v>
      </c>
      <c r="X77" s="12" t="s">
        <v>183</v>
      </c>
      <c r="Y77" s="12" t="s">
        <v>183</v>
      </c>
      <c r="Z77" s="12" t="s">
        <v>183</v>
      </c>
      <c r="AA77" s="12" t="s">
        <v>183</v>
      </c>
      <c r="AB77" s="12" t="s">
        <v>183</v>
      </c>
      <c r="AC77" s="12" t="s">
        <v>183</v>
      </c>
      <c r="AD77" s="12" t="s">
        <v>183</v>
      </c>
      <c r="AE77" s="12" t="s">
        <v>183</v>
      </c>
      <c r="AF77" s="12" t="s">
        <v>183</v>
      </c>
      <c r="AG77" s="12" t="s">
        <v>183</v>
      </c>
      <c r="AH77" s="12" t="s">
        <v>183</v>
      </c>
      <c r="AI77" s="12" t="s">
        <v>183</v>
      </c>
      <c r="AJ77" s="12" t="s">
        <v>183</v>
      </c>
      <c r="AK77" s="12" t="s">
        <v>183</v>
      </c>
      <c r="AL77" s="12" t="s">
        <v>183</v>
      </c>
      <c r="AM77" s="12" t="s">
        <v>183</v>
      </c>
      <c r="AN77" s="12" t="s">
        <v>183</v>
      </c>
    </row>
    <row r="78" spans="1:40" x14ac:dyDescent="0.25">
      <c r="A78" s="10" t="s">
        <v>338</v>
      </c>
      <c r="B78" s="10" t="s">
        <v>339</v>
      </c>
      <c r="C78" s="13">
        <f>_xll.BDH("AMZN US Equity","BS_SH_OUT","FQ1 2009","FQ1 2009","Currency=USD","Period=FQ","BEST_FPERIOD_OVERRIDE=FQ","FILING_STATUS=MR","Sort=A","Dates=H","DateFormat=P","Fill=—","Direction=H","UseDPDF=Y")</f>
        <v>429</v>
      </c>
      <c r="D78" s="13">
        <f>_xll.BDH("AMZN US Equity","BS_SH_OUT","FQ2 2009","FQ2 2009","Currency=USD","Period=FQ","BEST_FPERIOD_OVERRIDE=FQ","FILING_STATUS=MR","Sort=A","Dates=H","DateFormat=P","Fill=—","Direction=H","UseDPDF=Y")</f>
        <v>432</v>
      </c>
      <c r="E78" s="13">
        <f>_xll.BDH("AMZN US Equity","BS_SH_OUT","FQ3 2009","FQ3 2009","Currency=USD","Period=FQ","BEST_FPERIOD_OVERRIDE=FQ","FILING_STATUS=MR","Sort=A","Dates=H","DateFormat=P","Fill=—","Direction=H","UseDPDF=Y")</f>
        <v>433</v>
      </c>
      <c r="F78" s="13">
        <f>_xll.BDH("AMZN US Equity","BS_SH_OUT","FQ4 2009","FQ4 2009","Currency=USD","Period=FQ","BEST_FPERIOD_OVERRIDE=FQ","FILING_STATUS=MR","Sort=A","Dates=H","DateFormat=P","Fill=—","Direction=H","UseDPDF=Y")</f>
        <v>444</v>
      </c>
      <c r="G78" s="13">
        <f>_xll.BDH("AMZN US Equity","BS_SH_OUT","FQ1 2010","FQ1 2010","Currency=USD","Period=FQ","BEST_FPERIOD_OVERRIDE=FQ","FILING_STATUS=MR","Sort=A","Dates=H","DateFormat=P","Fill=—","Direction=H","UseDPDF=Y")</f>
        <v>446</v>
      </c>
      <c r="H78" s="13">
        <f>_xll.BDH("AMZN US Equity","BS_SH_OUT","FQ2 2010","FQ2 2010","Currency=USD","Period=FQ","BEST_FPERIOD_OVERRIDE=FQ","FILING_STATUS=MR","Sort=A","Dates=H","DateFormat=P","Fill=—","Direction=H","UseDPDF=Y")</f>
        <v>448</v>
      </c>
      <c r="I78" s="13">
        <f>_xll.BDH("AMZN US Equity","BS_SH_OUT","FQ3 2010","FQ3 2010","Currency=USD","Period=FQ","BEST_FPERIOD_OVERRIDE=FQ","FILING_STATUS=MR","Sort=A","Dates=H","DateFormat=P","Fill=—","Direction=H","UseDPDF=Y")</f>
        <v>449</v>
      </c>
      <c r="J78" s="13">
        <f>_xll.BDH("AMZN US Equity","BS_SH_OUT","FQ4 2010","FQ4 2010","Currency=USD","Period=FQ","BEST_FPERIOD_OVERRIDE=FQ","FILING_STATUS=MR","Sort=A","Dates=H","DateFormat=P","Fill=—","Direction=H","UseDPDF=Y")</f>
        <v>451</v>
      </c>
      <c r="K78" s="13">
        <f>_xll.BDH("AMZN US Equity","BS_SH_OUT","FQ1 2011","FQ1 2011","Currency=USD","Period=FQ","BEST_FPERIOD_OVERRIDE=FQ","FILING_STATUS=MR","Sort=A","Dates=H","DateFormat=P","Fill=—","Direction=H","UseDPDF=Y")</f>
        <v>452</v>
      </c>
      <c r="L78" s="13">
        <f>_xll.BDH("AMZN US Equity","BS_SH_OUT","FQ2 2011","FQ2 2011","Currency=USD","Period=FQ","BEST_FPERIOD_OVERRIDE=FQ","FILING_STATUS=MR","Sort=A","Dates=H","DateFormat=P","Fill=—","Direction=H","UseDPDF=Y")</f>
        <v>454</v>
      </c>
      <c r="M78" s="13">
        <f>_xll.BDH("AMZN US Equity","BS_SH_OUT","FQ3 2011","FQ3 2011","Currency=USD","Period=FQ","BEST_FPERIOD_OVERRIDE=FQ","FILING_STATUS=MR","Sort=A","Dates=H","DateFormat=P","Fill=—","Direction=H","UseDPDF=Y")</f>
        <v>455</v>
      </c>
      <c r="N78" s="13">
        <f>_xll.BDH("AMZN US Equity","BS_SH_OUT","FQ4 2011","FQ4 2011","Currency=USD","Period=FQ","BEST_FPERIOD_OVERRIDE=FQ","FILING_STATUS=MR","Sort=A","Dates=H","DateFormat=P","Fill=—","Direction=H","UseDPDF=Y")</f>
        <v>455</v>
      </c>
      <c r="O78" s="13">
        <f>_xll.BDH("AMZN US Equity","BS_SH_OUT","FQ1 2012","FQ1 2012","Currency=USD","Period=FQ","BEST_FPERIOD_OVERRIDE=FQ","FILING_STATUS=MR","Sort=A","Dates=H","DateFormat=P","Fill=—","Direction=H","UseDPDF=Y")</f>
        <v>450</v>
      </c>
      <c r="P78" s="13">
        <f>_xll.BDH("AMZN US Equity","BS_SH_OUT","FQ2 2012","FQ2 2012","Currency=USD","Period=FQ","BEST_FPERIOD_OVERRIDE=FQ","FILING_STATUS=MR","Sort=A","Dates=H","DateFormat=P","Fill=—","Direction=H","UseDPDF=Y")</f>
        <v>452</v>
      </c>
      <c r="Q78" s="13">
        <f>_xll.BDH("AMZN US Equity","BS_SH_OUT","FQ3 2012","FQ3 2012","Currency=USD","Period=FQ","BEST_FPERIOD_OVERRIDE=FQ","FILING_STATUS=MR","Sort=A","Dates=H","DateFormat=P","Fill=—","Direction=H","UseDPDF=Y")</f>
        <v>453</v>
      </c>
      <c r="R78" s="13">
        <f>_xll.BDH("AMZN US Equity","BS_SH_OUT","FQ4 2012","FQ4 2012","Currency=USD","Period=FQ","BEST_FPERIOD_OVERRIDE=FQ","FILING_STATUS=MR","Sort=A","Dates=H","DateFormat=P","Fill=—","Direction=H","UseDPDF=Y")</f>
        <v>454</v>
      </c>
      <c r="S78" s="13">
        <f>_xll.BDH("AMZN US Equity","BS_SH_OUT","FQ1 2013","FQ1 2013","Currency=USD","Period=FQ","BEST_FPERIOD_OVERRIDE=FQ","FILING_STATUS=MR","Sort=A","Dates=H","DateFormat=P","Fill=—","Direction=H","UseDPDF=Y")</f>
        <v>455</v>
      </c>
      <c r="T78" s="13">
        <f>_xll.BDH("AMZN US Equity","BS_SH_OUT","FQ2 2013","FQ2 2013","Currency=USD","Period=FQ","BEST_FPERIOD_OVERRIDE=FQ","FILING_STATUS=MR","Sort=A","Dates=H","DateFormat=P","Fill=—","Direction=H","UseDPDF=Y")</f>
        <v>457</v>
      </c>
      <c r="U78" s="13">
        <f>_xll.BDH("AMZN US Equity","BS_SH_OUT","FQ3 2013","FQ3 2013","Currency=USD","Period=FQ","BEST_FPERIOD_OVERRIDE=FQ","FILING_STATUS=MR","Sort=A","Dates=H","DateFormat=P","Fill=—","Direction=H","UseDPDF=Y")</f>
        <v>458</v>
      </c>
      <c r="V78" s="13">
        <f>_xll.BDH("AMZN US Equity","BS_SH_OUT","FQ4 2013","FQ4 2013","Currency=USD","Period=FQ","BEST_FPERIOD_OVERRIDE=FQ","FILING_STATUS=MR","Sort=A","Dates=H","DateFormat=P","Fill=—","Direction=H","UseDPDF=Y")</f>
        <v>459</v>
      </c>
      <c r="W78" s="13">
        <f>_xll.BDH("AMZN US Equity","BS_SH_OUT","FQ1 2014","FQ1 2014","Currency=USD","Period=FQ","BEST_FPERIOD_OVERRIDE=FQ","FILING_STATUS=MR","Sort=A","Dates=H","DateFormat=P","Fill=—","Direction=H","UseDPDF=Y")</f>
        <v>460</v>
      </c>
      <c r="X78" s="13">
        <f>_xll.BDH("AMZN US Equity","BS_SH_OUT","FQ2 2014","FQ2 2014","Currency=USD","Period=FQ","BEST_FPERIOD_OVERRIDE=FQ","FILING_STATUS=MR","Sort=A","Dates=H","DateFormat=P","Fill=—","Direction=H","UseDPDF=Y")</f>
        <v>462</v>
      </c>
      <c r="Y78" s="13">
        <f>_xll.BDH("AMZN US Equity","BS_SH_OUT","FQ3 2014","FQ3 2014","Currency=USD","Period=FQ","BEST_FPERIOD_OVERRIDE=FQ","FILING_STATUS=MR","Sort=A","Dates=H","DateFormat=P","Fill=—","Direction=H","UseDPDF=Y")</f>
        <v>463</v>
      </c>
      <c r="Z78" s="13">
        <f>_xll.BDH("AMZN US Equity","BS_SH_OUT","FQ4 2014","FQ4 2014","Currency=USD","Period=FQ","BEST_FPERIOD_OVERRIDE=FQ","FILING_STATUS=MR","Sort=A","Dates=H","DateFormat=P","Fill=—","Direction=H","UseDPDF=Y")</f>
        <v>465</v>
      </c>
      <c r="AA78" s="13">
        <f>_xll.BDH("AMZN US Equity","BS_SH_OUT","FQ1 2015","FQ1 2015","Currency=USD","Period=FQ","BEST_FPERIOD_OVERRIDE=FQ","FILING_STATUS=MR","Sort=A","Dates=H","DateFormat=P","Fill=—","Direction=H","UseDPDF=Y")</f>
        <v>466</v>
      </c>
      <c r="AB78" s="13">
        <f>_xll.BDH("AMZN US Equity","BS_SH_OUT","FQ2 2015","FQ2 2015","Currency=USD","Period=FQ","BEST_FPERIOD_OVERRIDE=FQ","FILING_STATUS=MR","Sort=A","Dates=H","DateFormat=P","Fill=—","Direction=H","UseDPDF=Y")</f>
        <v>468</v>
      </c>
      <c r="AC78" s="13">
        <f>_xll.BDH("AMZN US Equity","BS_SH_OUT","FQ3 2015","FQ3 2015","Currency=USD","Period=FQ","BEST_FPERIOD_OVERRIDE=FQ","FILING_STATUS=MR","Sort=A","Dates=H","DateFormat=P","Fill=—","Direction=H","UseDPDF=Y")</f>
        <v>469</v>
      </c>
      <c r="AD78" s="13">
        <f>_xll.BDH("AMZN US Equity","BS_SH_OUT","FQ4 2015","FQ4 2015","Currency=USD","Period=FQ","BEST_FPERIOD_OVERRIDE=FQ","FILING_STATUS=MR","Sort=A","Dates=H","DateFormat=P","Fill=—","Direction=H","UseDPDF=Y")</f>
        <v>471</v>
      </c>
      <c r="AE78" s="13">
        <f>_xll.BDH("AMZN US Equity","BS_SH_OUT","FQ1 2016","FQ1 2016","Currency=USD","Period=FQ","BEST_FPERIOD_OVERRIDE=FQ","FILING_STATUS=MR","Sort=A","Dates=H","DateFormat=P","Fill=—","Direction=H","UseDPDF=Y")</f>
        <v>472</v>
      </c>
      <c r="AF78" s="13">
        <f>_xll.BDH("AMZN US Equity","BS_SH_OUT","FQ2 2016","FQ2 2016","Currency=USD","Period=FQ","BEST_FPERIOD_OVERRIDE=FQ","FILING_STATUS=MR","Sort=A","Dates=H","DateFormat=P","Fill=—","Direction=H","UseDPDF=Y")</f>
        <v>474</v>
      </c>
      <c r="AG78" s="13">
        <f>_xll.BDH("AMZN US Equity","BS_SH_OUT","FQ3 2016","FQ3 2016","Currency=USD","Period=FQ","BEST_FPERIOD_OVERRIDE=FQ","FILING_STATUS=MR","Sort=A","Dates=H","DateFormat=P","Fill=—","Direction=H","UseDPDF=Y")</f>
        <v>475</v>
      </c>
      <c r="AH78" s="13">
        <f>_xll.BDH("AMZN US Equity","BS_SH_OUT","FQ4 2016","FQ4 2016","Currency=USD","Period=FQ","BEST_FPERIOD_OVERRIDE=FQ","FILING_STATUS=MR","Sort=A","Dates=H","DateFormat=P","Fill=—","Direction=H","UseDPDF=Y")</f>
        <v>477</v>
      </c>
      <c r="AI78" s="13">
        <f>_xll.BDH("AMZN US Equity","BS_SH_OUT","FQ1 2017","FQ1 2017","Currency=USD","Period=FQ","BEST_FPERIOD_OVERRIDE=FQ","FILING_STATUS=MR","Sort=A","Dates=H","DateFormat=P","Fill=—","Direction=H","UseDPDF=Y")</f>
        <v>478</v>
      </c>
      <c r="AJ78" s="13">
        <f>_xll.BDH("AMZN US Equity","BS_SH_OUT","FQ2 2017","FQ2 2017","Currency=USD","Period=FQ","BEST_FPERIOD_OVERRIDE=FQ","FILING_STATUS=MR","Sort=A","Dates=H","DateFormat=P","Fill=—","Direction=H","UseDPDF=Y")</f>
        <v>480</v>
      </c>
      <c r="AK78" s="13">
        <f>_xll.BDH("AMZN US Equity","BS_SH_OUT","FQ3 2017","FQ3 2017","Currency=USD","Period=FQ","BEST_FPERIOD_OVERRIDE=FQ","FILING_STATUS=MR","Sort=A","Dates=H","DateFormat=P","Fill=—","Direction=H","UseDPDF=Y")</f>
        <v>482</v>
      </c>
      <c r="AL78" s="13">
        <f>_xll.BDH("AMZN US Equity","BS_SH_OUT","FQ4 2017","FQ4 2017","Currency=USD","Period=FQ","BEST_FPERIOD_OVERRIDE=FQ","FILING_STATUS=MR","Sort=A","Dates=H","DateFormat=P","Fill=—","Direction=H","UseDPDF=Y")</f>
        <v>484</v>
      </c>
      <c r="AM78" s="13">
        <f>_xll.BDH("AMZN US Equity","BS_SH_OUT","FQ1 2018","FQ1 2018","Currency=USD","Period=FQ","BEST_FPERIOD_OVERRIDE=FQ","FILING_STATUS=MR","Sort=A","Dates=H","DateFormat=P","Fill=—","Direction=H","UseDPDF=Y")</f>
        <v>484</v>
      </c>
      <c r="AN78" s="13">
        <f>_xll.BDH("AMZN US Equity","BS_SH_OUT","FQ2 2018","FQ2 2018","Currency=USD","Period=FQ","BEST_FPERIOD_OVERRIDE=FQ","FILING_STATUS=MR","Sort=A","Dates=H","DateFormat=P","Fill=—","Direction=H","UseDPDF=Y")</f>
        <v>487</v>
      </c>
    </row>
    <row r="79" spans="1:40" x14ac:dyDescent="0.25">
      <c r="A79" s="10" t="s">
        <v>340</v>
      </c>
      <c r="B79" s="10" t="s">
        <v>341</v>
      </c>
      <c r="C79" s="13">
        <f>_xll.BDH("AMZN US Equity","BS_NUM_OF_TSY_SH","FQ1 2009","FQ1 2009","Currency=USD","Period=FQ","BEST_FPERIOD_OVERRIDE=FQ","FILING_STATUS=MR","Sort=A","Dates=H","DateFormat=P","Fill=—","Direction=H","UseDPDF=Y")</f>
        <v>17</v>
      </c>
      <c r="D79" s="13">
        <f>_xll.BDH("AMZN US Equity","BS_NUM_OF_TSY_SH","FQ2 2009","FQ2 2009","Currency=USD","Period=FQ","BEST_FPERIOD_OVERRIDE=FQ","FILING_STATUS=MR","Sort=A","Dates=H","DateFormat=P","Fill=—","Direction=H","UseDPDF=Y")</f>
        <v>16</v>
      </c>
      <c r="E79" s="13">
        <f>_xll.BDH("AMZN US Equity","BS_NUM_OF_TSY_SH","FQ3 2009","FQ3 2009","Currency=USD","Period=FQ","BEST_FPERIOD_OVERRIDE=FQ","FILING_STATUS=MR","Sort=A","Dates=H","DateFormat=P","Fill=—","Direction=H","UseDPDF=Y")</f>
        <v>16</v>
      </c>
      <c r="F79" s="13">
        <f>_xll.BDH("AMZN US Equity","BS_NUM_OF_TSY_SH","FQ4 2009","FQ4 2009","Currency=USD","Period=FQ","BEST_FPERIOD_OVERRIDE=FQ","FILING_STATUS=MR","Sort=A","Dates=H","DateFormat=P","Fill=—","Direction=H","UseDPDF=Y")</f>
        <v>17</v>
      </c>
      <c r="G79" s="13">
        <f>_xll.BDH("AMZN US Equity","BS_NUM_OF_TSY_SH","FQ1 2010","FQ1 2010","Currency=USD","Period=FQ","BEST_FPERIOD_OVERRIDE=FQ","FILING_STATUS=MR","Sort=A","Dates=H","DateFormat=P","Fill=—","Direction=H","UseDPDF=Y")</f>
        <v>16</v>
      </c>
      <c r="H79" s="13">
        <f>_xll.BDH("AMZN US Equity","BS_NUM_OF_TSY_SH","FQ2 2010","FQ2 2010","Currency=USD","Period=FQ","BEST_FPERIOD_OVERRIDE=FQ","FILING_STATUS=MR","Sort=A","Dates=H","DateFormat=P","Fill=—","Direction=H","UseDPDF=Y")</f>
        <v>16</v>
      </c>
      <c r="I79" s="13">
        <f>_xll.BDH("AMZN US Equity","BS_NUM_OF_TSY_SH","FQ3 2010","FQ3 2010","Currency=USD","Period=FQ","BEST_FPERIOD_OVERRIDE=FQ","FILING_STATUS=MR","Sort=A","Dates=H","DateFormat=P","Fill=—","Direction=H","UseDPDF=Y")</f>
        <v>17</v>
      </c>
      <c r="J79" s="13">
        <f>_xll.BDH("AMZN US Equity","BS_NUM_OF_TSY_SH","FQ4 2010","FQ4 2010","Currency=USD","Period=FQ","BEST_FPERIOD_OVERRIDE=FQ","FILING_STATUS=MR","Sort=A","Dates=H","DateFormat=P","Fill=—","Direction=H","UseDPDF=Y")</f>
        <v>17</v>
      </c>
      <c r="K79" s="13">
        <f>_xll.BDH("AMZN US Equity","BS_NUM_OF_TSY_SH","FQ1 2011","FQ1 2011","Currency=USD","Period=FQ","BEST_FPERIOD_OVERRIDE=FQ","FILING_STATUS=MR","Sort=A","Dates=H","DateFormat=P","Fill=—","Direction=H","UseDPDF=Y")</f>
        <v>17</v>
      </c>
      <c r="L79" s="13">
        <f>_xll.BDH("AMZN US Equity","BS_NUM_OF_TSY_SH","FQ2 2011","FQ2 2011","Currency=USD","Period=FQ","BEST_FPERIOD_OVERRIDE=FQ","FILING_STATUS=MR","Sort=A","Dates=H","DateFormat=P","Fill=—","Direction=H","UseDPDF=Y")</f>
        <v>17</v>
      </c>
      <c r="M79" s="13">
        <f>_xll.BDH("AMZN US Equity","BS_NUM_OF_TSY_SH","FQ3 2011","FQ3 2011","Currency=USD","Period=FQ","BEST_FPERIOD_OVERRIDE=FQ","FILING_STATUS=MR","Sort=A","Dates=H","DateFormat=P","Fill=—","Direction=H","UseDPDF=Y")</f>
        <v>16</v>
      </c>
      <c r="N79" s="13">
        <f>_xll.BDH("AMZN US Equity","BS_NUM_OF_TSY_SH","FQ4 2011","FQ4 2011","Currency=USD","Period=FQ","BEST_FPERIOD_OVERRIDE=FQ","FILING_STATUS=MR","Sort=A","Dates=H","DateFormat=P","Fill=—","Direction=H","UseDPDF=Y")</f>
        <v>18</v>
      </c>
      <c r="O79" s="13">
        <f>_xll.BDH("AMZN US Equity","BS_NUM_OF_TSY_SH","FQ1 2012","FQ1 2012","Currency=USD","Period=FQ","BEST_FPERIOD_OVERRIDE=FQ","FILING_STATUS=MR","Sort=A","Dates=H","DateFormat=P","Fill=—","Direction=H","UseDPDF=Y")</f>
        <v>24</v>
      </c>
      <c r="P79" s="13">
        <f>_xll.BDH("AMZN US Equity","BS_NUM_OF_TSY_SH","FQ2 2012","FQ2 2012","Currency=USD","Period=FQ","BEST_FPERIOD_OVERRIDE=FQ","FILING_STATUS=MR","Sort=A","Dates=H","DateFormat=P","Fill=—","Direction=H","UseDPDF=Y")</f>
        <v>24</v>
      </c>
      <c r="Q79" s="13">
        <f>_xll.BDH("AMZN US Equity","BS_NUM_OF_TSY_SH","FQ3 2012","FQ3 2012","Currency=USD","Period=FQ","BEST_FPERIOD_OVERRIDE=FQ","FILING_STATUS=MR","Sort=A","Dates=H","DateFormat=P","Fill=—","Direction=H","UseDPDF=Y")</f>
        <v>23</v>
      </c>
      <c r="R79" s="13">
        <f>_xll.BDH("AMZN US Equity","BS_NUM_OF_TSY_SH","FQ4 2012","FQ4 2012","Currency=USD","Period=FQ","BEST_FPERIOD_OVERRIDE=FQ","FILING_STATUS=MR","Sort=A","Dates=H","DateFormat=P","Fill=—","Direction=H","UseDPDF=Y")</f>
        <v>24</v>
      </c>
      <c r="S79" s="13">
        <f>_xll.BDH("AMZN US Equity","BS_NUM_OF_TSY_SH","FQ1 2013","FQ1 2013","Currency=USD","Period=FQ","BEST_FPERIOD_OVERRIDE=FQ","FILING_STATUS=MR","Sort=A","Dates=H","DateFormat=P","Fill=—","Direction=H","UseDPDF=Y")</f>
        <v>24</v>
      </c>
      <c r="T79" s="13">
        <f>_xll.BDH("AMZN US Equity","BS_NUM_OF_TSY_SH","FQ2 2013","FQ2 2013","Currency=USD","Period=FQ","BEST_FPERIOD_OVERRIDE=FQ","FILING_STATUS=MR","Sort=A","Dates=H","DateFormat=P","Fill=—","Direction=H","UseDPDF=Y")</f>
        <v>23</v>
      </c>
      <c r="U79" s="13">
        <f>_xll.BDH("AMZN US Equity","BS_NUM_OF_TSY_SH","FQ3 2013","FQ3 2013","Currency=USD","Period=FQ","BEST_FPERIOD_OVERRIDE=FQ","FILING_STATUS=MR","Sort=A","Dates=H","DateFormat=P","Fill=—","Direction=H","UseDPDF=Y")</f>
        <v>23</v>
      </c>
      <c r="V79" s="13">
        <f>_xll.BDH("AMZN US Equity","BS_NUM_OF_TSY_SH","FQ4 2013","FQ4 2013","Currency=USD","Period=FQ","BEST_FPERIOD_OVERRIDE=FQ","FILING_STATUS=MR","Sort=A","Dates=H","DateFormat=P","Fill=—","Direction=H","UseDPDF=Y")</f>
        <v>24</v>
      </c>
      <c r="W79" s="13">
        <f>_xll.BDH("AMZN US Equity","BS_NUM_OF_TSY_SH","FQ1 2014","FQ1 2014","Currency=USD","Period=FQ","BEST_FPERIOD_OVERRIDE=FQ","FILING_STATUS=MR","Sort=A","Dates=H","DateFormat=P","Fill=—","Direction=H","UseDPDF=Y")</f>
        <v>24</v>
      </c>
      <c r="X79" s="13">
        <f>_xll.BDH("AMZN US Equity","BS_NUM_OF_TSY_SH","FQ2 2014","FQ2 2014","Currency=USD","Period=FQ","BEST_FPERIOD_OVERRIDE=FQ","FILING_STATUS=MR","Sort=A","Dates=H","DateFormat=P","Fill=—","Direction=H","UseDPDF=Y")</f>
        <v>24</v>
      </c>
      <c r="Y79" s="13">
        <f>_xll.BDH("AMZN US Equity","BS_NUM_OF_TSY_SH","FQ3 2014","FQ3 2014","Currency=USD","Period=FQ","BEST_FPERIOD_OVERRIDE=FQ","FILING_STATUS=MR","Sort=A","Dates=H","DateFormat=P","Fill=—","Direction=H","UseDPDF=Y")</f>
        <v>24</v>
      </c>
      <c r="Z79" s="13">
        <f>_xll.BDH("AMZN US Equity","BS_NUM_OF_TSY_SH","FQ4 2014","FQ4 2014","Currency=USD","Period=FQ","BEST_FPERIOD_OVERRIDE=FQ","FILING_STATUS=MR","Sort=A","Dates=H","DateFormat=P","Fill=—","Direction=H","UseDPDF=Y")</f>
        <v>23</v>
      </c>
      <c r="AA79" s="13">
        <f>_xll.BDH("AMZN US Equity","BS_NUM_OF_TSY_SH","FQ1 2015","FQ1 2015","Currency=USD","Period=FQ","BEST_FPERIOD_OVERRIDE=FQ","FILING_STATUS=MR","Sort=A","Dates=H","DateFormat=P","Fill=—","Direction=H","UseDPDF=Y")</f>
        <v>23</v>
      </c>
      <c r="AB79" s="13">
        <f>_xll.BDH("AMZN US Equity","BS_NUM_OF_TSY_SH","FQ2 2015","FQ2 2015","Currency=USD","Period=FQ","BEST_FPERIOD_OVERRIDE=FQ","FILING_STATUS=MR","Sort=A","Dates=H","DateFormat=P","Fill=—","Direction=H","UseDPDF=Y")</f>
        <v>23</v>
      </c>
      <c r="AC79" s="13">
        <f>_xll.BDH("AMZN US Equity","BS_NUM_OF_TSY_SH","FQ3 2015","FQ3 2015","Currency=USD","Period=FQ","BEST_FPERIOD_OVERRIDE=FQ","FILING_STATUS=MR","Sort=A","Dates=H","DateFormat=P","Fill=—","Direction=H","UseDPDF=Y")</f>
        <v>23</v>
      </c>
      <c r="AD79" s="13">
        <f>_xll.BDH("AMZN US Equity","BS_NUM_OF_TSY_SH","FQ4 2015","FQ4 2015","Currency=USD","Period=FQ","BEST_FPERIOD_OVERRIDE=FQ","FILING_STATUS=MR","Sort=A","Dates=H","DateFormat=P","Fill=—","Direction=H","UseDPDF=Y")</f>
        <v>23</v>
      </c>
      <c r="AE79" s="13">
        <f>_xll.BDH("AMZN US Equity","BS_NUM_OF_TSY_SH","FQ1 2016","FQ1 2016","Currency=USD","Period=FQ","BEST_FPERIOD_OVERRIDE=FQ","FILING_STATUS=MR","Sort=A","Dates=H","DateFormat=P","Fill=—","Direction=H","UseDPDF=Y")</f>
        <v>23</v>
      </c>
      <c r="AF79" s="13">
        <f>_xll.BDH("AMZN US Equity","BS_NUM_OF_TSY_SH","FQ2 2016","FQ2 2016","Currency=USD","Period=FQ","BEST_FPERIOD_OVERRIDE=FQ","FILING_STATUS=MR","Sort=A","Dates=H","DateFormat=P","Fill=—","Direction=H","UseDPDF=Y")</f>
        <v>23</v>
      </c>
      <c r="AG79" s="13">
        <f>_xll.BDH("AMZN US Equity","BS_NUM_OF_TSY_SH","FQ3 2016","FQ3 2016","Currency=USD","Period=FQ","BEST_FPERIOD_OVERRIDE=FQ","FILING_STATUS=MR","Sort=A","Dates=H","DateFormat=P","Fill=—","Direction=H","UseDPDF=Y")</f>
        <v>23</v>
      </c>
      <c r="AH79" s="13">
        <f>_xll.BDH("AMZN US Equity","BS_NUM_OF_TSY_SH","FQ4 2016","FQ4 2016","Currency=USD","Period=FQ","BEST_FPERIOD_OVERRIDE=FQ","FILING_STATUS=MR","Sort=A","Dates=H","DateFormat=P","Fill=—","Direction=H","UseDPDF=Y")</f>
        <v>23</v>
      </c>
      <c r="AI79" s="13">
        <f>_xll.BDH("AMZN US Equity","BS_NUM_OF_TSY_SH","FQ1 2017","FQ1 2017","Currency=USD","Period=FQ","BEST_FPERIOD_OVERRIDE=FQ","FILING_STATUS=MR","Sort=A","Dates=H","DateFormat=P","Fill=—","Direction=H","UseDPDF=Y")</f>
        <v>23</v>
      </c>
      <c r="AJ79" s="13">
        <f>_xll.BDH("AMZN US Equity","BS_NUM_OF_TSY_SH","FQ2 2017","FQ2 2017","Currency=USD","Period=FQ","BEST_FPERIOD_OVERRIDE=FQ","FILING_STATUS=MR","Sort=A","Dates=H","DateFormat=P","Fill=—","Direction=H","UseDPDF=Y")</f>
        <v>24</v>
      </c>
      <c r="AK79" s="13">
        <f>_xll.BDH("AMZN US Equity","BS_NUM_OF_TSY_SH","FQ3 2017","FQ3 2017","Currency=USD","Period=FQ","BEST_FPERIOD_OVERRIDE=FQ","FILING_STATUS=MR","Sort=A","Dates=H","DateFormat=P","Fill=—","Direction=H","UseDPDF=Y")</f>
        <v>23</v>
      </c>
      <c r="AL79" s="13">
        <f>_xll.BDH("AMZN US Equity","BS_NUM_OF_TSY_SH","FQ4 2017","FQ4 2017","Currency=USD","Period=FQ","BEST_FPERIOD_OVERRIDE=FQ","FILING_STATUS=MR","Sort=A","Dates=H","DateFormat=P","Fill=—","Direction=H","UseDPDF=Y")</f>
        <v>23</v>
      </c>
      <c r="AM79" s="13">
        <f>_xll.BDH("AMZN US Equity","BS_NUM_OF_TSY_SH","FQ1 2018","FQ1 2018","Currency=USD","Period=FQ","BEST_FPERIOD_OVERRIDE=FQ","FILING_STATUS=MR","Sort=A","Dates=H","DateFormat=P","Fill=—","Direction=H","UseDPDF=Y")</f>
        <v>24</v>
      </c>
      <c r="AN79" s="13">
        <f>_xll.BDH("AMZN US Equity","BS_NUM_OF_TSY_SH","FQ2 2018","FQ2 2018","Currency=USD","Period=FQ","BEST_FPERIOD_OVERRIDE=FQ","FILING_STATUS=MR","Sort=A","Dates=H","DateFormat=P","Fill=—","Direction=H","UseDPDF=Y")</f>
        <v>24</v>
      </c>
    </row>
    <row r="80" spans="1:40" x14ac:dyDescent="0.25">
      <c r="A80" s="10" t="s">
        <v>342</v>
      </c>
      <c r="B80" s="10" t="s">
        <v>343</v>
      </c>
      <c r="C80" s="13">
        <f>_xll.BDH("AMZN US Equity","BS_PENSION_RSRV","FQ1 2009","FQ1 2009","Currency=USD","Period=FQ","BEST_FPERIOD_OVERRIDE=FQ","FILING_STATUS=MR","SCALING_FORMAT=MLN","Sort=A","Dates=H","DateFormat=P","Fill=—","Direction=H","UseDPDF=Y")</f>
        <v>0</v>
      </c>
      <c r="D80" s="13">
        <f>_xll.BDH("AMZN US Equity","BS_PENSION_RSRV","FQ2 2009","FQ2 2009","Currency=USD","Period=FQ","BEST_FPERIOD_OVERRIDE=FQ","FILING_STATUS=MR","SCALING_FORMAT=MLN","Sort=A","Dates=H","DateFormat=P","Fill=—","Direction=H","UseDPDF=Y")</f>
        <v>0</v>
      </c>
      <c r="E80" s="13">
        <f>_xll.BDH("AMZN US Equity","BS_PENSION_RSRV","FQ3 2009","FQ3 2009","Currency=USD","Period=FQ","BEST_FPERIOD_OVERRIDE=FQ","FILING_STATUS=MR","SCALING_FORMAT=MLN","Sort=A","Dates=H","DateFormat=P","Fill=—","Direction=H","UseDPDF=Y")</f>
        <v>0</v>
      </c>
      <c r="F80" s="13">
        <f>_xll.BDH("AMZN US Equity","BS_PENSION_RSRV","FQ4 2009","FQ4 2009","Currency=USD","Period=FQ","BEST_FPERIOD_OVERRIDE=FQ","FILING_STATUS=MR","SCALING_FORMAT=MLN","Sort=A","Dates=H","DateFormat=P","Fill=—","Direction=H","UseDPDF=Y")</f>
        <v>0</v>
      </c>
      <c r="G80" s="13">
        <f>_xll.BDH("AMZN US Equity","BS_PENSION_RSRV","FQ1 2010","FQ1 2010","Currency=USD","Period=FQ","BEST_FPERIOD_OVERRIDE=FQ","FILING_STATUS=MR","SCALING_FORMAT=MLN","Sort=A","Dates=H","DateFormat=P","Fill=—","Direction=H","UseDPDF=Y")</f>
        <v>0</v>
      </c>
      <c r="H80" s="13">
        <f>_xll.BDH("AMZN US Equity","BS_PENSION_RSRV","FQ2 2010","FQ2 2010","Currency=USD","Period=FQ","BEST_FPERIOD_OVERRIDE=FQ","FILING_STATUS=MR","SCALING_FORMAT=MLN","Sort=A","Dates=H","DateFormat=P","Fill=—","Direction=H","UseDPDF=Y")</f>
        <v>0</v>
      </c>
      <c r="I80" s="13">
        <f>_xll.BDH("AMZN US Equity","BS_PENSION_RSRV","FQ3 2010","FQ3 2010","Currency=USD","Period=FQ","BEST_FPERIOD_OVERRIDE=FQ","FILING_STATUS=MR","SCALING_FORMAT=MLN","Sort=A","Dates=H","DateFormat=P","Fill=—","Direction=H","UseDPDF=Y")</f>
        <v>0</v>
      </c>
      <c r="J80" s="13">
        <f>_xll.BDH("AMZN US Equity","BS_PENSION_RSRV","FQ4 2010","FQ4 2010","Currency=USD","Period=FQ","BEST_FPERIOD_OVERRIDE=FQ","FILING_STATUS=MR","SCALING_FORMAT=MLN","Sort=A","Dates=H","DateFormat=P","Fill=—","Direction=H","UseDPDF=Y")</f>
        <v>0</v>
      </c>
      <c r="K80" s="13">
        <f>_xll.BDH("AMZN US Equity","BS_PENSION_RSRV","FQ1 2011","FQ1 2011","Currency=USD","Period=FQ","BEST_FPERIOD_OVERRIDE=FQ","FILING_STATUS=MR","SCALING_FORMAT=MLN","Sort=A","Dates=H","DateFormat=P","Fill=—","Direction=H","UseDPDF=Y")</f>
        <v>0</v>
      </c>
      <c r="L80" s="13">
        <f>_xll.BDH("AMZN US Equity","BS_PENSION_RSRV","FQ2 2011","FQ2 2011","Currency=USD","Period=FQ","BEST_FPERIOD_OVERRIDE=FQ","FILING_STATUS=MR","SCALING_FORMAT=MLN","Sort=A","Dates=H","DateFormat=P","Fill=—","Direction=H","UseDPDF=Y")</f>
        <v>0</v>
      </c>
      <c r="M80" s="13">
        <f>_xll.BDH("AMZN US Equity","BS_PENSION_RSRV","FQ3 2011","FQ3 2011","Currency=USD","Period=FQ","BEST_FPERIOD_OVERRIDE=FQ","FILING_STATUS=MR","SCALING_FORMAT=MLN","Sort=A","Dates=H","DateFormat=P","Fill=—","Direction=H","UseDPDF=Y")</f>
        <v>0</v>
      </c>
      <c r="N80" s="13">
        <f>_xll.BDH("AMZN US Equity","BS_PENSION_RSRV","FQ4 2011","FQ4 2011","Currency=USD","Period=FQ","BEST_FPERIOD_OVERRIDE=FQ","FILING_STATUS=MR","SCALING_FORMAT=MLN","Sort=A","Dates=H","DateFormat=P","Fill=—","Direction=H","UseDPDF=Y")</f>
        <v>0</v>
      </c>
      <c r="O80" s="13">
        <f>_xll.BDH("AMZN US Equity","BS_PENSION_RSRV","FQ1 2012","FQ1 2012","Currency=USD","Period=FQ","BEST_FPERIOD_OVERRIDE=FQ","FILING_STATUS=MR","SCALING_FORMAT=MLN","Sort=A","Dates=H","DateFormat=P","Fill=—","Direction=H","UseDPDF=Y")</f>
        <v>0</v>
      </c>
      <c r="P80" s="13">
        <f>_xll.BDH("AMZN US Equity","BS_PENSION_RSRV","FQ2 2012","FQ2 2012","Currency=USD","Period=FQ","BEST_FPERIOD_OVERRIDE=FQ","FILING_STATUS=MR","SCALING_FORMAT=MLN","Sort=A","Dates=H","DateFormat=P","Fill=—","Direction=H","UseDPDF=Y")</f>
        <v>0</v>
      </c>
      <c r="Q80" s="13" t="str">
        <f>_xll.BDH("AMZN US Equity","BS_PENSION_RSRV","FQ3 2012","FQ3 2012","Currency=USD","Period=FQ","BEST_FPERIOD_OVERRIDE=FQ","FILING_STATUS=MR","SCALING_FORMAT=MLN","Sort=A","Dates=H","DateFormat=P","Fill=—","Direction=H","UseDPDF=Y")</f>
        <v>—</v>
      </c>
      <c r="R80" s="13">
        <f>_xll.BDH("AMZN US Equity","BS_PENSION_RSRV","FQ4 2012","FQ4 2012","Currency=USD","Period=FQ","BEST_FPERIOD_OVERRIDE=FQ","FILING_STATUS=MR","SCALING_FORMAT=MLN","Sort=A","Dates=H","DateFormat=P","Fill=—","Direction=H","UseDPDF=Y")</f>
        <v>0</v>
      </c>
      <c r="S80" s="13">
        <f>_xll.BDH("AMZN US Equity","BS_PENSION_RSRV","FQ1 2013","FQ1 2013","Currency=USD","Period=FQ","BEST_FPERIOD_OVERRIDE=FQ","FILING_STATUS=MR","SCALING_FORMAT=MLN","Sort=A","Dates=H","DateFormat=P","Fill=—","Direction=H","UseDPDF=Y")</f>
        <v>0</v>
      </c>
      <c r="T80" s="13">
        <f>_xll.BDH("AMZN US Equity","BS_PENSION_RSRV","FQ2 2013","FQ2 2013","Currency=USD","Period=FQ","BEST_FPERIOD_OVERRIDE=FQ","FILING_STATUS=MR","SCALING_FORMAT=MLN","Sort=A","Dates=H","DateFormat=P","Fill=—","Direction=H","UseDPDF=Y")</f>
        <v>0</v>
      </c>
      <c r="U80" s="13">
        <f>_xll.BDH("AMZN US Equity","BS_PENSION_RSRV","FQ3 2013","FQ3 2013","Currency=USD","Period=FQ","BEST_FPERIOD_OVERRIDE=FQ","FILING_STATUS=MR","SCALING_FORMAT=MLN","Sort=A","Dates=H","DateFormat=P","Fill=—","Direction=H","UseDPDF=Y")</f>
        <v>0</v>
      </c>
      <c r="V80" s="13">
        <f>_xll.BDH("AMZN US Equity","BS_PENSION_RSRV","FQ4 2013","FQ4 2013","Currency=USD","Period=FQ","BEST_FPERIOD_OVERRIDE=FQ","FILING_STATUS=MR","SCALING_FORMAT=MLN","Sort=A","Dates=H","DateFormat=P","Fill=—","Direction=H","UseDPDF=Y")</f>
        <v>0</v>
      </c>
      <c r="W80" s="13">
        <f>_xll.BDH("AMZN US Equity","BS_PENSION_RSRV","FQ1 2014","FQ1 2014","Currency=USD","Period=FQ","BEST_FPERIOD_OVERRIDE=FQ","FILING_STATUS=MR","SCALING_FORMAT=MLN","Sort=A","Dates=H","DateFormat=P","Fill=—","Direction=H","UseDPDF=Y")</f>
        <v>0</v>
      </c>
      <c r="X80" s="13">
        <f>_xll.BDH("AMZN US Equity","BS_PENSION_RSRV","FQ2 2014","FQ2 2014","Currency=USD","Period=FQ","BEST_FPERIOD_OVERRIDE=FQ","FILING_STATUS=MR","SCALING_FORMAT=MLN","Sort=A","Dates=H","DateFormat=P","Fill=—","Direction=H","UseDPDF=Y")</f>
        <v>0</v>
      </c>
      <c r="Y80" s="13">
        <f>_xll.BDH("AMZN US Equity","BS_PENSION_RSRV","FQ3 2014","FQ3 2014","Currency=USD","Period=FQ","BEST_FPERIOD_OVERRIDE=FQ","FILING_STATUS=MR","SCALING_FORMAT=MLN","Sort=A","Dates=H","DateFormat=P","Fill=—","Direction=H","UseDPDF=Y")</f>
        <v>0</v>
      </c>
      <c r="Z80" s="13">
        <f>_xll.BDH("AMZN US Equity","BS_PENSION_RSRV","FQ4 2014","FQ4 2014","Currency=USD","Period=FQ","BEST_FPERIOD_OVERRIDE=FQ","FILING_STATUS=MR","SCALING_FORMAT=MLN","Sort=A","Dates=H","DateFormat=P","Fill=—","Direction=H","UseDPDF=Y")</f>
        <v>0</v>
      </c>
      <c r="AA80" s="13">
        <f>_xll.BDH("AMZN US Equity","BS_PENSION_RSRV","FQ1 2015","FQ1 2015","Currency=USD","Period=FQ","BEST_FPERIOD_OVERRIDE=FQ","FILING_STATUS=MR","SCALING_FORMAT=MLN","Sort=A","Dates=H","DateFormat=P","Fill=—","Direction=H","UseDPDF=Y")</f>
        <v>0</v>
      </c>
      <c r="AB80" s="13">
        <f>_xll.BDH("AMZN US Equity","BS_PENSION_RSRV","FQ2 2015","FQ2 2015","Currency=USD","Period=FQ","BEST_FPERIOD_OVERRIDE=FQ","FILING_STATUS=MR","SCALING_FORMAT=MLN","Sort=A","Dates=H","DateFormat=P","Fill=—","Direction=H","UseDPDF=Y")</f>
        <v>0</v>
      </c>
      <c r="AC80" s="13">
        <f>_xll.BDH("AMZN US Equity","BS_PENSION_RSRV","FQ3 2015","FQ3 2015","Currency=USD","Period=FQ","BEST_FPERIOD_OVERRIDE=FQ","FILING_STATUS=MR","SCALING_FORMAT=MLN","Sort=A","Dates=H","DateFormat=P","Fill=—","Direction=H","UseDPDF=Y")</f>
        <v>0</v>
      </c>
      <c r="AD80" s="13">
        <f>_xll.BDH("AMZN US Equity","BS_PENSION_RSRV","FQ4 2015","FQ4 2015","Currency=USD","Period=FQ","BEST_FPERIOD_OVERRIDE=FQ","FILING_STATUS=MR","SCALING_FORMAT=MLN","Sort=A","Dates=H","DateFormat=P","Fill=—","Direction=H","UseDPDF=Y")</f>
        <v>0</v>
      </c>
      <c r="AE80" s="13">
        <f>_xll.BDH("AMZN US Equity","BS_PENSION_RSRV","FQ1 2016","FQ1 2016","Currency=USD","Period=FQ","BEST_FPERIOD_OVERRIDE=FQ","FILING_STATUS=MR","SCALING_FORMAT=MLN","Sort=A","Dates=H","DateFormat=P","Fill=—","Direction=H","UseDPDF=Y")</f>
        <v>0</v>
      </c>
      <c r="AF80" s="13">
        <f>_xll.BDH("AMZN US Equity","BS_PENSION_RSRV","FQ2 2016","FQ2 2016","Currency=USD","Period=FQ","BEST_FPERIOD_OVERRIDE=FQ","FILING_STATUS=MR","SCALING_FORMAT=MLN","Sort=A","Dates=H","DateFormat=P","Fill=—","Direction=H","UseDPDF=Y")</f>
        <v>0</v>
      </c>
      <c r="AG80" s="13">
        <f>_xll.BDH("AMZN US Equity","BS_PENSION_RSRV","FQ3 2016","FQ3 2016","Currency=USD","Period=FQ","BEST_FPERIOD_OVERRIDE=FQ","FILING_STATUS=MR","SCALING_FORMAT=MLN","Sort=A","Dates=H","DateFormat=P","Fill=—","Direction=H","UseDPDF=Y")</f>
        <v>0</v>
      </c>
      <c r="AH80" s="13">
        <f>_xll.BDH("AMZN US Equity","BS_PENSION_RSRV","FQ4 2016","FQ4 2016","Currency=USD","Period=FQ","BEST_FPERIOD_OVERRIDE=FQ","FILING_STATUS=MR","SCALING_FORMAT=MLN","Sort=A","Dates=H","DateFormat=P","Fill=—","Direction=H","UseDPDF=Y")</f>
        <v>0</v>
      </c>
      <c r="AI80" s="13">
        <f>_xll.BDH("AMZN US Equity","BS_PENSION_RSRV","FQ1 2017","FQ1 2017","Currency=USD","Period=FQ","BEST_FPERIOD_OVERRIDE=FQ","FILING_STATUS=MR","SCALING_FORMAT=MLN","Sort=A","Dates=H","DateFormat=P","Fill=—","Direction=H","UseDPDF=Y")</f>
        <v>0</v>
      </c>
      <c r="AJ80" s="13">
        <f>_xll.BDH("AMZN US Equity","BS_PENSION_RSRV","FQ2 2017","FQ2 2017","Currency=USD","Period=FQ","BEST_FPERIOD_OVERRIDE=FQ","FILING_STATUS=MR","SCALING_FORMAT=MLN","Sort=A","Dates=H","DateFormat=P","Fill=—","Direction=H","UseDPDF=Y")</f>
        <v>0</v>
      </c>
      <c r="AK80" s="13">
        <f>_xll.BDH("AMZN US Equity","BS_PENSION_RSRV","FQ3 2017","FQ3 2017","Currency=USD","Period=FQ","BEST_FPERIOD_OVERRIDE=FQ","FILING_STATUS=MR","SCALING_FORMAT=MLN","Sort=A","Dates=H","DateFormat=P","Fill=—","Direction=H","UseDPDF=Y")</f>
        <v>0</v>
      </c>
      <c r="AL80" s="13">
        <f>_xll.BDH("AMZN US Equity","BS_PENSION_RSRV","FQ4 2017","FQ4 2017","Currency=USD","Period=FQ","BEST_FPERIOD_OVERRIDE=FQ","FILING_STATUS=MR","SCALING_FORMAT=MLN","Sort=A","Dates=H","DateFormat=P","Fill=—","Direction=H","UseDPDF=Y")</f>
        <v>0</v>
      </c>
      <c r="AM80" s="13">
        <f>_xll.BDH("AMZN US Equity","BS_PENSION_RSRV","FQ1 2018","FQ1 2018","Currency=USD","Period=FQ","BEST_FPERIOD_OVERRIDE=FQ","FILING_STATUS=MR","SCALING_FORMAT=MLN","Sort=A","Dates=H","DateFormat=P","Fill=—","Direction=H","UseDPDF=Y")</f>
        <v>0</v>
      </c>
      <c r="AN80" s="13">
        <f>_xll.BDH("AMZN US Equity","BS_PENSION_RSRV","FQ2 2018","FQ2 2018","Currency=USD","Period=FQ","BEST_FPERIOD_OVERRIDE=FQ","FILING_STATUS=MR","SCALING_FORMAT=MLN","Sort=A","Dates=H","DateFormat=P","Fill=—","Direction=H","UseDPDF=Y")</f>
        <v>0</v>
      </c>
    </row>
    <row r="81" spans="1:40" x14ac:dyDescent="0.25">
      <c r="A81" s="10" t="s">
        <v>344</v>
      </c>
      <c r="B81" s="10" t="s">
        <v>345</v>
      </c>
      <c r="C81" s="13">
        <f>_xll.BDH("AMZN US Equity","BS_FUTURE_MIN_OPER_LEASE_OBLIG","FQ1 2009","FQ1 2009","Currency=USD","Period=FQ","BEST_FPERIOD_OVERRIDE=FQ","FILING_STATUS=MR","SCALING_FORMAT=MLN","Sort=A","Dates=H","DateFormat=P","Fill=—","Direction=H","UseDPDF=Y")</f>
        <v>846</v>
      </c>
      <c r="D81" s="13">
        <f>_xll.BDH("AMZN US Equity","BS_FUTURE_MIN_OPER_LEASE_OBLIG","FQ2 2009","FQ2 2009","Currency=USD","Period=FQ","BEST_FPERIOD_OVERRIDE=FQ","FILING_STATUS=MR","SCALING_FORMAT=MLN","Sort=A","Dates=H","DateFormat=P","Fill=—","Direction=H","UseDPDF=Y")</f>
        <v>798</v>
      </c>
      <c r="E81" s="13">
        <f>_xll.BDH("AMZN US Equity","BS_FUTURE_MIN_OPER_LEASE_OBLIG","FQ3 2009","FQ3 2009","Currency=USD","Period=FQ","BEST_FPERIOD_OVERRIDE=FQ","FILING_STATUS=MR","SCALING_FORMAT=MLN","Sort=A","Dates=H","DateFormat=P","Fill=—","Direction=H","UseDPDF=Y")</f>
        <v>922</v>
      </c>
      <c r="F81" s="13">
        <f>_xll.BDH("AMZN US Equity","BS_FUTURE_MIN_OPER_LEASE_OBLIG","FQ4 2009","FQ4 2009","Currency=USD","Period=FQ","BEST_FPERIOD_OVERRIDE=FQ","FILING_STATUS=MR","SCALING_FORMAT=MLN","Sort=A","Dates=H","DateFormat=P","Fill=—","Direction=H","UseDPDF=Y")</f>
        <v>992</v>
      </c>
      <c r="G81" s="13">
        <f>_xll.BDH("AMZN US Equity","BS_FUTURE_MIN_OPER_LEASE_OBLIG","FQ1 2010","FQ1 2010","Currency=USD","Period=FQ","BEST_FPERIOD_OVERRIDE=FQ","FILING_STATUS=MR","SCALING_FORMAT=MLN","Sort=A","Dates=H","DateFormat=P","Fill=—","Direction=H","UseDPDF=Y")</f>
        <v>1036</v>
      </c>
      <c r="H81" s="13">
        <f>_xll.BDH("AMZN US Equity","BS_FUTURE_MIN_OPER_LEASE_OBLIG","FQ2 2010","FQ2 2010","Currency=USD","Period=FQ","BEST_FPERIOD_OVERRIDE=FQ","FILING_STATUS=MR","SCALING_FORMAT=MLN","Sort=A","Dates=H","DateFormat=P","Fill=—","Direction=H","UseDPDF=Y")</f>
        <v>1098</v>
      </c>
      <c r="I81" s="13">
        <f>_xll.BDH("AMZN US Equity","BS_FUTURE_MIN_OPER_LEASE_OBLIG","FQ3 2010","FQ3 2010","Currency=USD","Period=FQ","BEST_FPERIOD_OVERRIDE=FQ","FILING_STATUS=MR","SCALING_FORMAT=MLN","Sort=A","Dates=H","DateFormat=P","Fill=—","Direction=H","UseDPDF=Y")</f>
        <v>1260</v>
      </c>
      <c r="J81" s="13">
        <f>_xll.BDH("AMZN US Equity","BS_FUTURE_MIN_OPER_LEASE_OBLIG","FQ4 2010","FQ4 2010","Currency=USD","Period=FQ","BEST_FPERIOD_OVERRIDE=FQ","FILING_STATUS=MR","SCALING_FORMAT=MLN","Sort=A","Dates=H","DateFormat=P","Fill=—","Direction=H","UseDPDF=Y")</f>
        <v>1214</v>
      </c>
      <c r="K81" s="13">
        <f>_xll.BDH("AMZN US Equity","BS_FUTURE_MIN_OPER_LEASE_OBLIG","FQ1 2011","FQ1 2011","Currency=USD","Period=FQ","BEST_FPERIOD_OVERRIDE=FQ","FILING_STATUS=MR","SCALING_FORMAT=MLN","Sort=A","Dates=H","DateFormat=P","Fill=—","Direction=H","UseDPDF=Y")</f>
        <v>1728</v>
      </c>
      <c r="L81" s="13">
        <f>_xll.BDH("AMZN US Equity","BS_FUTURE_MIN_OPER_LEASE_OBLIG","FQ2 2011","FQ2 2011","Currency=USD","Period=FQ","BEST_FPERIOD_OVERRIDE=FQ","FILING_STATUS=MR","SCALING_FORMAT=MLN","Sort=A","Dates=H","DateFormat=P","Fill=—","Direction=H","UseDPDF=Y")</f>
        <v>2169</v>
      </c>
      <c r="M81" s="13">
        <f>_xll.BDH("AMZN US Equity","BS_FUTURE_MIN_OPER_LEASE_OBLIG","FQ3 2011","FQ3 2011","Currency=USD","Period=FQ","BEST_FPERIOD_OVERRIDE=FQ","FILING_STATUS=MR","SCALING_FORMAT=MLN","Sort=A","Dates=H","DateFormat=P","Fill=—","Direction=H","UseDPDF=Y")</f>
        <v>2773</v>
      </c>
      <c r="N81" s="13">
        <f>_xll.BDH("AMZN US Equity","BS_FUTURE_MIN_OPER_LEASE_OBLIG","FQ4 2011","FQ4 2011","Currency=USD","Period=FQ","BEST_FPERIOD_OVERRIDE=FQ","FILING_STATUS=MR","SCALING_FORMAT=MLN","Sort=A","Dates=H","DateFormat=P","Fill=—","Direction=H","UseDPDF=Y")</f>
        <v>3093</v>
      </c>
      <c r="O81" s="13">
        <f>_xll.BDH("AMZN US Equity","BS_FUTURE_MIN_OPER_LEASE_OBLIG","FQ1 2012","FQ1 2012","Currency=USD","Period=FQ","BEST_FPERIOD_OVERRIDE=FQ","FILING_STATUS=MR","SCALING_FORMAT=MLN","Sort=A","Dates=H","DateFormat=P","Fill=—","Direction=H","UseDPDF=Y")</f>
        <v>3644</v>
      </c>
      <c r="P81" s="13">
        <f>_xll.BDH("AMZN US Equity","BS_FUTURE_MIN_OPER_LEASE_OBLIG","FQ2 2012","FQ2 2012","Currency=USD","Period=FQ","BEST_FPERIOD_OVERRIDE=FQ","FILING_STATUS=MR","SCALING_FORMAT=MLN","Sort=A","Dates=H","DateFormat=P","Fill=—","Direction=H","UseDPDF=Y")</f>
        <v>4310</v>
      </c>
      <c r="Q81" s="13">
        <f>_xll.BDH("AMZN US Equity","BS_FUTURE_MIN_OPER_LEASE_OBLIG","FQ3 2012","FQ3 2012","Currency=USD","Period=FQ","BEST_FPERIOD_OVERRIDE=FQ","FILING_STATUS=MR","SCALING_FORMAT=MLN","Sort=A","Dates=H","DateFormat=P","Fill=—","Direction=H","UseDPDF=Y")</f>
        <v>4742</v>
      </c>
      <c r="R81" s="13">
        <f>_xll.BDH("AMZN US Equity","BS_FUTURE_MIN_OPER_LEASE_OBLIG","FQ4 2012","FQ4 2012","Currency=USD","Period=FQ","BEST_FPERIOD_OVERRIDE=FQ","FILING_STATUS=MR","SCALING_FORMAT=MLN","Sort=A","Dates=H","DateFormat=P","Fill=—","Direction=H","UseDPDF=Y")</f>
        <v>5454</v>
      </c>
      <c r="S81" s="13">
        <f>_xll.BDH("AMZN US Equity","BS_FUTURE_MIN_OPER_LEASE_OBLIG","FQ1 2013","FQ1 2013","Currency=USD","Period=FQ","BEST_FPERIOD_OVERRIDE=FQ","FILING_STATUS=MR","SCALING_FORMAT=MLN","Sort=A","Dates=H","DateFormat=P","Fill=—","Direction=H","UseDPDF=Y")</f>
        <v>4523</v>
      </c>
      <c r="T81" s="13">
        <f>_xll.BDH("AMZN US Equity","BS_FUTURE_MIN_OPER_LEASE_OBLIG","FQ2 2013","FQ2 2013","Currency=USD","Period=FQ","BEST_FPERIOD_OVERRIDE=FQ","FILING_STATUS=MR","SCALING_FORMAT=MLN","Sort=A","Dates=H","DateFormat=P","Fill=—","Direction=H","UseDPDF=Y")</f>
        <v>4647</v>
      </c>
      <c r="U81" s="13">
        <f>_xll.BDH("AMZN US Equity","BS_FUTURE_MIN_OPER_LEASE_OBLIG","FQ3 2013","FQ3 2013","Currency=USD","Period=FQ","BEST_FPERIOD_OVERRIDE=FQ","FILING_STATUS=MR","SCALING_FORMAT=MLN","Sort=A","Dates=H","DateFormat=P","Fill=—","Direction=H","UseDPDF=Y")</f>
        <v>4899</v>
      </c>
      <c r="V81" s="13">
        <f>_xll.BDH("AMZN US Equity","BS_FUTURE_MIN_OPER_LEASE_OBLIG","FQ4 2013","FQ4 2013","Currency=USD","Period=FQ","BEST_FPERIOD_OVERRIDE=FQ","FILING_STATUS=MR","SCALING_FORMAT=MLN","Sort=A","Dates=H","DateFormat=P","Fill=—","Direction=H","UseDPDF=Y")</f>
        <v>5135</v>
      </c>
      <c r="W81" s="13">
        <f>_xll.BDH("AMZN US Equity","BS_FUTURE_MIN_OPER_LEASE_OBLIG","FQ1 2014","FQ1 2014","Currency=USD","Period=FQ","BEST_FPERIOD_OVERRIDE=FQ","FILING_STATUS=MR","SCALING_FORMAT=MLN","Sort=A","Dates=H","DateFormat=P","Fill=—","Direction=H","UseDPDF=Y")</f>
        <v>5368</v>
      </c>
      <c r="X81" s="13">
        <f>_xll.BDH("AMZN US Equity","BS_FUTURE_MIN_OPER_LEASE_OBLIG","FQ2 2014","FQ2 2014","Currency=USD","Period=FQ","BEST_FPERIOD_OVERRIDE=FQ","FILING_STATUS=MR","SCALING_FORMAT=MLN","Sort=A","Dates=H","DateFormat=P","Fill=—","Direction=H","UseDPDF=Y")</f>
        <v>5560</v>
      </c>
      <c r="Y81" s="13">
        <f>_xll.BDH("AMZN US Equity","BS_FUTURE_MIN_OPER_LEASE_OBLIG","FQ3 2014","FQ3 2014","Currency=USD","Period=FQ","BEST_FPERIOD_OVERRIDE=FQ","FILING_STATUS=MR","SCALING_FORMAT=MLN","Sort=A","Dates=H","DateFormat=P","Fill=—","Direction=H","UseDPDF=Y")</f>
        <v>5487</v>
      </c>
      <c r="Z81" s="13">
        <f>_xll.BDH("AMZN US Equity","BS_FUTURE_MIN_OPER_LEASE_OBLIG","FQ4 2014","FQ4 2014","Currency=USD","Period=FQ","BEST_FPERIOD_OVERRIDE=FQ","FILING_STATUS=MR","SCALING_FORMAT=MLN","Sort=A","Dates=H","DateFormat=P","Fill=—","Direction=H","UseDPDF=Y")</f>
        <v>5913</v>
      </c>
      <c r="AA81" s="13">
        <f>_xll.BDH("AMZN US Equity","BS_FUTURE_MIN_OPER_LEASE_OBLIG","FQ1 2015","FQ1 2015","Currency=USD","Period=FQ","BEST_FPERIOD_OVERRIDE=FQ","FILING_STATUS=MR","SCALING_FORMAT=MLN","Sort=A","Dates=H","DateFormat=P","Fill=—","Direction=H","UseDPDF=Y")</f>
        <v>5720</v>
      </c>
      <c r="AB81" s="13">
        <f>_xll.BDH("AMZN US Equity","BS_FUTURE_MIN_OPER_LEASE_OBLIG","FQ2 2015","FQ2 2015","Currency=USD","Period=FQ","BEST_FPERIOD_OVERRIDE=FQ","FILING_STATUS=MR","SCALING_FORMAT=MLN","Sort=A","Dates=H","DateFormat=P","Fill=—","Direction=H","UseDPDF=Y")</f>
        <v>6088</v>
      </c>
      <c r="AC81" s="13">
        <f>_xll.BDH("AMZN US Equity","BS_FUTURE_MIN_OPER_LEASE_OBLIG","FQ3 2015","FQ3 2015","Currency=USD","Period=FQ","BEST_FPERIOD_OVERRIDE=FQ","FILING_STATUS=MR","SCALING_FORMAT=MLN","Sort=A","Dates=H","DateFormat=P","Fill=—","Direction=H","UseDPDF=Y")</f>
        <v>6501</v>
      </c>
      <c r="AD81" s="13">
        <f>_xll.BDH("AMZN US Equity","BS_FUTURE_MIN_OPER_LEASE_OBLIG","FQ4 2015","FQ4 2015","Currency=USD","Period=FQ","BEST_FPERIOD_OVERRIDE=FQ","FILING_STATUS=MR","SCALING_FORMAT=MLN","Sort=A","Dates=H","DateFormat=P","Fill=—","Direction=H","UseDPDF=Y")</f>
        <v>6517</v>
      </c>
      <c r="AE81" s="13">
        <f>_xll.BDH("AMZN US Equity","BS_FUTURE_MIN_OPER_LEASE_OBLIG","FQ1 2016","FQ1 2016","Currency=USD","Period=FQ","BEST_FPERIOD_OVERRIDE=FQ","FILING_STATUS=MR","SCALING_FORMAT=MLN","Sort=A","Dates=H","DateFormat=P","Fill=—","Direction=H","UseDPDF=Y")</f>
        <v>6939</v>
      </c>
      <c r="AF81" s="13">
        <f>_xll.BDH("AMZN US Equity","BS_FUTURE_MIN_OPER_LEASE_OBLIG","FQ2 2016","FQ2 2016","Currency=USD","Period=FQ","BEST_FPERIOD_OVERRIDE=FQ","FILING_STATUS=MR","SCALING_FORMAT=MLN","Sort=A","Dates=H","DateFormat=P","Fill=—","Direction=H","UseDPDF=Y")</f>
        <v>8154</v>
      </c>
      <c r="AG81" s="13">
        <f>_xll.BDH("AMZN US Equity","BS_FUTURE_MIN_OPER_LEASE_OBLIG","FQ3 2016","FQ3 2016","Currency=USD","Period=FQ","BEST_FPERIOD_OVERRIDE=FQ","FILING_STATUS=MR","SCALING_FORMAT=MLN","Sort=A","Dates=H","DateFormat=P","Fill=—","Direction=H","UseDPDF=Y")</f>
        <v>9038</v>
      </c>
      <c r="AH81" s="13">
        <f>_xll.BDH("AMZN US Equity","BS_FUTURE_MIN_OPER_LEASE_OBLIG","FQ4 2016","FQ4 2016","Currency=USD","Period=FQ","BEST_FPERIOD_OVERRIDE=FQ","FILING_STATUS=MR","SCALING_FORMAT=MLN","Sort=A","Dates=H","DateFormat=P","Fill=—","Direction=H","UseDPDF=Y")</f>
        <v>9510</v>
      </c>
      <c r="AI81" s="13">
        <f>_xll.BDH("AMZN US Equity","BS_FUTURE_MIN_OPER_LEASE_OBLIG","FQ1 2017","FQ1 2017","Currency=USD","Period=FQ","BEST_FPERIOD_OVERRIDE=FQ","FILING_STATUS=MR","SCALING_FORMAT=MLN","Sort=A","Dates=H","DateFormat=P","Fill=—","Direction=H","UseDPDF=Y")</f>
        <v>9820</v>
      </c>
      <c r="AJ81" s="13">
        <f>_xll.BDH("AMZN US Equity","BS_FUTURE_MIN_OPER_LEASE_OBLIG","FQ2 2017","FQ2 2017","Currency=USD","Period=FQ","BEST_FPERIOD_OVERRIDE=FQ","FILING_STATUS=MR","SCALING_FORMAT=MLN","Sort=A","Dates=H","DateFormat=P","Fill=—","Direction=H","UseDPDF=Y")</f>
        <v>10638</v>
      </c>
      <c r="AK81" s="13">
        <f>_xll.BDH("AMZN US Equity","BS_FUTURE_MIN_OPER_LEASE_OBLIG","FQ3 2017","FQ3 2017","Currency=USD","Period=FQ","BEST_FPERIOD_OVERRIDE=FQ","FILING_STATUS=MR","SCALING_FORMAT=MLN","Sort=A","Dates=H","DateFormat=P","Fill=—","Direction=H","UseDPDF=Y")</f>
        <v>22069</v>
      </c>
      <c r="AL81" s="13">
        <f>_xll.BDH("AMZN US Equity","BS_FUTURE_MIN_OPER_LEASE_OBLIG","FQ4 2017","FQ4 2017","Currency=USD","Period=FQ","BEST_FPERIOD_OVERRIDE=FQ","FILING_STATUS=MR","SCALING_FORMAT=MLN","Sort=A","Dates=H","DateFormat=P","Fill=—","Direction=H","UseDPDF=Y")</f>
        <v>22848</v>
      </c>
      <c r="AM81" s="13">
        <f>_xll.BDH("AMZN US Equity","BS_FUTURE_MIN_OPER_LEASE_OBLIG","FQ1 2018","FQ1 2018","Currency=USD","Period=FQ","BEST_FPERIOD_OVERRIDE=FQ","FILING_STATUS=MR","SCALING_FORMAT=MLN","Sort=A","Dates=H","DateFormat=P","Fill=—","Direction=H","UseDPDF=Y")</f>
        <v>23509</v>
      </c>
      <c r="AN81" s="13">
        <f>_xll.BDH("AMZN US Equity","BS_FUTURE_MIN_OPER_LEASE_OBLIG","FQ2 2018","FQ2 2018","Currency=USD","Period=FQ","BEST_FPERIOD_OVERRIDE=FQ","FILING_STATUS=MR","SCALING_FORMAT=MLN","Sort=A","Dates=H","DateFormat=P","Fill=—","Direction=H","UseDPDF=Y")</f>
        <v>23671</v>
      </c>
    </row>
    <row r="82" spans="1:40" x14ac:dyDescent="0.25">
      <c r="A82" s="10" t="s">
        <v>346</v>
      </c>
      <c r="B82" s="10" t="s">
        <v>347</v>
      </c>
      <c r="C82" s="13" t="str">
        <f>_xll.BDH("AMZN US Equity","BS_TOTAL_CAPITAL_LEASES","FQ1 2009","FQ1 2009","Currency=USD","Period=FQ","BEST_FPERIOD_OVERRIDE=FQ","FILING_STATUS=MR","SCALING_FORMAT=MLN","Sort=A","Dates=H","DateFormat=P","Fill=—","Direction=H","UseDPDF=Y")</f>
        <v>—</v>
      </c>
      <c r="D82" s="13" t="str">
        <f>_xll.BDH("AMZN US Equity","BS_TOTAL_CAPITAL_LEASES","FQ2 2009","FQ2 2009","Currency=USD","Period=FQ","BEST_FPERIOD_OVERRIDE=FQ","FILING_STATUS=MR","SCALING_FORMAT=MLN","Sort=A","Dates=H","DateFormat=P","Fill=—","Direction=H","UseDPDF=Y")</f>
        <v>—</v>
      </c>
      <c r="E82" s="13" t="str">
        <f>_xll.BDH("AMZN US Equity","BS_TOTAL_CAPITAL_LEASES","FQ3 2009","FQ3 2009","Currency=USD","Period=FQ","BEST_FPERIOD_OVERRIDE=FQ","FILING_STATUS=MR","SCALING_FORMAT=MLN","Sort=A","Dates=H","DateFormat=P","Fill=—","Direction=H","UseDPDF=Y")</f>
        <v>—</v>
      </c>
      <c r="F82" s="13">
        <f>_xll.BDH("AMZN US Equity","BS_TOTAL_CAPITAL_LEASES","FQ4 2009","FQ4 2009","Currency=USD","Period=FQ","BEST_FPERIOD_OVERRIDE=FQ","FILING_STATUS=MR","SCALING_FORMAT=MLN","Sort=A","Dates=H","DateFormat=P","Fill=—","Direction=H","UseDPDF=Y")</f>
        <v>262</v>
      </c>
      <c r="G82" s="13" t="str">
        <f>_xll.BDH("AMZN US Equity","BS_TOTAL_CAPITAL_LEASES","FQ1 2010","FQ1 2010","Currency=USD","Period=FQ","BEST_FPERIOD_OVERRIDE=FQ","FILING_STATUS=MR","SCALING_FORMAT=MLN","Sort=A","Dates=H","DateFormat=P","Fill=—","Direction=H","UseDPDF=Y")</f>
        <v>—</v>
      </c>
      <c r="H82" s="13" t="str">
        <f>_xll.BDH("AMZN US Equity","BS_TOTAL_CAPITAL_LEASES","FQ2 2010","FQ2 2010","Currency=USD","Period=FQ","BEST_FPERIOD_OVERRIDE=FQ","FILING_STATUS=MR","SCALING_FORMAT=MLN","Sort=A","Dates=H","DateFormat=P","Fill=—","Direction=H","UseDPDF=Y")</f>
        <v>—</v>
      </c>
      <c r="I82" s="13" t="str">
        <f>_xll.BDH("AMZN US Equity","BS_TOTAL_CAPITAL_LEASES","FQ3 2010","FQ3 2010","Currency=USD","Period=FQ","BEST_FPERIOD_OVERRIDE=FQ","FILING_STATUS=MR","SCALING_FORMAT=MLN","Sort=A","Dates=H","DateFormat=P","Fill=—","Direction=H","UseDPDF=Y")</f>
        <v>—</v>
      </c>
      <c r="J82" s="13">
        <f>_xll.BDH("AMZN US Equity","BS_TOTAL_CAPITAL_LEASES","FQ4 2010","FQ4 2010","Currency=USD","Period=FQ","BEST_FPERIOD_OVERRIDE=FQ","FILING_STATUS=MR","SCALING_FORMAT=MLN","Sort=A","Dates=H","DateFormat=P","Fill=—","Direction=H","UseDPDF=Y")</f>
        <v>494</v>
      </c>
      <c r="K82" s="13" t="str">
        <f>_xll.BDH("AMZN US Equity","BS_TOTAL_CAPITAL_LEASES","FQ1 2011","FQ1 2011","Currency=USD","Period=FQ","BEST_FPERIOD_OVERRIDE=FQ","FILING_STATUS=MR","SCALING_FORMAT=MLN","Sort=A","Dates=H","DateFormat=P","Fill=—","Direction=H","UseDPDF=Y")</f>
        <v>—</v>
      </c>
      <c r="L82" s="13" t="str">
        <f>_xll.BDH("AMZN US Equity","BS_TOTAL_CAPITAL_LEASES","FQ2 2011","FQ2 2011","Currency=USD","Period=FQ","BEST_FPERIOD_OVERRIDE=FQ","FILING_STATUS=MR","SCALING_FORMAT=MLN","Sort=A","Dates=H","DateFormat=P","Fill=—","Direction=H","UseDPDF=Y")</f>
        <v>—</v>
      </c>
      <c r="M82" s="13" t="str">
        <f>_xll.BDH("AMZN US Equity","BS_TOTAL_CAPITAL_LEASES","FQ3 2011","FQ3 2011","Currency=USD","Period=FQ","BEST_FPERIOD_OVERRIDE=FQ","FILING_STATUS=MR","SCALING_FORMAT=MLN","Sort=A","Dates=H","DateFormat=P","Fill=—","Direction=H","UseDPDF=Y")</f>
        <v>—</v>
      </c>
      <c r="N82" s="13">
        <f>_xll.BDH("AMZN US Equity","BS_TOTAL_CAPITAL_LEASES","FQ4 2011","FQ4 2011","Currency=USD","Period=FQ","BEST_FPERIOD_OVERRIDE=FQ","FILING_STATUS=MR","SCALING_FORMAT=MLN","Sort=A","Dates=H","DateFormat=P","Fill=—","Direction=H","UseDPDF=Y")</f>
        <v>975</v>
      </c>
      <c r="O82" s="13" t="str">
        <f>_xll.BDH("AMZN US Equity","BS_TOTAL_CAPITAL_LEASES","FQ1 2012","FQ1 2012","Currency=USD","Period=FQ","BEST_FPERIOD_OVERRIDE=FQ","FILING_STATUS=MR","SCALING_FORMAT=MLN","Sort=A","Dates=H","DateFormat=P","Fill=—","Direction=H","UseDPDF=Y")</f>
        <v>—</v>
      </c>
      <c r="P82" s="13" t="str">
        <f>_xll.BDH("AMZN US Equity","BS_TOTAL_CAPITAL_LEASES","FQ2 2012","FQ2 2012","Currency=USD","Period=FQ","BEST_FPERIOD_OVERRIDE=FQ","FILING_STATUS=MR","SCALING_FORMAT=MLN","Sort=A","Dates=H","DateFormat=P","Fill=—","Direction=H","UseDPDF=Y")</f>
        <v>—</v>
      </c>
      <c r="Q82" s="13" t="str">
        <f>_xll.BDH("AMZN US Equity","BS_TOTAL_CAPITAL_LEASES","FQ3 2012","FQ3 2012","Currency=USD","Period=FQ","BEST_FPERIOD_OVERRIDE=FQ","FILING_STATUS=MR","SCALING_FORMAT=MLN","Sort=A","Dates=H","DateFormat=P","Fill=—","Direction=H","UseDPDF=Y")</f>
        <v>—</v>
      </c>
      <c r="R82" s="13">
        <f>_xll.BDH("AMZN US Equity","BS_TOTAL_CAPITAL_LEASES","FQ4 2012","FQ4 2012","Currency=USD","Period=FQ","BEST_FPERIOD_OVERRIDE=FQ","FILING_STATUS=MR","SCALING_FORMAT=MLN","Sort=A","Dates=H","DateFormat=P","Fill=—","Direction=H","UseDPDF=Y")</f>
        <v>1292</v>
      </c>
      <c r="S82" s="13" t="str">
        <f>_xll.BDH("AMZN US Equity","BS_TOTAL_CAPITAL_LEASES","FQ1 2013","FQ1 2013","Currency=USD","Period=FQ","BEST_FPERIOD_OVERRIDE=FQ","FILING_STATUS=MR","SCALING_FORMAT=MLN","Sort=A","Dates=H","DateFormat=P","Fill=—","Direction=H","UseDPDF=Y")</f>
        <v>—</v>
      </c>
      <c r="T82" s="13" t="str">
        <f>_xll.BDH("AMZN US Equity","BS_TOTAL_CAPITAL_LEASES","FQ2 2013","FQ2 2013","Currency=USD","Period=FQ","BEST_FPERIOD_OVERRIDE=FQ","FILING_STATUS=MR","SCALING_FORMAT=MLN","Sort=A","Dates=H","DateFormat=P","Fill=—","Direction=H","UseDPDF=Y")</f>
        <v>—</v>
      </c>
      <c r="U82" s="13" t="str">
        <f>_xll.BDH("AMZN US Equity","BS_TOTAL_CAPITAL_LEASES","FQ3 2013","FQ3 2013","Currency=USD","Period=FQ","BEST_FPERIOD_OVERRIDE=FQ","FILING_STATUS=MR","SCALING_FORMAT=MLN","Sort=A","Dates=H","DateFormat=P","Fill=—","Direction=H","UseDPDF=Y")</f>
        <v>—</v>
      </c>
      <c r="V82" s="13">
        <f>_xll.BDH("AMZN US Equity","BS_TOTAL_CAPITAL_LEASES","FQ4 2013","FQ4 2013","Currency=USD","Period=FQ","BEST_FPERIOD_OVERRIDE=FQ","FILING_STATUS=MR","SCALING_FORMAT=MLN","Sort=A","Dates=H","DateFormat=P","Fill=—","Direction=H","UseDPDF=Y")</f>
        <v>2390</v>
      </c>
      <c r="W82" s="13" t="str">
        <f>_xll.BDH("AMZN US Equity","BS_TOTAL_CAPITAL_LEASES","FQ1 2014","FQ1 2014","Currency=USD","Period=FQ","BEST_FPERIOD_OVERRIDE=FQ","FILING_STATUS=MR","SCALING_FORMAT=MLN","Sort=A","Dates=H","DateFormat=P","Fill=—","Direction=H","UseDPDF=Y")</f>
        <v>—</v>
      </c>
      <c r="X82" s="13" t="str">
        <f>_xll.BDH("AMZN US Equity","BS_TOTAL_CAPITAL_LEASES","FQ2 2014","FQ2 2014","Currency=USD","Period=FQ","BEST_FPERIOD_OVERRIDE=FQ","FILING_STATUS=MR","SCALING_FORMAT=MLN","Sort=A","Dates=H","DateFormat=P","Fill=—","Direction=H","UseDPDF=Y")</f>
        <v>—</v>
      </c>
      <c r="Y82" s="13" t="str">
        <f>_xll.BDH("AMZN US Equity","BS_TOTAL_CAPITAL_LEASES","FQ3 2014","FQ3 2014","Currency=USD","Period=FQ","BEST_FPERIOD_OVERRIDE=FQ","FILING_STATUS=MR","SCALING_FORMAT=MLN","Sort=A","Dates=H","DateFormat=P","Fill=—","Direction=H","UseDPDF=Y")</f>
        <v>—</v>
      </c>
      <c r="Z82" s="13">
        <f>_xll.BDH("AMZN US Equity","BS_TOTAL_CAPITAL_LEASES","FQ4 2014","FQ4 2014","Currency=USD","Period=FQ","BEST_FPERIOD_OVERRIDE=FQ","FILING_STATUS=MR","SCALING_FORMAT=MLN","Sort=A","Dates=H","DateFormat=P","Fill=—","Direction=H","UseDPDF=Y")</f>
        <v>6304</v>
      </c>
      <c r="AA82" s="13" t="str">
        <f>_xll.BDH("AMZN US Equity","BS_TOTAL_CAPITAL_LEASES","FQ1 2015","FQ1 2015","Currency=USD","Period=FQ","BEST_FPERIOD_OVERRIDE=FQ","FILING_STATUS=MR","SCALING_FORMAT=MLN","Sort=A","Dates=H","DateFormat=P","Fill=—","Direction=H","UseDPDF=Y")</f>
        <v>—</v>
      </c>
      <c r="AB82" s="13" t="str">
        <f>_xll.BDH("AMZN US Equity","BS_TOTAL_CAPITAL_LEASES","FQ2 2015","FQ2 2015","Currency=USD","Period=FQ","BEST_FPERIOD_OVERRIDE=FQ","FILING_STATUS=MR","SCALING_FORMAT=MLN","Sort=A","Dates=H","DateFormat=P","Fill=—","Direction=H","UseDPDF=Y")</f>
        <v>—</v>
      </c>
      <c r="AC82" s="13" t="str">
        <f>_xll.BDH("AMZN US Equity","BS_TOTAL_CAPITAL_LEASES","FQ3 2015","FQ3 2015","Currency=USD","Period=FQ","BEST_FPERIOD_OVERRIDE=FQ","FILING_STATUS=MR","SCALING_FORMAT=MLN","Sort=A","Dates=H","DateFormat=P","Fill=—","Direction=H","UseDPDF=Y")</f>
        <v>—</v>
      </c>
      <c r="AD82" s="13">
        <f>_xll.BDH("AMZN US Equity","BS_TOTAL_CAPITAL_LEASES","FQ4 2015","FQ4 2015","Currency=USD","Period=FQ","BEST_FPERIOD_OVERRIDE=FQ","FILING_STATUS=MR","SCALING_FORMAT=MLN","Sort=A","Dates=H","DateFormat=P","Fill=—","Direction=H","UseDPDF=Y")</f>
        <v>9074</v>
      </c>
      <c r="AE82" s="13">
        <f>_xll.BDH("AMZN US Equity","BS_TOTAL_CAPITAL_LEASES","FQ1 2016","FQ1 2016","Currency=USD","Period=FQ","BEST_FPERIOD_OVERRIDE=FQ","FILING_STATUS=MR","SCALING_FORMAT=MLN","Sort=A","Dates=H","DateFormat=P","Fill=—","Direction=H","UseDPDF=Y")</f>
        <v>9303</v>
      </c>
      <c r="AF82" s="13">
        <f>_xll.BDH("AMZN US Equity","BS_TOTAL_CAPITAL_LEASES","FQ2 2016","FQ2 2016","Currency=USD","Period=FQ","BEST_FPERIOD_OVERRIDE=FQ","FILING_STATUS=MR","SCALING_FORMAT=MLN","Sort=A","Dates=H","DateFormat=P","Fill=—","Direction=H","UseDPDF=Y")</f>
        <v>9607</v>
      </c>
      <c r="AG82" s="13">
        <f>_xll.BDH("AMZN US Equity","BS_TOTAL_CAPITAL_LEASES","FQ3 2016","FQ3 2016","Currency=USD","Period=FQ","BEST_FPERIOD_OVERRIDE=FQ","FILING_STATUS=MR","SCALING_FORMAT=MLN","Sort=A","Dates=H","DateFormat=P","Fill=—","Direction=H","UseDPDF=Y")</f>
        <v>10735</v>
      </c>
      <c r="AH82" s="13">
        <f>_xll.BDH("AMZN US Equity","BS_TOTAL_CAPITAL_LEASES","FQ4 2016","FQ4 2016","Currency=USD","Period=FQ","BEST_FPERIOD_OVERRIDE=FQ","FILING_STATUS=MR","SCALING_FORMAT=MLN","Sort=A","Dates=H","DateFormat=P","Fill=—","Direction=H","UseDPDF=Y")</f>
        <v>11660</v>
      </c>
      <c r="AI82" s="13">
        <f>_xll.BDH("AMZN US Equity","BS_TOTAL_CAPITAL_LEASES","FQ1 2017","FQ1 2017","Currency=USD","Period=FQ","BEST_FPERIOD_OVERRIDE=FQ","FILING_STATUS=MR","SCALING_FORMAT=MLN","Sort=A","Dates=H","DateFormat=P","Fill=—","Direction=H","UseDPDF=Y")</f>
        <v>12859</v>
      </c>
      <c r="AJ82" s="13">
        <f>_xll.BDH("AMZN US Equity","BS_TOTAL_CAPITAL_LEASES","FQ2 2017","FQ2 2017","Currency=USD","Period=FQ","BEST_FPERIOD_OVERRIDE=FQ","FILING_STATUS=MR","SCALING_FORMAT=MLN","Sort=A","Dates=H","DateFormat=P","Fill=—","Direction=H","UseDPDF=Y")</f>
        <v>14873</v>
      </c>
      <c r="AK82" s="13">
        <f>_xll.BDH("AMZN US Equity","BS_TOTAL_CAPITAL_LEASES","FQ3 2017","FQ3 2017","Currency=USD","Period=FQ","BEST_FPERIOD_OVERRIDE=FQ","FILING_STATUS=MR","SCALING_FORMAT=MLN","Sort=A","Dates=H","DateFormat=P","Fill=—","Direction=H","UseDPDF=Y")</f>
        <v>17439</v>
      </c>
      <c r="AL82" s="13">
        <f>_xll.BDH("AMZN US Equity","BS_TOTAL_CAPITAL_LEASES","FQ4 2017","FQ4 2017","Currency=USD","Period=FQ","BEST_FPERIOD_OVERRIDE=FQ","FILING_STATUS=MR","SCALING_FORMAT=MLN","Sort=A","Dates=H","DateFormat=P","Fill=—","Direction=H","UseDPDF=Y")</f>
        <v>19304</v>
      </c>
      <c r="AM82" s="13">
        <f>_xll.BDH("AMZN US Equity","BS_TOTAL_CAPITAL_LEASES","FQ1 2018","FQ1 2018","Currency=USD","Period=FQ","BEST_FPERIOD_OVERRIDE=FQ","FILING_STATUS=MR","SCALING_FORMAT=MLN","Sort=A","Dates=H","DateFormat=P","Fill=—","Direction=H","UseDPDF=Y")</f>
        <v>19794</v>
      </c>
      <c r="AN82" s="13">
        <f>_xll.BDH("AMZN US Equity","BS_TOTAL_CAPITAL_LEASES","FQ2 2018","FQ2 2018","Currency=USD","Period=FQ","BEST_FPERIOD_OVERRIDE=FQ","FILING_STATUS=MR","SCALING_FORMAT=MLN","Sort=A","Dates=H","DateFormat=P","Fill=—","Direction=H","UseDPDF=Y")</f>
        <v>21120</v>
      </c>
    </row>
    <row r="83" spans="1:40" x14ac:dyDescent="0.25">
      <c r="A83" s="10" t="s">
        <v>348</v>
      </c>
      <c r="B83" s="10" t="s">
        <v>349</v>
      </c>
      <c r="C83" s="13">
        <f>_xll.BDH("AMZN US Equity","NET_DEBT","FQ1 2009","FQ1 2009","Currency=USD","Period=FQ","BEST_FPERIOD_OVERRIDE=FQ","FILING_STATUS=MR","SCALING_FORMAT=MLN","Sort=A","Dates=H","DateFormat=P","Fill=—","Direction=H","UseDPDF=Y")</f>
        <v>-2597</v>
      </c>
      <c r="D83" s="13">
        <f>_xll.BDH("AMZN US Equity","NET_DEBT","FQ2 2009","FQ2 2009","Currency=USD","Period=FQ","BEST_FPERIOD_OVERRIDE=FQ","FILING_STATUS=MR","SCALING_FORMAT=MLN","Sort=A","Dates=H","DateFormat=P","Fill=—","Direction=H","UseDPDF=Y")</f>
        <v>-3103</v>
      </c>
      <c r="E83" s="13">
        <f>_xll.BDH("AMZN US Equity","NET_DEBT","FQ3 2009","FQ3 2009","Currency=USD","Period=FQ","BEST_FPERIOD_OVERRIDE=FQ","FILING_STATUS=MR","SCALING_FORMAT=MLN","Sort=A","Dates=H","DateFormat=P","Fill=—","Direction=H","UseDPDF=Y")</f>
        <v>-3885</v>
      </c>
      <c r="F83" s="13">
        <f>_xll.BDH("AMZN US Equity","NET_DEBT","FQ4 2009","FQ4 2009","Currency=USD","Period=FQ","BEST_FPERIOD_OVERRIDE=FQ","FILING_STATUS=MR","SCALING_FORMAT=MLN","Sort=A","Dates=H","DateFormat=P","Fill=—","Direction=H","UseDPDF=Y")</f>
        <v>-5985</v>
      </c>
      <c r="G83" s="13">
        <f>_xll.BDH("AMZN US Equity","NET_DEBT","FQ1 2010","FQ1 2010","Currency=USD","Period=FQ","BEST_FPERIOD_OVERRIDE=FQ","FILING_STATUS=MR","SCALING_FORMAT=MLN","Sort=A","Dates=H","DateFormat=P","Fill=—","Direction=H","UseDPDF=Y")</f>
        <v>-4890</v>
      </c>
      <c r="H83" s="13">
        <f>_xll.BDH("AMZN US Equity","NET_DEBT","FQ2 2010","FQ2 2010","Currency=USD","Period=FQ","BEST_FPERIOD_OVERRIDE=FQ","FILING_STATUS=MR","SCALING_FORMAT=MLN","Sort=A","Dates=H","DateFormat=P","Fill=—","Direction=H","UseDPDF=Y")</f>
        <v>-4976</v>
      </c>
      <c r="I83" s="13">
        <f>_xll.BDH("AMZN US Equity","NET_DEBT","FQ3 2010","FQ3 2010","Currency=USD","Period=FQ","BEST_FPERIOD_OVERRIDE=FQ","FILING_STATUS=MR","SCALING_FORMAT=MLN","Sort=A","Dates=H","DateFormat=P","Fill=—","Direction=H","UseDPDF=Y")</f>
        <v>-5721</v>
      </c>
      <c r="J83" s="13">
        <f>_xll.BDH("AMZN US Equity","NET_DEBT","FQ4 2010","FQ4 2010","Currency=USD","Period=FQ","BEST_FPERIOD_OVERRIDE=FQ","FILING_STATUS=MR","SCALING_FORMAT=MLN","Sort=A","Dates=H","DateFormat=P","Fill=—","Direction=H","UseDPDF=Y")</f>
        <v>-8084</v>
      </c>
      <c r="K83" s="13">
        <f>_xll.BDH("AMZN US Equity","NET_DEBT","FQ1 2011","FQ1 2011","Currency=USD","Period=FQ","BEST_FPERIOD_OVERRIDE=FQ","FILING_STATUS=MR","SCALING_FORMAT=MLN","Sort=A","Dates=H","DateFormat=P","Fill=—","Direction=H","UseDPDF=Y")</f>
        <v>-6881</v>
      </c>
      <c r="L83" s="13">
        <f>_xll.BDH("AMZN US Equity","NET_DEBT","FQ2 2011","FQ2 2011","Currency=USD","Period=FQ","BEST_FPERIOD_OVERRIDE=FQ","FILING_STATUS=MR","SCALING_FORMAT=MLN","Sort=A","Dates=H","DateFormat=P","Fill=—","Direction=H","UseDPDF=Y")</f>
        <v>-6355</v>
      </c>
      <c r="M83" s="13">
        <f>_xll.BDH("AMZN US Equity","NET_DEBT","FQ3 2011","FQ3 2011","Currency=USD","Period=FQ","BEST_FPERIOD_OVERRIDE=FQ","FILING_STATUS=MR","SCALING_FORMAT=MLN","Sort=A","Dates=H","DateFormat=P","Fill=—","Direction=H","UseDPDF=Y")</f>
        <v>-6326</v>
      </c>
      <c r="N83" s="13">
        <f>_xll.BDH("AMZN US Equity","NET_DEBT","FQ4 2011","FQ4 2011","Currency=USD","Period=FQ","BEST_FPERIOD_OVERRIDE=FQ","FILING_STATUS=MR","SCALING_FORMAT=MLN","Sort=A","Dates=H","DateFormat=P","Fill=—","Direction=H","UseDPDF=Y")</f>
        <v>-7637</v>
      </c>
      <c r="O83" s="13">
        <f>_xll.BDH("AMZN US Equity","NET_DEBT","FQ1 2012","FQ1 2012","Currency=USD","Period=FQ","BEST_FPERIOD_OVERRIDE=FQ","FILING_STATUS=MR","SCALING_FORMAT=MLN","Sort=A","Dates=H","DateFormat=P","Fill=—","Direction=H","UseDPDF=Y")</f>
        <v>-5715</v>
      </c>
      <c r="P83" s="13">
        <f>_xll.BDH("AMZN US Equity","NET_DEBT","FQ2 2012","FQ2 2012","Currency=USD","Period=FQ","BEST_FPERIOD_OVERRIDE=FQ","FILING_STATUS=MR","SCALING_FORMAT=MLN","Sort=A","Dates=H","DateFormat=P","Fill=—","Direction=H","UseDPDF=Y")</f>
        <v>-4970</v>
      </c>
      <c r="Q83" s="13">
        <f>_xll.BDH("AMZN US Equity","NET_DEBT","FQ3 2012","FQ3 2012","Currency=USD","Period=FQ","BEST_FPERIOD_OVERRIDE=FQ","FILING_STATUS=MR","SCALING_FORMAT=MLN","Sort=A","Dates=H","DateFormat=P","Fill=—","Direction=H","UseDPDF=Y")</f>
        <v>-5248</v>
      </c>
      <c r="R83" s="13">
        <f>_xll.BDH("AMZN US Equity","NET_DEBT","FQ4 2012","FQ4 2012","Currency=USD","Period=FQ","BEST_FPERIOD_OVERRIDE=FQ","FILING_STATUS=MR","SCALING_FORMAT=MLN","Sort=A","Dates=H","DateFormat=P","Fill=—","Direction=H","UseDPDF=Y")</f>
        <v>-6484</v>
      </c>
      <c r="S83" s="13">
        <f>_xll.BDH("AMZN US Equity","NET_DEBT","FQ1 2013","FQ1 2013","Currency=USD","Period=FQ","BEST_FPERIOD_OVERRIDE=FQ","FILING_STATUS=MR","SCALING_FORMAT=MLN","Sort=A","Dates=H","DateFormat=P","Fill=—","Direction=H","UseDPDF=Y")</f>
        <v>-4203</v>
      </c>
      <c r="T83" s="13">
        <f>_xll.BDH("AMZN US Equity","NET_DEBT","FQ2 2013","FQ2 2013","Currency=USD","Period=FQ","BEST_FPERIOD_OVERRIDE=FQ","FILING_STATUS=MR","SCALING_FORMAT=MLN","Sort=A","Dates=H","DateFormat=P","Fill=—","Direction=H","UseDPDF=Y")</f>
        <v>-3730</v>
      </c>
      <c r="U83" s="13">
        <f>_xll.BDH("AMZN US Equity","NET_DEBT","FQ3 2013","FQ3 2013","Currency=USD","Period=FQ","BEST_FPERIOD_OVERRIDE=FQ","FILING_STATUS=MR","SCALING_FORMAT=MLN","Sort=A","Dates=H","DateFormat=P","Fill=—","Direction=H","UseDPDF=Y")</f>
        <v>-3966</v>
      </c>
      <c r="V83" s="13">
        <f>_xll.BDH("AMZN US Equity","NET_DEBT","FQ4 2013","FQ4 2013","Currency=USD","Period=FQ","BEST_FPERIOD_OVERRIDE=FQ","FILING_STATUS=MR","SCALING_FORMAT=MLN","Sort=A","Dates=H","DateFormat=P","Fill=—","Direction=H","UseDPDF=Y")</f>
        <v>-5558</v>
      </c>
      <c r="W83" s="13">
        <f>_xll.BDH("AMZN US Equity","NET_DEBT","FQ1 2014","FQ1 2014","Currency=USD","Period=FQ","BEST_FPERIOD_OVERRIDE=FQ","FILING_STATUS=MR","SCALING_FORMAT=MLN","Sort=A","Dates=H","DateFormat=P","Fill=—","Direction=H","UseDPDF=Y")</f>
        <v>-4735</v>
      </c>
      <c r="X83" s="13">
        <f>_xll.BDH("AMZN US Equity","NET_DEBT","FQ2 2014","FQ2 2014","Currency=USD","Period=FQ","BEST_FPERIOD_OVERRIDE=FQ","FILING_STATUS=MR","SCALING_FORMAT=MLN","Sort=A","Dates=H","DateFormat=P","Fill=—","Direction=H","UseDPDF=Y")</f>
        <v>-4007</v>
      </c>
      <c r="Y83" s="13">
        <f>_xll.BDH("AMZN US Equity","NET_DEBT","FQ3 2014","FQ3 2014","Currency=USD","Period=FQ","BEST_FPERIOD_OVERRIDE=FQ","FILING_STATUS=MR","SCALING_FORMAT=MLN","Sort=A","Dates=H","DateFormat=P","Fill=—","Direction=H","UseDPDF=Y")</f>
        <v>-2920</v>
      </c>
      <c r="Z83" s="13">
        <f>_xll.BDH("AMZN US Equity","NET_DEBT","FQ4 2014","FQ4 2014","Currency=USD","Period=FQ","BEST_FPERIOD_OVERRIDE=FQ","FILING_STATUS=MR","SCALING_FORMAT=MLN","Sort=A","Dates=H","DateFormat=P","Fill=—","Direction=H","UseDPDF=Y")</f>
        <v>-1327</v>
      </c>
      <c r="AA83" s="13">
        <f>_xll.BDH("AMZN US Equity","NET_DEBT","FQ1 2015","FQ1 2015","Currency=USD","Period=FQ","BEST_FPERIOD_OVERRIDE=FQ","FILING_STATUS=MR","SCALING_FORMAT=MLN","Sort=A","Dates=H","DateFormat=P","Fill=—","Direction=H","UseDPDF=Y")</f>
        <v>-4147</v>
      </c>
      <c r="AB83" s="13">
        <f>_xll.BDH("AMZN US Equity","NET_DEBT","FQ2 2015","FQ2 2015","Currency=USD","Period=FQ","BEST_FPERIOD_OVERRIDE=FQ","FILING_STATUS=MR","SCALING_FORMAT=MLN","Sort=A","Dates=H","DateFormat=P","Fill=—","Direction=H","UseDPDF=Y")</f>
        <v>-4492</v>
      </c>
      <c r="AC83" s="13">
        <f>_xll.BDH("AMZN US Equity","NET_DEBT","FQ3 2015","FQ3 2015","Currency=USD","Period=FQ","BEST_FPERIOD_OVERRIDE=FQ","FILING_STATUS=MR","SCALING_FORMAT=MLN","Sort=A","Dates=H","DateFormat=P","Fill=—","Direction=H","UseDPDF=Y")</f>
        <v>-5068</v>
      </c>
      <c r="AD83" s="13">
        <f>_xll.BDH("AMZN US Equity","NET_DEBT","FQ4 2015","FQ4 2015","Currency=USD","Period=FQ","BEST_FPERIOD_OVERRIDE=FQ","FILING_STATUS=MR","SCALING_FORMAT=MLN","Sort=A","Dates=H","DateFormat=P","Fill=—","Direction=H","UseDPDF=Y")</f>
        <v>-2269</v>
      </c>
      <c r="AE83" s="13">
        <f>_xll.BDH("AMZN US Equity","NET_DEBT","FQ1 2016","FQ1 2016","Currency=USD","Period=FQ","BEST_FPERIOD_OVERRIDE=FQ","FILING_STATUS=MR","SCALING_FORMAT=MLN","Sort=A","Dates=H","DateFormat=P","Fill=—","Direction=H","UseDPDF=Y")</f>
        <v>1753</v>
      </c>
      <c r="AF83" s="13">
        <f>_xll.BDH("AMZN US Equity","NET_DEBT","FQ2 2016","FQ2 2016","Currency=USD","Period=FQ","BEST_FPERIOD_OVERRIDE=FQ","FILING_STATUS=MR","SCALING_FORMAT=MLN","Sort=A","Dates=H","DateFormat=P","Fill=—","Direction=H","UseDPDF=Y")</f>
        <v>1320</v>
      </c>
      <c r="AG83" s="13">
        <f>_xll.BDH("AMZN US Equity","NET_DEBT","FQ3 2016","FQ3 2016","Currency=USD","Period=FQ","BEST_FPERIOD_OVERRIDE=FQ","FILING_STATUS=MR","SCALING_FORMAT=MLN","Sort=A","Dates=H","DateFormat=P","Fill=—","Direction=H","UseDPDF=Y")</f>
        <v>641</v>
      </c>
      <c r="AH83" s="13">
        <f>_xll.BDH("AMZN US Equity","NET_DEBT","FQ4 2016","FQ4 2016","Currency=USD","Period=FQ","BEST_FPERIOD_OVERRIDE=FQ","FILING_STATUS=MR","SCALING_FORMAT=MLN","Sort=A","Dates=H","DateFormat=P","Fill=—","Direction=H","UseDPDF=Y")</f>
        <v>-5571</v>
      </c>
      <c r="AI83" s="13">
        <f>_xll.BDH("AMZN US Equity","NET_DEBT","FQ1 2017","FQ1 2017","Currency=USD","Period=FQ","BEST_FPERIOD_OVERRIDE=FQ","FILING_STATUS=MR","SCALING_FORMAT=MLN","Sort=A","Dates=H","DateFormat=P","Fill=—","Direction=H","UseDPDF=Y")</f>
        <v>68</v>
      </c>
      <c r="AJ83" s="13">
        <f>_xll.BDH("AMZN US Equity","NET_DEBT","FQ2 2017","FQ2 2017","Currency=USD","Period=FQ","BEST_FPERIOD_OVERRIDE=FQ","FILING_STATUS=MR","SCALING_FORMAT=MLN","Sort=A","Dates=H","DateFormat=P","Fill=—","Direction=H","UseDPDF=Y")</f>
        <v>2168</v>
      </c>
      <c r="AK83" s="13">
        <f>_xll.BDH("AMZN US Equity","NET_DEBT","FQ3 2017","FQ3 2017","Currency=USD","Period=FQ","BEST_FPERIOD_OVERRIDE=FQ","FILING_STATUS=MR","SCALING_FORMAT=MLN","Sort=A","Dates=H","DateFormat=P","Fill=—","Direction=H","UseDPDF=Y")</f>
        <v>18876</v>
      </c>
      <c r="AL83" s="13">
        <f>_xll.BDH("AMZN US Equity","NET_DEBT","FQ4 2017","FQ4 2017","Currency=USD","Period=FQ","BEST_FPERIOD_OVERRIDE=FQ","FILING_STATUS=MR","SCALING_FORMAT=MLN","Sort=A","Dates=H","DateFormat=P","Fill=—","Direction=H","UseDPDF=Y")</f>
        <v>13161</v>
      </c>
      <c r="AM83" s="13">
        <f>_xll.BDH("AMZN US Equity","NET_DEBT","FQ1 2018","FQ1 2018","Currency=USD","Period=FQ","BEST_FPERIOD_OVERRIDE=FQ","FILING_STATUS=MR","SCALING_FORMAT=MLN","Sort=A","Dates=H","DateFormat=P","Fill=—","Direction=H","UseDPDF=Y")</f>
        <v>19524</v>
      </c>
      <c r="AN83" s="13">
        <f>_xll.BDH("AMZN US Equity","NET_DEBT","FQ2 2018","FQ2 2018","Currency=USD","Period=FQ","BEST_FPERIOD_OVERRIDE=FQ","FILING_STATUS=MR","SCALING_FORMAT=MLN","Sort=A","Dates=H","DateFormat=P","Fill=—","Direction=H","UseDPDF=Y")</f>
        <v>18739</v>
      </c>
    </row>
    <row r="84" spans="1:40" x14ac:dyDescent="0.25">
      <c r="A84" s="10" t="s">
        <v>350</v>
      </c>
      <c r="B84" s="10" t="s">
        <v>351</v>
      </c>
      <c r="C84" s="14">
        <f>_xll.BDH("AMZN US Equity","NET_DEBT_TO_SHRHLDR_EQTY","FQ1 2009","FQ1 2009","Currency=USD","Period=FQ","BEST_FPERIOD_OVERRIDE=FQ","FILING_STATUS=MR","Sort=A","Dates=H","DateFormat=P","Fill=—","Direction=H","UseDPDF=Y")</f>
        <v>-88.999300000000005</v>
      </c>
      <c r="D84" s="14">
        <f>_xll.BDH("AMZN US Equity","NET_DEBT_TO_SHRHLDR_EQTY","FQ2 2009","FQ2 2009","Currency=USD","Period=FQ","BEST_FPERIOD_OVERRIDE=FQ","FILING_STATUS=MR","Sort=A","Dates=H","DateFormat=P","Fill=—","Direction=H","UseDPDF=Y")</f>
        <v>-95.301000000000002</v>
      </c>
      <c r="E84" s="14">
        <f>_xll.BDH("AMZN US Equity","NET_DEBT_TO_SHRHLDR_EQTY","FQ3 2009","FQ3 2009","Currency=USD","Period=FQ","BEST_FPERIOD_OVERRIDE=FQ","FILING_STATUS=MR","Sort=A","Dates=H","DateFormat=P","Fill=—","Direction=H","UseDPDF=Y")</f>
        <v>-108.3682</v>
      </c>
      <c r="F84" s="14">
        <f>_xll.BDH("AMZN US Equity","NET_DEBT_TO_SHRHLDR_EQTY","FQ4 2009","FQ4 2009","Currency=USD","Period=FQ","BEST_FPERIOD_OVERRIDE=FQ","FILING_STATUS=MR","Sort=A","Dates=H","DateFormat=P","Fill=—","Direction=H","UseDPDF=Y")</f>
        <v>-113.84820000000001</v>
      </c>
      <c r="G84" s="14">
        <f>_xll.BDH("AMZN US Equity","NET_DEBT_TO_SHRHLDR_EQTY","FQ1 2010","FQ1 2010","Currency=USD","Period=FQ","BEST_FPERIOD_OVERRIDE=FQ","FILING_STATUS=MR","Sort=A","Dates=H","DateFormat=P","Fill=—","Direction=H","UseDPDF=Y")</f>
        <v>-87.041700000000006</v>
      </c>
      <c r="H84" s="14">
        <f>_xll.BDH("AMZN US Equity","NET_DEBT_TO_SHRHLDR_EQTY","FQ2 2010","FQ2 2010","Currency=USD","Period=FQ","BEST_FPERIOD_OVERRIDE=FQ","FILING_STATUS=MR","Sort=A","Dates=H","DateFormat=P","Fill=—","Direction=H","UseDPDF=Y")</f>
        <v>-84.958200000000005</v>
      </c>
      <c r="I84" s="14">
        <f>_xll.BDH("AMZN US Equity","NET_DEBT_TO_SHRHLDR_EQTY","FQ3 2010","FQ3 2010","Currency=USD","Period=FQ","BEST_FPERIOD_OVERRIDE=FQ","FILING_STATUS=MR","Sort=A","Dates=H","DateFormat=P","Fill=—","Direction=H","UseDPDF=Y")</f>
        <v>-89.432500000000005</v>
      </c>
      <c r="J84" s="14">
        <f>_xll.BDH("AMZN US Equity","NET_DEBT_TO_SHRHLDR_EQTY","FQ4 2010","FQ4 2010","Currency=USD","Period=FQ","BEST_FPERIOD_OVERRIDE=FQ","FILING_STATUS=MR","Sort=A","Dates=H","DateFormat=P","Fill=—","Direction=H","UseDPDF=Y")</f>
        <v>-117.7739</v>
      </c>
      <c r="K84" s="14">
        <f>_xll.BDH("AMZN US Equity","NET_DEBT_TO_SHRHLDR_EQTY","FQ1 2011","FQ1 2011","Currency=USD","Period=FQ","BEST_FPERIOD_OVERRIDE=FQ","FILING_STATUS=MR","Sort=A","Dates=H","DateFormat=P","Fill=—","Direction=H","UseDPDF=Y")</f>
        <v>-93.657300000000006</v>
      </c>
      <c r="L84" s="14">
        <f>_xll.BDH("AMZN US Equity","NET_DEBT_TO_SHRHLDR_EQTY","FQ2 2011","FQ2 2011","Currency=USD","Period=FQ","BEST_FPERIOD_OVERRIDE=FQ","FILING_STATUS=MR","Sort=A","Dates=H","DateFormat=P","Fill=—","Direction=H","UseDPDF=Y")</f>
        <v>-81.8416</v>
      </c>
      <c r="M84" s="14">
        <f>_xll.BDH("AMZN US Equity","NET_DEBT_TO_SHRHLDR_EQTY","FQ3 2011","FQ3 2011","Currency=USD","Period=FQ","BEST_FPERIOD_OVERRIDE=FQ","FILING_STATUS=MR","Sort=A","Dates=H","DateFormat=P","Fill=—","Direction=H","UseDPDF=Y")</f>
        <v>-81.457599999999999</v>
      </c>
      <c r="N84" s="14">
        <f>_xll.BDH("AMZN US Equity","NET_DEBT_TO_SHRHLDR_EQTY","FQ4 2011","FQ4 2011","Currency=USD","Period=FQ","BEST_FPERIOD_OVERRIDE=FQ","FILING_STATUS=MR","Sort=A","Dates=H","DateFormat=P","Fill=—","Direction=H","UseDPDF=Y")</f>
        <v>-98.453000000000003</v>
      </c>
      <c r="O84" s="14">
        <f>_xll.BDH("AMZN US Equity","NET_DEBT_TO_SHRHLDR_EQTY","FQ1 2012","FQ1 2012","Currency=USD","Period=FQ","BEST_FPERIOD_OVERRIDE=FQ","FILING_STATUS=MR","Sort=A","Dates=H","DateFormat=P","Fill=—","Direction=H","UseDPDF=Y")</f>
        <v>-78.599900000000005</v>
      </c>
      <c r="P84" s="14">
        <f>_xll.BDH("AMZN US Equity","NET_DEBT_TO_SHRHLDR_EQTY","FQ2 2012","FQ2 2012","Currency=USD","Period=FQ","BEST_FPERIOD_OVERRIDE=FQ","FILING_STATUS=MR","Sort=A","Dates=H","DateFormat=P","Fill=—","Direction=H","UseDPDF=Y")</f>
        <v>-66.222499999999997</v>
      </c>
      <c r="Q84" s="14">
        <f>_xll.BDH("AMZN US Equity","NET_DEBT_TO_SHRHLDR_EQTY","FQ3 2012","FQ3 2012","Currency=USD","Period=FQ","BEST_FPERIOD_OVERRIDE=FQ","FILING_STATUS=MR","Sort=A","Dates=H","DateFormat=P","Fill=—","Direction=H","UseDPDF=Y")</f>
        <v>-69.482299999999995</v>
      </c>
      <c r="R84" s="14">
        <f>_xll.BDH("AMZN US Equity","NET_DEBT_TO_SHRHLDR_EQTY","FQ4 2012","FQ4 2012","Currency=USD","Period=FQ","BEST_FPERIOD_OVERRIDE=FQ","FILING_STATUS=MR","Sort=A","Dates=H","DateFormat=P","Fill=—","Direction=H","UseDPDF=Y")</f>
        <v>-79.150400000000005</v>
      </c>
      <c r="S84" s="14">
        <f>_xll.BDH("AMZN US Equity","NET_DEBT_TO_SHRHLDR_EQTY","FQ1 2013","FQ1 2013","Currency=USD","Period=FQ","BEST_FPERIOD_OVERRIDE=FQ","FILING_STATUS=MR","Sort=A","Dates=H","DateFormat=P","Fill=—","Direction=H","UseDPDF=Y")</f>
        <v>-49.845799999999997</v>
      </c>
      <c r="T84" s="14">
        <f>_xll.BDH("AMZN US Equity","NET_DEBT_TO_SHRHLDR_EQTY","FQ2 2013","FQ2 2013","Currency=USD","Period=FQ","BEST_FPERIOD_OVERRIDE=FQ","FILING_STATUS=MR","Sort=A","Dates=H","DateFormat=P","Fill=—","Direction=H","UseDPDF=Y")</f>
        <v>-42.711599999999997</v>
      </c>
      <c r="U84" s="14">
        <f>_xll.BDH("AMZN US Equity","NET_DEBT_TO_SHRHLDR_EQTY","FQ3 2013","FQ3 2013","Currency=USD","Period=FQ","BEST_FPERIOD_OVERRIDE=FQ","FILING_STATUS=MR","Sort=A","Dates=H","DateFormat=P","Fill=—","Direction=H","UseDPDF=Y")</f>
        <v>-43.644800000000004</v>
      </c>
      <c r="V84" s="14">
        <f>_xll.BDH("AMZN US Equity","NET_DEBT_TO_SHRHLDR_EQTY","FQ4 2013","FQ4 2013","Currency=USD","Period=FQ","BEST_FPERIOD_OVERRIDE=FQ","FILING_STATUS=MR","Sort=A","Dates=H","DateFormat=P","Fill=—","Direction=H","UseDPDF=Y")</f>
        <v>-57.028500000000001</v>
      </c>
      <c r="W84" s="14">
        <f>_xll.BDH("AMZN US Equity","NET_DEBT_TO_SHRHLDR_EQTY","FQ1 2014","FQ1 2014","Currency=USD","Period=FQ","BEST_FPERIOD_OVERRIDE=FQ","FILING_STATUS=MR","Sort=A","Dates=H","DateFormat=P","Fill=—","Direction=H","UseDPDF=Y")</f>
        <v>-45.846200000000003</v>
      </c>
      <c r="X84" s="14">
        <f>_xll.BDH("AMZN US Equity","NET_DEBT_TO_SHRHLDR_EQTY","FQ2 2014","FQ2 2014","Currency=USD","Period=FQ","BEST_FPERIOD_OVERRIDE=FQ","FILING_STATUS=MR","Sort=A","Dates=H","DateFormat=P","Fill=—","Direction=H","UseDPDF=Y")</f>
        <v>-37.794800000000002</v>
      </c>
      <c r="Y84" s="14">
        <f>_xll.BDH("AMZN US Equity","NET_DEBT_TO_SHRHLDR_EQTY","FQ3 2014","FQ3 2014","Currency=USD","Period=FQ","BEST_FPERIOD_OVERRIDE=FQ","FILING_STATUS=MR","Sort=A","Dates=H","DateFormat=P","Fill=—","Direction=H","UseDPDF=Y")</f>
        <v>-28.250800000000002</v>
      </c>
      <c r="Z84" s="14">
        <f>_xll.BDH("AMZN US Equity","NET_DEBT_TO_SHRHLDR_EQTY","FQ4 2014","FQ4 2014","Currency=USD","Period=FQ","BEST_FPERIOD_OVERRIDE=FQ","FILING_STATUS=MR","Sort=A","Dates=H","DateFormat=P","Fill=—","Direction=H","UseDPDF=Y")</f>
        <v>-12.3545</v>
      </c>
      <c r="AA84" s="14">
        <f>_xll.BDH("AMZN US Equity","NET_DEBT_TO_SHRHLDR_EQTY","FQ1 2015","FQ1 2015","Currency=USD","Period=FQ","BEST_FPERIOD_OVERRIDE=FQ","FILING_STATUS=MR","Sort=A","Dates=H","DateFormat=P","Fill=—","Direction=H","UseDPDF=Y")</f>
        <v>-38.140300000000003</v>
      </c>
      <c r="AB84" s="14">
        <f>_xll.BDH("AMZN US Equity","NET_DEBT_TO_SHRHLDR_EQTY","FQ2 2015","FQ2 2015","Currency=USD","Period=FQ","BEST_FPERIOD_OVERRIDE=FQ","FILING_STATUS=MR","Sort=A","Dates=H","DateFormat=P","Fill=—","Direction=H","UseDPDF=Y")</f>
        <v>-38.171300000000002</v>
      </c>
      <c r="AC84" s="14">
        <f>_xll.BDH("AMZN US Equity","NET_DEBT_TO_SHRHLDR_EQTY","FQ3 2015","FQ3 2015","Currency=USD","Period=FQ","BEST_FPERIOD_OVERRIDE=FQ","FILING_STATUS=MR","Sort=A","Dates=H","DateFormat=P","Fill=—","Direction=H","UseDPDF=Y")</f>
        <v>-40.772300000000001</v>
      </c>
      <c r="AD84" s="14">
        <f>_xll.BDH("AMZN US Equity","NET_DEBT_TO_SHRHLDR_EQTY","FQ4 2015","FQ4 2015","Currency=USD","Period=FQ","BEST_FPERIOD_OVERRIDE=FQ","FILING_STATUS=MR","Sort=A","Dates=H","DateFormat=P","Fill=—","Direction=H","UseDPDF=Y")</f>
        <v>-16.953099999999999</v>
      </c>
      <c r="AE84" s="14">
        <f>_xll.BDH("AMZN US Equity","NET_DEBT_TO_SHRHLDR_EQTY","FQ1 2016","FQ1 2016","Currency=USD","Period=FQ","BEST_FPERIOD_OVERRIDE=FQ","FILING_STATUS=MR","Sort=A","Dates=H","DateFormat=P","Fill=—","Direction=H","UseDPDF=Y")</f>
        <v>11.879899999999999</v>
      </c>
      <c r="AF84" s="14">
        <f>_xll.BDH("AMZN US Equity","NET_DEBT_TO_SHRHLDR_EQTY","FQ2 2016","FQ2 2016","Currency=USD","Period=FQ","BEST_FPERIOD_OVERRIDE=FQ","FILING_STATUS=MR","Sort=A","Dates=H","DateFormat=P","Fill=—","Direction=H","UseDPDF=Y")</f>
        <v>7.9816000000000003</v>
      </c>
      <c r="AG84" s="14">
        <f>_xll.BDH("AMZN US Equity","NET_DEBT_TO_SHRHLDR_EQTY","FQ3 2016","FQ3 2016","Currency=USD","Period=FQ","BEST_FPERIOD_OVERRIDE=FQ","FILING_STATUS=MR","Sort=A","Dates=H","DateFormat=P","Fill=—","Direction=H","UseDPDF=Y")</f>
        <v>3.6048</v>
      </c>
      <c r="AH84" s="14">
        <f>_xll.BDH("AMZN US Equity","NET_DEBT_TO_SHRHLDR_EQTY","FQ4 2016","FQ4 2016","Currency=USD","Period=FQ","BEST_FPERIOD_OVERRIDE=FQ","FILING_STATUS=MR","Sort=A","Dates=H","DateFormat=P","Fill=—","Direction=H","UseDPDF=Y")</f>
        <v>-28.887699999999999</v>
      </c>
      <c r="AI84" s="14">
        <f>_xll.BDH("AMZN US Equity","NET_DEBT_TO_SHRHLDR_EQTY","FQ1 2017","FQ1 2017","Currency=USD","Period=FQ","BEST_FPERIOD_OVERRIDE=FQ","FILING_STATUS=MR","Sort=A","Dates=H","DateFormat=P","Fill=—","Direction=H","UseDPDF=Y")</f>
        <v>0.31369999999999998</v>
      </c>
      <c r="AJ84" s="14">
        <f>_xll.BDH("AMZN US Equity","NET_DEBT_TO_SHRHLDR_EQTY","FQ2 2017","FQ2 2017","Currency=USD","Period=FQ","BEST_FPERIOD_OVERRIDE=FQ","FILING_STATUS=MR","Sort=A","Dates=H","DateFormat=P","Fill=—","Direction=H","UseDPDF=Y")</f>
        <v>9.3391999999999999</v>
      </c>
      <c r="AK84" s="14">
        <f>_xll.BDH("AMZN US Equity","NET_DEBT_TO_SHRHLDR_EQTY","FQ3 2017","FQ3 2017","Currency=USD","Period=FQ","BEST_FPERIOD_OVERRIDE=FQ","FILING_STATUS=MR","Sort=A","Dates=H","DateFormat=P","Fill=—","Direction=H","UseDPDF=Y")</f>
        <v>76.551199999999994</v>
      </c>
      <c r="AL84" s="14">
        <f>_xll.BDH("AMZN US Equity","NET_DEBT_TO_SHRHLDR_EQTY","FQ4 2017","FQ4 2017","Currency=USD","Period=FQ","BEST_FPERIOD_OVERRIDE=FQ","FILING_STATUS=MR","Sort=A","Dates=H","DateFormat=P","Fill=—","Direction=H","UseDPDF=Y")</f>
        <v>47.497199999999999</v>
      </c>
      <c r="AM84" s="14">
        <f>_xll.BDH("AMZN US Equity","NET_DEBT_TO_SHRHLDR_EQTY","FQ1 2018","FQ1 2018","Currency=USD","Period=FQ","BEST_FPERIOD_OVERRIDE=FQ","FILING_STATUS=MR","Sort=A","Dates=H","DateFormat=P","Fill=—","Direction=H","UseDPDF=Y")</f>
        <v>62.053800000000003</v>
      </c>
      <c r="AN84" s="14">
        <f>_xll.BDH("AMZN US Equity","NET_DEBT_TO_SHRHLDR_EQTY","FQ2 2018","FQ2 2018","Currency=USD","Period=FQ","BEST_FPERIOD_OVERRIDE=FQ","FILING_STATUS=MR","Sort=A","Dates=H","DateFormat=P","Fill=—","Direction=H","UseDPDF=Y")</f>
        <v>53.547600000000003</v>
      </c>
    </row>
    <row r="85" spans="1:40" x14ac:dyDescent="0.25">
      <c r="A85" s="10" t="s">
        <v>352</v>
      </c>
      <c r="B85" s="10" t="s">
        <v>353</v>
      </c>
      <c r="C85" s="14">
        <f>_xll.BDH("AMZN US Equity","TCE_RATIO","FQ1 2009","FQ1 2009","Currency=USD","Period=FQ","BEST_FPERIOD_OVERRIDE=FQ","FILING_STATUS=MR","Sort=A","Dates=H","DateFormat=P","Fill=—","Direction=H","UseDPDF=Y")</f>
        <v>37.956299999999999</v>
      </c>
      <c r="D85" s="14">
        <f>_xll.BDH("AMZN US Equity","TCE_RATIO","FQ2 2009","FQ2 2009","Currency=USD","Period=FQ","BEST_FPERIOD_OVERRIDE=FQ","FILING_STATUS=MR","Sort=A","Dates=H","DateFormat=P","Fill=—","Direction=H","UseDPDF=Y")</f>
        <v>38.828899999999997</v>
      </c>
      <c r="E85" s="14">
        <f>_xll.BDH("AMZN US Equity","TCE_RATIO","FQ3 2009","FQ3 2009","Currency=USD","Period=FQ","BEST_FPERIOD_OVERRIDE=FQ","FILING_STATUS=MR","Sort=A","Dates=H","DateFormat=P","Fill=—","Direction=H","UseDPDF=Y")</f>
        <v>36.735199999999999</v>
      </c>
      <c r="F85" s="14">
        <f>_xll.BDH("AMZN US Equity","TCE_RATIO","FQ4 2009","FQ4 2009","Currency=USD","Period=FQ","BEST_FPERIOD_OVERRIDE=FQ","FILING_STATUS=MR","Sort=A","Dates=H","DateFormat=P","Fill=—","Direction=H","UseDPDF=Y")</f>
        <v>31.9819</v>
      </c>
      <c r="G85" s="14">
        <f>_xll.BDH("AMZN US Equity","TCE_RATIO","FQ1 2010","FQ1 2010","Currency=USD","Period=FQ","BEST_FPERIOD_OVERRIDE=FQ","FILING_STATUS=MR","Sort=A","Dates=H","DateFormat=P","Fill=—","Direction=H","UseDPDF=Y")</f>
        <v>40.5625</v>
      </c>
      <c r="H85" s="14">
        <f>_xll.BDH("AMZN US Equity","TCE_RATIO","FQ2 2010","FQ2 2010","Currency=USD","Period=FQ","BEST_FPERIOD_OVERRIDE=FQ","FILING_STATUS=MR","Sort=A","Dates=H","DateFormat=P","Fill=—","Direction=H","UseDPDF=Y")</f>
        <v>41.439799999999998</v>
      </c>
      <c r="I85" s="14">
        <f>_xll.BDH("AMZN US Equity","TCE_RATIO","FQ3 2010","FQ3 2010","Currency=USD","Period=FQ","BEST_FPERIOD_OVERRIDE=FQ","FILING_STATUS=MR","Sort=A","Dates=H","DateFormat=P","Fill=—","Direction=H","UseDPDF=Y")</f>
        <v>39.7361</v>
      </c>
      <c r="J85" s="14">
        <f>_xll.BDH("AMZN US Equity","TCE_RATIO","FQ4 2010","FQ4 2010","Currency=USD","Period=FQ","BEST_FPERIOD_OVERRIDE=FQ","FILING_STATUS=MR","Sort=A","Dates=H","DateFormat=P","Fill=—","Direction=H","UseDPDF=Y")</f>
        <v>31.6082</v>
      </c>
      <c r="K85" s="14">
        <f>_xll.BDH("AMZN US Equity","TCE_RATIO","FQ1 2011","FQ1 2011","Currency=USD","Period=FQ","BEST_FPERIOD_OVERRIDE=FQ","FILING_STATUS=MR","Sort=A","Dates=H","DateFormat=P","Fill=—","Direction=H","UseDPDF=Y")</f>
        <v>37.959499999999998</v>
      </c>
      <c r="L85" s="14">
        <f>_xll.BDH("AMZN US Equity","TCE_RATIO","FQ2 2011","FQ2 2011","Currency=USD","Period=FQ","BEST_FPERIOD_OVERRIDE=FQ","FILING_STATUS=MR","Sort=A","Dates=H","DateFormat=P","Fill=—","Direction=H","UseDPDF=Y")</f>
        <v>36.526899999999998</v>
      </c>
      <c r="M85" s="14">
        <f>_xll.BDH("AMZN US Equity","TCE_RATIO","FQ3 2011","FQ3 2011","Currency=USD","Period=FQ","BEST_FPERIOD_OVERRIDE=FQ","FILING_STATUS=MR","Sort=A","Dates=H","DateFormat=P","Fill=—","Direction=H","UseDPDF=Y")</f>
        <v>34.065399999999997</v>
      </c>
      <c r="N85" s="14">
        <f>_xll.BDH("AMZN US Equity","TCE_RATIO","FQ4 2011","FQ4 2011","Currency=USD","Period=FQ","BEST_FPERIOD_OVERRIDE=FQ","FILING_STATUS=MR","Sort=A","Dates=H","DateFormat=P","Fill=—","Direction=H","UseDPDF=Y")</f>
        <v>22.7333</v>
      </c>
      <c r="O85" s="14">
        <f>_xll.BDH("AMZN US Equity","TCE_RATIO","FQ1 2012","FQ1 2012","Currency=USD","Period=FQ","BEST_FPERIOD_OVERRIDE=FQ","FILING_STATUS=MR","Sort=A","Dates=H","DateFormat=P","Fill=—","Direction=H","UseDPDF=Y")</f>
        <v>28.8584</v>
      </c>
      <c r="P85" s="14">
        <f>_xll.BDH("AMZN US Equity","TCE_RATIO","FQ2 2012","FQ2 2012","Currency=USD","Period=FQ","BEST_FPERIOD_OVERRIDE=FQ","FILING_STATUS=MR","Sort=A","Dates=H","DateFormat=P","Fill=—","Direction=H","UseDPDF=Y")</f>
        <v>26.9391</v>
      </c>
      <c r="Q85" s="14">
        <f>_xll.BDH("AMZN US Equity","TCE_RATIO","FQ3 2012","FQ3 2012","Currency=USD","Period=FQ","BEST_FPERIOD_OVERRIDE=FQ","FILING_STATUS=MR","Sort=A","Dates=H","DateFormat=P","Fill=—","Direction=H","UseDPDF=Y")</f>
        <v>24.701899999999998</v>
      </c>
      <c r="R85" s="14">
        <f>_xll.BDH("AMZN US Equity","TCE_RATIO","FQ4 2012","FQ4 2012","Currency=USD","Period=FQ","BEST_FPERIOD_OVERRIDE=FQ","FILING_STATUS=MR","Sort=A","Dates=H","DateFormat=P","Fill=—","Direction=H","UseDPDF=Y")</f>
        <v>16.787299999999998</v>
      </c>
      <c r="S85" s="14">
        <f>_xll.BDH("AMZN US Equity","TCE_RATIO","FQ1 2013","FQ1 2013","Currency=USD","Period=FQ","BEST_FPERIOD_OVERRIDE=FQ","FILING_STATUS=MR","Sort=A","Dates=H","DateFormat=P","Fill=—","Direction=H","UseDPDF=Y")</f>
        <v>22.819400000000002</v>
      </c>
      <c r="T85" s="14">
        <f>_xll.BDH("AMZN US Equity","TCE_RATIO","FQ2 2013","FQ2 2013","Currency=USD","Period=FQ","BEST_FPERIOD_OVERRIDE=FQ","FILING_STATUS=MR","Sort=A","Dates=H","DateFormat=P","Fill=—","Direction=H","UseDPDF=Y")</f>
        <v>22.6554</v>
      </c>
      <c r="U85" s="14">
        <f>_xll.BDH("AMZN US Equity","TCE_RATIO","FQ3 2013","FQ3 2013","Currency=USD","Period=FQ","BEST_FPERIOD_OVERRIDE=FQ","FILING_STATUS=MR","Sort=A","Dates=H","DateFormat=P","Fill=—","Direction=H","UseDPDF=Y")</f>
        <v>22.0762</v>
      </c>
      <c r="V85" s="14">
        <f>_xll.BDH("AMZN US Equity","TCE_RATIO","FQ4 2013","FQ4 2013","Currency=USD","Period=FQ","BEST_FPERIOD_OVERRIDE=FQ","FILING_STATUS=MR","Sort=A","Dates=H","DateFormat=P","Fill=—","Direction=H","UseDPDF=Y")</f>
        <v>17.488299999999999</v>
      </c>
      <c r="W85" s="14">
        <f>_xll.BDH("AMZN US Equity","TCE_RATIO","FQ1 2014","FQ1 2014","Currency=USD","Period=FQ","BEST_FPERIOD_OVERRIDE=FQ","FILING_STATUS=MR","Sort=A","Dates=H","DateFormat=P","Fill=—","Direction=H","UseDPDF=Y")</f>
        <v>22.766999999999999</v>
      </c>
      <c r="X85" s="14">
        <f>_xll.BDH("AMZN US Equity","TCE_RATIO","FQ2 2014","FQ2 2014","Currency=USD","Period=FQ","BEST_FPERIOD_OVERRIDE=FQ","FILING_STATUS=MR","Sort=A","Dates=H","DateFormat=P","Fill=—","Direction=H","UseDPDF=Y")</f>
        <v>22.500800000000002</v>
      </c>
      <c r="Y85" s="14">
        <f>_xll.BDH("AMZN US Equity","TCE_RATIO","FQ3 2014","FQ3 2014","Currency=USD","Period=FQ","BEST_FPERIOD_OVERRIDE=FQ","FILING_STATUS=MR","Sort=A","Dates=H","DateFormat=P","Fill=—","Direction=H","UseDPDF=Y")</f>
        <v>18.885300000000001</v>
      </c>
      <c r="Z85" s="14">
        <f>_xll.BDH("AMZN US Equity","TCE_RATIO","FQ4 2014","FQ4 2014","Currency=USD","Period=FQ","BEST_FPERIOD_OVERRIDE=FQ","FILING_STATUS=MR","Sort=A","Dates=H","DateFormat=P","Fill=—","Direction=H","UseDPDF=Y")</f>
        <v>13.204599999999999</v>
      </c>
      <c r="AA85" s="14">
        <f>_xll.BDH("AMZN US Equity","TCE_RATIO","FQ1 2015","FQ1 2015","Currency=USD","Period=FQ","BEST_FPERIOD_OVERRIDE=FQ","FILING_STATUS=MR","Sort=A","Dates=H","DateFormat=P","Fill=—","Direction=H","UseDPDF=Y")</f>
        <v>15.8466</v>
      </c>
      <c r="AB85" s="14">
        <f>_xll.BDH("AMZN US Equity","TCE_RATIO","FQ2 2015","FQ2 2015","Currency=USD","Period=FQ","BEST_FPERIOD_OVERRIDE=FQ","FILING_STATUS=MR","Sort=A","Dates=H","DateFormat=P","Fill=—","Direction=H","UseDPDF=Y")</f>
        <v>16.8551</v>
      </c>
      <c r="AC85" s="14">
        <f>_xll.BDH("AMZN US Equity","TCE_RATIO","FQ3 2015","FQ3 2015","Currency=USD","Period=FQ","BEST_FPERIOD_OVERRIDE=FQ","FILING_STATUS=MR","Sort=A","Dates=H","DateFormat=P","Fill=—","Direction=H","UseDPDF=Y")</f>
        <v>16.889600000000002</v>
      </c>
      <c r="AD85" s="14">
        <f>_xll.BDH("AMZN US Equity","TCE_RATIO","FQ4 2015","FQ4 2015","Currency=USD","Period=FQ","BEST_FPERIOD_OVERRIDE=FQ","FILING_STATUS=MR","Sort=A","Dates=H","DateFormat=P","Fill=—","Direction=H","UseDPDF=Y")</f>
        <v>14.3893</v>
      </c>
      <c r="AE85" s="14">
        <f>_xll.BDH("AMZN US Equity","TCE_RATIO","FQ1 2016","FQ1 2016","Currency=USD","Period=FQ","BEST_FPERIOD_OVERRIDE=FQ","FILING_STATUS=MR","Sort=A","Dates=H","DateFormat=P","Fill=—","Direction=H","UseDPDF=Y")</f>
        <v>19.132200000000001</v>
      </c>
      <c r="AF85" s="14">
        <f>_xll.BDH("AMZN US Equity","TCE_RATIO","FQ2 2016","FQ2 2016","Currency=USD","Period=FQ","BEST_FPERIOD_OVERRIDE=FQ","FILING_STATUS=MR","Sort=A","Dates=H","DateFormat=P","Fill=—","Direction=H","UseDPDF=Y")</f>
        <v>20.8215</v>
      </c>
      <c r="AG85" s="14">
        <f>_xll.BDH("AMZN US Equity","TCE_RATIO","FQ3 2016","FQ3 2016","Currency=USD","Period=FQ","BEST_FPERIOD_OVERRIDE=FQ","FILING_STATUS=MR","Sort=A","Dates=H","DateFormat=P","Fill=—","Direction=H","UseDPDF=Y")</f>
        <v>20.820799999999998</v>
      </c>
      <c r="AH85" s="14">
        <f>_xll.BDH("AMZN US Equity","TCE_RATIO","FQ4 2016","FQ4 2016","Currency=USD","Period=FQ","BEST_FPERIOD_OVERRIDE=FQ","FILING_STATUS=MR","Sort=A","Dates=H","DateFormat=P","Fill=—","Direction=H","UseDPDF=Y")</f>
        <v>18.5961</v>
      </c>
      <c r="AI85" s="14">
        <f>_xll.BDH("AMZN US Equity","TCE_RATIO","FQ1 2017","FQ1 2017","Currency=USD","Period=FQ","BEST_FPERIOD_OVERRIDE=FQ","FILING_STATUS=MR","Sort=A","Dates=H","DateFormat=P","Fill=—","Direction=H","UseDPDF=Y")</f>
        <v>23.139199999999999</v>
      </c>
      <c r="AJ85" s="14">
        <f>_xll.BDH("AMZN US Equity","TCE_RATIO","FQ2 2017","FQ2 2017","Currency=USD","Period=FQ","BEST_FPERIOD_OVERRIDE=FQ","FILING_STATUS=MR","Sort=A","Dates=H","DateFormat=P","Fill=—","Direction=H","UseDPDF=Y")</f>
        <v>22.699200000000001</v>
      </c>
      <c r="AK85" s="14">
        <f>_xll.BDH("AMZN US Equity","TCE_RATIO","FQ3 2017","FQ3 2017","Currency=USD","Period=FQ","BEST_FPERIOD_OVERRIDE=FQ","FILING_STATUS=MR","Sort=A","Dates=H","DateFormat=P","Fill=—","Direction=H","UseDPDF=Y")</f>
        <v>11.164199999999999</v>
      </c>
      <c r="AL85" s="14">
        <f>_xll.BDH("AMZN US Equity","TCE_RATIO","FQ4 2017","FQ4 2017","Currency=USD","Period=FQ","BEST_FPERIOD_OVERRIDE=FQ","FILING_STATUS=MR","Sort=A","Dates=H","DateFormat=P","Fill=—","Direction=H","UseDPDF=Y")</f>
        <v>9.5891000000000002</v>
      </c>
      <c r="AM85" s="14">
        <f>_xll.BDH("AMZN US Equity","TCE_RATIO","FQ1 2018","FQ1 2018","Currency=USD","Period=FQ","BEST_FPERIOD_OVERRIDE=FQ","FILING_STATUS=MR","Sort=A","Dates=H","DateFormat=P","Fill=—","Direction=H","UseDPDF=Y")</f>
        <v>15.9993</v>
      </c>
      <c r="AN85" s="14">
        <f>_xll.BDH("AMZN US Equity","TCE_RATIO","FQ2 2018","FQ2 2018","Currency=USD","Period=FQ","BEST_FPERIOD_OVERRIDE=FQ","FILING_STATUS=MR","Sort=A","Dates=H","DateFormat=P","Fill=—","Direction=H","UseDPDF=Y")</f>
        <v>17.5197</v>
      </c>
    </row>
    <row r="86" spans="1:40" x14ac:dyDescent="0.25">
      <c r="A86" s="10" t="s">
        <v>354</v>
      </c>
      <c r="B86" s="10" t="s">
        <v>355</v>
      </c>
      <c r="C86" s="14">
        <f>_xll.BDH("AMZN US Equity","CUR_RATIO","FQ1 2009","FQ1 2009","Currency=USD","Period=FQ","BEST_FPERIOD_OVERRIDE=FQ","FILING_STATUS=MR","Sort=A","Dates=H","DateFormat=P","Fill=—","Direction=H","UseDPDF=Y")</f>
        <v>1.4003000000000001</v>
      </c>
      <c r="D86" s="14">
        <f>_xll.BDH("AMZN US Equity","CUR_RATIO","FQ2 2009","FQ2 2009","Currency=USD","Period=FQ","BEST_FPERIOD_OVERRIDE=FQ","FILING_STATUS=MR","Sort=A","Dates=H","DateFormat=P","Fill=—","Direction=H","UseDPDF=Y")</f>
        <v>1.4586999999999999</v>
      </c>
      <c r="E86" s="14">
        <f>_xll.BDH("AMZN US Equity","CUR_RATIO","FQ3 2009","FQ3 2009","Currency=USD","Period=FQ","BEST_FPERIOD_OVERRIDE=FQ","FILING_STATUS=MR","Sort=A","Dates=H","DateFormat=P","Fill=—","Direction=H","UseDPDF=Y")</f>
        <v>1.4037999999999999</v>
      </c>
      <c r="F86" s="14">
        <f>_xll.BDH("AMZN US Equity","CUR_RATIO","FQ4 2009","FQ4 2009","Currency=USD","Period=FQ","BEST_FPERIOD_OVERRIDE=FQ","FILING_STATUS=MR","Sort=A","Dates=H","DateFormat=P","Fill=—","Direction=H","UseDPDF=Y")</f>
        <v>1.3304</v>
      </c>
      <c r="G86" s="14">
        <f>_xll.BDH("AMZN US Equity","CUR_RATIO","FQ1 2010","FQ1 2010","Currency=USD","Period=FQ","BEST_FPERIOD_OVERRIDE=FQ","FILING_STATUS=MR","Sort=A","Dates=H","DateFormat=P","Fill=—","Direction=H","UseDPDF=Y")</f>
        <v>1.5335999999999999</v>
      </c>
      <c r="H86" s="14">
        <f>_xll.BDH("AMZN US Equity","CUR_RATIO","FQ2 2010","FQ2 2010","Currency=USD","Period=FQ","BEST_FPERIOD_OVERRIDE=FQ","FILING_STATUS=MR","Sort=A","Dates=H","DateFormat=P","Fill=—","Direction=H","UseDPDF=Y")</f>
        <v>1.5463</v>
      </c>
      <c r="I86" s="14">
        <f>_xll.BDH("AMZN US Equity","CUR_RATIO","FQ3 2010","FQ3 2010","Currency=USD","Period=FQ","BEST_FPERIOD_OVERRIDE=FQ","FILING_STATUS=MR","Sort=A","Dates=H","DateFormat=P","Fill=—","Direction=H","UseDPDF=Y")</f>
        <v>1.4995000000000001</v>
      </c>
      <c r="J86" s="14">
        <f>_xll.BDH("AMZN US Equity","CUR_RATIO","FQ4 2010","FQ4 2010","Currency=USD","Period=FQ","BEST_FPERIOD_OVERRIDE=FQ","FILING_STATUS=MR","Sort=A","Dates=H","DateFormat=P","Fill=—","Direction=H","UseDPDF=Y")</f>
        <v>1.3254000000000001</v>
      </c>
      <c r="K86" s="14">
        <f>_xll.BDH("AMZN US Equity","CUR_RATIO","FQ1 2011","FQ1 2011","Currency=USD","Period=FQ","BEST_FPERIOD_OVERRIDE=FQ","FILING_STATUS=MR","Sort=A","Dates=H","DateFormat=P","Fill=—","Direction=H","UseDPDF=Y")</f>
        <v>1.4602999999999999</v>
      </c>
      <c r="L86" s="14">
        <f>_xll.BDH("AMZN US Equity","CUR_RATIO","FQ2 2011","FQ2 2011","Currency=USD","Period=FQ","BEST_FPERIOD_OVERRIDE=FQ","FILING_STATUS=MR","Sort=A","Dates=H","DateFormat=P","Fill=—","Direction=H","UseDPDF=Y")</f>
        <v>1.4020000000000001</v>
      </c>
      <c r="M86" s="14">
        <f>_xll.BDH("AMZN US Equity","CUR_RATIO","FQ3 2011","FQ3 2011","Currency=USD","Period=FQ","BEST_FPERIOD_OVERRIDE=FQ","FILING_STATUS=MR","Sort=A","Dates=H","DateFormat=P","Fill=—","Direction=H","UseDPDF=Y")</f>
        <v>1.3259000000000001</v>
      </c>
      <c r="N86" s="14">
        <f>_xll.BDH("AMZN US Equity","CUR_RATIO","FQ4 2011","FQ4 2011","Currency=USD","Period=FQ","BEST_FPERIOD_OVERRIDE=FQ","FILING_STATUS=MR","Sort=A","Dates=H","DateFormat=P","Fill=—","Direction=H","UseDPDF=Y")</f>
        <v>1.1740999999999999</v>
      </c>
      <c r="O86" s="14">
        <f>_xll.BDH("AMZN US Equity","CUR_RATIO","FQ1 2012","FQ1 2012","Currency=USD","Period=FQ","BEST_FPERIOD_OVERRIDE=FQ","FILING_STATUS=MR","Sort=A","Dates=H","DateFormat=P","Fill=—","Direction=H","UseDPDF=Y")</f>
        <v>1.1588000000000001</v>
      </c>
      <c r="P86" s="14">
        <f>_xll.BDH("AMZN US Equity","CUR_RATIO","FQ2 2012","FQ2 2012","Currency=USD","Period=FQ","BEST_FPERIOD_OVERRIDE=FQ","FILING_STATUS=MR","Sort=A","Dates=H","DateFormat=P","Fill=—","Direction=H","UseDPDF=Y")</f>
        <v>1.0756000000000001</v>
      </c>
      <c r="Q86" s="14">
        <f>_xll.BDH("AMZN US Equity","CUR_RATIO","FQ3 2012","FQ3 2012","Currency=USD","Period=FQ","BEST_FPERIOD_OVERRIDE=FQ","FILING_STATUS=MR","Sort=A","Dates=H","DateFormat=P","Fill=—","Direction=H","UseDPDF=Y")</f>
        <v>1.0407</v>
      </c>
      <c r="R86" s="14">
        <f>_xll.BDH("AMZN US Equity","CUR_RATIO","FQ4 2012","FQ4 2012","Currency=USD","Period=FQ","BEST_FPERIOD_OVERRIDE=FQ","FILING_STATUS=MR","Sort=A","Dates=H","DateFormat=P","Fill=—","Direction=H","UseDPDF=Y")</f>
        <v>1.1207</v>
      </c>
      <c r="S86" s="14">
        <f>_xll.BDH("AMZN US Equity","CUR_RATIO","FQ1 2013","FQ1 2013","Currency=USD","Period=FQ","BEST_FPERIOD_OVERRIDE=FQ","FILING_STATUS=MR","Sort=A","Dates=H","DateFormat=P","Fill=—","Direction=H","UseDPDF=Y")</f>
        <v>1.1381999999999999</v>
      </c>
      <c r="T86" s="14">
        <f>_xll.BDH("AMZN US Equity","CUR_RATIO","FQ2 2013","FQ2 2013","Currency=USD","Period=FQ","BEST_FPERIOD_OVERRIDE=FQ","FILING_STATUS=MR","Sort=A","Dates=H","DateFormat=P","Fill=—","Direction=H","UseDPDF=Y")</f>
        <v>1.1052</v>
      </c>
      <c r="U86" s="14">
        <f>_xll.BDH("AMZN US Equity","CUR_RATIO","FQ3 2013","FQ3 2013","Currency=USD","Period=FQ","BEST_FPERIOD_OVERRIDE=FQ","FILING_STATUS=MR","Sort=A","Dates=H","DateFormat=P","Fill=—","Direction=H","UseDPDF=Y")</f>
        <v>1.0743</v>
      </c>
      <c r="V86" s="14">
        <f>_xll.BDH("AMZN US Equity","CUR_RATIO","FQ4 2013","FQ4 2013","Currency=USD","Period=FQ","BEST_FPERIOD_OVERRIDE=FQ","FILING_STATUS=MR","Sort=A","Dates=H","DateFormat=P","Fill=—","Direction=H","UseDPDF=Y")</f>
        <v>1.0716000000000001</v>
      </c>
      <c r="W86" s="14">
        <f>_xll.BDH("AMZN US Equity","CUR_RATIO","FQ1 2014","FQ1 2014","Currency=USD","Period=FQ","BEST_FPERIOD_OVERRIDE=FQ","FILING_STATUS=MR","Sort=A","Dates=H","DateFormat=P","Fill=—","Direction=H","UseDPDF=Y")</f>
        <v>1.0528</v>
      </c>
      <c r="X86" s="14">
        <f>_xll.BDH("AMZN US Equity","CUR_RATIO","FQ2 2014","FQ2 2014","Currency=USD","Period=FQ","BEST_FPERIOD_OVERRIDE=FQ","FILING_STATUS=MR","Sort=A","Dates=H","DateFormat=P","Fill=—","Direction=H","UseDPDF=Y")</f>
        <v>1.0002</v>
      </c>
      <c r="Y86" s="14">
        <f>_xll.BDH("AMZN US Equity","CUR_RATIO","FQ3 2014","FQ3 2014","Currency=USD","Period=FQ","BEST_FPERIOD_OVERRIDE=FQ","FILING_STATUS=MR","Sort=A","Dates=H","DateFormat=P","Fill=—","Direction=H","UseDPDF=Y")</f>
        <v>0.8911</v>
      </c>
      <c r="Z86" s="14">
        <f>_xll.BDH("AMZN US Equity","CUR_RATIO","FQ4 2014","FQ4 2014","Currency=USD","Period=FQ","BEST_FPERIOD_OVERRIDE=FQ","FILING_STATUS=MR","Sort=A","Dates=H","DateFormat=P","Fill=—","Direction=H","UseDPDF=Y")</f>
        <v>1.1153</v>
      </c>
      <c r="AA86" s="14">
        <f>_xll.BDH("AMZN US Equity","CUR_RATIO","FQ1 2015","FQ1 2015","Currency=USD","Period=FQ","BEST_FPERIOD_OVERRIDE=FQ","FILING_STATUS=MR","Sort=A","Dates=H","DateFormat=P","Fill=—","Direction=H","UseDPDF=Y")</f>
        <v>1.1184000000000001</v>
      </c>
      <c r="AB86" s="14">
        <f>_xll.BDH("AMZN US Equity","CUR_RATIO","FQ2 2015","FQ2 2015","Currency=USD","Period=FQ","BEST_FPERIOD_OVERRIDE=FQ","FILING_STATUS=MR","Sort=A","Dates=H","DateFormat=P","Fill=—","Direction=H","UseDPDF=Y")</f>
        <v>1.1036999999999999</v>
      </c>
      <c r="AC86" s="14">
        <f>_xll.BDH("AMZN US Equity","CUR_RATIO","FQ3 2015","FQ3 2015","Currency=USD","Period=FQ","BEST_FPERIOD_OVERRIDE=FQ","FILING_STATUS=MR","Sort=A","Dates=H","DateFormat=P","Fill=—","Direction=H","UseDPDF=Y")</f>
        <v>1.0822000000000001</v>
      </c>
      <c r="AD86" s="14">
        <f>_xll.BDH("AMZN US Equity","CUR_RATIO","FQ4 2015","FQ4 2015","Currency=USD","Period=FQ","BEST_FPERIOD_OVERRIDE=FQ","FILING_STATUS=MR","Sort=A","Dates=H","DateFormat=P","Fill=—","Direction=H","UseDPDF=Y")</f>
        <v>1.0536000000000001</v>
      </c>
      <c r="AE86" s="14">
        <f>_xll.BDH("AMZN US Equity","CUR_RATIO","FQ1 2016","FQ1 2016","Currency=USD","Period=FQ","BEST_FPERIOD_OVERRIDE=FQ","FILING_STATUS=MR","Sort=A","Dates=H","DateFormat=P","Fill=—","Direction=H","UseDPDF=Y")</f>
        <v>1.0825</v>
      </c>
      <c r="AF86" s="14">
        <f>_xll.BDH("AMZN US Equity","CUR_RATIO","FQ2 2016","FQ2 2016","Currency=USD","Period=FQ","BEST_FPERIOD_OVERRIDE=FQ","FILING_STATUS=MR","Sort=A","Dates=H","DateFormat=P","Fill=—","Direction=H","UseDPDF=Y")</f>
        <v>1.089</v>
      </c>
      <c r="AG86" s="14">
        <f>_xll.BDH("AMZN US Equity","CUR_RATIO","FQ3 2016","FQ3 2016","Currency=USD","Period=FQ","BEST_FPERIOD_OVERRIDE=FQ","FILING_STATUS=MR","Sort=A","Dates=H","DateFormat=P","Fill=—","Direction=H","UseDPDF=Y")</f>
        <v>1.0629999999999999</v>
      </c>
      <c r="AH86" s="14">
        <f>_xll.BDH("AMZN US Equity","CUR_RATIO","FQ4 2016","FQ4 2016","Currency=USD","Period=FQ","BEST_FPERIOD_OVERRIDE=FQ","FILING_STATUS=MR","Sort=A","Dates=H","DateFormat=P","Fill=—","Direction=H","UseDPDF=Y")</f>
        <v>1.0448</v>
      </c>
      <c r="AI86" s="14">
        <f>_xll.BDH("AMZN US Equity","CUR_RATIO","FQ1 2017","FQ1 2017","Currency=USD","Period=FQ","BEST_FPERIOD_OVERRIDE=FQ","FILING_STATUS=MR","Sort=A","Dates=H","DateFormat=P","Fill=—","Direction=H","UseDPDF=Y")</f>
        <v>1.0550999999999999</v>
      </c>
      <c r="AJ86" s="14">
        <f>_xll.BDH("AMZN US Equity","CUR_RATIO","FQ2 2017","FQ2 2017","Currency=USD","Period=FQ","BEST_FPERIOD_OVERRIDE=FQ","FILING_STATUS=MR","Sort=A","Dates=H","DateFormat=P","Fill=—","Direction=H","UseDPDF=Y")</f>
        <v>1.012</v>
      </c>
      <c r="AK86" s="14">
        <f>_xll.BDH("AMZN US Equity","CUR_RATIO","FQ3 2017","FQ3 2017","Currency=USD","Period=FQ","BEST_FPERIOD_OVERRIDE=FQ","FILING_STATUS=MR","Sort=A","Dates=H","DateFormat=P","Fill=—","Direction=H","UseDPDF=Y")</f>
        <v>1.032</v>
      </c>
      <c r="AL86" s="14">
        <f>_xll.BDH("AMZN US Equity","CUR_RATIO","FQ4 2017","FQ4 2017","Currency=USD","Period=FQ","BEST_FPERIOD_OVERRIDE=FQ","FILING_STATUS=MR","Sort=A","Dates=H","DateFormat=P","Fill=—","Direction=H","UseDPDF=Y")</f>
        <v>1.04</v>
      </c>
      <c r="AM86" s="14">
        <f>_xll.BDH("AMZN US Equity","CUR_RATIO","FQ1 2018","FQ1 2018","Currency=USD","Period=FQ","BEST_FPERIOD_OVERRIDE=FQ","FILING_STATUS=MR","Sort=A","Dates=H","DateFormat=P","Fill=—","Direction=H","UseDPDF=Y")</f>
        <v>1.0579000000000001</v>
      </c>
      <c r="AN86" s="14">
        <f>_xll.BDH("AMZN US Equity","CUR_RATIO","FQ2 2018","FQ2 2018","Currency=USD","Period=FQ","BEST_FPERIOD_OVERRIDE=FQ","FILING_STATUS=MR","Sort=A","Dates=H","DateFormat=P","Fill=—","Direction=H","UseDPDF=Y")</f>
        <v>1.0724</v>
      </c>
    </row>
    <row r="87" spans="1:40" x14ac:dyDescent="0.25">
      <c r="A87" s="10" t="s">
        <v>356</v>
      </c>
      <c r="B87" s="10" t="s">
        <v>357</v>
      </c>
      <c r="C87" s="14">
        <f>_xll.BDH("AMZN US Equity","CASH_CONVERSION_CYCLE","FQ1 2009","FQ1 2009","Currency=USD","Period=FQ","BEST_FPERIOD_OVERRIDE=FQ","FILING_STATUS=MR","FA_ADJUSTED=GAAP","Sort=A","Dates=H","DateFormat=P","Fill=—","Direction=H","UseDPDF=Y")</f>
        <v>-11.137499999999999</v>
      </c>
      <c r="D87" s="14">
        <f>_xll.BDH("AMZN US Equity","CASH_CONVERSION_CYCLE","FQ2 2009","FQ2 2009","Currency=USD","Period=FQ","BEST_FPERIOD_OVERRIDE=FQ","FILING_STATUS=MR","FA_ADJUSTED=GAAP","Sort=A","Dates=H","DateFormat=P","Fill=—","Direction=H","UseDPDF=Y")</f>
        <v>-12.3255</v>
      </c>
      <c r="E87" s="14">
        <f>_xll.BDH("AMZN US Equity","CASH_CONVERSION_CYCLE","FQ3 2009","FQ3 2009","Currency=USD","Period=FQ","BEST_FPERIOD_OVERRIDE=FQ","FILING_STATUS=MR","FA_ADJUSTED=GAAP","Sort=A","Dates=H","DateFormat=P","Fill=—","Direction=H","UseDPDF=Y")</f>
        <v>-17.212700000000002</v>
      </c>
      <c r="F87" s="14">
        <f>_xll.BDH("AMZN US Equity","CASH_CONVERSION_CYCLE","FQ4 2009","FQ4 2009","Currency=USD","Period=FQ","BEST_FPERIOD_OVERRIDE=FQ","FILING_STATUS=MR","FA_ADJUSTED=GAAP","Sort=A","Dates=H","DateFormat=P","Fill=—","Direction=H","UseDPDF=Y")</f>
        <v>-37.157400000000003</v>
      </c>
      <c r="G87" s="14">
        <f>_xll.BDH("AMZN US Equity","CASH_CONVERSION_CYCLE","FQ1 2010","FQ1 2010","Currency=USD","Period=FQ","BEST_FPERIOD_OVERRIDE=FQ","FILING_STATUS=MR","FA_ADJUSTED=GAAP","Sort=A","Dates=H","DateFormat=P","Fill=—","Direction=H","UseDPDF=Y")</f>
        <v>-14.6965</v>
      </c>
      <c r="H87" s="14">
        <f>_xll.BDH("AMZN US Equity","CASH_CONVERSION_CYCLE","FQ2 2010","FQ2 2010","Currency=USD","Period=FQ","BEST_FPERIOD_OVERRIDE=FQ","FILING_STATUS=MR","FA_ADJUSTED=GAAP","Sort=A","Dates=H","DateFormat=P","Fill=—","Direction=H","UseDPDF=Y")</f>
        <v>-12.755800000000001</v>
      </c>
      <c r="I87" s="14">
        <f>_xll.BDH("AMZN US Equity","CASH_CONVERSION_CYCLE","FQ3 2010","FQ3 2010","Currency=USD","Period=FQ","BEST_FPERIOD_OVERRIDE=FQ","FILING_STATUS=MR","FA_ADJUSTED=GAAP","Sort=A","Dates=H","DateFormat=P","Fill=—","Direction=H","UseDPDF=Y")</f>
        <v>-17.5411</v>
      </c>
      <c r="J87" s="14">
        <f>_xll.BDH("AMZN US Equity","CASH_CONVERSION_CYCLE","FQ4 2010","FQ4 2010","Currency=USD","Period=FQ","BEST_FPERIOD_OVERRIDE=FQ","FILING_STATUS=MR","FA_ADJUSTED=GAAP","Sort=A","Dates=H","DateFormat=P","Fill=—","Direction=H","UseDPDF=Y")</f>
        <v>-39.667400000000001</v>
      </c>
      <c r="K87" s="14">
        <f>_xll.BDH("AMZN US Equity","CASH_CONVERSION_CYCLE","FQ1 2011","FQ1 2011","Currency=USD","Period=FQ","BEST_FPERIOD_OVERRIDE=FQ","FILING_STATUS=MR","FA_ADJUSTED=GAAP","Sort=A","Dates=H","DateFormat=P","Fill=—","Direction=H","UseDPDF=Y")</f>
        <v>-15.769500000000001</v>
      </c>
      <c r="L87" s="14">
        <f>_xll.BDH("AMZN US Equity","CASH_CONVERSION_CYCLE","FQ2 2011","FQ2 2011","Currency=USD","Period=FQ","BEST_FPERIOD_OVERRIDE=FQ","FILING_STATUS=MR","FA_ADJUSTED=GAAP","Sort=A","Dates=H","DateFormat=P","Fill=—","Direction=H","UseDPDF=Y")</f>
        <v>-11.6286</v>
      </c>
      <c r="M87" s="14">
        <f>_xll.BDH("AMZN US Equity","CASH_CONVERSION_CYCLE","FQ3 2011","FQ3 2011","Currency=USD","Period=FQ","BEST_FPERIOD_OVERRIDE=FQ","FILING_STATUS=MR","FA_ADJUSTED=GAAP","Sort=A","Dates=H","DateFormat=P","Fill=—","Direction=H","UseDPDF=Y")</f>
        <v>-13.934900000000001</v>
      </c>
      <c r="N87" s="14">
        <f>_xll.BDH("AMZN US Equity","CASH_CONVERSION_CYCLE","FQ4 2011","FQ4 2011","Currency=USD","Period=FQ","BEST_FPERIOD_OVERRIDE=FQ","FILING_STATUS=MR","FA_ADJUSTED=GAAP","Sort=A","Dates=H","DateFormat=P","Fill=—","Direction=H","UseDPDF=Y")</f>
        <v>-33.760199999999998</v>
      </c>
      <c r="O87" s="14">
        <f>_xll.BDH("AMZN US Equity","CASH_CONVERSION_CYCLE","FQ1 2012","FQ1 2012","Currency=USD","Period=FQ","BEST_FPERIOD_OVERRIDE=FQ","FILING_STATUS=MR","FA_ADJUSTED=GAAP","Sort=A","Dates=H","DateFormat=P","Fill=—","Direction=H","UseDPDF=Y")</f>
        <v>-11.345700000000001</v>
      </c>
      <c r="P87" s="14">
        <f>_xll.BDH("AMZN US Equity","CASH_CONVERSION_CYCLE","FQ2 2012","FQ2 2012","Currency=USD","Period=FQ","BEST_FPERIOD_OVERRIDE=FQ","FILING_STATUS=MR","FA_ADJUSTED=GAAP","Sort=A","Dates=H","DateFormat=P","Fill=—","Direction=H","UseDPDF=Y")</f>
        <v>-9.5571999999999999</v>
      </c>
      <c r="Q87" s="14">
        <f>_xll.BDH("AMZN US Equity","CASH_CONVERSION_CYCLE","FQ3 2012","FQ3 2012","Currency=USD","Period=FQ","BEST_FPERIOD_OVERRIDE=FQ","FILING_STATUS=MR","FA_ADJUSTED=GAAP","Sort=A","Dates=H","DateFormat=P","Fill=—","Direction=H","UseDPDF=Y")</f>
        <v>-11.279</v>
      </c>
      <c r="R87" s="14">
        <f>_xll.BDH("AMZN US Equity","CASH_CONVERSION_CYCLE","FQ4 2012","FQ4 2012","Currency=USD","Period=FQ","BEST_FPERIOD_OVERRIDE=FQ","FILING_STATUS=MR","FA_ADJUSTED=GAAP","Sort=A","Dates=H","DateFormat=P","Fill=—","Direction=H","UseDPDF=Y")</f>
        <v>-33.572400000000002</v>
      </c>
      <c r="S87" s="14">
        <f>_xll.BDH("AMZN US Equity","CASH_CONVERSION_CYCLE","FQ1 2013","FQ1 2013","Currency=USD","Period=FQ","BEST_FPERIOD_OVERRIDE=FQ","FILING_STATUS=MR","FA_ADJUSTED=GAAP","Sort=A","Dates=H","DateFormat=P","Fill=—","Direction=H","UseDPDF=Y")</f>
        <v>-9.7585999999999995</v>
      </c>
      <c r="T87" s="14">
        <f>_xll.BDH("AMZN US Equity","CASH_CONVERSION_CYCLE","FQ2 2013","FQ2 2013","Currency=USD","Period=FQ","BEST_FPERIOD_OVERRIDE=FQ","FILING_STATUS=MR","FA_ADJUSTED=GAAP","Sort=A","Dates=H","DateFormat=P","Fill=—","Direction=H","UseDPDF=Y")</f>
        <v>-8.5167999999999999</v>
      </c>
      <c r="U87" s="14">
        <f>_xll.BDH("AMZN US Equity","CASH_CONVERSION_CYCLE","FQ3 2013","FQ3 2013","Currency=USD","Period=FQ","BEST_FPERIOD_OVERRIDE=FQ","FILING_STATUS=MR","FA_ADJUSTED=GAAP","Sort=A","Dates=H","DateFormat=P","Fill=—","Direction=H","UseDPDF=Y")</f>
        <v>-10.342600000000001</v>
      </c>
      <c r="V87" s="14">
        <f>_xll.BDH("AMZN US Equity","CASH_CONVERSION_CYCLE","FQ4 2013","FQ4 2013","Currency=USD","Period=FQ","BEST_FPERIOD_OVERRIDE=FQ","FILING_STATUS=MR","FA_ADJUSTED=GAAP","Sort=A","Dates=H","DateFormat=P","Fill=—","Direction=H","UseDPDF=Y")</f>
        <v>-28.243500000000001</v>
      </c>
      <c r="W87" s="14">
        <f>_xll.BDH("AMZN US Equity","CASH_CONVERSION_CYCLE","FQ1 2014","FQ1 2014","Currency=USD","Period=FQ","BEST_FPERIOD_OVERRIDE=FQ","FILING_STATUS=MR","FA_ADJUSTED=GAAP","Sort=A","Dates=H","DateFormat=P","Fill=—","Direction=H","UseDPDF=Y")</f>
        <v>-7.3777999999999997</v>
      </c>
      <c r="X87" s="14">
        <f>_xll.BDH("AMZN US Equity","CASH_CONVERSION_CYCLE","FQ2 2014","FQ2 2014","Currency=USD","Period=FQ","BEST_FPERIOD_OVERRIDE=FQ","FILING_STATUS=MR","FA_ADJUSTED=GAAP","Sort=A","Dates=H","DateFormat=P","Fill=—","Direction=H","UseDPDF=Y")</f>
        <v>-6.1510999999999996</v>
      </c>
      <c r="Y87" s="14">
        <f>_xll.BDH("AMZN US Equity","CASH_CONVERSION_CYCLE","FQ3 2014","FQ3 2014","Currency=USD","Period=FQ","BEST_FPERIOD_OVERRIDE=FQ","FILING_STATUS=MR","FA_ADJUSTED=GAAP","Sort=A","Dates=H","DateFormat=P","Fill=—","Direction=H","UseDPDF=Y")</f>
        <v>-8.1478999999999999</v>
      </c>
      <c r="Z87" s="14">
        <f>_xll.BDH("AMZN US Equity","CASH_CONVERSION_CYCLE","FQ4 2014","FQ4 2014","Currency=USD","Period=FQ","BEST_FPERIOD_OVERRIDE=FQ","FILING_STATUS=MR","FA_ADJUSTED=GAAP","Sort=A","Dates=H","DateFormat=P","Fill=—","Direction=H","UseDPDF=Y")</f>
        <v>-23.621500000000001</v>
      </c>
      <c r="AA87" s="14">
        <f>_xll.BDH("AMZN US Equity","CASH_CONVERSION_CYCLE","FQ1 2015","FQ1 2015","Currency=USD","Period=FQ","BEST_FPERIOD_OVERRIDE=FQ","FILING_STATUS=MR","FA_ADJUSTED=GAAP","Sort=A","Dates=H","DateFormat=P","Fill=—","Direction=H","UseDPDF=Y")</f>
        <v>-6.0364000000000004</v>
      </c>
      <c r="AB87" s="14">
        <f>_xll.BDH("AMZN US Equity","CASH_CONVERSION_CYCLE","FQ2 2015","FQ2 2015","Currency=USD","Period=FQ","BEST_FPERIOD_OVERRIDE=FQ","FILING_STATUS=MR","FA_ADJUSTED=GAAP","Sort=A","Dates=H","DateFormat=P","Fill=—","Direction=H","UseDPDF=Y")</f>
        <v>-6.1912000000000003</v>
      </c>
      <c r="AC87" s="14">
        <f>_xll.BDH("AMZN US Equity","CASH_CONVERSION_CYCLE","FQ3 2015","FQ3 2015","Currency=USD","Period=FQ","BEST_FPERIOD_OVERRIDE=FQ","FILING_STATUS=MR","FA_ADJUSTED=GAAP","Sort=A","Dates=H","DateFormat=P","Fill=—","Direction=H","UseDPDF=Y")</f>
        <v>-7.2256</v>
      </c>
      <c r="AD87" s="14">
        <f>_xll.BDH("AMZN US Equity","CASH_CONVERSION_CYCLE","FQ4 2015","FQ4 2015","Currency=USD","Period=FQ","BEST_FPERIOD_OVERRIDE=FQ","FILING_STATUS=MR","FA_ADJUSTED=GAAP","Sort=A","Dates=H","DateFormat=P","Fill=—","Direction=H","UseDPDF=Y")</f>
        <v>-24.953199999999999</v>
      </c>
      <c r="AE87" s="14">
        <f>_xll.BDH("AMZN US Equity","CASH_CONVERSION_CYCLE","FQ1 2016","FQ1 2016","Currency=USD","Period=FQ","BEST_FPERIOD_OVERRIDE=FQ","FILING_STATUS=MR","FA_ADJUSTED=GAAP","Sort=A","Dates=H","DateFormat=P","Fill=—","Direction=H","UseDPDF=Y")</f>
        <v>-6.4942000000000002</v>
      </c>
      <c r="AF87" s="14">
        <f>_xll.BDH("AMZN US Equity","CASH_CONVERSION_CYCLE","FQ2 2016","FQ2 2016","Currency=USD","Period=FQ","BEST_FPERIOD_OVERRIDE=FQ","FILING_STATUS=MR","FA_ADJUSTED=GAAP","Sort=A","Dates=H","DateFormat=P","Fill=—","Direction=H","UseDPDF=Y")</f>
        <v>-8.0665999999999993</v>
      </c>
      <c r="AG87" s="14">
        <f>_xll.BDH("AMZN US Equity","CASH_CONVERSION_CYCLE","FQ3 2016","FQ3 2016","Currency=USD","Period=FQ","BEST_FPERIOD_OVERRIDE=FQ","FILING_STATUS=MR","FA_ADJUSTED=GAAP","Sort=A","Dates=H","DateFormat=P","Fill=—","Direction=H","UseDPDF=Y")</f>
        <v>-11.041600000000001</v>
      </c>
      <c r="AH87" s="14">
        <f>_xll.BDH("AMZN US Equity","CASH_CONVERSION_CYCLE","FQ4 2016","FQ4 2016","Currency=USD","Period=FQ","BEST_FPERIOD_OVERRIDE=FQ","FILING_STATUS=MR","FA_ADJUSTED=GAAP","Sort=A","Dates=H","DateFormat=P","Fill=—","Direction=H","UseDPDF=Y")</f>
        <v>-29.6435</v>
      </c>
      <c r="AI87" s="14">
        <f>_xll.BDH("AMZN US Equity","CASH_CONVERSION_CYCLE","FQ1 2017","FQ1 2017","Currency=USD","Period=FQ","BEST_FPERIOD_OVERRIDE=FQ","FILING_STATUS=MR","FA_ADJUSTED=GAAP","Sort=A","Dates=H","DateFormat=P","Fill=—","Direction=H","UseDPDF=Y")</f>
        <v>-10.6106</v>
      </c>
      <c r="AJ87" s="14">
        <f>_xll.BDH("AMZN US Equity","CASH_CONVERSION_CYCLE","FQ2 2017","FQ2 2017","Currency=USD","Period=FQ","BEST_FPERIOD_OVERRIDE=FQ","FILING_STATUS=MR","FA_ADJUSTED=GAAP","Sort=A","Dates=H","DateFormat=P","Fill=—","Direction=H","UseDPDF=Y")</f>
        <v>-12.6778</v>
      </c>
      <c r="AK87" s="14">
        <f>_xll.BDH("AMZN US Equity","CASH_CONVERSION_CYCLE","FQ3 2017","FQ3 2017","Currency=USD","Period=FQ","BEST_FPERIOD_OVERRIDE=FQ","FILING_STATUS=MR","FA_ADJUSTED=GAAP","Sort=A","Dates=H","DateFormat=P","Fill=—","Direction=H","UseDPDF=Y")</f>
        <v>-14.8025</v>
      </c>
      <c r="AL87" s="14">
        <f>_xll.BDH("AMZN US Equity","CASH_CONVERSION_CYCLE","FQ4 2017","FQ4 2017","Currency=USD","Period=FQ","BEST_FPERIOD_OVERRIDE=FQ","FILING_STATUS=MR","FA_ADJUSTED=GAAP","Sort=A","Dates=H","DateFormat=P","Fill=—","Direction=H","UseDPDF=Y")</f>
        <v>-26.944900000000001</v>
      </c>
      <c r="AM87" s="14">
        <f>_xll.BDH("AMZN US Equity","CASH_CONVERSION_CYCLE","FQ1 2018","FQ1 2018","Currency=USD","Period=FQ","BEST_FPERIOD_OVERRIDE=FQ","FILING_STATUS=MR","FA_ADJUSTED=GAAP","Sort=A","Dates=H","DateFormat=P","Fill=—","Direction=H","UseDPDF=Y")</f>
        <v>-9.7477</v>
      </c>
      <c r="AN87" s="14">
        <f>_xll.BDH("AMZN US Equity","CASH_CONVERSION_CYCLE","FQ2 2018","FQ2 2018","Currency=USD","Period=FQ","BEST_FPERIOD_OVERRIDE=FQ","FILING_STATUS=MR","FA_ADJUSTED=GAAP","Sort=A","Dates=H","DateFormat=P","Fill=—","Direction=H","UseDPDF=Y")</f>
        <v>-12.711</v>
      </c>
    </row>
    <row r="88" spans="1:40" x14ac:dyDescent="0.25">
      <c r="A88" s="10" t="s">
        <v>358</v>
      </c>
      <c r="B88" s="10" t="s">
        <v>359</v>
      </c>
      <c r="C88" s="13" t="str">
        <f>_xll.BDH("AMZN US Equity","BS_CASH_HELD_OVERSEAS","FQ1 2009","FQ1 2009","Currency=USD","Period=FQ","BEST_FPERIOD_OVERRIDE=FQ","FILING_STATUS=MR","SCALING_FORMAT=MLN","Sort=A","Dates=H","DateFormat=P","Fill=—","Direction=H","UseDPDF=Y")</f>
        <v>—</v>
      </c>
      <c r="D88" s="13" t="str">
        <f>_xll.BDH("AMZN US Equity","BS_CASH_HELD_OVERSEAS","FQ2 2009","FQ2 2009","Currency=USD","Period=FQ","BEST_FPERIOD_OVERRIDE=FQ","FILING_STATUS=MR","SCALING_FORMAT=MLN","Sort=A","Dates=H","DateFormat=P","Fill=—","Direction=H","UseDPDF=Y")</f>
        <v>—</v>
      </c>
      <c r="E88" s="13" t="str">
        <f>_xll.BDH("AMZN US Equity","BS_CASH_HELD_OVERSEAS","FQ3 2009","FQ3 2009","Currency=USD","Period=FQ","BEST_FPERIOD_OVERRIDE=FQ","FILING_STATUS=MR","SCALING_FORMAT=MLN","Sort=A","Dates=H","DateFormat=P","Fill=—","Direction=H","UseDPDF=Y")</f>
        <v>—</v>
      </c>
      <c r="F88" s="13" t="str">
        <f>_xll.BDH("AMZN US Equity","BS_CASH_HELD_OVERSEAS","FQ4 2009","FQ4 2009","Currency=USD","Period=FQ","BEST_FPERIOD_OVERRIDE=FQ","FILING_STATUS=MR","SCALING_FORMAT=MLN","Sort=A","Dates=H","DateFormat=P","Fill=—","Direction=H","UseDPDF=Y")</f>
        <v>—</v>
      </c>
      <c r="G88" s="13" t="str">
        <f>_xll.BDH("AMZN US Equity","BS_CASH_HELD_OVERSEAS","FQ1 2010","FQ1 2010","Currency=USD","Period=FQ","BEST_FPERIOD_OVERRIDE=FQ","FILING_STATUS=MR","SCALING_FORMAT=MLN","Sort=A","Dates=H","DateFormat=P","Fill=—","Direction=H","UseDPDF=Y")</f>
        <v>—</v>
      </c>
      <c r="H88" s="13" t="str">
        <f>_xll.BDH("AMZN US Equity","BS_CASH_HELD_OVERSEAS","FQ2 2010","FQ2 2010","Currency=USD","Period=FQ","BEST_FPERIOD_OVERRIDE=FQ","FILING_STATUS=MR","SCALING_FORMAT=MLN","Sort=A","Dates=H","DateFormat=P","Fill=—","Direction=H","UseDPDF=Y")</f>
        <v>—</v>
      </c>
      <c r="I88" s="13" t="str">
        <f>_xll.BDH("AMZN US Equity","BS_CASH_HELD_OVERSEAS","FQ3 2010","FQ3 2010","Currency=USD","Period=FQ","BEST_FPERIOD_OVERRIDE=FQ","FILING_STATUS=MR","SCALING_FORMAT=MLN","Sort=A","Dates=H","DateFormat=P","Fill=—","Direction=H","UseDPDF=Y")</f>
        <v>—</v>
      </c>
      <c r="J88" s="13" t="str">
        <f>_xll.BDH("AMZN US Equity","BS_CASH_HELD_OVERSEAS","FQ4 2010","FQ4 2010","Currency=USD","Period=FQ","BEST_FPERIOD_OVERRIDE=FQ","FILING_STATUS=MR","SCALING_FORMAT=MLN","Sort=A","Dates=H","DateFormat=P","Fill=—","Direction=H","UseDPDF=Y")</f>
        <v>—</v>
      </c>
      <c r="K88" s="13" t="str">
        <f>_xll.BDH("AMZN US Equity","BS_CASH_HELD_OVERSEAS","FQ1 2011","FQ1 2011","Currency=USD","Period=FQ","BEST_FPERIOD_OVERRIDE=FQ","FILING_STATUS=MR","SCALING_FORMAT=MLN","Sort=A","Dates=H","DateFormat=P","Fill=—","Direction=H","UseDPDF=Y")</f>
        <v>—</v>
      </c>
      <c r="L88" s="13" t="str">
        <f>_xll.BDH("AMZN US Equity","BS_CASH_HELD_OVERSEAS","FQ2 2011","FQ2 2011","Currency=USD","Period=FQ","BEST_FPERIOD_OVERRIDE=FQ","FILING_STATUS=MR","SCALING_FORMAT=MLN","Sort=A","Dates=H","DateFormat=P","Fill=—","Direction=H","UseDPDF=Y")</f>
        <v>—</v>
      </c>
      <c r="M88" s="13" t="str">
        <f>_xll.BDH("AMZN US Equity","BS_CASH_HELD_OVERSEAS","FQ3 2011","FQ3 2011","Currency=USD","Period=FQ","BEST_FPERIOD_OVERRIDE=FQ","FILING_STATUS=MR","SCALING_FORMAT=MLN","Sort=A","Dates=H","DateFormat=P","Fill=—","Direction=H","UseDPDF=Y")</f>
        <v>—</v>
      </c>
      <c r="N88" s="13" t="str">
        <f>_xll.BDH("AMZN US Equity","BS_CASH_HELD_OVERSEAS","FQ4 2011","FQ4 2011","Currency=USD","Period=FQ","BEST_FPERIOD_OVERRIDE=FQ","FILING_STATUS=MR","SCALING_FORMAT=MLN","Sort=A","Dates=H","DateFormat=P","Fill=—","Direction=H","UseDPDF=Y")</f>
        <v>—</v>
      </c>
      <c r="O88" s="13" t="str">
        <f>_xll.BDH("AMZN US Equity","BS_CASH_HELD_OVERSEAS","FQ1 2012","FQ1 2012","Currency=USD","Period=FQ","BEST_FPERIOD_OVERRIDE=FQ","FILING_STATUS=MR","SCALING_FORMAT=MLN","Sort=A","Dates=H","DateFormat=P","Fill=—","Direction=H","UseDPDF=Y")</f>
        <v>—</v>
      </c>
      <c r="P88" s="13" t="str">
        <f>_xll.BDH("AMZN US Equity","BS_CASH_HELD_OVERSEAS","FQ2 2012","FQ2 2012","Currency=USD","Period=FQ","BEST_FPERIOD_OVERRIDE=FQ","FILING_STATUS=MR","SCALING_FORMAT=MLN","Sort=A","Dates=H","DateFormat=P","Fill=—","Direction=H","UseDPDF=Y")</f>
        <v>—</v>
      </c>
      <c r="Q88" s="13" t="str">
        <f>_xll.BDH("AMZN US Equity","BS_CASH_HELD_OVERSEAS","FQ3 2012","FQ3 2012","Currency=USD","Period=FQ","BEST_FPERIOD_OVERRIDE=FQ","FILING_STATUS=MR","SCALING_FORMAT=MLN","Sort=A","Dates=H","DateFormat=P","Fill=—","Direction=H","UseDPDF=Y")</f>
        <v>—</v>
      </c>
      <c r="R88" s="13" t="str">
        <f>_xll.BDH("AMZN US Equity","BS_CASH_HELD_OVERSEAS","FQ4 2012","FQ4 2012","Currency=USD","Period=FQ","BEST_FPERIOD_OVERRIDE=FQ","FILING_STATUS=MR","SCALING_FORMAT=MLN","Sort=A","Dates=H","DateFormat=P","Fill=—","Direction=H","UseDPDF=Y")</f>
        <v>—</v>
      </c>
      <c r="S88" s="13" t="str">
        <f>_xll.BDH("AMZN US Equity","BS_CASH_HELD_OVERSEAS","FQ1 2013","FQ1 2013","Currency=USD","Period=FQ","BEST_FPERIOD_OVERRIDE=FQ","FILING_STATUS=MR","SCALING_FORMAT=MLN","Sort=A","Dates=H","DateFormat=P","Fill=—","Direction=H","UseDPDF=Y")</f>
        <v>—</v>
      </c>
      <c r="T88" s="13" t="str">
        <f>_xll.BDH("AMZN US Equity","BS_CASH_HELD_OVERSEAS","FQ2 2013","FQ2 2013","Currency=USD","Period=FQ","BEST_FPERIOD_OVERRIDE=FQ","FILING_STATUS=MR","SCALING_FORMAT=MLN","Sort=A","Dates=H","DateFormat=P","Fill=—","Direction=H","UseDPDF=Y")</f>
        <v>—</v>
      </c>
      <c r="U88" s="13" t="str">
        <f>_xll.BDH("AMZN US Equity","BS_CASH_HELD_OVERSEAS","FQ3 2013","FQ3 2013","Currency=USD","Period=FQ","BEST_FPERIOD_OVERRIDE=FQ","FILING_STATUS=MR","SCALING_FORMAT=MLN","Sort=A","Dates=H","DateFormat=P","Fill=—","Direction=H","UseDPDF=Y")</f>
        <v>—</v>
      </c>
      <c r="V88" s="13">
        <f>_xll.BDH("AMZN US Equity","BS_CASH_HELD_OVERSEAS","FQ4 2013","FQ4 2013","Currency=USD","Period=FQ","BEST_FPERIOD_OVERRIDE=FQ","FILING_STATUS=MR","SCALING_FORMAT=MLN","Sort=A","Dates=H","DateFormat=P","Fill=—","Direction=H","UseDPDF=Y")</f>
        <v>4600</v>
      </c>
      <c r="W88" s="13" t="str">
        <f>_xll.BDH("AMZN US Equity","BS_CASH_HELD_OVERSEAS","FQ1 2014","FQ1 2014","Currency=USD","Period=FQ","BEST_FPERIOD_OVERRIDE=FQ","FILING_STATUS=MR","SCALING_FORMAT=MLN","Sort=A","Dates=H","DateFormat=P","Fill=—","Direction=H","UseDPDF=Y")</f>
        <v>—</v>
      </c>
      <c r="X88" s="13" t="str">
        <f>_xll.BDH("AMZN US Equity","BS_CASH_HELD_OVERSEAS","FQ2 2014","FQ2 2014","Currency=USD","Period=FQ","BEST_FPERIOD_OVERRIDE=FQ","FILING_STATUS=MR","SCALING_FORMAT=MLN","Sort=A","Dates=H","DateFormat=P","Fill=—","Direction=H","UseDPDF=Y")</f>
        <v>—</v>
      </c>
      <c r="Y88" s="13" t="str">
        <f>_xll.BDH("AMZN US Equity","BS_CASH_HELD_OVERSEAS","FQ3 2014","FQ3 2014","Currency=USD","Period=FQ","BEST_FPERIOD_OVERRIDE=FQ","FILING_STATUS=MR","SCALING_FORMAT=MLN","Sort=A","Dates=H","DateFormat=P","Fill=—","Direction=H","UseDPDF=Y")</f>
        <v>—</v>
      </c>
      <c r="Z88" s="13">
        <f>_xll.BDH("AMZN US Equity","BS_CASH_HELD_OVERSEAS","FQ4 2014","FQ4 2014","Currency=USD","Period=FQ","BEST_FPERIOD_OVERRIDE=FQ","FILING_STATUS=MR","SCALING_FORMAT=MLN","Sort=A","Dates=H","DateFormat=P","Fill=—","Direction=H","UseDPDF=Y")</f>
        <v>4600</v>
      </c>
      <c r="AA88" s="13" t="str">
        <f>_xll.BDH("AMZN US Equity","BS_CASH_HELD_OVERSEAS","FQ1 2015","FQ1 2015","Currency=USD","Period=FQ","BEST_FPERIOD_OVERRIDE=FQ","FILING_STATUS=MR","SCALING_FORMAT=MLN","Sort=A","Dates=H","DateFormat=P","Fill=—","Direction=H","UseDPDF=Y")</f>
        <v>—</v>
      </c>
      <c r="AB88" s="13" t="str">
        <f>_xll.BDH("AMZN US Equity","BS_CASH_HELD_OVERSEAS","FQ2 2015","FQ2 2015","Currency=USD","Period=FQ","BEST_FPERIOD_OVERRIDE=FQ","FILING_STATUS=MR","SCALING_FORMAT=MLN","Sort=A","Dates=H","DateFormat=P","Fill=—","Direction=H","UseDPDF=Y")</f>
        <v>—</v>
      </c>
      <c r="AC88" s="13" t="str">
        <f>_xll.BDH("AMZN US Equity","BS_CASH_HELD_OVERSEAS","FQ3 2015","FQ3 2015","Currency=USD","Period=FQ","BEST_FPERIOD_OVERRIDE=FQ","FILING_STATUS=MR","SCALING_FORMAT=MLN","Sort=A","Dates=H","DateFormat=P","Fill=—","Direction=H","UseDPDF=Y")</f>
        <v>—</v>
      </c>
      <c r="AD88" s="13">
        <f>_xll.BDH("AMZN US Equity","BS_CASH_HELD_OVERSEAS","FQ4 2015","FQ4 2015","Currency=USD","Period=FQ","BEST_FPERIOD_OVERRIDE=FQ","FILING_STATUS=MR","SCALING_FORMAT=MLN","Sort=A","Dates=H","DateFormat=P","Fill=—","Direction=H","UseDPDF=Y")</f>
        <v>5800</v>
      </c>
      <c r="AE88" s="13" t="str">
        <f>_xll.BDH("AMZN US Equity","BS_CASH_HELD_OVERSEAS","FQ1 2016","FQ1 2016","Currency=USD","Period=FQ","BEST_FPERIOD_OVERRIDE=FQ","FILING_STATUS=MR","SCALING_FORMAT=MLN","Sort=A","Dates=H","DateFormat=P","Fill=—","Direction=H","UseDPDF=Y")</f>
        <v>—</v>
      </c>
      <c r="AF88" s="13" t="str">
        <f>_xll.BDH("AMZN US Equity","BS_CASH_HELD_OVERSEAS","FQ2 2016","FQ2 2016","Currency=USD","Period=FQ","BEST_FPERIOD_OVERRIDE=FQ","FILING_STATUS=MR","SCALING_FORMAT=MLN","Sort=A","Dates=H","DateFormat=P","Fill=—","Direction=H","UseDPDF=Y")</f>
        <v>—</v>
      </c>
      <c r="AG88" s="13" t="str">
        <f>_xll.BDH("AMZN US Equity","BS_CASH_HELD_OVERSEAS","FQ3 2016","FQ3 2016","Currency=USD","Period=FQ","BEST_FPERIOD_OVERRIDE=FQ","FILING_STATUS=MR","SCALING_FORMAT=MLN","Sort=A","Dates=H","DateFormat=P","Fill=—","Direction=H","UseDPDF=Y")</f>
        <v>—</v>
      </c>
      <c r="AH88" s="13">
        <f>_xll.BDH("AMZN US Equity","BS_CASH_HELD_OVERSEAS","FQ4 2016","FQ4 2016","Currency=USD","Period=FQ","BEST_FPERIOD_OVERRIDE=FQ","FILING_STATUS=MR","SCALING_FORMAT=MLN","Sort=A","Dates=H","DateFormat=P","Fill=—","Direction=H","UseDPDF=Y")</f>
        <v>8600</v>
      </c>
      <c r="AI88" s="13" t="str">
        <f>_xll.BDH("AMZN US Equity","BS_CASH_HELD_OVERSEAS","FQ1 2017","FQ1 2017","Currency=USD","Period=FQ","BEST_FPERIOD_OVERRIDE=FQ","FILING_STATUS=MR","SCALING_FORMAT=MLN","Sort=A","Dates=H","DateFormat=P","Fill=—","Direction=H","UseDPDF=Y")</f>
        <v>—</v>
      </c>
      <c r="AJ88" s="13" t="str">
        <f>_xll.BDH("AMZN US Equity","BS_CASH_HELD_OVERSEAS","FQ2 2017","FQ2 2017","Currency=USD","Period=FQ","BEST_FPERIOD_OVERRIDE=FQ","FILING_STATUS=MR","SCALING_FORMAT=MLN","Sort=A","Dates=H","DateFormat=P","Fill=—","Direction=H","UseDPDF=Y")</f>
        <v>—</v>
      </c>
      <c r="AK88" s="13" t="str">
        <f>_xll.BDH("AMZN US Equity","BS_CASH_HELD_OVERSEAS","FQ3 2017","FQ3 2017","Currency=USD","Period=FQ","BEST_FPERIOD_OVERRIDE=FQ","FILING_STATUS=MR","SCALING_FORMAT=MLN","Sort=A","Dates=H","DateFormat=P","Fill=—","Direction=H","UseDPDF=Y")</f>
        <v>—</v>
      </c>
      <c r="AL88" s="13">
        <f>_xll.BDH("AMZN US Equity","BS_CASH_HELD_OVERSEAS","FQ4 2017","FQ4 2017","Currency=USD","Period=FQ","BEST_FPERIOD_OVERRIDE=FQ","FILING_STATUS=MR","SCALING_FORMAT=MLN","Sort=A","Dates=H","DateFormat=P","Fill=—","Direction=H","UseDPDF=Y")</f>
        <v>9600</v>
      </c>
      <c r="AM88" s="13" t="str">
        <f>_xll.BDH("AMZN US Equity","BS_CASH_HELD_OVERSEAS","FQ1 2018","FQ1 2018","Currency=USD","Period=FQ","BEST_FPERIOD_OVERRIDE=FQ","FILING_STATUS=MR","SCALING_FORMAT=MLN","Sort=A","Dates=H","DateFormat=P","Fill=—","Direction=H","UseDPDF=Y")</f>
        <v>—</v>
      </c>
      <c r="AN88" s="13" t="str">
        <f>_xll.BDH("AMZN US Equity","BS_CASH_HELD_OVERSEAS","FQ2 2018","FQ2 2018","Currency=USD","Period=FQ","BEST_FPERIOD_OVERRIDE=FQ","FILING_STATUS=MR","SCALING_FORMAT=MLN","Sort=A","Dates=H","DateFormat=P","Fill=—","Direction=H","UseDPDF=Y")</f>
        <v>—</v>
      </c>
    </row>
    <row r="89" spans="1:40" x14ac:dyDescent="0.25">
      <c r="A89" s="10" t="s">
        <v>360</v>
      </c>
      <c r="B89" s="10" t="s">
        <v>361</v>
      </c>
      <c r="C89" s="14" t="str">
        <f>_xll.BDH("AMZN US Equity","NUM_OF_EMPLOYEES","FQ1 2009","FQ1 2009","Currency=USD","Period=FQ","BEST_FPERIOD_OVERRIDE=FQ","FILING_STATUS=MR","Sort=A","Dates=H","DateFormat=P","Fill=—","Direction=H","UseDPDF=Y")</f>
        <v>—</v>
      </c>
      <c r="D89" s="14" t="str">
        <f>_xll.BDH("AMZN US Equity","NUM_OF_EMPLOYEES","FQ2 2009","FQ2 2009","Currency=USD","Period=FQ","BEST_FPERIOD_OVERRIDE=FQ","FILING_STATUS=MR","Sort=A","Dates=H","DateFormat=P","Fill=—","Direction=H","UseDPDF=Y")</f>
        <v>—</v>
      </c>
      <c r="E89" s="14" t="str">
        <f>_xll.BDH("AMZN US Equity","NUM_OF_EMPLOYEES","FQ3 2009","FQ3 2009","Currency=USD","Period=FQ","BEST_FPERIOD_OVERRIDE=FQ","FILING_STATUS=MR","Sort=A","Dates=H","DateFormat=P","Fill=—","Direction=H","UseDPDF=Y")</f>
        <v>—</v>
      </c>
      <c r="F89" s="14">
        <f>_xll.BDH("AMZN US Equity","NUM_OF_EMPLOYEES","FQ4 2009","FQ4 2009","Currency=USD","Period=FQ","BEST_FPERIOD_OVERRIDE=FQ","FILING_STATUS=MR","Sort=A","Dates=H","DateFormat=P","Fill=—","Direction=H","UseDPDF=Y")</f>
        <v>24300</v>
      </c>
      <c r="G89" s="14" t="str">
        <f>_xll.BDH("AMZN US Equity","NUM_OF_EMPLOYEES","FQ1 2010","FQ1 2010","Currency=USD","Period=FQ","BEST_FPERIOD_OVERRIDE=FQ","FILING_STATUS=MR","Sort=A","Dates=H","DateFormat=P","Fill=—","Direction=H","UseDPDF=Y")</f>
        <v>—</v>
      </c>
      <c r="H89" s="14" t="str">
        <f>_xll.BDH("AMZN US Equity","NUM_OF_EMPLOYEES","FQ2 2010","FQ2 2010","Currency=USD","Period=FQ","BEST_FPERIOD_OVERRIDE=FQ","FILING_STATUS=MR","Sort=A","Dates=H","DateFormat=P","Fill=—","Direction=H","UseDPDF=Y")</f>
        <v>—</v>
      </c>
      <c r="I89" s="14" t="str">
        <f>_xll.BDH("AMZN US Equity","NUM_OF_EMPLOYEES","FQ3 2010","FQ3 2010","Currency=USD","Period=FQ","BEST_FPERIOD_OVERRIDE=FQ","FILING_STATUS=MR","Sort=A","Dates=H","DateFormat=P","Fill=—","Direction=H","UseDPDF=Y")</f>
        <v>—</v>
      </c>
      <c r="J89" s="14">
        <f>_xll.BDH("AMZN US Equity","NUM_OF_EMPLOYEES","FQ4 2010","FQ4 2010","Currency=USD","Period=FQ","BEST_FPERIOD_OVERRIDE=FQ","FILING_STATUS=MR","Sort=A","Dates=H","DateFormat=P","Fill=—","Direction=H","UseDPDF=Y")</f>
        <v>33700</v>
      </c>
      <c r="K89" s="14">
        <f>_xll.BDH("AMZN US Equity","NUM_OF_EMPLOYEES","FQ1 2011","FQ1 2011","Currency=USD","Period=FQ","BEST_FPERIOD_OVERRIDE=FQ","FILING_STATUS=MR","Sort=A","Dates=H","DateFormat=P","Fill=—","Direction=H","UseDPDF=Y")</f>
        <v>37900</v>
      </c>
      <c r="L89" s="14">
        <f>_xll.BDH("AMZN US Equity","NUM_OF_EMPLOYEES","FQ2 2011","FQ2 2011","Currency=USD","Period=FQ","BEST_FPERIOD_OVERRIDE=FQ","FILING_STATUS=MR","Sort=A","Dates=H","DateFormat=P","Fill=—","Direction=H","UseDPDF=Y")</f>
        <v>43200</v>
      </c>
      <c r="M89" s="14">
        <f>_xll.BDH("AMZN US Equity","NUM_OF_EMPLOYEES","FQ3 2011","FQ3 2011","Currency=USD","Period=FQ","BEST_FPERIOD_OVERRIDE=FQ","FILING_STATUS=MR","Sort=A","Dates=H","DateFormat=P","Fill=—","Direction=H","UseDPDF=Y")</f>
        <v>51300</v>
      </c>
      <c r="N89" s="14">
        <f>_xll.BDH("AMZN US Equity","NUM_OF_EMPLOYEES","FQ4 2011","FQ4 2011","Currency=USD","Period=FQ","BEST_FPERIOD_OVERRIDE=FQ","FILING_STATUS=MR","Sort=A","Dates=H","DateFormat=P","Fill=—","Direction=H","UseDPDF=Y")</f>
        <v>56200</v>
      </c>
      <c r="O89" s="14">
        <f>_xll.BDH("AMZN US Equity","NUM_OF_EMPLOYEES","FQ1 2012","FQ1 2012","Currency=USD","Period=FQ","BEST_FPERIOD_OVERRIDE=FQ","FILING_STATUS=MR","Sort=A","Dates=H","DateFormat=P","Fill=—","Direction=H","UseDPDF=Y")</f>
        <v>65600</v>
      </c>
      <c r="P89" s="14">
        <f>_xll.BDH("AMZN US Equity","NUM_OF_EMPLOYEES","FQ2 2012","FQ2 2012","Currency=USD","Period=FQ","BEST_FPERIOD_OVERRIDE=FQ","FILING_STATUS=MR","Sort=A","Dates=H","DateFormat=P","Fill=—","Direction=H","UseDPDF=Y")</f>
        <v>69100</v>
      </c>
      <c r="Q89" s="14">
        <f>_xll.BDH("AMZN US Equity","NUM_OF_EMPLOYEES","FQ3 2012","FQ3 2012","Currency=USD","Period=FQ","BEST_FPERIOD_OVERRIDE=FQ","FILING_STATUS=MR","Sort=A","Dates=H","DateFormat=P","Fill=—","Direction=H","UseDPDF=Y")</f>
        <v>81400</v>
      </c>
      <c r="R89" s="14">
        <f>_xll.BDH("AMZN US Equity","NUM_OF_EMPLOYEES","FQ4 2012","FQ4 2012","Currency=USD","Period=FQ","BEST_FPERIOD_OVERRIDE=FQ","FILING_STATUS=MR","Sort=A","Dates=H","DateFormat=P","Fill=—","Direction=H","UseDPDF=Y")</f>
        <v>88400</v>
      </c>
      <c r="S89" s="14">
        <f>_xll.BDH("AMZN US Equity","NUM_OF_EMPLOYEES","FQ1 2013","FQ1 2013","Currency=USD","Period=FQ","BEST_FPERIOD_OVERRIDE=FQ","FILING_STATUS=MR","Sort=A","Dates=H","DateFormat=P","Fill=—","Direction=H","UseDPDF=Y")</f>
        <v>91300</v>
      </c>
      <c r="T89" s="14">
        <f>_xll.BDH("AMZN US Equity","NUM_OF_EMPLOYEES","FQ2 2013","FQ2 2013","Currency=USD","Period=FQ","BEST_FPERIOD_OVERRIDE=FQ","FILING_STATUS=MR","Sort=A","Dates=H","DateFormat=P","Fill=—","Direction=H","UseDPDF=Y")</f>
        <v>97000</v>
      </c>
      <c r="U89" s="14">
        <f>_xll.BDH("AMZN US Equity","NUM_OF_EMPLOYEES","FQ3 2013","FQ3 2013","Currency=USD","Period=FQ","BEST_FPERIOD_OVERRIDE=FQ","FILING_STATUS=MR","Sort=A","Dates=H","DateFormat=P","Fill=—","Direction=H","UseDPDF=Y")</f>
        <v>109800</v>
      </c>
      <c r="V89" s="14">
        <f>_xll.BDH("AMZN US Equity","NUM_OF_EMPLOYEES","FQ4 2013","FQ4 2013","Currency=USD","Period=FQ","BEST_FPERIOD_OVERRIDE=FQ","FILING_STATUS=MR","Sort=A","Dates=H","DateFormat=P","Fill=—","Direction=H","UseDPDF=Y")</f>
        <v>117300</v>
      </c>
      <c r="W89" s="14">
        <f>_xll.BDH("AMZN US Equity","NUM_OF_EMPLOYEES","FQ1 2014","FQ1 2014","Currency=USD","Period=FQ","BEST_FPERIOD_OVERRIDE=FQ","FILING_STATUS=MR","Sort=A","Dates=H","DateFormat=P","Fill=—","Direction=H","UseDPDF=Y")</f>
        <v>124600</v>
      </c>
      <c r="X89" s="14">
        <f>_xll.BDH("AMZN US Equity","NUM_OF_EMPLOYEES","FQ2 2014","FQ2 2014","Currency=USD","Period=FQ","BEST_FPERIOD_OVERRIDE=FQ","FILING_STATUS=MR","Sort=A","Dates=H","DateFormat=P","Fill=—","Direction=H","UseDPDF=Y")</f>
        <v>132600</v>
      </c>
      <c r="Y89" s="14">
        <f>_xll.BDH("AMZN US Equity","NUM_OF_EMPLOYEES","FQ3 2014","FQ3 2014","Currency=USD","Period=FQ","BEST_FPERIOD_OVERRIDE=FQ","FILING_STATUS=MR","Sort=A","Dates=H","DateFormat=P","Fill=—","Direction=H","UseDPDF=Y")</f>
        <v>149500</v>
      </c>
      <c r="Z89" s="14">
        <f>_xll.BDH("AMZN US Equity","NUM_OF_EMPLOYEES","FQ4 2014","FQ4 2014","Currency=USD","Period=FQ","BEST_FPERIOD_OVERRIDE=FQ","FILING_STATUS=MR","Sort=A","Dates=H","DateFormat=P","Fill=—","Direction=H","UseDPDF=Y")</f>
        <v>154100</v>
      </c>
      <c r="AA89" s="14">
        <f>_xll.BDH("AMZN US Equity","NUM_OF_EMPLOYEES","FQ1 2015","FQ1 2015","Currency=USD","Period=FQ","BEST_FPERIOD_OVERRIDE=FQ","FILING_STATUS=MR","Sort=A","Dates=H","DateFormat=P","Fill=—","Direction=H","UseDPDF=Y")</f>
        <v>165000</v>
      </c>
      <c r="AB89" s="14" t="str">
        <f>_xll.BDH("AMZN US Equity","NUM_OF_EMPLOYEES","FQ2 2015","FQ2 2015","Currency=USD","Period=FQ","BEST_FPERIOD_OVERRIDE=FQ","FILING_STATUS=MR","Sort=A","Dates=H","DateFormat=P","Fill=—","Direction=H","UseDPDF=Y")</f>
        <v>—</v>
      </c>
      <c r="AC89" s="14">
        <f>_xll.BDH("AMZN US Equity","NUM_OF_EMPLOYEES","FQ3 2015","FQ3 2015","Currency=USD","Period=FQ","BEST_FPERIOD_OVERRIDE=FQ","FILING_STATUS=MR","Sort=A","Dates=H","DateFormat=P","Fill=—","Direction=H","UseDPDF=Y")</f>
        <v>222400</v>
      </c>
      <c r="AD89" s="14">
        <f>_xll.BDH("AMZN US Equity","NUM_OF_EMPLOYEES","FQ4 2015","FQ4 2015","Currency=USD","Period=FQ","BEST_FPERIOD_OVERRIDE=FQ","FILING_STATUS=MR","Sort=A","Dates=H","DateFormat=P","Fill=—","Direction=H","UseDPDF=Y")</f>
        <v>230800</v>
      </c>
      <c r="AE89" s="14">
        <f>_xll.BDH("AMZN US Equity","NUM_OF_EMPLOYEES","FQ1 2016","FQ1 2016","Currency=USD","Period=FQ","BEST_FPERIOD_OVERRIDE=FQ","FILING_STATUS=MR","Sort=A","Dates=H","DateFormat=P","Fill=—","Direction=H","UseDPDF=Y")</f>
        <v>245200</v>
      </c>
      <c r="AF89" s="14">
        <f>_xll.BDH("AMZN US Equity","NUM_OF_EMPLOYEES","FQ2 2016","FQ2 2016","Currency=USD","Period=FQ","BEST_FPERIOD_OVERRIDE=FQ","FILING_STATUS=MR","Sort=A","Dates=H","DateFormat=P","Fill=—","Direction=H","UseDPDF=Y")</f>
        <v>268900</v>
      </c>
      <c r="AG89" s="14">
        <f>_xll.BDH("AMZN US Equity","NUM_OF_EMPLOYEES","FQ3 2016","FQ3 2016","Currency=USD","Period=FQ","BEST_FPERIOD_OVERRIDE=FQ","FILING_STATUS=MR","Sort=A","Dates=H","DateFormat=P","Fill=—","Direction=H","UseDPDF=Y")</f>
        <v>306800</v>
      </c>
      <c r="AH89" s="14">
        <f>_xll.BDH("AMZN US Equity","NUM_OF_EMPLOYEES","FQ4 2016","FQ4 2016","Currency=USD","Period=FQ","BEST_FPERIOD_OVERRIDE=FQ","FILING_STATUS=MR","Sort=A","Dates=H","DateFormat=P","Fill=—","Direction=H","UseDPDF=Y")</f>
        <v>341400</v>
      </c>
      <c r="AI89" s="14">
        <f>_xll.BDH("AMZN US Equity","NUM_OF_EMPLOYEES","FQ1 2017","FQ1 2017","Currency=USD","Period=FQ","BEST_FPERIOD_OVERRIDE=FQ","FILING_STATUS=MR","Sort=A","Dates=H","DateFormat=P","Fill=—","Direction=H","UseDPDF=Y")</f>
        <v>351000</v>
      </c>
      <c r="AJ89" s="14">
        <f>_xll.BDH("AMZN US Equity","NUM_OF_EMPLOYEES","FQ2 2017","FQ2 2017","Currency=USD","Period=FQ","BEST_FPERIOD_OVERRIDE=FQ","FILING_STATUS=MR","Sort=A","Dates=H","DateFormat=P","Fill=—","Direction=H","UseDPDF=Y")</f>
        <v>382400</v>
      </c>
      <c r="AK89" s="14">
        <f>_xll.BDH("AMZN US Equity","NUM_OF_EMPLOYEES","FQ3 2017","FQ3 2017","Currency=USD","Period=FQ","BEST_FPERIOD_OVERRIDE=FQ","FILING_STATUS=MR","Sort=A","Dates=H","DateFormat=P","Fill=—","Direction=H","UseDPDF=Y")</f>
        <v>541900</v>
      </c>
      <c r="AL89" s="14">
        <f>_xll.BDH("AMZN US Equity","NUM_OF_EMPLOYEES","FQ4 2017","FQ4 2017","Currency=USD","Period=FQ","BEST_FPERIOD_OVERRIDE=FQ","FILING_STATUS=MR","Sort=A","Dates=H","DateFormat=P","Fill=—","Direction=H","UseDPDF=Y")</f>
        <v>566000</v>
      </c>
      <c r="AM89" s="14">
        <f>_xll.BDH("AMZN US Equity","NUM_OF_EMPLOYEES","FQ1 2018","FQ1 2018","Currency=USD","Period=FQ","BEST_FPERIOD_OVERRIDE=FQ","FILING_STATUS=MR","Sort=A","Dates=H","DateFormat=P","Fill=—","Direction=H","UseDPDF=Y")</f>
        <v>563100</v>
      </c>
      <c r="AN89" s="14">
        <f>_xll.BDH("AMZN US Equity","NUM_OF_EMPLOYEES","FQ2 2018","FQ2 2018","Currency=USD","Period=FQ","BEST_FPERIOD_OVERRIDE=FQ","FILING_STATUS=MR","Sort=A","Dates=H","DateFormat=P","Fill=—","Direction=H","UseDPDF=Y")</f>
        <v>575700</v>
      </c>
    </row>
    <row r="90" spans="1:40" x14ac:dyDescent="0.25">
      <c r="A90" s="7" t="s">
        <v>207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1"/>
  <sheetViews>
    <sheetView workbookViewId="0">
      <selection activeCell="D1" activeCellId="1" sqref="C1:C1048576 D1:D1048576"/>
    </sheetView>
  </sheetViews>
  <sheetFormatPr defaultRowHeight="15" x14ac:dyDescent="0.25"/>
  <cols>
    <col min="1" max="1" width="35.140625" customWidth="1"/>
    <col min="2" max="2" width="0" hidden="1" customWidth="1"/>
    <col min="3" max="40" width="11.85546875" customWidth="1"/>
  </cols>
  <sheetData>
    <row r="1" spans="1:4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0.25" x14ac:dyDescent="0.25">
      <c r="A2" s="8" t="s">
        <v>208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</row>
    <row r="5" spans="1:40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</row>
    <row r="6" spans="1:40" x14ac:dyDescent="0.25">
      <c r="A6" s="6" t="s">
        <v>362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x14ac:dyDescent="0.25">
      <c r="A7" s="10" t="s">
        <v>363</v>
      </c>
      <c r="B7" s="10" t="s">
        <v>364</v>
      </c>
      <c r="C7" s="13">
        <f>_xll.BDH("AMZN US Equity","CF_NET_INC","FQ1 2009","FQ1 2009","Currency=USD","Period=FQ","BEST_FPERIOD_OVERRIDE=FQ","FILING_STATUS=MR","SCALING_FORMAT=MLN","Sort=A","Dates=H","DateFormat=P","Fill=—","Direction=H","UseDPDF=Y")</f>
        <v>177</v>
      </c>
      <c r="D7" s="13">
        <f>_xll.BDH("AMZN US Equity","CF_NET_INC","FQ2 2009","FQ2 2009","Currency=USD","Period=FQ","BEST_FPERIOD_OVERRIDE=FQ","FILING_STATUS=MR","SCALING_FORMAT=MLN","Sort=A","Dates=H","DateFormat=P","Fill=—","Direction=H","UseDPDF=Y")</f>
        <v>142</v>
      </c>
      <c r="E7" s="13">
        <f>_xll.BDH("AMZN US Equity","CF_NET_INC","FQ3 2009","FQ3 2009","Currency=USD","Period=FQ","BEST_FPERIOD_OVERRIDE=FQ","FILING_STATUS=MR","SCALING_FORMAT=MLN","Sort=A","Dates=H","DateFormat=P","Fill=—","Direction=H","UseDPDF=Y")</f>
        <v>199</v>
      </c>
      <c r="F7" s="13">
        <f>_xll.BDH("AMZN US Equity","CF_NET_INC","FQ4 2009","FQ4 2009","Currency=USD","Period=FQ","BEST_FPERIOD_OVERRIDE=FQ","FILING_STATUS=MR","SCALING_FORMAT=MLN","Sort=A","Dates=H","DateFormat=P","Fill=—","Direction=H","UseDPDF=Y")</f>
        <v>384</v>
      </c>
      <c r="G7" s="13">
        <f>_xll.BDH("AMZN US Equity","CF_NET_INC","FQ1 2010","FQ1 2010","Currency=USD","Period=FQ","BEST_FPERIOD_OVERRIDE=FQ","FILING_STATUS=MR","SCALING_FORMAT=MLN","Sort=A","Dates=H","DateFormat=P","Fill=—","Direction=H","UseDPDF=Y")</f>
        <v>299</v>
      </c>
      <c r="H7" s="13">
        <f>_xll.BDH("AMZN US Equity","CF_NET_INC","FQ2 2010","FQ2 2010","Currency=USD","Period=FQ","BEST_FPERIOD_OVERRIDE=FQ","FILING_STATUS=MR","SCALING_FORMAT=MLN","Sort=A","Dates=H","DateFormat=P","Fill=—","Direction=H","UseDPDF=Y")</f>
        <v>207</v>
      </c>
      <c r="I7" s="13">
        <f>_xll.BDH("AMZN US Equity","CF_NET_INC","FQ3 2010","FQ3 2010","Currency=USD","Period=FQ","BEST_FPERIOD_OVERRIDE=FQ","FILING_STATUS=MR","SCALING_FORMAT=MLN","Sort=A","Dates=H","DateFormat=P","Fill=—","Direction=H","UseDPDF=Y")</f>
        <v>231</v>
      </c>
      <c r="J7" s="13">
        <f>_xll.BDH("AMZN US Equity","CF_NET_INC","FQ4 2010","FQ4 2010","Currency=USD","Period=FQ","BEST_FPERIOD_OVERRIDE=FQ","FILING_STATUS=MR","SCALING_FORMAT=MLN","Sort=A","Dates=H","DateFormat=P","Fill=—","Direction=H","UseDPDF=Y")</f>
        <v>416</v>
      </c>
      <c r="K7" s="13">
        <f>_xll.BDH("AMZN US Equity","CF_NET_INC","FQ1 2011","FQ1 2011","Currency=USD","Period=FQ","BEST_FPERIOD_OVERRIDE=FQ","FILING_STATUS=MR","SCALING_FORMAT=MLN","Sort=A","Dates=H","DateFormat=P","Fill=—","Direction=H","UseDPDF=Y")</f>
        <v>201</v>
      </c>
      <c r="L7" s="13">
        <f>_xll.BDH("AMZN US Equity","CF_NET_INC","FQ2 2011","FQ2 2011","Currency=USD","Period=FQ","BEST_FPERIOD_OVERRIDE=FQ","FILING_STATUS=MR","SCALING_FORMAT=MLN","Sort=A","Dates=H","DateFormat=P","Fill=—","Direction=H","UseDPDF=Y")</f>
        <v>191</v>
      </c>
      <c r="M7" s="13">
        <f>_xll.BDH("AMZN US Equity","CF_NET_INC","FQ3 2011","FQ3 2011","Currency=USD","Period=FQ","BEST_FPERIOD_OVERRIDE=FQ","FILING_STATUS=MR","SCALING_FORMAT=MLN","Sort=A","Dates=H","DateFormat=P","Fill=—","Direction=H","UseDPDF=Y")</f>
        <v>63</v>
      </c>
      <c r="N7" s="13">
        <f>_xll.BDH("AMZN US Equity","CF_NET_INC","FQ4 2011","FQ4 2011","Currency=USD","Period=FQ","BEST_FPERIOD_OVERRIDE=FQ","FILING_STATUS=MR","SCALING_FORMAT=MLN","Sort=A","Dates=H","DateFormat=P","Fill=—","Direction=H","UseDPDF=Y")</f>
        <v>177</v>
      </c>
      <c r="O7" s="13">
        <f>_xll.BDH("AMZN US Equity","CF_NET_INC","FQ1 2012","FQ1 2012","Currency=USD","Period=FQ","BEST_FPERIOD_OVERRIDE=FQ","FILING_STATUS=MR","SCALING_FORMAT=MLN","Sort=A","Dates=H","DateFormat=P","Fill=—","Direction=H","UseDPDF=Y")</f>
        <v>130</v>
      </c>
      <c r="P7" s="13">
        <f>_xll.BDH("AMZN US Equity","CF_NET_INC","FQ2 2012","FQ2 2012","Currency=USD","Period=FQ","BEST_FPERIOD_OVERRIDE=FQ","FILING_STATUS=MR","SCALING_FORMAT=MLN","Sort=A","Dates=H","DateFormat=P","Fill=—","Direction=H","UseDPDF=Y")</f>
        <v>7</v>
      </c>
      <c r="Q7" s="13">
        <f>_xll.BDH("AMZN US Equity","CF_NET_INC","FQ3 2012","FQ3 2012","Currency=USD","Period=FQ","BEST_FPERIOD_OVERRIDE=FQ","FILING_STATUS=MR","SCALING_FORMAT=MLN","Sort=A","Dates=H","DateFormat=P","Fill=—","Direction=H","UseDPDF=Y")</f>
        <v>-274</v>
      </c>
      <c r="R7" s="13">
        <f>_xll.BDH("AMZN US Equity","CF_NET_INC","FQ4 2012","FQ4 2012","Currency=USD","Period=FQ","BEST_FPERIOD_OVERRIDE=FQ","FILING_STATUS=MR","SCALING_FORMAT=MLN","Sort=A","Dates=H","DateFormat=P","Fill=—","Direction=H","UseDPDF=Y")</f>
        <v>97</v>
      </c>
      <c r="S7" s="13">
        <f>_xll.BDH("AMZN US Equity","CF_NET_INC","FQ1 2013","FQ1 2013","Currency=USD","Period=FQ","BEST_FPERIOD_OVERRIDE=FQ","FILING_STATUS=MR","SCALING_FORMAT=MLN","Sort=A","Dates=H","DateFormat=P","Fill=—","Direction=H","UseDPDF=Y")</f>
        <v>82</v>
      </c>
      <c r="T7" s="13">
        <f>_xll.BDH("AMZN US Equity","CF_NET_INC","FQ2 2013","FQ2 2013","Currency=USD","Period=FQ","BEST_FPERIOD_OVERRIDE=FQ","FILING_STATUS=MR","SCALING_FORMAT=MLN","Sort=A","Dates=H","DateFormat=P","Fill=—","Direction=H","UseDPDF=Y")</f>
        <v>-7</v>
      </c>
      <c r="U7" s="13">
        <f>_xll.BDH("AMZN US Equity","CF_NET_INC","FQ3 2013","FQ3 2013","Currency=USD","Period=FQ","BEST_FPERIOD_OVERRIDE=FQ","FILING_STATUS=MR","SCALING_FORMAT=MLN","Sort=A","Dates=H","DateFormat=P","Fill=—","Direction=H","UseDPDF=Y")</f>
        <v>-41</v>
      </c>
      <c r="V7" s="13">
        <f>_xll.BDH("AMZN US Equity","CF_NET_INC","FQ4 2013","FQ4 2013","Currency=USD","Period=FQ","BEST_FPERIOD_OVERRIDE=FQ","FILING_STATUS=MR","SCALING_FORMAT=MLN","Sort=A","Dates=H","DateFormat=P","Fill=—","Direction=H","UseDPDF=Y")</f>
        <v>239</v>
      </c>
      <c r="W7" s="13">
        <f>_xll.BDH("AMZN US Equity","CF_NET_INC","FQ1 2014","FQ1 2014","Currency=USD","Period=FQ","BEST_FPERIOD_OVERRIDE=FQ","FILING_STATUS=MR","SCALING_FORMAT=MLN","Sort=A","Dates=H","DateFormat=P","Fill=—","Direction=H","UseDPDF=Y")</f>
        <v>108</v>
      </c>
      <c r="X7" s="13">
        <f>_xll.BDH("AMZN US Equity","CF_NET_INC","FQ2 2014","FQ2 2014","Currency=USD","Period=FQ","BEST_FPERIOD_OVERRIDE=FQ","FILING_STATUS=MR","SCALING_FORMAT=MLN","Sort=A","Dates=H","DateFormat=P","Fill=—","Direction=H","UseDPDF=Y")</f>
        <v>-126</v>
      </c>
      <c r="Y7" s="13">
        <f>_xll.BDH("AMZN US Equity","CF_NET_INC","FQ3 2014","FQ3 2014","Currency=USD","Period=FQ","BEST_FPERIOD_OVERRIDE=FQ","FILING_STATUS=MR","SCALING_FORMAT=MLN","Sort=A","Dates=H","DateFormat=P","Fill=—","Direction=H","UseDPDF=Y")</f>
        <v>-437</v>
      </c>
      <c r="Z7" s="13">
        <f>_xll.BDH("AMZN US Equity","CF_NET_INC","FQ4 2014","FQ4 2014","Currency=USD","Period=FQ","BEST_FPERIOD_OVERRIDE=FQ","FILING_STATUS=MR","SCALING_FORMAT=MLN","Sort=A","Dates=H","DateFormat=P","Fill=—","Direction=H","UseDPDF=Y")</f>
        <v>214</v>
      </c>
      <c r="AA7" s="13">
        <f>_xll.BDH("AMZN US Equity","CF_NET_INC","FQ1 2015","FQ1 2015","Currency=USD","Period=FQ","BEST_FPERIOD_OVERRIDE=FQ","FILING_STATUS=MR","SCALING_FORMAT=MLN","Sort=A","Dates=H","DateFormat=P","Fill=—","Direction=H","UseDPDF=Y")</f>
        <v>-57</v>
      </c>
      <c r="AB7" s="13">
        <f>_xll.BDH("AMZN US Equity","CF_NET_INC","FQ2 2015","FQ2 2015","Currency=USD","Period=FQ","BEST_FPERIOD_OVERRIDE=FQ","FILING_STATUS=MR","SCALING_FORMAT=MLN","Sort=A","Dates=H","DateFormat=P","Fill=—","Direction=H","UseDPDF=Y")</f>
        <v>92</v>
      </c>
      <c r="AC7" s="13">
        <f>_xll.BDH("AMZN US Equity","CF_NET_INC","FQ3 2015","FQ3 2015","Currency=USD","Period=FQ","BEST_FPERIOD_OVERRIDE=FQ","FILING_STATUS=MR","SCALING_FORMAT=MLN","Sort=A","Dates=H","DateFormat=P","Fill=—","Direction=H","UseDPDF=Y")</f>
        <v>79</v>
      </c>
      <c r="AD7" s="13">
        <f>_xll.BDH("AMZN US Equity","CF_NET_INC","FQ4 2015","FQ4 2015","Currency=USD","Period=FQ","BEST_FPERIOD_OVERRIDE=FQ","FILING_STATUS=MR","SCALING_FORMAT=MLN","Sort=A","Dates=H","DateFormat=P","Fill=—","Direction=H","UseDPDF=Y")</f>
        <v>482</v>
      </c>
      <c r="AE7" s="13">
        <f>_xll.BDH("AMZN US Equity","CF_NET_INC","FQ1 2016","FQ1 2016","Currency=USD","Period=FQ","BEST_FPERIOD_OVERRIDE=FQ","FILING_STATUS=MR","SCALING_FORMAT=MLN","Sort=A","Dates=H","DateFormat=P","Fill=—","Direction=H","UseDPDF=Y")</f>
        <v>513</v>
      </c>
      <c r="AF7" s="13">
        <f>_xll.BDH("AMZN US Equity","CF_NET_INC","FQ2 2016","FQ2 2016","Currency=USD","Period=FQ","BEST_FPERIOD_OVERRIDE=FQ","FILING_STATUS=MR","SCALING_FORMAT=MLN","Sort=A","Dates=H","DateFormat=P","Fill=—","Direction=H","UseDPDF=Y")</f>
        <v>857</v>
      </c>
      <c r="AG7" s="13">
        <f>_xll.BDH("AMZN US Equity","CF_NET_INC","FQ3 2016","FQ3 2016","Currency=USD","Period=FQ","BEST_FPERIOD_OVERRIDE=FQ","FILING_STATUS=MR","SCALING_FORMAT=MLN","Sort=A","Dates=H","DateFormat=P","Fill=—","Direction=H","UseDPDF=Y")</f>
        <v>252</v>
      </c>
      <c r="AH7" s="13">
        <f>_xll.BDH("AMZN US Equity","CF_NET_INC","FQ4 2016","FQ4 2016","Currency=USD","Period=FQ","BEST_FPERIOD_OVERRIDE=FQ","FILING_STATUS=MR","SCALING_FORMAT=MLN","Sort=A","Dates=H","DateFormat=P","Fill=—","Direction=H","UseDPDF=Y")</f>
        <v>749</v>
      </c>
      <c r="AI7" s="13">
        <f>_xll.BDH("AMZN US Equity","CF_NET_INC","FQ1 2017","FQ1 2017","Currency=USD","Period=FQ","BEST_FPERIOD_OVERRIDE=FQ","FILING_STATUS=MR","SCALING_FORMAT=MLN","Sort=A","Dates=H","DateFormat=P","Fill=—","Direction=H","UseDPDF=Y")</f>
        <v>724</v>
      </c>
      <c r="AJ7" s="13">
        <f>_xll.BDH("AMZN US Equity","CF_NET_INC","FQ2 2017","FQ2 2017","Currency=USD","Period=FQ","BEST_FPERIOD_OVERRIDE=FQ","FILING_STATUS=MR","SCALING_FORMAT=MLN","Sort=A","Dates=H","DateFormat=P","Fill=—","Direction=H","UseDPDF=Y")</f>
        <v>197</v>
      </c>
      <c r="AK7" s="13">
        <f>_xll.BDH("AMZN US Equity","CF_NET_INC","FQ3 2017","FQ3 2017","Currency=USD","Period=FQ","BEST_FPERIOD_OVERRIDE=FQ","FILING_STATUS=MR","SCALING_FORMAT=MLN","Sort=A","Dates=H","DateFormat=P","Fill=—","Direction=H","UseDPDF=Y")</f>
        <v>256</v>
      </c>
      <c r="AL7" s="13">
        <f>_xll.BDH("AMZN US Equity","CF_NET_INC","FQ4 2017","FQ4 2017","Currency=USD","Period=FQ","BEST_FPERIOD_OVERRIDE=FQ","FILING_STATUS=MR","SCALING_FORMAT=MLN","Sort=A","Dates=H","DateFormat=P","Fill=—","Direction=H","UseDPDF=Y")</f>
        <v>1856</v>
      </c>
      <c r="AM7" s="13">
        <f>_xll.BDH("AMZN US Equity","CF_NET_INC","FQ1 2018","FQ1 2018","Currency=USD","Period=FQ","BEST_FPERIOD_OVERRIDE=FQ","FILING_STATUS=MR","SCALING_FORMAT=MLN","Sort=A","Dates=H","DateFormat=P","Fill=—","Direction=H","UseDPDF=Y")</f>
        <v>1629</v>
      </c>
      <c r="AN7" s="13">
        <f>_xll.BDH("AMZN US Equity","CF_NET_INC","FQ2 2018","FQ2 2018","Currency=USD","Period=FQ","BEST_FPERIOD_OVERRIDE=FQ","FILING_STATUS=MR","SCALING_FORMAT=MLN","Sort=A","Dates=H","DateFormat=P","Fill=—","Direction=H","UseDPDF=Y")</f>
        <v>2534</v>
      </c>
    </row>
    <row r="8" spans="1:40" x14ac:dyDescent="0.25">
      <c r="A8" s="10" t="s">
        <v>365</v>
      </c>
      <c r="B8" s="10" t="s">
        <v>366</v>
      </c>
      <c r="C8" s="13">
        <f>_xll.BDH("AMZN US Equity","CF_DEPR_AMORT","FQ1 2009","FQ1 2009","Currency=USD","Period=FQ","BEST_FPERIOD_OVERRIDE=FQ","FILING_STATUS=MR","SCALING_FORMAT=MLN","Sort=A","Dates=H","DateFormat=P","Fill=—","Direction=H","UseDPDF=Y")</f>
        <v>89</v>
      </c>
      <c r="D8" s="13">
        <f>_xll.BDH("AMZN US Equity","CF_DEPR_AMORT","FQ2 2009","FQ2 2009","Currency=USD","Period=FQ","BEST_FPERIOD_OVERRIDE=FQ","FILING_STATUS=MR","SCALING_FORMAT=MLN","Sort=A","Dates=H","DateFormat=P","Fill=—","Direction=H","UseDPDF=Y")</f>
        <v>91</v>
      </c>
      <c r="E8" s="13">
        <f>_xll.BDH("AMZN US Equity","CF_DEPR_AMORT","FQ3 2009","FQ3 2009","Currency=USD","Period=FQ","BEST_FPERIOD_OVERRIDE=FQ","FILING_STATUS=MR","SCALING_FORMAT=MLN","Sort=A","Dates=H","DateFormat=P","Fill=—","Direction=H","UseDPDF=Y")</f>
        <v>96</v>
      </c>
      <c r="F8" s="13">
        <f>_xll.BDH("AMZN US Equity","CF_DEPR_AMORT","FQ4 2009","FQ4 2009","Currency=USD","Period=FQ","BEST_FPERIOD_OVERRIDE=FQ","FILING_STATUS=MR","SCALING_FORMAT=MLN","Sort=A","Dates=H","DateFormat=P","Fill=—","Direction=H","UseDPDF=Y")</f>
        <v>112</v>
      </c>
      <c r="G8" s="13">
        <f>_xll.BDH("AMZN US Equity","CF_DEPR_AMORT","FQ1 2010","FQ1 2010","Currency=USD","Period=FQ","BEST_FPERIOD_OVERRIDE=FQ","FILING_STATUS=MR","SCALING_FORMAT=MLN","Sort=A","Dates=H","DateFormat=P","Fill=—","Direction=H","UseDPDF=Y")</f>
        <v>119</v>
      </c>
      <c r="H8" s="13">
        <f>_xll.BDH("AMZN US Equity","CF_DEPR_AMORT","FQ2 2010","FQ2 2010","Currency=USD","Period=FQ","BEST_FPERIOD_OVERRIDE=FQ","FILING_STATUS=MR","SCALING_FORMAT=MLN","Sort=A","Dates=H","DateFormat=P","Fill=—","Direction=H","UseDPDF=Y")</f>
        <v>129</v>
      </c>
      <c r="I8" s="13">
        <f>_xll.BDH("AMZN US Equity","CF_DEPR_AMORT","FQ3 2010","FQ3 2010","Currency=USD","Period=FQ","BEST_FPERIOD_OVERRIDE=FQ","FILING_STATUS=MR","SCALING_FORMAT=MLN","Sort=A","Dates=H","DateFormat=P","Fill=—","Direction=H","UseDPDF=Y")</f>
        <v>150</v>
      </c>
      <c r="J8" s="13">
        <f>_xll.BDH("AMZN US Equity","CF_DEPR_AMORT","FQ4 2010","FQ4 2010","Currency=USD","Period=FQ","BEST_FPERIOD_OVERRIDE=FQ","FILING_STATUS=MR","SCALING_FORMAT=MLN","Sort=A","Dates=H","DateFormat=P","Fill=—","Direction=H","UseDPDF=Y")</f>
        <v>170</v>
      </c>
      <c r="K8" s="13">
        <f>_xll.BDH("AMZN US Equity","CF_DEPR_AMORT","FQ1 2011","FQ1 2011","Currency=USD","Period=FQ","BEST_FPERIOD_OVERRIDE=FQ","FILING_STATUS=MR","SCALING_FORMAT=MLN","Sort=A","Dates=H","DateFormat=P","Fill=—","Direction=H","UseDPDF=Y")</f>
        <v>202</v>
      </c>
      <c r="L8" s="13">
        <f>_xll.BDH("AMZN US Equity","CF_DEPR_AMORT","FQ2 2011","FQ2 2011","Currency=USD","Period=FQ","BEST_FPERIOD_OVERRIDE=FQ","FILING_STATUS=MR","SCALING_FORMAT=MLN","Sort=A","Dates=H","DateFormat=P","Fill=—","Direction=H","UseDPDF=Y")</f>
        <v>244</v>
      </c>
      <c r="M8" s="13">
        <f>_xll.BDH("AMZN US Equity","CF_DEPR_AMORT","FQ3 2011","FQ3 2011","Currency=USD","Period=FQ","BEST_FPERIOD_OVERRIDE=FQ","FILING_STATUS=MR","SCALING_FORMAT=MLN","Sort=A","Dates=H","DateFormat=P","Fill=—","Direction=H","UseDPDF=Y")</f>
        <v>278</v>
      </c>
      <c r="N8" s="13">
        <f>_xll.BDH("AMZN US Equity","CF_DEPR_AMORT","FQ4 2011","FQ4 2011","Currency=USD","Period=FQ","BEST_FPERIOD_OVERRIDE=FQ","FILING_STATUS=MR","SCALING_FORMAT=MLN","Sort=A","Dates=H","DateFormat=P","Fill=—","Direction=H","UseDPDF=Y")</f>
        <v>359</v>
      </c>
      <c r="O8" s="13">
        <f>_xll.BDH("AMZN US Equity","CF_DEPR_AMORT","FQ1 2012","FQ1 2012","Currency=USD","Period=FQ","BEST_FPERIOD_OVERRIDE=FQ","FILING_STATUS=MR","SCALING_FORMAT=MLN","Sort=A","Dates=H","DateFormat=P","Fill=—","Direction=H","UseDPDF=Y")</f>
        <v>457</v>
      </c>
      <c r="P8" s="13">
        <f>_xll.BDH("AMZN US Equity","CF_DEPR_AMORT","FQ2 2012","FQ2 2012","Currency=USD","Period=FQ","BEST_FPERIOD_OVERRIDE=FQ","FILING_STATUS=MR","SCALING_FORMAT=MLN","Sort=A","Dates=H","DateFormat=P","Fill=—","Direction=H","UseDPDF=Y")</f>
        <v>485</v>
      </c>
      <c r="Q8" s="13">
        <f>_xll.BDH("AMZN US Equity","CF_DEPR_AMORT","FQ3 2012","FQ3 2012","Currency=USD","Period=FQ","BEST_FPERIOD_OVERRIDE=FQ","FILING_STATUS=MR","SCALING_FORMAT=MLN","Sort=A","Dates=H","DateFormat=P","Fill=—","Direction=H","UseDPDF=Y")</f>
        <v>554</v>
      </c>
      <c r="R8" s="13">
        <f>_xll.BDH("AMZN US Equity","CF_DEPR_AMORT","FQ4 2012","FQ4 2012","Currency=USD","Period=FQ","BEST_FPERIOD_OVERRIDE=FQ","FILING_STATUS=MR","SCALING_FORMAT=MLN","Sort=A","Dates=H","DateFormat=P","Fill=—","Direction=H","UseDPDF=Y")</f>
        <v>662</v>
      </c>
      <c r="S8" s="13">
        <f>_xll.BDH("AMZN US Equity","CF_DEPR_AMORT","FQ1 2013","FQ1 2013","Currency=USD","Period=FQ","BEST_FPERIOD_OVERRIDE=FQ","FILING_STATUS=MR","SCALING_FORMAT=MLN","Sort=A","Dates=H","DateFormat=P","Fill=—","Direction=H","UseDPDF=Y")</f>
        <v>700</v>
      </c>
      <c r="T8" s="13">
        <f>_xll.BDH("AMZN US Equity","CF_DEPR_AMORT","FQ2 2013","FQ2 2013","Currency=USD","Period=FQ","BEST_FPERIOD_OVERRIDE=FQ","FILING_STATUS=MR","SCALING_FORMAT=MLN","Sort=A","Dates=H","DateFormat=P","Fill=—","Direction=H","UseDPDF=Y")</f>
        <v>756</v>
      </c>
      <c r="U8" s="13">
        <f>_xll.BDH("AMZN US Equity","CF_DEPR_AMORT","FQ3 2013","FQ3 2013","Currency=USD","Period=FQ","BEST_FPERIOD_OVERRIDE=FQ","FILING_STATUS=MR","SCALING_FORMAT=MLN","Sort=A","Dates=H","DateFormat=P","Fill=—","Direction=H","UseDPDF=Y")</f>
        <v>834</v>
      </c>
      <c r="V8" s="13">
        <f>_xll.BDH("AMZN US Equity","CF_DEPR_AMORT","FQ4 2013","FQ4 2013","Currency=USD","Period=FQ","BEST_FPERIOD_OVERRIDE=FQ","FILING_STATUS=MR","SCALING_FORMAT=MLN","Sort=A","Dates=H","DateFormat=P","Fill=—","Direction=H","UseDPDF=Y")</f>
        <v>963</v>
      </c>
      <c r="W8" s="13">
        <f>_xll.BDH("AMZN US Equity","CF_DEPR_AMORT","FQ1 2014","FQ1 2014","Currency=USD","Period=FQ","BEST_FPERIOD_OVERRIDE=FQ","FILING_STATUS=MR","SCALING_FORMAT=MLN","Sort=A","Dates=H","DateFormat=P","Fill=—","Direction=H","UseDPDF=Y")</f>
        <v>1010</v>
      </c>
      <c r="X8" s="13">
        <f>_xll.BDH("AMZN US Equity","CF_DEPR_AMORT","FQ2 2014","FQ2 2014","Currency=USD","Period=FQ","BEST_FPERIOD_OVERRIDE=FQ","FILING_STATUS=MR","SCALING_FORMAT=MLN","Sort=A","Dates=H","DateFormat=P","Fill=—","Direction=H","UseDPDF=Y")</f>
        <v>1109</v>
      </c>
      <c r="Y8" s="13">
        <f>_xll.BDH("AMZN US Equity","CF_DEPR_AMORT","FQ3 2014","FQ3 2014","Currency=USD","Period=FQ","BEST_FPERIOD_OVERRIDE=FQ","FILING_STATUS=MR","SCALING_FORMAT=MLN","Sort=A","Dates=H","DateFormat=P","Fill=—","Direction=H","UseDPDF=Y")</f>
        <v>1247</v>
      </c>
      <c r="Z8" s="13">
        <f>_xll.BDH("AMZN US Equity","CF_DEPR_AMORT","FQ4 2014","FQ4 2014","Currency=USD","Period=FQ","BEST_FPERIOD_OVERRIDE=FQ","FILING_STATUS=MR","SCALING_FORMAT=MLN","Sort=A","Dates=H","DateFormat=P","Fill=—","Direction=H","UseDPDF=Y")</f>
        <v>1379</v>
      </c>
      <c r="AA8" s="13">
        <f>_xll.BDH("AMZN US Equity","CF_DEPR_AMORT","FQ1 2015","FQ1 2015","Currency=USD","Period=FQ","BEST_FPERIOD_OVERRIDE=FQ","FILING_STATUS=MR","SCALING_FORMAT=MLN","Sort=A","Dates=H","DateFormat=P","Fill=—","Direction=H","UseDPDF=Y")</f>
        <v>1426</v>
      </c>
      <c r="AB8" s="13">
        <f>_xll.BDH("AMZN US Equity","CF_DEPR_AMORT","FQ2 2015","FQ2 2015","Currency=USD","Period=FQ","BEST_FPERIOD_OVERRIDE=FQ","FILING_STATUS=MR","SCALING_FORMAT=MLN","Sort=A","Dates=H","DateFormat=P","Fill=—","Direction=H","UseDPDF=Y")</f>
        <v>1504</v>
      </c>
      <c r="AC8" s="13">
        <f>_xll.BDH("AMZN US Equity","CF_DEPR_AMORT","FQ3 2015","FQ3 2015","Currency=USD","Period=FQ","BEST_FPERIOD_OVERRIDE=FQ","FILING_STATUS=MR","SCALING_FORMAT=MLN","Sort=A","Dates=H","DateFormat=P","Fill=—","Direction=H","UseDPDF=Y")</f>
        <v>1599</v>
      </c>
      <c r="AD8" s="13">
        <f>_xll.BDH("AMZN US Equity","CF_DEPR_AMORT","FQ4 2015","FQ4 2015","Currency=USD","Period=FQ","BEST_FPERIOD_OVERRIDE=FQ","FILING_STATUS=MR","SCALING_FORMAT=MLN","Sort=A","Dates=H","DateFormat=P","Fill=—","Direction=H","UseDPDF=Y")</f>
        <v>1752</v>
      </c>
      <c r="AE8" s="13">
        <f>_xll.BDH("AMZN US Equity","CF_DEPR_AMORT","FQ1 2016","FQ1 2016","Currency=USD","Period=FQ","BEST_FPERIOD_OVERRIDE=FQ","FILING_STATUS=MR","SCALING_FORMAT=MLN","Sort=A","Dates=H","DateFormat=P","Fill=—","Direction=H","UseDPDF=Y")</f>
        <v>1827</v>
      </c>
      <c r="AF8" s="13">
        <f>_xll.BDH("AMZN US Equity","CF_DEPR_AMORT","FQ2 2016","FQ2 2016","Currency=USD","Period=FQ","BEST_FPERIOD_OVERRIDE=FQ","FILING_STATUS=MR","SCALING_FORMAT=MLN","Sort=A","Dates=H","DateFormat=P","Fill=—","Direction=H","UseDPDF=Y")</f>
        <v>1909</v>
      </c>
      <c r="AG8" s="13">
        <f>_xll.BDH("AMZN US Equity","CF_DEPR_AMORT","FQ3 2016","FQ3 2016","Currency=USD","Period=FQ","BEST_FPERIOD_OVERRIDE=FQ","FILING_STATUS=MR","SCALING_FORMAT=MLN","Sort=A","Dates=H","DateFormat=P","Fill=—","Direction=H","UseDPDF=Y")</f>
        <v>2084</v>
      </c>
      <c r="AH8" s="13">
        <f>_xll.BDH("AMZN US Equity","CF_DEPR_AMORT","FQ4 2016","FQ4 2016","Currency=USD","Period=FQ","BEST_FPERIOD_OVERRIDE=FQ","FILING_STATUS=MR","SCALING_FORMAT=MLN","Sort=A","Dates=H","DateFormat=P","Fill=—","Direction=H","UseDPDF=Y")</f>
        <v>2297</v>
      </c>
      <c r="AI8" s="13">
        <f>_xll.BDH("AMZN US Equity","CF_DEPR_AMORT","FQ1 2017","FQ1 2017","Currency=USD","Period=FQ","BEST_FPERIOD_OVERRIDE=FQ","FILING_STATUS=MR","SCALING_FORMAT=MLN","Sort=A","Dates=H","DateFormat=P","Fill=—","Direction=H","UseDPDF=Y")</f>
        <v>2435</v>
      </c>
      <c r="AJ8" s="13">
        <f>_xll.BDH("AMZN US Equity","CF_DEPR_AMORT","FQ2 2017","FQ2 2017","Currency=USD","Period=FQ","BEST_FPERIOD_OVERRIDE=FQ","FILING_STATUS=MR","SCALING_FORMAT=MLN","Sort=A","Dates=H","DateFormat=P","Fill=—","Direction=H","UseDPDF=Y")</f>
        <v>2633</v>
      </c>
      <c r="AK8" s="13">
        <f>_xll.BDH("AMZN US Equity","CF_DEPR_AMORT","FQ3 2017","FQ3 2017","Currency=USD","Period=FQ","BEST_FPERIOD_OVERRIDE=FQ","FILING_STATUS=MR","SCALING_FORMAT=MLN","Sort=A","Dates=H","DateFormat=P","Fill=—","Direction=H","UseDPDF=Y")</f>
        <v>2912</v>
      </c>
      <c r="AL8" s="13">
        <f>_xll.BDH("AMZN US Equity","CF_DEPR_AMORT","FQ4 2017","FQ4 2017","Currency=USD","Period=FQ","BEST_FPERIOD_OVERRIDE=FQ","FILING_STATUS=MR","SCALING_FORMAT=MLN","Sort=A","Dates=H","DateFormat=P","Fill=—","Direction=H","UseDPDF=Y")</f>
        <v>3498</v>
      </c>
      <c r="AM8" s="13">
        <f>_xll.BDH("AMZN US Equity","CF_DEPR_AMORT","FQ1 2018","FQ1 2018","Currency=USD","Period=FQ","BEST_FPERIOD_OVERRIDE=FQ","FILING_STATUS=MR","SCALING_FORMAT=MLN","Sort=A","Dates=H","DateFormat=P","Fill=—","Direction=H","UseDPDF=Y")</f>
        <v>3671</v>
      </c>
      <c r="AN8" s="13">
        <f>_xll.BDH("AMZN US Equity","CF_DEPR_AMORT","FQ2 2018","FQ2 2018","Currency=USD","Period=FQ","BEST_FPERIOD_OVERRIDE=FQ","FILING_STATUS=MR","SCALING_FORMAT=MLN","Sort=A","Dates=H","DateFormat=P","Fill=—","Direction=H","UseDPDF=Y")</f>
        <v>3630</v>
      </c>
    </row>
    <row r="9" spans="1:40" x14ac:dyDescent="0.25">
      <c r="A9" s="10" t="s">
        <v>367</v>
      </c>
      <c r="B9" s="10" t="s">
        <v>368</v>
      </c>
      <c r="C9" s="13">
        <f>_xll.BDH("AMZN US Equity","NON_CASH_ITEMS_DETAILED","FQ1 2009","FQ1 2009","Currency=USD","Period=FQ","BEST_FPERIOD_OVERRIDE=FQ","FILING_STATUS=MR","SCALING_FORMAT=MLN","Sort=A","Dates=H","DateFormat=P","Fill=—","Direction=H","UseDPDF=Y")</f>
        <v>27</v>
      </c>
      <c r="D9" s="13">
        <f>_xll.BDH("AMZN US Equity","NON_CASH_ITEMS_DETAILED","FQ2 2009","FQ2 2009","Currency=USD","Period=FQ","BEST_FPERIOD_OVERRIDE=FQ","FILING_STATUS=MR","SCALING_FORMAT=MLN","Sort=A","Dates=H","DateFormat=P","Fill=—","Direction=H","UseDPDF=Y")</f>
        <v>110</v>
      </c>
      <c r="E9" s="13">
        <f>_xll.BDH("AMZN US Equity","NON_CASH_ITEMS_DETAILED","FQ3 2009","FQ3 2009","Currency=USD","Period=FQ","BEST_FPERIOD_OVERRIDE=FQ","FILING_STATUS=MR","SCALING_FORMAT=MLN","Sort=A","Dates=H","DateFormat=P","Fill=—","Direction=H","UseDPDF=Y")</f>
        <v>183</v>
      </c>
      <c r="F9" s="13">
        <f>_xll.BDH("AMZN US Equity","NON_CASH_ITEMS_DETAILED","FQ4 2009","FQ4 2009","Currency=USD","Period=FQ","BEST_FPERIOD_OVERRIDE=FQ","FILING_STATUS=MR","SCALING_FORMAT=MLN","Sort=A","Dates=H","DateFormat=P","Fill=—","Direction=H","UseDPDF=Y")</f>
        <v>73</v>
      </c>
      <c r="G9" s="13">
        <f>_xll.BDH("AMZN US Equity","NON_CASH_ITEMS_DETAILED","FQ1 2010","FQ1 2010","Currency=USD","Period=FQ","BEST_FPERIOD_OVERRIDE=FQ","FILING_STATUS=MR","SCALING_FORMAT=MLN","Sort=A","Dates=H","DateFormat=P","Fill=—","Direction=H","UseDPDF=Y")</f>
        <v>1</v>
      </c>
      <c r="H9" s="13">
        <f>_xll.BDH("AMZN US Equity","NON_CASH_ITEMS_DETAILED","FQ2 2010","FQ2 2010","Currency=USD","Period=FQ","BEST_FPERIOD_OVERRIDE=FQ","FILING_STATUS=MR","SCALING_FORMAT=MLN","Sort=A","Dates=H","DateFormat=P","Fill=—","Direction=H","UseDPDF=Y")</f>
        <v>31</v>
      </c>
      <c r="I9" s="13">
        <f>_xll.BDH("AMZN US Equity","NON_CASH_ITEMS_DETAILED","FQ3 2010","FQ3 2010","Currency=USD","Period=FQ","BEST_FPERIOD_OVERRIDE=FQ","FILING_STATUS=MR","SCALING_FORMAT=MLN","Sort=A","Dates=H","DateFormat=P","Fill=—","Direction=H","UseDPDF=Y")</f>
        <v>5</v>
      </c>
      <c r="J9" s="13">
        <f>_xll.BDH("AMZN US Equity","NON_CASH_ITEMS_DETAILED","FQ4 2010","FQ4 2010","Currency=USD","Period=FQ","BEST_FPERIOD_OVERRIDE=FQ","FILING_STATUS=MR","SCALING_FORMAT=MLN","Sort=A","Dates=H","DateFormat=P","Fill=—","Direction=H","UseDPDF=Y")</f>
        <v>157</v>
      </c>
      <c r="K9" s="13">
        <f>_xll.BDH("AMZN US Equity","NON_CASH_ITEMS_DETAILED","FQ1 2011","FQ1 2011","Currency=USD","Period=FQ","BEST_FPERIOD_OVERRIDE=FQ","FILING_STATUS=MR","SCALING_FORMAT=MLN","Sort=A","Dates=H","DateFormat=P","Fill=—","Direction=H","UseDPDF=Y")</f>
        <v>151</v>
      </c>
      <c r="L9" s="13">
        <f>_xll.BDH("AMZN US Equity","NON_CASH_ITEMS_DETAILED","FQ2 2011","FQ2 2011","Currency=USD","Period=FQ","BEST_FPERIOD_OVERRIDE=FQ","FILING_STATUS=MR","SCALING_FORMAT=MLN","Sort=A","Dates=H","DateFormat=P","Fill=—","Direction=H","UseDPDF=Y")</f>
        <v>152</v>
      </c>
      <c r="M9" s="13">
        <f>_xll.BDH("AMZN US Equity","NON_CASH_ITEMS_DETAILED","FQ3 2011","FQ3 2011","Currency=USD","Period=FQ","BEST_FPERIOD_OVERRIDE=FQ","FILING_STATUS=MR","SCALING_FORMAT=MLN","Sort=A","Dates=H","DateFormat=P","Fill=—","Direction=H","UseDPDF=Y")</f>
        <v>171</v>
      </c>
      <c r="N9" s="13">
        <f>_xll.BDH("AMZN US Equity","NON_CASH_ITEMS_DETAILED","FQ4 2011","FQ4 2011","Currency=USD","Period=FQ","BEST_FPERIOD_OVERRIDE=FQ","FILING_STATUS=MR","SCALING_FORMAT=MLN","Sort=A","Dates=H","DateFormat=P","Fill=—","Direction=H","UseDPDF=Y")</f>
        <v>252</v>
      </c>
      <c r="O9" s="13">
        <f>_xll.BDH("AMZN US Equity","NON_CASH_ITEMS_DETAILED","FQ1 2012","FQ1 2012","Currency=USD","Period=FQ","BEST_FPERIOD_OVERRIDE=FQ","FILING_STATUS=MR","SCALING_FORMAT=MLN","Sort=A","Dates=H","DateFormat=P","Fill=—","Direction=H","UseDPDF=Y")</f>
        <v>141</v>
      </c>
      <c r="P9" s="13">
        <f>_xll.BDH("AMZN US Equity","NON_CASH_ITEMS_DETAILED","FQ2 2012","FQ2 2012","Currency=USD","Period=FQ","BEST_FPERIOD_OVERRIDE=FQ","FILING_STATUS=MR","SCALING_FORMAT=MLN","Sort=A","Dates=H","DateFormat=P","Fill=—","Direction=H","UseDPDF=Y")</f>
        <v>104</v>
      </c>
      <c r="Q9" s="13">
        <f>_xll.BDH("AMZN US Equity","NON_CASH_ITEMS_DETAILED","FQ3 2012","FQ3 2012","Currency=USD","Period=FQ","BEST_FPERIOD_OVERRIDE=FQ","FILING_STATUS=MR","SCALING_FORMAT=MLN","Sort=A","Dates=H","DateFormat=P","Fill=—","Direction=H","UseDPDF=Y")</f>
        <v>308</v>
      </c>
      <c r="R9" s="13">
        <f>_xll.BDH("AMZN US Equity","NON_CASH_ITEMS_DETAILED","FQ4 2012","FQ4 2012","Currency=USD","Period=FQ","BEST_FPERIOD_OVERRIDE=FQ","FILING_STATUS=MR","SCALING_FORMAT=MLN","Sort=A","Dates=H","DateFormat=P","Fill=—","Direction=H","UseDPDF=Y")</f>
        <v>-17</v>
      </c>
      <c r="S9" s="13">
        <f>_xll.BDH("AMZN US Equity","NON_CASH_ITEMS_DETAILED","FQ1 2013","FQ1 2013","Currency=USD","Period=FQ","BEST_FPERIOD_OVERRIDE=FQ","FILING_STATUS=MR","SCALING_FORMAT=MLN","Sort=A","Dates=H","DateFormat=P","Fill=—","Direction=H","UseDPDF=Y")</f>
        <v>248</v>
      </c>
      <c r="T9" s="13">
        <f>_xll.BDH("AMZN US Equity","NON_CASH_ITEMS_DETAILED","FQ2 2013","FQ2 2013","Currency=USD","Period=FQ","BEST_FPERIOD_OVERRIDE=FQ","FILING_STATUS=MR","SCALING_FORMAT=MLN","Sort=A","Dates=H","DateFormat=P","Fill=—","Direction=H","UseDPDF=Y")</f>
        <v>393</v>
      </c>
      <c r="U9" s="13">
        <f>_xll.BDH("AMZN US Equity","NON_CASH_ITEMS_DETAILED","FQ3 2013","FQ3 2013","Currency=USD","Period=FQ","BEST_FPERIOD_OVERRIDE=FQ","FILING_STATUS=MR","SCALING_FORMAT=MLN","Sort=A","Dates=H","DateFormat=P","Fill=—","Direction=H","UseDPDF=Y")</f>
        <v>309</v>
      </c>
      <c r="V9" s="13">
        <f>_xll.BDH("AMZN US Equity","NON_CASH_ITEMS_DETAILED","FQ4 2013","FQ4 2013","Currency=USD","Period=FQ","BEST_FPERIOD_OVERRIDE=FQ","FILING_STATUS=MR","SCALING_FORMAT=MLN","Sort=A","Dates=H","DateFormat=P","Fill=—","Direction=H","UseDPDF=Y")</f>
        <v>230</v>
      </c>
      <c r="W9" s="13">
        <f>_xll.BDH("AMZN US Equity","NON_CASH_ITEMS_DETAILED","FQ1 2014","FQ1 2014","Currency=USD","Period=FQ","BEST_FPERIOD_OVERRIDE=FQ","FILING_STATUS=MR","SCALING_FORMAT=MLN","Sort=A","Dates=H","DateFormat=P","Fill=—","Direction=H","UseDPDF=Y")</f>
        <v>0</v>
      </c>
      <c r="X9" s="13">
        <f>_xll.BDH("AMZN US Equity","NON_CASH_ITEMS_DETAILED","FQ2 2014","FQ2 2014","Currency=USD","Period=FQ","BEST_FPERIOD_OVERRIDE=FQ","FILING_STATUS=MR","SCALING_FORMAT=MLN","Sort=A","Dates=H","DateFormat=P","Fill=—","Direction=H","UseDPDF=Y")</f>
        <v>361</v>
      </c>
      <c r="Y9" s="13">
        <f>_xll.BDH("AMZN US Equity","NON_CASH_ITEMS_DETAILED","FQ3 2014","FQ3 2014","Currency=USD","Period=FQ","BEST_FPERIOD_OVERRIDE=FQ","FILING_STATUS=MR","SCALING_FORMAT=MLN","Sort=A","Dates=H","DateFormat=P","Fill=—","Direction=H","UseDPDF=Y")</f>
        <v>177</v>
      </c>
      <c r="Z9" s="13">
        <f>_xll.BDH("AMZN US Equity","NON_CASH_ITEMS_DETAILED","FQ4 2014","FQ4 2014","Currency=USD","Period=FQ","BEST_FPERIOD_OVERRIDE=FQ","FILING_STATUS=MR","SCALING_FORMAT=MLN","Sort=A","Dates=H","DateFormat=P","Fill=—","Direction=H","UseDPDF=Y")</f>
        <v>822</v>
      </c>
      <c r="AA9" s="13">
        <f>_xll.BDH("AMZN US Equity","NON_CASH_ITEMS_DETAILED","FQ1 2015","FQ1 2015","Currency=USD","Period=FQ","BEST_FPERIOD_OVERRIDE=FQ","FILING_STATUS=MR","SCALING_FORMAT=MLN","Sort=A","Dates=H","DateFormat=P","Fill=—","Direction=H","UseDPDF=Y")</f>
        <v>519</v>
      </c>
      <c r="AB9" s="13">
        <f>_xll.BDH("AMZN US Equity","NON_CASH_ITEMS_DETAILED","FQ2 2015","FQ2 2015","Currency=USD","Period=FQ","BEST_FPERIOD_OVERRIDE=FQ","FILING_STATUS=MR","SCALING_FORMAT=MLN","Sort=A","Dates=H","DateFormat=P","Fill=—","Direction=H","UseDPDF=Y")</f>
        <v>486</v>
      </c>
      <c r="AC9" s="13">
        <f>_xll.BDH("AMZN US Equity","NON_CASH_ITEMS_DETAILED","FQ3 2015","FQ3 2015","Currency=USD","Period=FQ","BEST_FPERIOD_OVERRIDE=FQ","FILING_STATUS=MR","SCALING_FORMAT=MLN","Sort=A","Dates=H","DateFormat=P","Fill=—","Direction=H","UseDPDF=Y")</f>
        <v>478</v>
      </c>
      <c r="AD9" s="13">
        <f>_xll.BDH("AMZN US Equity","NON_CASH_ITEMS_DETAILED","FQ4 2015","FQ4 2015","Currency=USD","Period=FQ","BEST_FPERIOD_OVERRIDE=FQ","FILING_STATUS=MR","SCALING_FORMAT=MLN","Sort=A","Dates=H","DateFormat=P","Fill=—","Direction=H","UseDPDF=Y")</f>
        <v>1004</v>
      </c>
      <c r="AE9" s="13">
        <f>_xll.BDH("AMZN US Equity","NON_CASH_ITEMS_DETAILED","FQ1 2016","FQ1 2016","Currency=USD","Period=FQ","BEST_FPERIOD_OVERRIDE=FQ","FILING_STATUS=MR","SCALING_FORMAT=MLN","Sort=A","Dates=H","DateFormat=P","Fill=—","Direction=H","UseDPDF=Y")</f>
        <v>548</v>
      </c>
      <c r="AF9" s="13">
        <f>_xll.BDH("AMZN US Equity","NON_CASH_ITEMS_DETAILED","FQ2 2016","FQ2 2016","Currency=USD","Period=FQ","BEST_FPERIOD_OVERRIDE=FQ","FILING_STATUS=MR","SCALING_FORMAT=MLN","Sort=A","Dates=H","DateFormat=P","Fill=—","Direction=H","UseDPDF=Y")</f>
        <v>959</v>
      </c>
      <c r="AG9" s="13">
        <f>_xll.BDH("AMZN US Equity","NON_CASH_ITEMS_DETAILED","FQ3 2016","FQ3 2016","Currency=USD","Period=FQ","BEST_FPERIOD_OVERRIDE=FQ","FILING_STATUS=MR","SCALING_FORMAT=MLN","Sort=A","Dates=H","DateFormat=P","Fill=—","Direction=H","UseDPDF=Y")</f>
        <v>703</v>
      </c>
      <c r="AH9" s="13">
        <f>_xll.BDH("AMZN US Equity","NON_CASH_ITEMS_DETAILED","FQ4 2016","FQ4 2016","Currency=USD","Period=FQ","BEST_FPERIOD_OVERRIDE=FQ","FILING_STATUS=MR","SCALING_FORMAT=MLN","Sort=A","Dates=H","DateFormat=P","Fill=—","Direction=H","UseDPDF=Y")</f>
        <v>657</v>
      </c>
      <c r="AI9" s="13">
        <f>_xll.BDH("AMZN US Equity","NON_CASH_ITEMS_DETAILED","FQ1 2017","FQ1 2017","Currency=USD","Period=FQ","BEST_FPERIOD_OVERRIDE=FQ","FILING_STATUS=MR","SCALING_FORMAT=MLN","Sort=A","Dates=H","DateFormat=P","Fill=—","Direction=H","UseDPDF=Y")</f>
        <v>772</v>
      </c>
      <c r="AJ9" s="13">
        <f>_xll.BDH("AMZN US Equity","NON_CASH_ITEMS_DETAILED","FQ2 2017","FQ2 2017","Currency=USD","Period=FQ","BEST_FPERIOD_OVERRIDE=FQ","FILING_STATUS=MR","SCALING_FORMAT=MLN","Sort=A","Dates=H","DateFormat=P","Fill=—","Direction=H","UseDPDF=Y")</f>
        <v>1474</v>
      </c>
      <c r="AK9" s="13">
        <f>_xll.BDH("AMZN US Equity","NON_CASH_ITEMS_DETAILED","FQ3 2017","FQ3 2017","Currency=USD","Period=FQ","BEST_FPERIOD_OVERRIDE=FQ","FILING_STATUS=MR","SCALING_FORMAT=MLN","Sort=A","Dates=H","DateFormat=P","Fill=—","Direction=H","UseDPDF=Y")</f>
        <v>926</v>
      </c>
      <c r="AL9" s="13">
        <f>_xll.BDH("AMZN US Equity","NON_CASH_ITEMS_DETAILED","FQ4 2017","FQ4 2017","Currency=USD","Period=FQ","BEST_FPERIOD_OVERRIDE=FQ","FILING_STATUS=MR","SCALING_FORMAT=MLN","Sort=A","Dates=H","DateFormat=P","Fill=—","Direction=H","UseDPDF=Y")</f>
        <v>922</v>
      </c>
      <c r="AM9" s="13">
        <f>_xll.BDH("AMZN US Equity","NON_CASH_ITEMS_DETAILED","FQ1 2018","FQ1 2018","Currency=USD","Period=FQ","BEST_FPERIOD_OVERRIDE=FQ","FILING_STATUS=MR","SCALING_FORMAT=MLN","Sort=A","Dates=H","DateFormat=P","Fill=—","Direction=H","UseDPDF=Y")</f>
        <v>1195</v>
      </c>
      <c r="AN9" s="13">
        <f>_xll.BDH("AMZN US Equity","NON_CASH_ITEMS_DETAILED","FQ2 2018","FQ2 2018","Currency=USD","Period=FQ","BEST_FPERIOD_OVERRIDE=FQ","FILING_STATUS=MR","SCALING_FORMAT=MLN","Sort=A","Dates=H","DateFormat=P","Fill=—","Direction=H","UseDPDF=Y")</f>
        <v>1524</v>
      </c>
    </row>
    <row r="10" spans="1:40" x14ac:dyDescent="0.25">
      <c r="A10" s="10" t="s">
        <v>369</v>
      </c>
      <c r="B10" s="10" t="s">
        <v>370</v>
      </c>
      <c r="C10" s="13">
        <f>_xll.BDH("AMZN US Equity","CF_STOCK_BASED_COMPENSATION","FQ1 2009","FQ1 2009","Currency=USD","Period=FQ","BEST_FPERIOD_OVERRIDE=FQ","FILING_STATUS=MR","SCALING_FORMAT=MLN","Sort=A","Dates=H","DateFormat=P","Fill=—","Direction=H","UseDPDF=Y")</f>
        <v>18</v>
      </c>
      <c r="D10" s="13">
        <f>_xll.BDH("AMZN US Equity","CF_STOCK_BASED_COMPENSATION","FQ2 2009","FQ2 2009","Currency=USD","Period=FQ","BEST_FPERIOD_OVERRIDE=FQ","FILING_STATUS=MR","SCALING_FORMAT=MLN","Sort=A","Dates=H","DateFormat=P","Fill=—","Direction=H","UseDPDF=Y")</f>
        <v>65</v>
      </c>
      <c r="E10" s="13">
        <f>_xll.BDH("AMZN US Equity","CF_STOCK_BASED_COMPENSATION","FQ3 2009","FQ3 2009","Currency=USD","Period=FQ","BEST_FPERIOD_OVERRIDE=FQ","FILING_STATUS=MR","SCALING_FORMAT=MLN","Sort=A","Dates=H","DateFormat=P","Fill=—","Direction=H","UseDPDF=Y")</f>
        <v>107</v>
      </c>
      <c r="F10" s="13">
        <f>_xll.BDH("AMZN US Equity","CF_STOCK_BASED_COMPENSATION","FQ4 2009","FQ4 2009","Currency=USD","Period=FQ","BEST_FPERIOD_OVERRIDE=FQ","FILING_STATUS=MR","SCALING_FORMAT=MLN","Sort=A","Dates=H","DateFormat=P","Fill=—","Direction=H","UseDPDF=Y")</f>
        <v>48</v>
      </c>
      <c r="G10" s="13">
        <f>_xll.BDH("AMZN US Equity","CF_STOCK_BASED_COMPENSATION","FQ1 2010","FQ1 2010","Currency=USD","Period=FQ","BEST_FPERIOD_OVERRIDE=FQ","FILING_STATUS=MR","SCALING_FORMAT=MLN","Sort=A","Dates=H","DateFormat=P","Fill=—","Direction=H","UseDPDF=Y")</f>
        <v>1</v>
      </c>
      <c r="H10" s="13">
        <f>_xll.BDH("AMZN US Equity","CF_STOCK_BASED_COMPENSATION","FQ2 2010","FQ2 2010","Currency=USD","Period=FQ","BEST_FPERIOD_OVERRIDE=FQ","FILING_STATUS=MR","SCALING_FORMAT=MLN","Sort=A","Dates=H","DateFormat=P","Fill=—","Direction=H","UseDPDF=Y")</f>
        <v>36</v>
      </c>
      <c r="I10" s="13">
        <f>_xll.BDH("AMZN US Equity","CF_STOCK_BASED_COMPENSATION","FQ3 2010","FQ3 2010","Currency=USD","Period=FQ","BEST_FPERIOD_OVERRIDE=FQ","FILING_STATUS=MR","SCALING_FORMAT=MLN","Sort=A","Dates=H","DateFormat=P","Fill=—","Direction=H","UseDPDF=Y")</f>
        <v>32</v>
      </c>
      <c r="J10" s="13">
        <f>_xll.BDH("AMZN US Equity","CF_STOCK_BASED_COMPENSATION","FQ4 2010","FQ4 2010","Currency=USD","Period=FQ","BEST_FPERIOD_OVERRIDE=FQ","FILING_STATUS=MR","SCALING_FORMAT=MLN","Sort=A","Dates=H","DateFormat=P","Fill=—","Direction=H","UseDPDF=Y")</f>
        <v>97</v>
      </c>
      <c r="K10" s="13">
        <f>_xll.BDH("AMZN US Equity","CF_STOCK_BASED_COMPENSATION","FQ1 2011","FQ1 2011","Currency=USD","Period=FQ","BEST_FPERIOD_OVERRIDE=FQ","FILING_STATUS=MR","SCALING_FORMAT=MLN","Sort=A","Dates=H","DateFormat=P","Fill=—","Direction=H","UseDPDF=Y")</f>
        <v>64</v>
      </c>
      <c r="L10" s="13">
        <f>_xll.BDH("AMZN US Equity","CF_STOCK_BASED_COMPENSATION","FQ2 2011","FQ2 2011","Currency=USD","Period=FQ","BEST_FPERIOD_OVERRIDE=FQ","FILING_STATUS=MR","SCALING_FORMAT=MLN","Sort=A","Dates=H","DateFormat=P","Fill=—","Direction=H","UseDPDF=Y")</f>
        <v>129</v>
      </c>
      <c r="M10" s="13">
        <f>_xll.BDH("AMZN US Equity","CF_STOCK_BASED_COMPENSATION","FQ3 2011","FQ3 2011","Currency=USD","Period=FQ","BEST_FPERIOD_OVERRIDE=FQ","FILING_STATUS=MR","SCALING_FORMAT=MLN","Sort=A","Dates=H","DateFormat=P","Fill=—","Direction=H","UseDPDF=Y")</f>
        <v>144</v>
      </c>
      <c r="N10" s="13">
        <f>_xll.BDH("AMZN US Equity","CF_STOCK_BASED_COMPENSATION","FQ4 2011","FQ4 2011","Currency=USD","Period=FQ","BEST_FPERIOD_OVERRIDE=FQ","FILING_STATUS=MR","SCALING_FORMAT=MLN","Sort=A","Dates=H","DateFormat=P","Fill=—","Direction=H","UseDPDF=Y")</f>
        <v>158</v>
      </c>
      <c r="O10" s="13">
        <f>_xll.BDH("AMZN US Equity","CF_STOCK_BASED_COMPENSATION","FQ1 2012","FQ1 2012","Currency=USD","Period=FQ","BEST_FPERIOD_OVERRIDE=FQ","FILING_STATUS=MR","SCALING_FORMAT=MLN","Sort=A","Dates=H","DateFormat=P","Fill=—","Direction=H","UseDPDF=Y")</f>
        <v>120</v>
      </c>
      <c r="P10" s="13">
        <f>_xll.BDH("AMZN US Equity","CF_STOCK_BASED_COMPENSATION","FQ2 2012","FQ2 2012","Currency=USD","Period=FQ","BEST_FPERIOD_OVERRIDE=FQ","FILING_STATUS=MR","SCALING_FORMAT=MLN","Sort=A","Dates=H","DateFormat=P","Fill=—","Direction=H","UseDPDF=Y")</f>
        <v>136</v>
      </c>
      <c r="Q10" s="13">
        <f>_xll.BDH("AMZN US Equity","CF_STOCK_BASED_COMPENSATION","FQ3 2012","FQ3 2012","Currency=USD","Period=FQ","BEST_FPERIOD_OVERRIDE=FQ","FILING_STATUS=MR","SCALING_FORMAT=MLN","Sort=A","Dates=H","DateFormat=P","Fill=—","Direction=H","UseDPDF=Y")</f>
        <v>151</v>
      </c>
      <c r="R10" s="13">
        <f>_xll.BDH("AMZN US Equity","CF_STOCK_BASED_COMPENSATION","FQ4 2012","FQ4 2012","Currency=USD","Period=FQ","BEST_FPERIOD_OVERRIDE=FQ","FILING_STATUS=MR","SCALING_FORMAT=MLN","Sort=A","Dates=H","DateFormat=P","Fill=—","Direction=H","UseDPDF=Y")</f>
        <v>-4</v>
      </c>
      <c r="S10" s="13">
        <f>_xll.BDH("AMZN US Equity","CF_STOCK_BASED_COMPENSATION","FQ1 2013","FQ1 2013","Currency=USD","Period=FQ","BEST_FPERIOD_OVERRIDE=FQ","FILING_STATUS=MR","SCALING_FORMAT=MLN","Sort=A","Dates=H","DateFormat=P","Fill=—","Direction=H","UseDPDF=Y")</f>
        <v>229</v>
      </c>
      <c r="T10" s="13">
        <f>_xll.BDH("AMZN US Equity","CF_STOCK_BASED_COMPENSATION","FQ2 2013","FQ2 2013","Currency=USD","Period=FQ","BEST_FPERIOD_OVERRIDE=FQ","FILING_STATUS=MR","SCALING_FORMAT=MLN","Sort=A","Dates=H","DateFormat=P","Fill=—","Direction=H","UseDPDF=Y")</f>
        <v>298</v>
      </c>
      <c r="U10" s="13">
        <f>_xll.BDH("AMZN US Equity","CF_STOCK_BASED_COMPENSATION","FQ3 2013","FQ3 2013","Currency=USD","Period=FQ","BEST_FPERIOD_OVERRIDE=FQ","FILING_STATUS=MR","SCALING_FORMAT=MLN","Sort=A","Dates=H","DateFormat=P","Fill=—","Direction=H","UseDPDF=Y")</f>
        <v>281</v>
      </c>
      <c r="V10" s="13">
        <f>_xll.BDH("AMZN US Equity","CF_STOCK_BASED_COMPENSATION","FQ4 2013","FQ4 2013","Currency=USD","Period=FQ","BEST_FPERIOD_OVERRIDE=FQ","FILING_STATUS=MR","SCALING_FORMAT=MLN","Sort=A","Dates=H","DateFormat=P","Fill=—","Direction=H","UseDPDF=Y")</f>
        <v>248</v>
      </c>
      <c r="W10" s="13">
        <f>_xll.BDH("AMZN US Equity","CF_STOCK_BASED_COMPENSATION","FQ1 2014","FQ1 2014","Currency=USD","Period=FQ","BEST_FPERIOD_OVERRIDE=FQ","FILING_STATUS=MR","SCALING_FORMAT=MLN","Sort=A","Dates=H","DateFormat=P","Fill=—","Direction=H","UseDPDF=Y")</f>
        <v>200</v>
      </c>
      <c r="X10" s="13">
        <f>_xll.BDH("AMZN US Equity","CF_STOCK_BASED_COMPENSATION","FQ2 2014","FQ2 2014","Currency=USD","Period=FQ","BEST_FPERIOD_OVERRIDE=FQ","FILING_STATUS=MR","SCALING_FORMAT=MLN","Sort=A","Dates=H","DateFormat=P","Fill=—","Direction=H","UseDPDF=Y")</f>
        <v>391</v>
      </c>
      <c r="Y10" s="13">
        <f>_xll.BDH("AMZN US Equity","CF_STOCK_BASED_COMPENSATION","FQ3 2014","FQ3 2014","Currency=USD","Period=FQ","BEST_FPERIOD_OVERRIDE=FQ","FILING_STATUS=MR","SCALING_FORMAT=MLN","Sort=A","Dates=H","DateFormat=P","Fill=—","Direction=H","UseDPDF=Y")</f>
        <v>377</v>
      </c>
      <c r="Z10" s="13">
        <f>_xll.BDH("AMZN US Equity","CF_STOCK_BASED_COMPENSATION","FQ4 2014","FQ4 2014","Currency=USD","Period=FQ","BEST_FPERIOD_OVERRIDE=FQ","FILING_STATUS=MR","SCALING_FORMAT=MLN","Sort=A","Dates=H","DateFormat=P","Fill=—","Direction=H","UseDPDF=Y")</f>
        <v>523</v>
      </c>
      <c r="AA10" s="13">
        <f>_xll.BDH("AMZN US Equity","CF_STOCK_BASED_COMPENSATION","FQ1 2015","FQ1 2015","Currency=USD","Period=FQ","BEST_FPERIOD_OVERRIDE=FQ","FILING_STATUS=MR","SCALING_FORMAT=MLN","Sort=A","Dates=H","DateFormat=P","Fill=—","Direction=H","UseDPDF=Y")</f>
        <v>385</v>
      </c>
      <c r="AB10" s="13">
        <f>_xll.BDH("AMZN US Equity","CF_STOCK_BASED_COMPENSATION","FQ2 2015","FQ2 2015","Currency=USD","Period=FQ","BEST_FPERIOD_OVERRIDE=FQ","FILING_STATUS=MR","SCALING_FORMAT=MLN","Sort=A","Dates=H","DateFormat=P","Fill=—","Direction=H","UseDPDF=Y")</f>
        <v>468</v>
      </c>
      <c r="AC10" s="13">
        <f>_xll.BDH("AMZN US Equity","CF_STOCK_BASED_COMPENSATION","FQ3 2015","FQ3 2015","Currency=USD","Period=FQ","BEST_FPERIOD_OVERRIDE=FQ","FILING_STATUS=MR","SCALING_FORMAT=MLN","Sort=A","Dates=H","DateFormat=P","Fill=—","Direction=H","UseDPDF=Y")</f>
        <v>449</v>
      </c>
      <c r="AD10" s="13">
        <f>_xll.BDH("AMZN US Equity","CF_STOCK_BASED_COMPENSATION","FQ4 2015","FQ4 2015","Currency=USD","Period=FQ","BEST_FPERIOD_OVERRIDE=FQ","FILING_STATUS=MR","SCALING_FORMAT=MLN","Sort=A","Dates=H","DateFormat=P","Fill=—","Direction=H","UseDPDF=Y")</f>
        <v>699</v>
      </c>
      <c r="AE10" s="13">
        <f>_xll.BDH("AMZN US Equity","CF_STOCK_BASED_COMPENSATION","FQ1 2016","FQ1 2016","Currency=USD","Period=FQ","BEST_FPERIOD_OVERRIDE=FQ","FILING_STATUS=MR","SCALING_FORMAT=MLN","Sort=A","Dates=H","DateFormat=P","Fill=—","Direction=H","UseDPDF=Y")</f>
        <v>544</v>
      </c>
      <c r="AF10" s="13">
        <f>_xll.BDH("AMZN US Equity","CF_STOCK_BASED_COMPENSATION","FQ2 2016","FQ2 2016","Currency=USD","Period=FQ","BEST_FPERIOD_OVERRIDE=FQ","FILING_STATUS=MR","SCALING_FORMAT=MLN","Sort=A","Dates=H","DateFormat=P","Fill=—","Direction=H","UseDPDF=Y")</f>
        <v>768</v>
      </c>
      <c r="AG10" s="13">
        <f>_xll.BDH("AMZN US Equity","CF_STOCK_BASED_COMPENSATION","FQ3 2016","FQ3 2016","Currency=USD","Period=FQ","BEST_FPERIOD_OVERRIDE=FQ","FILING_STATUS=MR","SCALING_FORMAT=MLN","Sort=A","Dates=H","DateFormat=P","Fill=—","Direction=H","UseDPDF=Y")</f>
        <v>776</v>
      </c>
      <c r="AH10" s="13">
        <f>_xll.BDH("AMZN US Equity","CF_STOCK_BASED_COMPENSATION","FQ4 2016","FQ4 2016","Currency=USD","Period=FQ","BEST_FPERIOD_OVERRIDE=FQ","FILING_STATUS=MR","SCALING_FORMAT=MLN","Sort=A","Dates=H","DateFormat=P","Fill=—","Direction=H","UseDPDF=Y")</f>
        <v>887</v>
      </c>
      <c r="AI10" s="13">
        <f>_xll.BDH("AMZN US Equity","CF_STOCK_BASED_COMPENSATION","FQ1 2017","FQ1 2017","Currency=USD","Period=FQ","BEST_FPERIOD_OVERRIDE=FQ","FILING_STATUS=MR","SCALING_FORMAT=MLN","Sort=A","Dates=H","DateFormat=P","Fill=—","Direction=H","UseDPDF=Y")</f>
        <v>792</v>
      </c>
      <c r="AJ10" s="13">
        <f>_xll.BDH("AMZN US Equity","CF_STOCK_BASED_COMPENSATION","FQ2 2017","FQ2 2017","Currency=USD","Period=FQ","BEST_FPERIOD_OVERRIDE=FQ","FILING_STATUS=MR","SCALING_FORMAT=MLN","Sort=A","Dates=H","DateFormat=P","Fill=—","Direction=H","UseDPDF=Y")</f>
        <v>1158</v>
      </c>
      <c r="AK10" s="13">
        <f>_xll.BDH("AMZN US Equity","CF_STOCK_BASED_COMPENSATION","FQ3 2017","FQ3 2017","Currency=USD","Period=FQ","BEST_FPERIOD_OVERRIDE=FQ","FILING_STATUS=MR","SCALING_FORMAT=MLN","Sort=A","Dates=H","DateFormat=P","Fill=—","Direction=H","UseDPDF=Y")</f>
        <v>1085</v>
      </c>
      <c r="AL10" s="13">
        <f>_xll.BDH("AMZN US Equity","CF_STOCK_BASED_COMPENSATION","FQ4 2017","FQ4 2017","Currency=USD","Period=FQ","BEST_FPERIOD_OVERRIDE=FQ","FILING_STATUS=MR","SCALING_FORMAT=MLN","Sort=A","Dates=H","DateFormat=P","Fill=—","Direction=H","UseDPDF=Y")</f>
        <v>1179</v>
      </c>
      <c r="AM10" s="13">
        <f>_xll.BDH("AMZN US Equity","CF_STOCK_BASED_COMPENSATION","FQ1 2018","FQ1 2018","Currency=USD","Period=FQ","BEST_FPERIOD_OVERRIDE=FQ","FILING_STATUS=MR","SCALING_FORMAT=MLN","Sort=A","Dates=H","DateFormat=P","Fill=—","Direction=H","UseDPDF=Y")</f>
        <v>1182</v>
      </c>
      <c r="AN10" s="13">
        <f>_xll.BDH("AMZN US Equity","CF_STOCK_BASED_COMPENSATION","FQ2 2018","FQ2 2018","Currency=USD","Period=FQ","BEST_FPERIOD_OVERRIDE=FQ","FILING_STATUS=MR","SCALING_FORMAT=MLN","Sort=A","Dates=H","DateFormat=P","Fill=—","Direction=H","UseDPDF=Y")</f>
        <v>1468</v>
      </c>
    </row>
    <row r="11" spans="1:40" x14ac:dyDescent="0.25">
      <c r="A11" s="10" t="s">
        <v>371</v>
      </c>
      <c r="B11" s="10" t="s">
        <v>372</v>
      </c>
      <c r="C11" s="13">
        <f>_xll.BDH("AMZN US Equity","CF_DEF_INC_TAX","FQ1 2009","FQ1 2009","Currency=USD","Period=FQ","BEST_FPERIOD_OVERRIDE=FQ","FILING_STATUS=MR","SCALING_FORMAT=MLN","Sort=A","Dates=H","DateFormat=P","Fill=—","Direction=H","UseDPDF=Y")</f>
        <v>0</v>
      </c>
      <c r="D11" s="13">
        <f>_xll.BDH("AMZN US Equity","CF_DEF_INC_TAX","FQ2 2009","FQ2 2009","Currency=USD","Period=FQ","BEST_FPERIOD_OVERRIDE=FQ","FILING_STATUS=MR","SCALING_FORMAT=MLN","Sort=A","Dates=H","DateFormat=P","Fill=—","Direction=H","UseDPDF=Y")</f>
        <v>6</v>
      </c>
      <c r="E11" s="13">
        <f>_xll.BDH("AMZN US Equity","CF_DEF_INC_TAX","FQ3 2009","FQ3 2009","Currency=USD","Period=FQ","BEST_FPERIOD_OVERRIDE=FQ","FILING_STATUS=MR","SCALING_FORMAT=MLN","Sort=A","Dates=H","DateFormat=P","Fill=—","Direction=H","UseDPDF=Y")</f>
        <v>77</v>
      </c>
      <c r="F11" s="13">
        <f>_xll.BDH("AMZN US Equity","CF_DEF_INC_TAX","FQ4 2009","FQ4 2009","Currency=USD","Period=FQ","BEST_FPERIOD_OVERRIDE=FQ","FILING_STATUS=MR","SCALING_FORMAT=MLN","Sort=A","Dates=H","DateFormat=P","Fill=—","Direction=H","UseDPDF=Y")</f>
        <v>-1</v>
      </c>
      <c r="G11" s="13">
        <f>_xll.BDH("AMZN US Equity","CF_DEF_INC_TAX","FQ1 2010","FQ1 2010","Currency=USD","Period=FQ","BEST_FPERIOD_OVERRIDE=FQ","FILING_STATUS=MR","SCALING_FORMAT=MLN","Sort=A","Dates=H","DateFormat=P","Fill=—","Direction=H","UseDPDF=Y")</f>
        <v>-20</v>
      </c>
      <c r="H11" s="13">
        <f>_xll.BDH("AMZN US Equity","CF_DEF_INC_TAX","FQ2 2010","FQ2 2010","Currency=USD","Period=FQ","BEST_FPERIOD_OVERRIDE=FQ","FILING_STATUS=MR","SCALING_FORMAT=MLN","Sort=A","Dates=H","DateFormat=P","Fill=—","Direction=H","UseDPDF=Y")</f>
        <v>-8</v>
      </c>
      <c r="I11" s="13">
        <f>_xll.BDH("AMZN US Equity","CF_DEF_INC_TAX","FQ3 2010","FQ3 2010","Currency=USD","Period=FQ","BEST_FPERIOD_OVERRIDE=FQ","FILING_STATUS=MR","SCALING_FORMAT=MLN","Sort=A","Dates=H","DateFormat=P","Fill=—","Direction=H","UseDPDF=Y")</f>
        <v>-16</v>
      </c>
      <c r="J11" s="13">
        <f>_xll.BDH("AMZN US Equity","CF_DEF_INC_TAX","FQ4 2010","FQ4 2010","Currency=USD","Period=FQ","BEST_FPERIOD_OVERRIDE=FQ","FILING_STATUS=MR","SCALING_FORMAT=MLN","Sort=A","Dates=H","DateFormat=P","Fill=—","Direction=H","UseDPDF=Y")</f>
        <v>48</v>
      </c>
      <c r="K11" s="13">
        <f>_xll.BDH("AMZN US Equity","CF_DEF_INC_TAX","FQ1 2011","FQ1 2011","Currency=USD","Period=FQ","BEST_FPERIOD_OVERRIDE=FQ","FILING_STATUS=MR","SCALING_FORMAT=MLN","Sort=A","Dates=H","DateFormat=P","Fill=—","Direction=H","UseDPDF=Y")</f>
        <v>15</v>
      </c>
      <c r="L11" s="13">
        <f>_xll.BDH("AMZN US Equity","CF_DEF_INC_TAX","FQ2 2011","FQ2 2011","Currency=USD","Period=FQ","BEST_FPERIOD_OVERRIDE=FQ","FILING_STATUS=MR","SCALING_FORMAT=MLN","Sort=A","Dates=H","DateFormat=P","Fill=—","Direction=H","UseDPDF=Y")</f>
        <v>20</v>
      </c>
      <c r="M11" s="13">
        <f>_xll.BDH("AMZN US Equity","CF_DEF_INC_TAX","FQ3 2011","FQ3 2011","Currency=USD","Period=FQ","BEST_FPERIOD_OVERRIDE=FQ","FILING_STATUS=MR","SCALING_FORMAT=MLN","Sort=A","Dates=H","DateFormat=P","Fill=—","Direction=H","UseDPDF=Y")</f>
        <v>34</v>
      </c>
      <c r="N11" s="13">
        <f>_xll.BDH("AMZN US Equity","CF_DEF_INC_TAX","FQ4 2011","FQ4 2011","Currency=USD","Period=FQ","BEST_FPERIOD_OVERRIDE=FQ","FILING_STATUS=MR","SCALING_FORMAT=MLN","Sort=A","Dates=H","DateFormat=P","Fill=—","Direction=H","UseDPDF=Y")</f>
        <v>67</v>
      </c>
      <c r="O11" s="13">
        <f>_xll.BDH("AMZN US Equity","CF_DEF_INC_TAX","FQ1 2012","FQ1 2012","Currency=USD","Period=FQ","BEST_FPERIOD_OVERRIDE=FQ","FILING_STATUS=MR","SCALING_FORMAT=MLN","Sort=A","Dates=H","DateFormat=P","Fill=—","Direction=H","UseDPDF=Y")</f>
        <v>-38</v>
      </c>
      <c r="P11" s="13">
        <f>_xll.BDH("AMZN US Equity","CF_DEF_INC_TAX","FQ2 2012","FQ2 2012","Currency=USD","Period=FQ","BEST_FPERIOD_OVERRIDE=FQ","FILING_STATUS=MR","SCALING_FORMAT=MLN","Sort=A","Dates=H","DateFormat=P","Fill=—","Direction=H","UseDPDF=Y")</f>
        <v>-43</v>
      </c>
      <c r="Q11" s="13">
        <f>_xll.BDH("AMZN US Equity","CF_DEF_INC_TAX","FQ3 2012","FQ3 2012","Currency=USD","Period=FQ","BEST_FPERIOD_OVERRIDE=FQ","FILING_STATUS=MR","SCALING_FORMAT=MLN","Sort=A","Dates=H","DateFormat=P","Fill=—","Direction=H","UseDPDF=Y")</f>
        <v>-36</v>
      </c>
      <c r="R11" s="13">
        <f>_xll.BDH("AMZN US Equity","CF_DEF_INC_TAX","FQ4 2012","FQ4 2012","Currency=USD","Period=FQ","BEST_FPERIOD_OVERRIDE=FQ","FILING_STATUS=MR","SCALING_FORMAT=MLN","Sort=A","Dates=H","DateFormat=P","Fill=—","Direction=H","UseDPDF=Y")</f>
        <v>-148</v>
      </c>
      <c r="S11" s="13">
        <f>_xll.BDH("AMZN US Equity","CF_DEF_INC_TAX","FQ1 2013","FQ1 2013","Currency=USD","Period=FQ","BEST_FPERIOD_OVERRIDE=FQ","FILING_STATUS=MR","SCALING_FORMAT=MLN","Sort=A","Dates=H","DateFormat=P","Fill=—","Direction=H","UseDPDF=Y")</f>
        <v>-80</v>
      </c>
      <c r="T11" s="13">
        <f>_xll.BDH("AMZN US Equity","CF_DEF_INC_TAX","FQ2 2013","FQ2 2013","Currency=USD","Period=FQ","BEST_FPERIOD_OVERRIDE=FQ","FILING_STATUS=MR","SCALING_FORMAT=MLN","Sort=A","Dates=H","DateFormat=P","Fill=—","Direction=H","UseDPDF=Y")</f>
        <v>21</v>
      </c>
      <c r="U11" s="13">
        <f>_xll.BDH("AMZN US Equity","CF_DEF_INC_TAX","FQ3 2013","FQ3 2013","Currency=USD","Period=FQ","BEST_FPERIOD_OVERRIDE=FQ","FILING_STATUS=MR","SCALING_FORMAT=MLN","Sort=A","Dates=H","DateFormat=P","Fill=—","Direction=H","UseDPDF=Y")</f>
        <v>11</v>
      </c>
      <c r="V11" s="13">
        <f>_xll.BDH("AMZN US Equity","CF_DEF_INC_TAX","FQ4 2013","FQ4 2013","Currency=USD","Period=FQ","BEST_FPERIOD_OVERRIDE=FQ","FILING_STATUS=MR","SCALING_FORMAT=MLN","Sort=A","Dates=H","DateFormat=P","Fill=—","Direction=H","UseDPDF=Y")</f>
        <v>-109</v>
      </c>
      <c r="W11" s="13">
        <f>_xll.BDH("AMZN US Equity","CF_DEF_INC_TAX","FQ1 2014","FQ1 2014","Currency=USD","Period=FQ","BEST_FPERIOD_OVERRIDE=FQ","FILING_STATUS=MR","SCALING_FORMAT=MLN","Sort=A","Dates=H","DateFormat=P","Fill=—","Direction=H","UseDPDF=Y")</f>
        <v>-185</v>
      </c>
      <c r="X11" s="13">
        <f>_xll.BDH("AMZN US Equity","CF_DEF_INC_TAX","FQ2 2014","FQ2 2014","Currency=USD","Period=FQ","BEST_FPERIOD_OVERRIDE=FQ","FILING_STATUS=MR","SCALING_FORMAT=MLN","Sort=A","Dates=H","DateFormat=P","Fill=—","Direction=H","UseDPDF=Y")</f>
        <v>-49</v>
      </c>
      <c r="Y11" s="13">
        <f>_xll.BDH("AMZN US Equity","CF_DEF_INC_TAX","FQ3 2014","FQ3 2014","Currency=USD","Period=FQ","BEST_FPERIOD_OVERRIDE=FQ","FILING_STATUS=MR","SCALING_FORMAT=MLN","Sort=A","Dates=H","DateFormat=P","Fill=—","Direction=H","UseDPDF=Y")</f>
        <v>-270</v>
      </c>
      <c r="Z11" s="13">
        <f>_xll.BDH("AMZN US Equity","CF_DEF_INC_TAX","FQ4 2014","FQ4 2014","Currency=USD","Period=FQ","BEST_FPERIOD_OVERRIDE=FQ","FILING_STATUS=MR","SCALING_FORMAT=MLN","Sort=A","Dates=H","DateFormat=P","Fill=—","Direction=H","UseDPDF=Y")</f>
        <v>185</v>
      </c>
      <c r="AA11" s="13">
        <f>_xll.BDH("AMZN US Equity","CF_DEF_INC_TAX","FQ1 2015","FQ1 2015","Currency=USD","Period=FQ","BEST_FPERIOD_OVERRIDE=FQ","FILING_STATUS=MR","SCALING_FORMAT=MLN","Sort=A","Dates=H","DateFormat=P","Fill=—","Direction=H","UseDPDF=Y")</f>
        <v>-2</v>
      </c>
      <c r="AB11" s="13">
        <f>_xll.BDH("AMZN US Equity","CF_DEF_INC_TAX","FQ2 2015","FQ2 2015","Currency=USD","Period=FQ","BEST_FPERIOD_OVERRIDE=FQ","FILING_STATUS=MR","SCALING_FORMAT=MLN","Sort=A","Dates=H","DateFormat=P","Fill=—","Direction=H","UseDPDF=Y")</f>
        <v>-43</v>
      </c>
      <c r="AC11" s="13">
        <f>_xll.BDH("AMZN US Equity","CF_DEF_INC_TAX","FQ3 2015","FQ3 2015","Currency=USD","Period=FQ","BEST_FPERIOD_OVERRIDE=FQ","FILING_STATUS=MR","SCALING_FORMAT=MLN","Sort=A","Dates=H","DateFormat=P","Fill=—","Direction=H","UseDPDF=Y")</f>
        <v>-63</v>
      </c>
      <c r="AD11" s="13">
        <f>_xll.BDH("AMZN US Equity","CF_DEF_INC_TAX","FQ4 2015","FQ4 2015","Currency=USD","Period=FQ","BEST_FPERIOD_OVERRIDE=FQ","FILING_STATUS=MR","SCALING_FORMAT=MLN","Sort=A","Dates=H","DateFormat=P","Fill=—","Direction=H","UseDPDF=Y")</f>
        <v>190</v>
      </c>
      <c r="AE11" s="13">
        <f>_xll.BDH("AMZN US Equity","CF_DEF_INC_TAX","FQ1 2016","FQ1 2016","Currency=USD","Period=FQ","BEST_FPERIOD_OVERRIDE=FQ","FILING_STATUS=MR","SCALING_FORMAT=MLN","Sort=A","Dates=H","DateFormat=P","Fill=—","Direction=H","UseDPDF=Y")</f>
        <v>11</v>
      </c>
      <c r="AF11" s="13">
        <f>_xll.BDH("AMZN US Equity","CF_DEF_INC_TAX","FQ2 2016","FQ2 2016","Currency=USD","Period=FQ","BEST_FPERIOD_OVERRIDE=FQ","FILING_STATUS=MR","SCALING_FORMAT=MLN","Sort=A","Dates=H","DateFormat=P","Fill=—","Direction=H","UseDPDF=Y")</f>
        <v>106</v>
      </c>
      <c r="AG11" s="13">
        <f>_xll.BDH("AMZN US Equity","CF_DEF_INC_TAX","FQ3 2016","FQ3 2016","Currency=USD","Period=FQ","BEST_FPERIOD_OVERRIDE=FQ","FILING_STATUS=MR","SCALING_FORMAT=MLN","Sort=A","Dates=H","DateFormat=P","Fill=—","Direction=H","UseDPDF=Y")</f>
        <v>-81</v>
      </c>
      <c r="AH11" s="13">
        <f>_xll.BDH("AMZN US Equity","CF_DEF_INC_TAX","FQ4 2016","FQ4 2016","Currency=USD","Period=FQ","BEST_FPERIOD_OVERRIDE=FQ","FILING_STATUS=MR","SCALING_FORMAT=MLN","Sort=A","Dates=H","DateFormat=P","Fill=—","Direction=H","UseDPDF=Y")</f>
        <v>-282</v>
      </c>
      <c r="AI11" s="13">
        <f>_xll.BDH("AMZN US Equity","CF_DEF_INC_TAX","FQ1 2017","FQ1 2017","Currency=USD","Period=FQ","BEST_FPERIOD_OVERRIDE=FQ","FILING_STATUS=MR","SCALING_FORMAT=MLN","Sort=A","Dates=H","DateFormat=P","Fill=—","Direction=H","UseDPDF=Y")</f>
        <v>-22</v>
      </c>
      <c r="AJ11" s="13">
        <f>_xll.BDH("AMZN US Equity","CF_DEF_INC_TAX","FQ2 2017","FQ2 2017","Currency=USD","Period=FQ","BEST_FPERIOD_OVERRIDE=FQ","FILING_STATUS=MR","SCALING_FORMAT=MLN","Sort=A","Dates=H","DateFormat=P","Fill=—","Direction=H","UseDPDF=Y")</f>
        <v>376</v>
      </c>
      <c r="AK11" s="13">
        <f>_xll.BDH("AMZN US Equity","CF_DEF_INC_TAX","FQ3 2017","FQ3 2017","Currency=USD","Period=FQ","BEST_FPERIOD_OVERRIDE=FQ","FILING_STATUS=MR","SCALING_FORMAT=MLN","Sort=A","Dates=H","DateFormat=P","Fill=—","Direction=H","UseDPDF=Y")</f>
        <v>-74</v>
      </c>
      <c r="AL11" s="13">
        <f>_xll.BDH("AMZN US Equity","CF_DEF_INC_TAX","FQ4 2017","FQ4 2017","Currency=USD","Period=FQ","BEST_FPERIOD_OVERRIDE=FQ","FILING_STATUS=MR","SCALING_FORMAT=MLN","Sort=A","Dates=H","DateFormat=P","Fill=—","Direction=H","UseDPDF=Y")</f>
        <v>-308</v>
      </c>
      <c r="AM11" s="13">
        <f>_xll.BDH("AMZN US Equity","CF_DEF_INC_TAX","FQ1 2018","FQ1 2018","Currency=USD","Period=FQ","BEST_FPERIOD_OVERRIDE=FQ","FILING_STATUS=MR","SCALING_FORMAT=MLN","Sort=A","Dates=H","DateFormat=P","Fill=—","Direction=H","UseDPDF=Y")</f>
        <v>141</v>
      </c>
      <c r="AN11" s="13">
        <f>_xll.BDH("AMZN US Equity","CF_DEF_INC_TAX","FQ2 2018","FQ2 2018","Currency=USD","Period=FQ","BEST_FPERIOD_OVERRIDE=FQ","FILING_STATUS=MR","SCALING_FORMAT=MLN","Sort=A","Dates=H","DateFormat=P","Fill=—","Direction=H","UseDPDF=Y")</f>
        <v>-139</v>
      </c>
    </row>
    <row r="12" spans="1:40" x14ac:dyDescent="0.25">
      <c r="A12" s="10" t="s">
        <v>373</v>
      </c>
      <c r="B12" s="10" t="s">
        <v>374</v>
      </c>
      <c r="C12" s="13">
        <f>_xll.BDH("AMZN US Equity","OTHER_NON_CASH_ADJ_LESS_DETAILED","FQ1 2009","FQ1 2009","Currency=USD","Period=FQ","BEST_FPERIOD_OVERRIDE=FQ","FILING_STATUS=MR","SCALING_FORMAT=MLN","Sort=A","Dates=H","DateFormat=P","Fill=—","Direction=H","UseDPDF=Y")</f>
        <v>9</v>
      </c>
      <c r="D12" s="13">
        <f>_xll.BDH("AMZN US Equity","OTHER_NON_CASH_ADJ_LESS_DETAILED","FQ2 2009","FQ2 2009","Currency=USD","Period=FQ","BEST_FPERIOD_OVERRIDE=FQ","FILING_STATUS=MR","SCALING_FORMAT=MLN","Sort=A","Dates=H","DateFormat=P","Fill=—","Direction=H","UseDPDF=Y")</f>
        <v>39</v>
      </c>
      <c r="E12" s="13">
        <f>_xll.BDH("AMZN US Equity","OTHER_NON_CASH_ADJ_LESS_DETAILED","FQ3 2009","FQ3 2009","Currency=USD","Period=FQ","BEST_FPERIOD_OVERRIDE=FQ","FILING_STATUS=MR","SCALING_FORMAT=MLN","Sort=A","Dates=H","DateFormat=P","Fill=—","Direction=H","UseDPDF=Y")</f>
        <v>-1</v>
      </c>
      <c r="F12" s="13">
        <f>_xll.BDH("AMZN US Equity","OTHER_NON_CASH_ADJ_LESS_DETAILED","FQ4 2009","FQ4 2009","Currency=USD","Period=FQ","BEST_FPERIOD_OVERRIDE=FQ","FILING_STATUS=MR","SCALING_FORMAT=MLN","Sort=A","Dates=H","DateFormat=P","Fill=—","Direction=H","UseDPDF=Y")</f>
        <v>26</v>
      </c>
      <c r="G12" s="13">
        <f>_xll.BDH("AMZN US Equity","OTHER_NON_CASH_ADJ_LESS_DETAILED","FQ1 2010","FQ1 2010","Currency=USD","Period=FQ","BEST_FPERIOD_OVERRIDE=FQ","FILING_STATUS=MR","SCALING_FORMAT=MLN","Sort=A","Dates=H","DateFormat=P","Fill=—","Direction=H","UseDPDF=Y")</f>
        <v>20</v>
      </c>
      <c r="H12" s="13">
        <f>_xll.BDH("AMZN US Equity","OTHER_NON_CASH_ADJ_LESS_DETAILED","FQ2 2010","FQ2 2010","Currency=USD","Period=FQ","BEST_FPERIOD_OVERRIDE=FQ","FILING_STATUS=MR","SCALING_FORMAT=MLN","Sort=A","Dates=H","DateFormat=P","Fill=—","Direction=H","UseDPDF=Y")</f>
        <v>3</v>
      </c>
      <c r="I12" s="13">
        <f>_xll.BDH("AMZN US Equity","OTHER_NON_CASH_ADJ_LESS_DETAILED","FQ3 2010","FQ3 2010","Currency=USD","Period=FQ","BEST_FPERIOD_OVERRIDE=FQ","FILING_STATUS=MR","SCALING_FORMAT=MLN","Sort=A","Dates=H","DateFormat=P","Fill=—","Direction=H","UseDPDF=Y")</f>
        <v>-11</v>
      </c>
      <c r="J12" s="13">
        <f>_xll.BDH("AMZN US Equity","OTHER_NON_CASH_ADJ_LESS_DETAILED","FQ4 2010","FQ4 2010","Currency=USD","Period=FQ","BEST_FPERIOD_OVERRIDE=FQ","FILING_STATUS=MR","SCALING_FORMAT=MLN","Sort=A","Dates=H","DateFormat=P","Fill=—","Direction=H","UseDPDF=Y")</f>
        <v>12</v>
      </c>
      <c r="K12" s="13">
        <f>_xll.BDH("AMZN US Equity","OTHER_NON_CASH_ADJ_LESS_DETAILED","FQ1 2011","FQ1 2011","Currency=USD","Period=FQ","BEST_FPERIOD_OVERRIDE=FQ","FILING_STATUS=MR","SCALING_FORMAT=MLN","Sort=A","Dates=H","DateFormat=P","Fill=—","Direction=H","UseDPDF=Y")</f>
        <v>72</v>
      </c>
      <c r="L12" s="13">
        <f>_xll.BDH("AMZN US Equity","OTHER_NON_CASH_ADJ_LESS_DETAILED","FQ2 2011","FQ2 2011","Currency=USD","Period=FQ","BEST_FPERIOD_OVERRIDE=FQ","FILING_STATUS=MR","SCALING_FORMAT=MLN","Sort=A","Dates=H","DateFormat=P","Fill=—","Direction=H","UseDPDF=Y")</f>
        <v>3</v>
      </c>
      <c r="M12" s="13">
        <f>_xll.BDH("AMZN US Equity","OTHER_NON_CASH_ADJ_LESS_DETAILED","FQ3 2011","FQ3 2011","Currency=USD","Period=FQ","BEST_FPERIOD_OVERRIDE=FQ","FILING_STATUS=MR","SCALING_FORMAT=MLN","Sort=A","Dates=H","DateFormat=P","Fill=—","Direction=H","UseDPDF=Y")</f>
        <v>-7</v>
      </c>
      <c r="N12" s="13">
        <f>_xll.BDH("AMZN US Equity","OTHER_NON_CASH_ADJ_LESS_DETAILED","FQ4 2011","FQ4 2011","Currency=USD","Period=FQ","BEST_FPERIOD_OVERRIDE=FQ","FILING_STATUS=MR","SCALING_FORMAT=MLN","Sort=A","Dates=H","DateFormat=P","Fill=—","Direction=H","UseDPDF=Y")</f>
        <v>27</v>
      </c>
      <c r="O12" s="13">
        <f>_xll.BDH("AMZN US Equity","OTHER_NON_CASH_ADJ_LESS_DETAILED","FQ1 2012","FQ1 2012","Currency=USD","Period=FQ","BEST_FPERIOD_OVERRIDE=FQ","FILING_STATUS=MR","SCALING_FORMAT=MLN","Sort=A","Dates=H","DateFormat=P","Fill=—","Direction=H","UseDPDF=Y")</f>
        <v>59</v>
      </c>
      <c r="P12" s="13">
        <f>_xll.BDH("AMZN US Equity","OTHER_NON_CASH_ADJ_LESS_DETAILED","FQ2 2012","FQ2 2012","Currency=USD","Period=FQ","BEST_FPERIOD_OVERRIDE=FQ","FILING_STATUS=MR","SCALING_FORMAT=MLN","Sort=A","Dates=H","DateFormat=P","Fill=—","Direction=H","UseDPDF=Y")</f>
        <v>11</v>
      </c>
      <c r="Q12" s="13">
        <f>_xll.BDH("AMZN US Equity","OTHER_NON_CASH_ADJ_LESS_DETAILED","FQ3 2012","FQ3 2012","Currency=USD","Period=FQ","BEST_FPERIOD_OVERRIDE=FQ","FILING_STATUS=MR","SCALING_FORMAT=MLN","Sort=A","Dates=H","DateFormat=P","Fill=—","Direction=H","UseDPDF=Y")</f>
        <v>193</v>
      </c>
      <c r="R12" s="13">
        <f>_xll.BDH("AMZN US Equity","OTHER_NON_CASH_ADJ_LESS_DETAILED","FQ4 2012","FQ4 2012","Currency=USD","Period=FQ","BEST_FPERIOD_OVERRIDE=FQ","FILING_STATUS=MR","SCALING_FORMAT=MLN","Sort=A","Dates=H","DateFormat=P","Fill=—","Direction=H","UseDPDF=Y")</f>
        <v>135</v>
      </c>
      <c r="S12" s="13">
        <f>_xll.BDH("AMZN US Equity","OTHER_NON_CASH_ADJ_LESS_DETAILED","FQ1 2013","FQ1 2013","Currency=USD","Period=FQ","BEST_FPERIOD_OVERRIDE=FQ","FILING_STATUS=MR","SCALING_FORMAT=MLN","Sort=A","Dates=H","DateFormat=P","Fill=—","Direction=H","UseDPDF=Y")</f>
        <v>99</v>
      </c>
      <c r="T12" s="13">
        <f>_xll.BDH("AMZN US Equity","OTHER_NON_CASH_ADJ_LESS_DETAILED","FQ2 2013","FQ2 2013","Currency=USD","Period=FQ","BEST_FPERIOD_OVERRIDE=FQ","FILING_STATUS=MR","SCALING_FORMAT=MLN","Sort=A","Dates=H","DateFormat=P","Fill=—","Direction=H","UseDPDF=Y")</f>
        <v>74</v>
      </c>
      <c r="U12" s="13">
        <f>_xll.BDH("AMZN US Equity","OTHER_NON_CASH_ADJ_LESS_DETAILED","FQ3 2013","FQ3 2013","Currency=USD","Period=FQ","BEST_FPERIOD_OVERRIDE=FQ","FILING_STATUS=MR","SCALING_FORMAT=MLN","Sort=A","Dates=H","DateFormat=P","Fill=—","Direction=H","UseDPDF=Y")</f>
        <v>17</v>
      </c>
      <c r="V12" s="13">
        <f>_xll.BDH("AMZN US Equity","OTHER_NON_CASH_ADJ_LESS_DETAILED","FQ4 2013","FQ4 2013","Currency=USD","Period=FQ","BEST_FPERIOD_OVERRIDE=FQ","FILING_STATUS=MR","SCALING_FORMAT=MLN","Sort=A","Dates=H","DateFormat=P","Fill=—","Direction=H","UseDPDF=Y")</f>
        <v>91</v>
      </c>
      <c r="W12" s="13">
        <f>_xll.BDH("AMZN US Equity","OTHER_NON_CASH_ADJ_LESS_DETAILED","FQ1 2014","FQ1 2014","Currency=USD","Period=FQ","BEST_FPERIOD_OVERRIDE=FQ","FILING_STATUS=MR","SCALING_FORMAT=MLN","Sort=A","Dates=H","DateFormat=P","Fill=—","Direction=H","UseDPDF=Y")</f>
        <v>-15</v>
      </c>
      <c r="X12" s="13">
        <f>_xll.BDH("AMZN US Equity","OTHER_NON_CASH_ADJ_LESS_DETAILED","FQ2 2014","FQ2 2014","Currency=USD","Period=FQ","BEST_FPERIOD_OVERRIDE=FQ","FILING_STATUS=MR","SCALING_FORMAT=MLN","Sort=A","Dates=H","DateFormat=P","Fill=—","Direction=H","UseDPDF=Y")</f>
        <v>19</v>
      </c>
      <c r="Y12" s="13">
        <f>_xll.BDH("AMZN US Equity","OTHER_NON_CASH_ADJ_LESS_DETAILED","FQ3 2014","FQ3 2014","Currency=USD","Period=FQ","BEST_FPERIOD_OVERRIDE=FQ","FILING_STATUS=MR","SCALING_FORMAT=MLN","Sort=A","Dates=H","DateFormat=P","Fill=—","Direction=H","UseDPDF=Y")</f>
        <v>70</v>
      </c>
      <c r="Z12" s="13">
        <f>_xll.BDH("AMZN US Equity","OTHER_NON_CASH_ADJ_LESS_DETAILED","FQ4 2014","FQ4 2014","Currency=USD","Period=FQ","BEST_FPERIOD_OVERRIDE=FQ","FILING_STATUS=MR","SCALING_FORMAT=MLN","Sort=A","Dates=H","DateFormat=P","Fill=—","Direction=H","UseDPDF=Y")</f>
        <v>114</v>
      </c>
      <c r="AA12" s="13">
        <f>_xll.BDH("AMZN US Equity","OTHER_NON_CASH_ADJ_LESS_DETAILED","FQ1 2015","FQ1 2015","Currency=USD","Period=FQ","BEST_FPERIOD_OVERRIDE=FQ","FILING_STATUS=MR","SCALING_FORMAT=MLN","Sort=A","Dates=H","DateFormat=P","Fill=—","Direction=H","UseDPDF=Y")</f>
        <v>136</v>
      </c>
      <c r="AB12" s="13">
        <f>_xll.BDH("AMZN US Equity","OTHER_NON_CASH_ADJ_LESS_DETAILED","FQ2 2015","FQ2 2015","Currency=USD","Period=FQ","BEST_FPERIOD_OVERRIDE=FQ","FILING_STATUS=MR","SCALING_FORMAT=MLN","Sort=A","Dates=H","DateFormat=P","Fill=—","Direction=H","UseDPDF=Y")</f>
        <v>61</v>
      </c>
      <c r="AC12" s="13">
        <f>_xll.BDH("AMZN US Equity","OTHER_NON_CASH_ADJ_LESS_DETAILED","FQ3 2015","FQ3 2015","Currency=USD","Period=FQ","BEST_FPERIOD_OVERRIDE=FQ","FILING_STATUS=MR","SCALING_FORMAT=MLN","Sort=A","Dates=H","DateFormat=P","Fill=—","Direction=H","UseDPDF=Y")</f>
        <v>92</v>
      </c>
      <c r="AD12" s="13">
        <f>_xll.BDH("AMZN US Equity","OTHER_NON_CASH_ADJ_LESS_DETAILED","FQ4 2015","FQ4 2015","Currency=USD","Period=FQ","BEST_FPERIOD_OVERRIDE=FQ","FILING_STATUS=MR","SCALING_FORMAT=MLN","Sort=A","Dates=H","DateFormat=P","Fill=—","Direction=H","UseDPDF=Y")</f>
        <v>115</v>
      </c>
      <c r="AE12" s="13">
        <f>_xll.BDH("AMZN US Equity","OTHER_NON_CASH_ADJ_LESS_DETAILED","FQ1 2016","FQ1 2016","Currency=USD","Period=FQ","BEST_FPERIOD_OVERRIDE=FQ","FILING_STATUS=MR","SCALING_FORMAT=MLN","Sort=A","Dates=H","DateFormat=P","Fill=—","Direction=H","UseDPDF=Y")</f>
        <v>-7</v>
      </c>
      <c r="AF12" s="13">
        <f>_xll.BDH("AMZN US Equity","OTHER_NON_CASH_ADJ_LESS_DETAILED","FQ2 2016","FQ2 2016","Currency=USD","Period=FQ","BEST_FPERIOD_OVERRIDE=FQ","FILING_STATUS=MR","SCALING_FORMAT=MLN","Sort=A","Dates=H","DateFormat=P","Fill=—","Direction=H","UseDPDF=Y")</f>
        <v>85</v>
      </c>
      <c r="AG12" s="13">
        <f>_xll.BDH("AMZN US Equity","OTHER_NON_CASH_ADJ_LESS_DETAILED","FQ3 2016","FQ3 2016","Currency=USD","Period=FQ","BEST_FPERIOD_OVERRIDE=FQ","FILING_STATUS=MR","SCALING_FORMAT=MLN","Sort=A","Dates=H","DateFormat=P","Fill=—","Direction=H","UseDPDF=Y")</f>
        <v>8</v>
      </c>
      <c r="AH12" s="13">
        <f>_xll.BDH("AMZN US Equity","OTHER_NON_CASH_ADJ_LESS_DETAILED","FQ4 2016","FQ4 2016","Currency=USD","Period=FQ","BEST_FPERIOD_OVERRIDE=FQ","FILING_STATUS=MR","SCALING_FORMAT=MLN","Sort=A","Dates=H","DateFormat=P","Fill=—","Direction=H","UseDPDF=Y")</f>
        <v>52</v>
      </c>
      <c r="AI12" s="13">
        <f>_xll.BDH("AMZN US Equity","OTHER_NON_CASH_ADJ_LESS_DETAILED","FQ1 2017","FQ1 2017","Currency=USD","Period=FQ","BEST_FPERIOD_OVERRIDE=FQ","FILING_STATUS=MR","SCALING_FORMAT=MLN","Sort=A","Dates=H","DateFormat=P","Fill=—","Direction=H","UseDPDF=Y")</f>
        <v>2</v>
      </c>
      <c r="AJ12" s="13">
        <f>_xll.BDH("AMZN US Equity","OTHER_NON_CASH_ADJ_LESS_DETAILED","FQ2 2017","FQ2 2017","Currency=USD","Period=FQ","BEST_FPERIOD_OVERRIDE=FQ","FILING_STATUS=MR","SCALING_FORMAT=MLN","Sort=A","Dates=H","DateFormat=P","Fill=—","Direction=H","UseDPDF=Y")</f>
        <v>-60</v>
      </c>
      <c r="AK12" s="13">
        <f>_xll.BDH("AMZN US Equity","OTHER_NON_CASH_ADJ_LESS_DETAILED","FQ3 2017","FQ3 2017","Currency=USD","Period=FQ","BEST_FPERIOD_OVERRIDE=FQ","FILING_STATUS=MR","SCALING_FORMAT=MLN","Sort=A","Dates=H","DateFormat=P","Fill=—","Direction=H","UseDPDF=Y")</f>
        <v>-85</v>
      </c>
      <c r="AL12" s="13">
        <f>_xll.BDH("AMZN US Equity","OTHER_NON_CASH_ADJ_LESS_DETAILED","FQ4 2017","FQ4 2017","Currency=USD","Period=FQ","BEST_FPERIOD_OVERRIDE=FQ","FILING_STATUS=MR","SCALING_FORMAT=MLN","Sort=A","Dates=H","DateFormat=P","Fill=—","Direction=H","UseDPDF=Y")</f>
        <v>51</v>
      </c>
      <c r="AM12" s="13">
        <f>_xll.BDH("AMZN US Equity","OTHER_NON_CASH_ADJ_LESS_DETAILED","FQ1 2018","FQ1 2018","Currency=USD","Period=FQ","BEST_FPERIOD_OVERRIDE=FQ","FILING_STATUS=MR","SCALING_FORMAT=MLN","Sort=A","Dates=H","DateFormat=P","Fill=—","Direction=H","UseDPDF=Y")</f>
        <v>-128</v>
      </c>
      <c r="AN12" s="13">
        <f>_xll.BDH("AMZN US Equity","OTHER_NON_CASH_ADJ_LESS_DETAILED","FQ2 2018","FQ2 2018","Currency=USD","Period=FQ","BEST_FPERIOD_OVERRIDE=FQ","FILING_STATUS=MR","SCALING_FORMAT=MLN","Sort=A","Dates=H","DateFormat=P","Fill=—","Direction=H","UseDPDF=Y")</f>
        <v>195</v>
      </c>
    </row>
    <row r="13" spans="1:40" x14ac:dyDescent="0.25">
      <c r="A13" s="10" t="s">
        <v>375</v>
      </c>
      <c r="B13" s="10" t="s">
        <v>376</v>
      </c>
      <c r="C13" s="13">
        <f>_xll.BDH("AMZN US Equity","CF_CHNG_NON_CASH_WORK_CAP","FQ1 2009","FQ1 2009","Currency=USD","Period=FQ","BEST_FPERIOD_OVERRIDE=FQ","FILING_STATUS=MR","SCALING_FORMAT=MLN","Sort=A","Dates=H","DateFormat=P","Fill=—","Direction=H","UseDPDF=Y")</f>
        <v>-878</v>
      </c>
      <c r="D13" s="13">
        <f>_xll.BDH("AMZN US Equity","CF_CHNG_NON_CASH_WORK_CAP","FQ2 2009","FQ2 2009","Currency=USD","Period=FQ","BEST_FPERIOD_OVERRIDE=FQ","FILING_STATUS=MR","SCALING_FORMAT=MLN","Sort=A","Dates=H","DateFormat=P","Fill=—","Direction=H","UseDPDF=Y")</f>
        <v>125</v>
      </c>
      <c r="E13" s="13">
        <f>_xll.BDH("AMZN US Equity","CF_CHNG_NON_CASH_WORK_CAP","FQ3 2009","FQ3 2009","Currency=USD","Period=FQ","BEST_FPERIOD_OVERRIDE=FQ","FILING_STATUS=MR","SCALING_FORMAT=MLN","Sort=A","Dates=H","DateFormat=P","Fill=—","Direction=H","UseDPDF=Y")</f>
        <v>321</v>
      </c>
      <c r="F13" s="13">
        <f>_xll.BDH("AMZN US Equity","CF_CHNG_NON_CASH_WORK_CAP","FQ4 2009","FQ4 2009","Currency=USD","Period=FQ","BEST_FPERIOD_OVERRIDE=FQ","FILING_STATUS=MR","SCALING_FORMAT=MLN","Sort=A","Dates=H","DateFormat=P","Fill=—","Direction=H","UseDPDF=Y")</f>
        <v>2041</v>
      </c>
      <c r="G13" s="13">
        <f>_xll.BDH("AMZN US Equity","CF_CHNG_NON_CASH_WORK_CAP","FQ1 2010","FQ1 2010","Currency=USD","Period=FQ","BEST_FPERIOD_OVERRIDE=FQ","FILING_STATUS=MR","SCALING_FORMAT=MLN","Sort=A","Dates=H","DateFormat=P","Fill=—","Direction=H","UseDPDF=Y")</f>
        <v>-1517</v>
      </c>
      <c r="H13" s="13">
        <f>_xll.BDH("AMZN US Equity","CF_CHNG_NON_CASH_WORK_CAP","FQ2 2010","FQ2 2010","Currency=USD","Period=FQ","BEST_FPERIOD_OVERRIDE=FQ","FILING_STATUS=MR","SCALING_FORMAT=MLN","Sort=A","Dates=H","DateFormat=P","Fill=—","Direction=H","UseDPDF=Y")</f>
        <v>-117</v>
      </c>
      <c r="I13" s="13">
        <f>_xll.BDH("AMZN US Equity","CF_CHNG_NON_CASH_WORK_CAP","FQ3 2010","FQ3 2010","Currency=USD","Period=FQ","BEST_FPERIOD_OVERRIDE=FQ","FILING_STATUS=MR","SCALING_FORMAT=MLN","Sort=A","Dates=H","DateFormat=P","Fill=—","Direction=H","UseDPDF=Y")</f>
        <v>469</v>
      </c>
      <c r="J13" s="13">
        <f>_xll.BDH("AMZN US Equity","CF_CHNG_NON_CASH_WORK_CAP","FQ4 2010","FQ4 2010","Currency=USD","Period=FQ","BEST_FPERIOD_OVERRIDE=FQ","FILING_STATUS=MR","SCALING_FORMAT=MLN","Sort=A","Dates=H","DateFormat=P","Fill=—","Direction=H","UseDPDF=Y")</f>
        <v>2737</v>
      </c>
      <c r="K13" s="13">
        <f>_xll.BDH("AMZN US Equity","CF_CHNG_NON_CASH_WORK_CAP","FQ1 2011","FQ1 2011","Currency=USD","Period=FQ","BEST_FPERIOD_OVERRIDE=FQ","FILING_STATUS=MR","SCALING_FORMAT=MLN","Sort=A","Dates=H","DateFormat=P","Fill=—","Direction=H","UseDPDF=Y")</f>
        <v>-2140</v>
      </c>
      <c r="L13" s="13">
        <f>_xll.BDH("AMZN US Equity","CF_CHNG_NON_CASH_WORK_CAP","FQ2 2011","FQ2 2011","Currency=USD","Period=FQ","BEST_FPERIOD_OVERRIDE=FQ","FILING_STATUS=MR","SCALING_FORMAT=MLN","Sort=A","Dates=H","DateFormat=P","Fill=—","Direction=H","UseDPDF=Y")</f>
        <v>-164</v>
      </c>
      <c r="M13" s="13">
        <f>_xll.BDH("AMZN US Equity","CF_CHNG_NON_CASH_WORK_CAP","FQ3 2011","FQ3 2011","Currency=USD","Period=FQ","BEST_FPERIOD_OVERRIDE=FQ","FILING_STATUS=MR","SCALING_FORMAT=MLN","Sort=A","Dates=H","DateFormat=P","Fill=—","Direction=H","UseDPDF=Y")</f>
        <v>285</v>
      </c>
      <c r="N13" s="13">
        <f>_xll.BDH("AMZN US Equity","CF_CHNG_NON_CASH_WORK_CAP","FQ4 2011","FQ4 2011","Currency=USD","Period=FQ","BEST_FPERIOD_OVERRIDE=FQ","FILING_STATUS=MR","SCALING_FORMAT=MLN","Sort=A","Dates=H","DateFormat=P","Fill=—","Direction=H","UseDPDF=Y")</f>
        <v>3481</v>
      </c>
      <c r="O13" s="13">
        <f>_xll.BDH("AMZN US Equity","CF_CHNG_NON_CASH_WORK_CAP","FQ1 2012","FQ1 2012","Currency=USD","Period=FQ","BEST_FPERIOD_OVERRIDE=FQ","FILING_STATUS=MR","SCALING_FORMAT=MLN","Sort=A","Dates=H","DateFormat=P","Fill=—","Direction=H","UseDPDF=Y")</f>
        <v>-3166</v>
      </c>
      <c r="P13" s="13">
        <f>_xll.BDH("AMZN US Equity","CF_CHNG_NON_CASH_WORK_CAP","FQ2 2012","FQ2 2012","Currency=USD","Period=FQ","BEST_FPERIOD_OVERRIDE=FQ","FILING_STATUS=MR","SCALING_FORMAT=MLN","Sort=A","Dates=H","DateFormat=P","Fill=—","Direction=H","UseDPDF=Y")</f>
        <v>-2</v>
      </c>
      <c r="Q13" s="13">
        <f>_xll.BDH("AMZN US Equity","CF_CHNG_NON_CASH_WORK_CAP","FQ3 2012","FQ3 2012","Currency=USD","Period=FQ","BEST_FPERIOD_OVERRIDE=FQ","FILING_STATUS=MR","SCALING_FORMAT=MLN","Sort=A","Dates=H","DateFormat=P","Fill=—","Direction=H","UseDPDF=Y")</f>
        <v>355</v>
      </c>
      <c r="R13" s="13">
        <f>_xll.BDH("AMZN US Equity","CF_CHNG_NON_CASH_WORK_CAP","FQ4 2012","FQ4 2012","Currency=USD","Period=FQ","BEST_FPERIOD_OVERRIDE=FQ","FILING_STATUS=MR","SCALING_FORMAT=MLN","Sort=A","Dates=H","DateFormat=P","Fill=—","Direction=H","UseDPDF=Y")</f>
        <v>4339</v>
      </c>
      <c r="S13" s="13">
        <f>_xll.BDH("AMZN US Equity","CF_CHNG_NON_CASH_WORK_CAP","FQ1 2013","FQ1 2013","Currency=USD","Period=FQ","BEST_FPERIOD_OVERRIDE=FQ","FILING_STATUS=MR","SCALING_FORMAT=MLN","Sort=A","Dates=H","DateFormat=P","Fill=—","Direction=H","UseDPDF=Y")</f>
        <v>-3402</v>
      </c>
      <c r="T13" s="13">
        <f>_xll.BDH("AMZN US Equity","CF_CHNG_NON_CASH_WORK_CAP","FQ2 2013","FQ2 2013","Currency=USD","Period=FQ","BEST_FPERIOD_OVERRIDE=FQ","FILING_STATUS=MR","SCALING_FORMAT=MLN","Sort=A","Dates=H","DateFormat=P","Fill=—","Direction=H","UseDPDF=Y")</f>
        <v>-262</v>
      </c>
      <c r="U13" s="13">
        <f>_xll.BDH("AMZN US Equity","CF_CHNG_NON_CASH_WORK_CAP","FQ3 2013","FQ3 2013","Currency=USD","Period=FQ","BEST_FPERIOD_OVERRIDE=FQ","FILING_STATUS=MR","SCALING_FORMAT=MLN","Sort=A","Dates=H","DateFormat=P","Fill=—","Direction=H","UseDPDF=Y")</f>
        <v>286</v>
      </c>
      <c r="V13" s="13">
        <f>_xll.BDH("AMZN US Equity","CF_CHNG_NON_CASH_WORK_CAP","FQ4 2013","FQ4 2013","Currency=USD","Period=FQ","BEST_FPERIOD_OVERRIDE=FQ","FILING_STATUS=MR","SCALING_FORMAT=MLN","Sort=A","Dates=H","DateFormat=P","Fill=—","Direction=H","UseDPDF=Y")</f>
        <v>4146</v>
      </c>
      <c r="W13" s="13">
        <f>_xll.BDH("AMZN US Equity","CF_CHNG_NON_CASH_WORK_CAP","FQ1 2014","FQ1 2014","Currency=USD","Period=FQ","BEST_FPERIOD_OVERRIDE=FQ","FILING_STATUS=MR","SCALING_FORMAT=MLN","Sort=A","Dates=H","DateFormat=P","Fill=—","Direction=H","UseDPDF=Y")</f>
        <v>-3620</v>
      </c>
      <c r="X13" s="13">
        <f>_xll.BDH("AMZN US Equity","CF_CHNG_NON_CASH_WORK_CAP","FQ2 2014","FQ2 2014","Currency=USD","Period=FQ","BEST_FPERIOD_OVERRIDE=FQ","FILING_STATUS=MR","SCALING_FORMAT=MLN","Sort=A","Dates=H","DateFormat=P","Fill=—","Direction=H","UseDPDF=Y")</f>
        <v>-482</v>
      </c>
      <c r="Y13" s="13">
        <f>_xll.BDH("AMZN US Equity","CF_CHNG_NON_CASH_WORK_CAP","FQ3 2014","FQ3 2014","Currency=USD","Period=FQ","BEST_FPERIOD_OVERRIDE=FQ","FILING_STATUS=MR","SCALING_FORMAT=MLN","Sort=A","Dates=H","DateFormat=P","Fill=—","Direction=H","UseDPDF=Y")</f>
        <v>779</v>
      </c>
      <c r="Z13" s="13">
        <f>_xll.BDH("AMZN US Equity","CF_CHNG_NON_CASH_WORK_CAP","FQ4 2014","FQ4 2014","Currency=USD","Period=FQ","BEST_FPERIOD_OVERRIDE=FQ","FILING_STATUS=MR","SCALING_FORMAT=MLN","Sort=A","Dates=H","DateFormat=P","Fill=—","Direction=H","UseDPDF=Y")</f>
        <v>4300</v>
      </c>
      <c r="AA13" s="13">
        <f>_xll.BDH("AMZN US Equity","CF_CHNG_NON_CASH_WORK_CAP","FQ1 2015","FQ1 2015","Currency=USD","Period=FQ","BEST_FPERIOD_OVERRIDE=FQ","FILING_STATUS=MR","SCALING_FORMAT=MLN","Sort=A","Dates=H","DateFormat=P","Fill=—","Direction=H","UseDPDF=Y")</f>
        <v>-3387</v>
      </c>
      <c r="AB13" s="13">
        <f>_xll.BDH("AMZN US Equity","CF_CHNG_NON_CASH_WORK_CAP","FQ2 2015","FQ2 2015","Currency=USD","Period=FQ","BEST_FPERIOD_OVERRIDE=FQ","FILING_STATUS=MR","SCALING_FORMAT=MLN","Sort=A","Dates=H","DateFormat=P","Fill=—","Direction=H","UseDPDF=Y")</f>
        <v>-85</v>
      </c>
      <c r="AC13" s="13">
        <f>_xll.BDH("AMZN US Equity","CF_CHNG_NON_CASH_WORK_CAP","FQ3 2015","FQ3 2015","Currency=USD","Period=FQ","BEST_FPERIOD_OVERRIDE=FQ","FILING_STATUS=MR","SCALING_FORMAT=MLN","Sort=A","Dates=H","DateFormat=P","Fill=—","Direction=H","UseDPDF=Y")</f>
        <v>454</v>
      </c>
      <c r="AD13" s="13">
        <f>_xll.BDH("AMZN US Equity","CF_CHNG_NON_CASH_WORK_CAP","FQ4 2015","FQ4 2015","Currency=USD","Period=FQ","BEST_FPERIOD_OVERRIDE=FQ","FILING_STATUS=MR","SCALING_FORMAT=MLN","Sort=A","Dates=H","DateFormat=P","Fill=—","Direction=H","UseDPDF=Y")</f>
        <v>5574</v>
      </c>
      <c r="AE13" s="13">
        <f>_xll.BDH("AMZN US Equity","CF_CHNG_NON_CASH_WORK_CAP","FQ1 2016","FQ1 2016","Currency=USD","Period=FQ","BEST_FPERIOD_OVERRIDE=FQ","FILING_STATUS=MR","SCALING_FORMAT=MLN","Sort=A","Dates=H","DateFormat=P","Fill=—","Direction=H","UseDPDF=Y")</f>
        <v>-4841</v>
      </c>
      <c r="AF13" s="13">
        <f>_xll.BDH("AMZN US Equity","CF_CHNG_NON_CASH_WORK_CAP","FQ2 2016","FQ2 2016","Currency=USD","Period=FQ","BEST_FPERIOD_OVERRIDE=FQ","FILING_STATUS=MR","SCALING_FORMAT=MLN","Sort=A","Dates=H","DateFormat=P","Fill=—","Direction=H","UseDPDF=Y")</f>
        <v>-147</v>
      </c>
      <c r="AG13" s="13">
        <f>_xll.BDH("AMZN US Equity","CF_CHNG_NON_CASH_WORK_CAP","FQ3 2016","FQ3 2016","Currency=USD","Period=FQ","BEST_FPERIOD_OVERRIDE=FQ","FILING_STATUS=MR","SCALING_FORMAT=MLN","Sort=A","Dates=H","DateFormat=P","Fill=—","Direction=H","UseDPDF=Y")</f>
        <v>1620</v>
      </c>
      <c r="AH13" s="13">
        <f>_xll.BDH("AMZN US Equity","CF_CHNG_NON_CASH_WORK_CAP","FQ4 2016","FQ4 2016","Currency=USD","Period=FQ","BEST_FPERIOD_OVERRIDE=FQ","FILING_STATUS=MR","SCALING_FORMAT=MLN","Sort=A","Dates=H","DateFormat=P","Fill=—","Direction=H","UseDPDF=Y")</f>
        <v>7284</v>
      </c>
      <c r="AI13" s="13">
        <f>_xll.BDH("AMZN US Equity","CF_CHNG_NON_CASH_WORK_CAP","FQ1 2017","FQ1 2017","Currency=USD","Period=FQ","BEST_FPERIOD_OVERRIDE=FQ","FILING_STATUS=MR","SCALING_FORMAT=MLN","Sort=A","Dates=H","DateFormat=P","Fill=—","Direction=H","UseDPDF=Y")</f>
        <v>-5550</v>
      </c>
      <c r="AJ13" s="13">
        <f>_xll.BDH("AMZN US Equity","CF_CHNG_NON_CASH_WORK_CAP","FQ2 2017","FQ2 2017","Currency=USD","Period=FQ","BEST_FPERIOD_OVERRIDE=FQ","FILING_STATUS=MR","SCALING_FORMAT=MLN","Sort=A","Dates=H","DateFormat=P","Fill=—","Direction=H","UseDPDF=Y")</f>
        <v>-454</v>
      </c>
      <c r="AK13" s="13">
        <f>_xll.BDH("AMZN US Equity","CF_CHNG_NON_CASH_WORK_CAP","FQ3 2017","FQ3 2017","Currency=USD","Period=FQ","BEST_FPERIOD_OVERRIDE=FQ","FILING_STATUS=MR","SCALING_FORMAT=MLN","Sort=A","Dates=H","DateFormat=P","Fill=—","Direction=H","UseDPDF=Y")</f>
        <v>-243</v>
      </c>
      <c r="AL13" s="13">
        <f>_xll.BDH("AMZN US Equity","CF_CHNG_NON_CASH_WORK_CAP","FQ4 2017","FQ4 2017","Currency=USD","Period=FQ","BEST_FPERIOD_OVERRIDE=FQ","FILING_STATUS=MR","SCALING_FORMAT=MLN","Sort=A","Dates=H","DateFormat=P","Fill=—","Direction=H","UseDPDF=Y")</f>
        <v>6068</v>
      </c>
      <c r="AM13" s="13">
        <f>_xll.BDH("AMZN US Equity","CF_CHNG_NON_CASH_WORK_CAP","FQ1 2018","FQ1 2018","Currency=USD","Period=FQ","BEST_FPERIOD_OVERRIDE=FQ","FILING_STATUS=MR","SCALING_FORMAT=MLN","Sort=A","Dates=H","DateFormat=P","Fill=—","Direction=H","UseDPDF=Y")</f>
        <v>-8286</v>
      </c>
      <c r="AN13" s="13">
        <f>_xll.BDH("AMZN US Equity","CF_CHNG_NON_CASH_WORK_CAP","FQ2 2018","FQ2 2018","Currency=USD","Period=FQ","BEST_FPERIOD_OVERRIDE=FQ","FILING_STATUS=MR","SCALING_FORMAT=MLN","Sort=A","Dates=H","DateFormat=P","Fill=—","Direction=H","UseDPDF=Y")</f>
        <v>-239</v>
      </c>
    </row>
    <row r="14" spans="1:40" x14ac:dyDescent="0.25">
      <c r="A14" s="10" t="s">
        <v>377</v>
      </c>
      <c r="B14" s="10" t="s">
        <v>378</v>
      </c>
      <c r="C14" s="13">
        <f>_xll.BDH("AMZN US Equity","CF_ACCT_RCV_UNBILLED_REV","FQ1 2009","FQ1 2009","Currency=USD","Period=FQ","BEST_FPERIOD_OVERRIDE=FQ","FILING_STATUS=MR","SCALING_FORMAT=MLN","Sort=A","Dates=H","DateFormat=P","Fill=—","Direction=H","UseDPDF=Y")</f>
        <v>167</v>
      </c>
      <c r="D14" s="13">
        <f>_xll.BDH("AMZN US Equity","CF_ACCT_RCV_UNBILLED_REV","FQ2 2009","FQ2 2009","Currency=USD","Period=FQ","BEST_FPERIOD_OVERRIDE=FQ","FILING_STATUS=MR","SCALING_FORMAT=MLN","Sort=A","Dates=H","DateFormat=P","Fill=—","Direction=H","UseDPDF=Y")</f>
        <v>16</v>
      </c>
      <c r="E14" s="13">
        <f>_xll.BDH("AMZN US Equity","CF_ACCT_RCV_UNBILLED_REV","FQ3 2009","FQ3 2009","Currency=USD","Period=FQ","BEST_FPERIOD_OVERRIDE=FQ","FILING_STATUS=MR","SCALING_FORMAT=MLN","Sort=A","Dates=H","DateFormat=P","Fill=—","Direction=H","UseDPDF=Y")</f>
        <v>-155</v>
      </c>
      <c r="F14" s="13">
        <f>_xll.BDH("AMZN US Equity","CF_ACCT_RCV_UNBILLED_REV","FQ4 2009","FQ4 2009","Currency=USD","Period=FQ","BEST_FPERIOD_OVERRIDE=FQ","FILING_STATUS=MR","SCALING_FORMAT=MLN","Sort=A","Dates=H","DateFormat=P","Fill=—","Direction=H","UseDPDF=Y")</f>
        <v>-509</v>
      </c>
      <c r="G14" s="13">
        <f>_xll.BDH("AMZN US Equity","CF_ACCT_RCV_UNBILLED_REV","FQ1 2010","FQ1 2010","Currency=USD","Period=FQ","BEST_FPERIOD_OVERRIDE=FQ","FILING_STATUS=MR","SCALING_FORMAT=MLN","Sort=A","Dates=H","DateFormat=P","Fill=—","Direction=H","UseDPDF=Y")</f>
        <v>454</v>
      </c>
      <c r="H14" s="13">
        <f>_xll.BDH("AMZN US Equity","CF_ACCT_RCV_UNBILLED_REV","FQ2 2010","FQ2 2010","Currency=USD","Period=FQ","BEST_FPERIOD_OVERRIDE=FQ","FILING_STATUS=MR","SCALING_FORMAT=MLN","Sort=A","Dates=H","DateFormat=P","Fill=—","Direction=H","UseDPDF=Y")</f>
        <v>-42</v>
      </c>
      <c r="I14" s="13">
        <f>_xll.BDH("AMZN US Equity","CF_ACCT_RCV_UNBILLED_REV","FQ3 2010","FQ3 2010","Currency=USD","Period=FQ","BEST_FPERIOD_OVERRIDE=FQ","FILING_STATUS=MR","SCALING_FORMAT=MLN","Sort=A","Dates=H","DateFormat=P","Fill=—","Direction=H","UseDPDF=Y")</f>
        <v>-64</v>
      </c>
      <c r="J14" s="13">
        <f>_xll.BDH("AMZN US Equity","CF_ACCT_RCV_UNBILLED_REV","FQ4 2010","FQ4 2010","Currency=USD","Period=FQ","BEST_FPERIOD_OVERRIDE=FQ","FILING_STATUS=MR","SCALING_FORMAT=MLN","Sort=A","Dates=H","DateFormat=P","Fill=—","Direction=H","UseDPDF=Y")</f>
        <v>-531</v>
      </c>
      <c r="K14" s="13">
        <f>_xll.BDH("AMZN US Equity","CF_ACCT_RCV_UNBILLED_REV","FQ1 2011","FQ1 2011","Currency=USD","Period=FQ","BEST_FPERIOD_OVERRIDE=FQ","FILING_STATUS=MR","SCALING_FORMAT=MLN","Sort=A","Dates=H","DateFormat=P","Fill=—","Direction=H","UseDPDF=Y")</f>
        <v>359</v>
      </c>
      <c r="L14" s="13">
        <f>_xll.BDH("AMZN US Equity","CF_ACCT_RCV_UNBILLED_REV","FQ2 2011","FQ2 2011","Currency=USD","Period=FQ","BEST_FPERIOD_OVERRIDE=FQ","FILING_STATUS=MR","SCALING_FORMAT=MLN","Sort=A","Dates=H","DateFormat=P","Fill=—","Direction=H","UseDPDF=Y")</f>
        <v>-73</v>
      </c>
      <c r="M14" s="13">
        <f>_xll.BDH("AMZN US Equity","CF_ACCT_RCV_UNBILLED_REV","FQ3 2011","FQ3 2011","Currency=USD","Period=FQ","BEST_FPERIOD_OVERRIDE=FQ","FILING_STATUS=MR","SCALING_FORMAT=MLN","Sort=A","Dates=H","DateFormat=P","Fill=—","Direction=H","UseDPDF=Y")</f>
        <v>-75</v>
      </c>
      <c r="N14" s="13">
        <f>_xll.BDH("AMZN US Equity","CF_ACCT_RCV_UNBILLED_REV","FQ4 2011","FQ4 2011","Currency=USD","Period=FQ","BEST_FPERIOD_OVERRIDE=FQ","FILING_STATUS=MR","SCALING_FORMAT=MLN","Sort=A","Dates=H","DateFormat=P","Fill=—","Direction=H","UseDPDF=Y")</f>
        <v>-1077</v>
      </c>
      <c r="O14" s="13">
        <f>_xll.BDH("AMZN US Equity","CF_ACCT_RCV_UNBILLED_REV","FQ1 2012","FQ1 2012","Currency=USD","Period=FQ","BEST_FPERIOD_OVERRIDE=FQ","FILING_STATUS=MR","SCALING_FORMAT=MLN","Sort=A","Dates=H","DateFormat=P","Fill=—","Direction=H","UseDPDF=Y")</f>
        <v>746</v>
      </c>
      <c r="P14" s="13">
        <f>_xll.BDH("AMZN US Equity","CF_ACCT_RCV_UNBILLED_REV","FQ2 2012","FQ2 2012","Currency=USD","Period=FQ","BEST_FPERIOD_OVERRIDE=FQ","FILING_STATUS=MR","SCALING_FORMAT=MLN","Sort=A","Dates=H","DateFormat=P","Fill=—","Direction=H","UseDPDF=Y")</f>
        <v>-166</v>
      </c>
      <c r="Q14" s="13">
        <f>_xll.BDH("AMZN US Equity","CF_ACCT_RCV_UNBILLED_REV","FQ3 2012","FQ3 2012","Currency=USD","Period=FQ","BEST_FPERIOD_OVERRIDE=FQ","FILING_STATUS=MR","SCALING_FORMAT=MLN","Sort=A","Dates=H","DateFormat=P","Fill=—","Direction=H","UseDPDF=Y")</f>
        <v>-416</v>
      </c>
      <c r="R14" s="13">
        <f>_xll.BDH("AMZN US Equity","CF_ACCT_RCV_UNBILLED_REV","FQ4 2012","FQ4 2012","Currency=USD","Period=FQ","BEST_FPERIOD_OVERRIDE=FQ","FILING_STATUS=MR","SCALING_FORMAT=MLN","Sort=A","Dates=H","DateFormat=P","Fill=—","Direction=H","UseDPDF=Y")</f>
        <v>-1024</v>
      </c>
      <c r="S14" s="13">
        <f>_xll.BDH("AMZN US Equity","CF_ACCT_RCV_UNBILLED_REV","FQ1 2013","FQ1 2013","Currency=USD","Period=FQ","BEST_FPERIOD_OVERRIDE=FQ","FILING_STATUS=MR","SCALING_FORMAT=MLN","Sort=A","Dates=H","DateFormat=P","Fill=—","Direction=H","UseDPDF=Y")</f>
        <v>729</v>
      </c>
      <c r="T14" s="13">
        <f>_xll.BDH("AMZN US Equity","CF_ACCT_RCV_UNBILLED_REV","FQ2 2013","FQ2 2013","Currency=USD","Period=FQ","BEST_FPERIOD_OVERRIDE=FQ","FILING_STATUS=MR","SCALING_FORMAT=MLN","Sort=A","Dates=H","DateFormat=P","Fill=—","Direction=H","UseDPDF=Y")</f>
        <v>-211</v>
      </c>
      <c r="U14" s="13">
        <f>_xll.BDH("AMZN US Equity","CF_ACCT_RCV_UNBILLED_REV","FQ3 2013","FQ3 2013","Currency=USD","Period=FQ","BEST_FPERIOD_OVERRIDE=FQ","FILING_STATUS=MR","SCALING_FORMAT=MLN","Sort=A","Dates=H","DateFormat=P","Fill=—","Direction=H","UseDPDF=Y")</f>
        <v>-125</v>
      </c>
      <c r="V14" s="13">
        <f>_xll.BDH("AMZN US Equity","CF_ACCT_RCV_UNBILLED_REV","FQ4 2013","FQ4 2013","Currency=USD","Period=FQ","BEST_FPERIOD_OVERRIDE=FQ","FILING_STATUS=MR","SCALING_FORMAT=MLN","Sort=A","Dates=H","DateFormat=P","Fill=—","Direction=H","UseDPDF=Y")</f>
        <v>-1239</v>
      </c>
      <c r="W14" s="13">
        <f>_xll.BDH("AMZN US Equity","CF_ACCT_RCV_UNBILLED_REV","FQ1 2014","FQ1 2014","Currency=USD","Period=FQ","BEST_FPERIOD_OVERRIDE=FQ","FILING_STATUS=MR","SCALING_FORMAT=MLN","Sort=A","Dates=H","DateFormat=P","Fill=—","Direction=H","UseDPDF=Y")</f>
        <v>727</v>
      </c>
      <c r="X14" s="13">
        <f>_xll.BDH("AMZN US Equity","CF_ACCT_RCV_UNBILLED_REV","FQ2 2014","FQ2 2014","Currency=USD","Period=FQ","BEST_FPERIOD_OVERRIDE=FQ","FILING_STATUS=MR","SCALING_FORMAT=MLN","Sort=A","Dates=H","DateFormat=P","Fill=—","Direction=H","UseDPDF=Y")</f>
        <v>-299</v>
      </c>
      <c r="Y14" s="13">
        <f>_xll.BDH("AMZN US Equity","CF_ACCT_RCV_UNBILLED_REV","FQ3 2014","FQ3 2014","Currency=USD","Period=FQ","BEST_FPERIOD_OVERRIDE=FQ","FILING_STATUS=MR","SCALING_FORMAT=MLN","Sort=A","Dates=H","DateFormat=P","Fill=—","Direction=H","UseDPDF=Y")</f>
        <v>-362</v>
      </c>
      <c r="Z14" s="13">
        <f>_xll.BDH("AMZN US Equity","CF_ACCT_RCV_UNBILLED_REV","FQ4 2014","FQ4 2014","Currency=USD","Period=FQ","BEST_FPERIOD_OVERRIDE=FQ","FILING_STATUS=MR","SCALING_FORMAT=MLN","Sort=A","Dates=H","DateFormat=P","Fill=—","Direction=H","UseDPDF=Y")</f>
        <v>-1104</v>
      </c>
      <c r="AA14" s="13">
        <f>_xll.BDH("AMZN US Equity","CF_ACCT_RCV_UNBILLED_REV","FQ1 2015","FQ1 2015","Currency=USD","Period=FQ","BEST_FPERIOD_OVERRIDE=FQ","FILING_STATUS=MR","SCALING_FORMAT=MLN","Sort=A","Dates=H","DateFormat=P","Fill=—","Direction=H","UseDPDF=Y")</f>
        <v>441</v>
      </c>
      <c r="AB14" s="13">
        <f>_xll.BDH("AMZN US Equity","CF_ACCT_RCV_UNBILLED_REV","FQ2 2015","FQ2 2015","Currency=USD","Period=FQ","BEST_FPERIOD_OVERRIDE=FQ","FILING_STATUS=MR","SCALING_FORMAT=MLN","Sort=A","Dates=H","DateFormat=P","Fill=—","Direction=H","UseDPDF=Y")</f>
        <v>-430</v>
      </c>
      <c r="AC14" s="13">
        <f>_xll.BDH("AMZN US Equity","CF_ACCT_RCV_UNBILLED_REV","FQ3 2015","FQ3 2015","Currency=USD","Period=FQ","BEST_FPERIOD_OVERRIDE=FQ","FILING_STATUS=MR","SCALING_FORMAT=MLN","Sort=A","Dates=H","DateFormat=P","Fill=—","Direction=H","UseDPDF=Y")</f>
        <v>-588</v>
      </c>
      <c r="AD14" s="13">
        <f>_xll.BDH("AMZN US Equity","CF_ACCT_RCV_UNBILLED_REV","FQ4 2015","FQ4 2015","Currency=USD","Period=FQ","BEST_FPERIOD_OVERRIDE=FQ","FILING_STATUS=MR","SCALING_FORMAT=MLN","Sort=A","Dates=H","DateFormat=P","Fill=—","Direction=H","UseDPDF=Y")</f>
        <v>-1178</v>
      </c>
      <c r="AE14" s="13">
        <f>_xll.BDH("AMZN US Equity","CF_ACCT_RCV_UNBILLED_REV","FQ1 2016","FQ1 2016","Currency=USD","Period=FQ","BEST_FPERIOD_OVERRIDE=FQ","FILING_STATUS=MR","SCALING_FORMAT=MLN","Sort=A","Dates=H","DateFormat=P","Fill=—","Direction=H","UseDPDF=Y")</f>
        <v>412</v>
      </c>
      <c r="AF14" s="13">
        <f>_xll.BDH("AMZN US Equity","CF_ACCT_RCV_UNBILLED_REV","FQ2 2016","FQ2 2016","Currency=USD","Period=FQ","BEST_FPERIOD_OVERRIDE=FQ","FILING_STATUS=MR","SCALING_FORMAT=MLN","Sort=A","Dates=H","DateFormat=P","Fill=—","Direction=H","UseDPDF=Y")</f>
        <v>-1184</v>
      </c>
      <c r="AG14" s="13">
        <f>_xll.BDH("AMZN US Equity","CF_ACCT_RCV_UNBILLED_REV","FQ3 2016","FQ3 2016","Currency=USD","Period=FQ","BEST_FPERIOD_OVERRIDE=FQ","FILING_STATUS=MR","SCALING_FORMAT=MLN","Sort=A","Dates=H","DateFormat=P","Fill=—","Direction=H","UseDPDF=Y")</f>
        <v>-671</v>
      </c>
      <c r="AH14" s="13">
        <f>_xll.BDH("AMZN US Equity","CF_ACCT_RCV_UNBILLED_REV","FQ4 2016","FQ4 2016","Currency=USD","Period=FQ","BEST_FPERIOD_OVERRIDE=FQ","FILING_STATUS=MR","SCALING_FORMAT=MLN","Sort=A","Dates=H","DateFormat=P","Fill=—","Direction=H","UseDPDF=Y")</f>
        <v>-1924</v>
      </c>
      <c r="AI14" s="13">
        <f>_xll.BDH("AMZN US Equity","CF_ACCT_RCV_UNBILLED_REV","FQ1 2017","FQ1 2017","Currency=USD","Period=FQ","BEST_FPERIOD_OVERRIDE=FQ","FILING_STATUS=MR","SCALING_FORMAT=MLN","Sort=A","Dates=H","DateFormat=P","Fill=—","Direction=H","UseDPDF=Y")</f>
        <v>965</v>
      </c>
      <c r="AJ14" s="13">
        <f>_xll.BDH("AMZN US Equity","CF_ACCT_RCV_UNBILLED_REV","FQ2 2017","FQ2 2017","Currency=USD","Period=FQ","BEST_FPERIOD_OVERRIDE=FQ","FILING_STATUS=MR","SCALING_FORMAT=MLN","Sort=A","Dates=H","DateFormat=P","Fill=—","Direction=H","UseDPDF=Y")</f>
        <v>-1221</v>
      </c>
      <c r="AK14" s="13">
        <f>_xll.BDH("AMZN US Equity","CF_ACCT_RCV_UNBILLED_REV","FQ3 2017","FQ3 2017","Currency=USD","Period=FQ","BEST_FPERIOD_OVERRIDE=FQ","FILING_STATUS=MR","SCALING_FORMAT=MLN","Sort=A","Dates=H","DateFormat=P","Fill=—","Direction=H","UseDPDF=Y")</f>
        <v>-1758</v>
      </c>
      <c r="AL14" s="13">
        <f>_xll.BDH("AMZN US Equity","CF_ACCT_RCV_UNBILLED_REV","FQ4 2017","FQ4 2017","Currency=USD","Period=FQ","BEST_FPERIOD_OVERRIDE=FQ","FILING_STATUS=MR","SCALING_FORMAT=MLN","Sort=A","Dates=H","DateFormat=P","Fill=—","Direction=H","UseDPDF=Y")</f>
        <v>-2781</v>
      </c>
      <c r="AM14" s="13">
        <f>_xll.BDH("AMZN US Equity","CF_ACCT_RCV_UNBILLED_REV","FQ1 2018","FQ1 2018","Currency=USD","Period=FQ","BEST_FPERIOD_OVERRIDE=FQ","FILING_STATUS=MR","SCALING_FORMAT=MLN","Sort=A","Dates=H","DateFormat=P","Fill=—","Direction=H","UseDPDF=Y")</f>
        <v>1029</v>
      </c>
      <c r="AN14" s="13">
        <f>_xll.BDH("AMZN US Equity","CF_ACCT_RCV_UNBILLED_REV","FQ2 2018","FQ2 2018","Currency=USD","Period=FQ","BEST_FPERIOD_OVERRIDE=FQ","FILING_STATUS=MR","SCALING_FORMAT=MLN","Sort=A","Dates=H","DateFormat=P","Fill=—","Direction=H","UseDPDF=Y")</f>
        <v>-1364</v>
      </c>
    </row>
    <row r="15" spans="1:40" x14ac:dyDescent="0.25">
      <c r="A15" s="10" t="s">
        <v>379</v>
      </c>
      <c r="B15" s="10" t="s">
        <v>380</v>
      </c>
      <c r="C15" s="13">
        <f>_xll.BDH("AMZN US Equity","CF_CHANGE_IN_INVENTORIES","FQ1 2009","FQ1 2009","Currency=USD","Period=FQ","BEST_FPERIOD_OVERRIDE=FQ","FILING_STATUS=MR","SCALING_FORMAT=MLN","Sort=A","Dates=H","DateFormat=P","Fill=—","Direction=H","UseDPDF=Y")</f>
        <v>107</v>
      </c>
      <c r="D15" s="13">
        <f>_xll.BDH("AMZN US Equity","CF_CHANGE_IN_INVENTORIES","FQ2 2009","FQ2 2009","Currency=USD","Period=FQ","BEST_FPERIOD_OVERRIDE=FQ","FILING_STATUS=MR","SCALING_FORMAT=MLN","Sort=A","Dates=H","DateFormat=P","Fill=—","Direction=H","UseDPDF=Y")</f>
        <v>-23</v>
      </c>
      <c r="E15" s="13">
        <f>_xll.BDH("AMZN US Equity","CF_CHANGE_IN_INVENTORIES","FQ3 2009","FQ3 2009","Currency=USD","Period=FQ","BEST_FPERIOD_OVERRIDE=FQ","FILING_STATUS=MR","SCALING_FORMAT=MLN","Sort=A","Dates=H","DateFormat=P","Fill=—","Direction=H","UseDPDF=Y")</f>
        <v>-276</v>
      </c>
      <c r="F15" s="13">
        <f>_xll.BDH("AMZN US Equity","CF_CHANGE_IN_INVENTORIES","FQ4 2009","FQ4 2009","Currency=USD","Period=FQ","BEST_FPERIOD_OVERRIDE=FQ","FILING_STATUS=MR","SCALING_FORMAT=MLN","Sort=A","Dates=H","DateFormat=P","Fill=—","Direction=H","UseDPDF=Y")</f>
        <v>-340</v>
      </c>
      <c r="G15" s="13">
        <f>_xll.BDH("AMZN US Equity","CF_CHANGE_IN_INVENTORIES","FQ1 2010","FQ1 2010","Currency=USD","Period=FQ","BEST_FPERIOD_OVERRIDE=FQ","FILING_STATUS=MR","SCALING_FORMAT=MLN","Sort=A","Dates=H","DateFormat=P","Fill=—","Direction=H","UseDPDF=Y")</f>
        <v>321</v>
      </c>
      <c r="H15" s="13">
        <f>_xll.BDH("AMZN US Equity","CF_CHANGE_IN_INVENTORIES","FQ2 2010","FQ2 2010","Currency=USD","Period=FQ","BEST_FPERIOD_OVERRIDE=FQ","FILING_STATUS=MR","SCALING_FORMAT=MLN","Sort=A","Dates=H","DateFormat=P","Fill=—","Direction=H","UseDPDF=Y")</f>
        <v>-141</v>
      </c>
      <c r="I15" s="13">
        <f>_xll.BDH("AMZN US Equity","CF_CHANGE_IN_INVENTORIES","FQ3 2010","FQ3 2010","Currency=USD","Period=FQ","BEST_FPERIOD_OVERRIDE=FQ","FILING_STATUS=MR","SCALING_FORMAT=MLN","Sort=A","Dates=H","DateFormat=P","Fill=—","Direction=H","UseDPDF=Y")</f>
        <v>-505</v>
      </c>
      <c r="J15" s="13">
        <f>_xll.BDH("AMZN US Equity","CF_CHANGE_IN_INVENTORIES","FQ4 2010","FQ4 2010","Currency=USD","Period=FQ","BEST_FPERIOD_OVERRIDE=FQ","FILING_STATUS=MR","SCALING_FORMAT=MLN","Sort=A","Dates=H","DateFormat=P","Fill=—","Direction=H","UseDPDF=Y")</f>
        <v>-693</v>
      </c>
      <c r="K15" s="13">
        <f>_xll.BDH("AMZN US Equity","CF_CHANGE_IN_INVENTORIES","FQ1 2011","FQ1 2011","Currency=USD","Period=FQ","BEST_FPERIOD_OVERRIDE=FQ","FILING_STATUS=MR","SCALING_FORMAT=MLN","Sort=A","Dates=H","DateFormat=P","Fill=—","Direction=H","UseDPDF=Y")</f>
        <v>343</v>
      </c>
      <c r="L15" s="13">
        <f>_xll.BDH("AMZN US Equity","CF_CHANGE_IN_INVENTORIES","FQ2 2011","FQ2 2011","Currency=USD","Period=FQ","BEST_FPERIOD_OVERRIDE=FQ","FILING_STATUS=MR","SCALING_FORMAT=MLN","Sort=A","Dates=H","DateFormat=P","Fill=—","Direction=H","UseDPDF=Y")</f>
        <v>-274</v>
      </c>
      <c r="M15" s="13">
        <f>_xll.BDH("AMZN US Equity","CF_CHANGE_IN_INVENTORIES","FQ3 2011","FQ3 2011","Currency=USD","Period=FQ","BEST_FPERIOD_OVERRIDE=FQ","FILING_STATUS=MR","SCALING_FORMAT=MLN","Sort=A","Dates=H","DateFormat=P","Fill=—","Direction=H","UseDPDF=Y")</f>
        <v>-587</v>
      </c>
      <c r="N15" s="13">
        <f>_xll.BDH("AMZN US Equity","CF_CHANGE_IN_INVENTORIES","FQ4 2011","FQ4 2011","Currency=USD","Period=FQ","BEST_FPERIOD_OVERRIDE=FQ","FILING_STATUS=MR","SCALING_FORMAT=MLN","Sort=A","Dates=H","DateFormat=P","Fill=—","Direction=H","UseDPDF=Y")</f>
        <v>-1260</v>
      </c>
      <c r="O15" s="13">
        <f>_xll.BDH("AMZN US Equity","CF_CHANGE_IN_INVENTORIES","FQ1 2012","FQ1 2012","Currency=USD","Period=FQ","BEST_FPERIOD_OVERRIDE=FQ","FILING_STATUS=MR","SCALING_FORMAT=MLN","Sort=A","Dates=H","DateFormat=P","Fill=—","Direction=H","UseDPDF=Y")</f>
        <v>747</v>
      </c>
      <c r="P15" s="13">
        <f>_xll.BDH("AMZN US Equity","CF_CHANGE_IN_INVENTORIES","FQ2 2012","FQ2 2012","Currency=USD","Period=FQ","BEST_FPERIOD_OVERRIDE=FQ","FILING_STATUS=MR","SCALING_FORMAT=MLN","Sort=A","Dates=H","DateFormat=P","Fill=—","Direction=H","UseDPDF=Y")</f>
        <v>-124</v>
      </c>
      <c r="Q15" s="13">
        <f>_xll.BDH("AMZN US Equity","CF_CHANGE_IN_INVENTORIES","FQ3 2012","FQ3 2012","Currency=USD","Period=FQ","BEST_FPERIOD_OVERRIDE=FQ","FILING_STATUS=MR","SCALING_FORMAT=MLN","Sort=A","Dates=H","DateFormat=P","Fill=—","Direction=H","UseDPDF=Y")</f>
        <v>-647</v>
      </c>
      <c r="R15" s="13">
        <f>_xll.BDH("AMZN US Equity","CF_CHANGE_IN_INVENTORIES","FQ4 2012","FQ4 2012","Currency=USD","Period=FQ","BEST_FPERIOD_OVERRIDE=FQ","FILING_STATUS=MR","SCALING_FORMAT=MLN","Sort=A","Dates=H","DateFormat=P","Fill=—","Direction=H","UseDPDF=Y")</f>
        <v>-974</v>
      </c>
      <c r="S15" s="13">
        <f>_xll.BDH("AMZN US Equity","CF_CHANGE_IN_INVENTORIES","FQ1 2013","FQ1 2013","Currency=USD","Period=FQ","BEST_FPERIOD_OVERRIDE=FQ","FILING_STATUS=MR","SCALING_FORMAT=MLN","Sort=A","Dates=H","DateFormat=P","Fill=—","Direction=H","UseDPDF=Y")</f>
        <v>535</v>
      </c>
      <c r="T15" s="13">
        <f>_xll.BDH("AMZN US Equity","CF_CHANGE_IN_INVENTORIES","FQ2 2013","FQ2 2013","Currency=USD","Period=FQ","BEST_FPERIOD_OVERRIDE=FQ","FILING_STATUS=MR","SCALING_FORMAT=MLN","Sort=A","Dates=H","DateFormat=P","Fill=—","Direction=H","UseDPDF=Y")</f>
        <v>-30</v>
      </c>
      <c r="U15" s="13">
        <f>_xll.BDH("AMZN US Equity","CF_CHANGE_IN_INVENTORIES","FQ3 2013","FQ3 2013","Currency=USD","Period=FQ","BEST_FPERIOD_OVERRIDE=FQ","FILING_STATUS=MR","SCALING_FORMAT=MLN","Sort=A","Dates=H","DateFormat=P","Fill=—","Direction=H","UseDPDF=Y")</f>
        <v>-586</v>
      </c>
      <c r="V15" s="13">
        <f>_xll.BDH("AMZN US Equity","CF_CHANGE_IN_INVENTORIES","FQ4 2013","FQ4 2013","Currency=USD","Period=FQ","BEST_FPERIOD_OVERRIDE=FQ","FILING_STATUS=MR","SCALING_FORMAT=MLN","Sort=A","Dates=H","DateFormat=P","Fill=—","Direction=H","UseDPDF=Y")</f>
        <v>-1330</v>
      </c>
      <c r="W15" s="13">
        <f>_xll.BDH("AMZN US Equity","CF_CHANGE_IN_INVENTORIES","FQ1 2014","FQ1 2014","Currency=USD","Period=FQ","BEST_FPERIOD_OVERRIDE=FQ","FILING_STATUS=MR","SCALING_FORMAT=MLN","Sort=A","Dates=H","DateFormat=P","Fill=—","Direction=H","UseDPDF=Y")</f>
        <v>699</v>
      </c>
      <c r="X15" s="13">
        <f>_xll.BDH("AMZN US Equity","CF_CHANGE_IN_INVENTORIES","FQ2 2014","FQ2 2014","Currency=USD","Period=FQ","BEST_FPERIOD_OVERRIDE=FQ","FILING_STATUS=MR","SCALING_FORMAT=MLN","Sort=A","Dates=H","DateFormat=P","Fill=—","Direction=H","UseDPDF=Y")</f>
        <v>92</v>
      </c>
      <c r="Y15" s="13">
        <f>_xll.BDH("AMZN US Equity","CF_CHANGE_IN_INVENTORIES","FQ3 2014","FQ3 2014","Currency=USD","Period=FQ","BEST_FPERIOD_OVERRIDE=FQ","FILING_STATUS=MR","SCALING_FORMAT=MLN","Sort=A","Dates=H","DateFormat=P","Fill=—","Direction=H","UseDPDF=Y")</f>
        <v>-845</v>
      </c>
      <c r="Z15" s="13">
        <f>_xll.BDH("AMZN US Equity","CF_CHANGE_IN_INVENTORIES","FQ4 2014","FQ4 2014","Currency=USD","Period=FQ","BEST_FPERIOD_OVERRIDE=FQ","FILING_STATUS=MR","SCALING_FORMAT=MLN","Sort=A","Dates=H","DateFormat=P","Fill=—","Direction=H","UseDPDF=Y")</f>
        <v>-1139</v>
      </c>
      <c r="AA15" s="13">
        <f>_xll.BDH("AMZN US Equity","CF_CHANGE_IN_INVENTORIES","FQ1 2015","FQ1 2015","Currency=USD","Period=FQ","BEST_FPERIOD_OVERRIDE=FQ","FILING_STATUS=MR","SCALING_FORMAT=MLN","Sort=A","Dates=H","DateFormat=P","Fill=—","Direction=H","UseDPDF=Y")</f>
        <v>721</v>
      </c>
      <c r="AB15" s="13">
        <f>_xll.BDH("AMZN US Equity","CF_CHANGE_IN_INVENTORIES","FQ2 2015","FQ2 2015","Currency=USD","Period=FQ","BEST_FPERIOD_OVERRIDE=FQ","FILING_STATUS=MR","SCALING_FORMAT=MLN","Sort=A","Dates=H","DateFormat=P","Fill=—","Direction=H","UseDPDF=Y")</f>
        <v>-27</v>
      </c>
      <c r="AC15" s="13">
        <f>_xll.BDH("AMZN US Equity","CF_CHANGE_IN_INVENTORIES","FQ3 2015","FQ3 2015","Currency=USD","Period=FQ","BEST_FPERIOD_OVERRIDE=FQ","FILING_STATUS=MR","SCALING_FORMAT=MLN","Sort=A","Dates=H","DateFormat=P","Fill=—","Direction=H","UseDPDF=Y")</f>
        <v>-1537</v>
      </c>
      <c r="AD15" s="13">
        <f>_xll.BDH("AMZN US Equity","CF_CHANGE_IN_INVENTORIES","FQ4 2015","FQ4 2015","Currency=USD","Period=FQ","BEST_FPERIOD_OVERRIDE=FQ","FILING_STATUS=MR","SCALING_FORMAT=MLN","Sort=A","Dates=H","DateFormat=P","Fill=—","Direction=H","UseDPDF=Y")</f>
        <v>-1343</v>
      </c>
      <c r="AE15" s="13">
        <f>_xll.BDH("AMZN US Equity","CF_CHANGE_IN_INVENTORIES","FQ1 2016","FQ1 2016","Currency=USD","Period=FQ","BEST_FPERIOD_OVERRIDE=FQ","FILING_STATUS=MR","SCALING_FORMAT=MLN","Sort=A","Dates=H","DateFormat=P","Fill=—","Direction=H","UseDPDF=Y")</f>
        <v>769</v>
      </c>
      <c r="AF15" s="13">
        <f>_xll.BDH("AMZN US Equity","CF_CHANGE_IN_INVENTORIES","FQ2 2016","FQ2 2016","Currency=USD","Period=FQ","BEST_FPERIOD_OVERRIDE=FQ","FILING_STATUS=MR","SCALING_FORMAT=MLN","Sort=A","Dates=H","DateFormat=P","Fill=—","Direction=H","UseDPDF=Y")</f>
        <v>-57</v>
      </c>
      <c r="AG15" s="13">
        <f>_xll.BDH("AMZN US Equity","CF_CHANGE_IN_INVENTORIES","FQ3 2016","FQ3 2016","Currency=USD","Period=FQ","BEST_FPERIOD_OVERRIDE=FQ","FILING_STATUS=MR","SCALING_FORMAT=MLN","Sort=A","Dates=H","DateFormat=P","Fill=—","Direction=H","UseDPDF=Y")</f>
        <v>-1095</v>
      </c>
      <c r="AH15" s="13">
        <f>_xll.BDH("AMZN US Equity","CF_CHANGE_IN_INVENTORIES","FQ4 2016","FQ4 2016","Currency=USD","Period=FQ","BEST_FPERIOD_OVERRIDE=FQ","FILING_STATUS=MR","SCALING_FORMAT=MLN","Sort=A","Dates=H","DateFormat=P","Fill=—","Direction=H","UseDPDF=Y")</f>
        <v>-1043</v>
      </c>
      <c r="AI15" s="13">
        <f>_xll.BDH("AMZN US Equity","CF_CHANGE_IN_INVENTORIES","FQ1 2017","FQ1 2017","Currency=USD","Period=FQ","BEST_FPERIOD_OVERRIDE=FQ","FILING_STATUS=MR","SCALING_FORMAT=MLN","Sort=A","Dates=H","DateFormat=P","Fill=—","Direction=H","UseDPDF=Y")</f>
        <v>947</v>
      </c>
      <c r="AJ15" s="13">
        <f>_xll.BDH("AMZN US Equity","CF_CHANGE_IN_INVENTORIES","FQ2 2017","FQ2 2017","Currency=USD","Period=FQ","BEST_FPERIOD_OVERRIDE=FQ","FILING_STATUS=MR","SCALING_FORMAT=MLN","Sort=A","Dates=H","DateFormat=P","Fill=—","Direction=H","UseDPDF=Y")</f>
        <v>-682</v>
      </c>
      <c r="AK15" s="13">
        <f>_xll.BDH("AMZN US Equity","CF_CHANGE_IN_INVENTORIES","FQ3 2017","FQ3 2017","Currency=USD","Period=FQ","BEST_FPERIOD_OVERRIDE=FQ","FILING_STATUS=MR","SCALING_FORMAT=MLN","Sort=A","Dates=H","DateFormat=P","Fill=—","Direction=H","UseDPDF=Y")</f>
        <v>-1593</v>
      </c>
      <c r="AL15" s="13">
        <f>_xll.BDH("AMZN US Equity","CF_CHANGE_IN_INVENTORIES","FQ4 2017","FQ4 2017","Currency=USD","Period=FQ","BEST_FPERIOD_OVERRIDE=FQ","FILING_STATUS=MR","SCALING_FORMAT=MLN","Sort=A","Dates=H","DateFormat=P","Fill=—","Direction=H","UseDPDF=Y")</f>
        <v>-2255</v>
      </c>
      <c r="AM15" s="13">
        <f>_xll.BDH("AMZN US Equity","CF_CHANGE_IN_INVENTORIES","FQ1 2018","FQ1 2018","Currency=USD","Period=FQ","BEST_FPERIOD_OVERRIDE=FQ","FILING_STATUS=MR","SCALING_FORMAT=MLN","Sort=A","Dates=H","DateFormat=P","Fill=—","Direction=H","UseDPDF=Y")</f>
        <v>2220</v>
      </c>
      <c r="AN15" s="13">
        <f>_xll.BDH("AMZN US Equity","CF_CHANGE_IN_INVENTORIES","FQ2 2018","FQ2 2018","Currency=USD","Period=FQ","BEST_FPERIOD_OVERRIDE=FQ","FILING_STATUS=MR","SCALING_FORMAT=MLN","Sort=A","Dates=H","DateFormat=P","Fill=—","Direction=H","UseDPDF=Y")</f>
        <v>-1090</v>
      </c>
    </row>
    <row r="16" spans="1:40" x14ac:dyDescent="0.25">
      <c r="A16" s="10" t="s">
        <v>381</v>
      </c>
      <c r="B16" s="10" t="s">
        <v>382</v>
      </c>
      <c r="C16" s="13">
        <f>_xll.BDH("AMZN US Equity","CF_CHANGE_IN_ACCOUNTS_PAYABLE","FQ1 2009","FQ1 2009","Currency=USD","Period=FQ","BEST_FPERIOD_OVERRIDE=FQ","FILING_STATUS=MR","SCALING_FORMAT=MLN","Sort=A","Dates=H","DateFormat=P","Fill=—","Direction=H","UseDPDF=Y")</f>
        <v>-1129</v>
      </c>
      <c r="D16" s="13">
        <f>_xll.BDH("AMZN US Equity","CF_CHANGE_IN_ACCOUNTS_PAYABLE","FQ2 2009","FQ2 2009","Currency=USD","Period=FQ","BEST_FPERIOD_OVERRIDE=FQ","FILING_STATUS=MR","SCALING_FORMAT=MLN","Sort=A","Dates=H","DateFormat=P","Fill=—","Direction=H","UseDPDF=Y")</f>
        <v>56</v>
      </c>
      <c r="E16" s="13">
        <f>_xll.BDH("AMZN US Equity","CF_CHANGE_IN_ACCOUNTS_PAYABLE","FQ3 2009","FQ3 2009","Currency=USD","Period=FQ","BEST_FPERIOD_OVERRIDE=FQ","FILING_STATUS=MR","SCALING_FORMAT=MLN","Sort=A","Dates=H","DateFormat=P","Fill=—","Direction=H","UseDPDF=Y")</f>
        <v>701</v>
      </c>
      <c r="F16" s="13">
        <f>_xll.BDH("AMZN US Equity","CF_CHANGE_IN_ACCOUNTS_PAYABLE","FQ4 2009","FQ4 2009","Currency=USD","Period=FQ","BEST_FPERIOD_OVERRIDE=FQ","FILING_STATUS=MR","SCALING_FORMAT=MLN","Sort=A","Dates=H","DateFormat=P","Fill=—","Direction=H","UseDPDF=Y")</f>
        <v>2231</v>
      </c>
      <c r="G16" s="13">
        <f>_xll.BDH("AMZN US Equity","CF_CHANGE_IN_ACCOUNTS_PAYABLE","FQ1 2010","FQ1 2010","Currency=USD","Period=FQ","BEST_FPERIOD_OVERRIDE=FQ","FILING_STATUS=MR","SCALING_FORMAT=MLN","Sort=A","Dates=H","DateFormat=P","Fill=—","Direction=H","UseDPDF=Y")</f>
        <v>-1892</v>
      </c>
      <c r="H16" s="13">
        <f>_xll.BDH("AMZN US Equity","CF_CHANGE_IN_ACCOUNTS_PAYABLE","FQ2 2010","FQ2 2010","Currency=USD","Period=FQ","BEST_FPERIOD_OVERRIDE=FQ","FILING_STATUS=MR","SCALING_FORMAT=MLN","Sort=A","Dates=H","DateFormat=P","Fill=—","Direction=H","UseDPDF=Y")</f>
        <v>-81</v>
      </c>
      <c r="I16" s="13">
        <f>_xll.BDH("AMZN US Equity","CF_CHANGE_IN_ACCOUNTS_PAYABLE","FQ3 2010","FQ3 2010","Currency=USD","Period=FQ","BEST_FPERIOD_OVERRIDE=FQ","FILING_STATUS=MR","SCALING_FORMAT=MLN","Sort=A","Dates=H","DateFormat=P","Fill=—","Direction=H","UseDPDF=Y")</f>
        <v>894</v>
      </c>
      <c r="J16" s="13">
        <f>_xll.BDH("AMZN US Equity","CF_CHANGE_IN_ACCOUNTS_PAYABLE","FQ4 2010","FQ4 2010","Currency=USD","Period=FQ","BEST_FPERIOD_OVERRIDE=FQ","FILING_STATUS=MR","SCALING_FORMAT=MLN","Sort=A","Dates=H","DateFormat=P","Fill=—","Direction=H","UseDPDF=Y")</f>
        <v>3442</v>
      </c>
      <c r="K16" s="13">
        <f>_xll.BDH("AMZN US Equity","CF_CHANGE_IN_ACCOUNTS_PAYABLE","FQ1 2011","FQ1 2011","Currency=USD","Period=FQ","BEST_FPERIOD_OVERRIDE=FQ","FILING_STATUS=MR","SCALING_FORMAT=MLN","Sort=A","Dates=H","DateFormat=P","Fill=—","Direction=H","UseDPDF=Y")</f>
        <v>-2649</v>
      </c>
      <c r="L16" s="13">
        <f>_xll.BDH("AMZN US Equity","CF_CHANGE_IN_ACCOUNTS_PAYABLE","FQ2 2011","FQ2 2011","Currency=USD","Period=FQ","BEST_FPERIOD_OVERRIDE=FQ","FILING_STATUS=MR","SCALING_FORMAT=MLN","Sort=A","Dates=H","DateFormat=P","Fill=—","Direction=H","UseDPDF=Y")</f>
        <v>114</v>
      </c>
      <c r="M16" s="13">
        <f>_xll.BDH("AMZN US Equity","CF_CHANGE_IN_ACCOUNTS_PAYABLE","FQ3 2011","FQ3 2011","Currency=USD","Period=FQ","BEST_FPERIOD_OVERRIDE=FQ","FILING_STATUS=MR","SCALING_FORMAT=MLN","Sort=A","Dates=H","DateFormat=P","Fill=—","Direction=H","UseDPDF=Y")</f>
        <v>848</v>
      </c>
      <c r="N16" s="13">
        <f>_xll.BDH("AMZN US Equity","CF_CHANGE_IN_ACCOUNTS_PAYABLE","FQ4 2011","FQ4 2011","Currency=USD","Period=FQ","BEST_FPERIOD_OVERRIDE=FQ","FILING_STATUS=MR","SCALING_FORMAT=MLN","Sort=A","Dates=H","DateFormat=P","Fill=—","Direction=H","UseDPDF=Y")</f>
        <v>4684</v>
      </c>
      <c r="O16" s="13">
        <f>_xll.BDH("AMZN US Equity","CF_CHANGE_IN_ACCOUNTS_PAYABLE","FQ1 2012","FQ1 2012","Currency=USD","Period=FQ","BEST_FPERIOD_OVERRIDE=FQ","FILING_STATUS=MR","SCALING_FORMAT=MLN","Sort=A","Dates=H","DateFormat=P","Fill=—","Direction=H","UseDPDF=Y")</f>
        <v>-4258</v>
      </c>
      <c r="P16" s="13">
        <f>_xll.BDH("AMZN US Equity","CF_CHANGE_IN_ACCOUNTS_PAYABLE","FQ2 2012","FQ2 2012","Currency=USD","Period=FQ","BEST_FPERIOD_OVERRIDE=FQ","FILING_STATUS=MR","SCALING_FORMAT=MLN","Sort=A","Dates=H","DateFormat=P","Fill=—","Direction=H","UseDPDF=Y")</f>
        <v>180</v>
      </c>
      <c r="Q16" s="13">
        <f>_xll.BDH("AMZN US Equity","CF_CHANGE_IN_ACCOUNTS_PAYABLE","FQ3 2012","FQ3 2012","Currency=USD","Period=FQ","BEST_FPERIOD_OVERRIDE=FQ","FILING_STATUS=MR","SCALING_FORMAT=MLN","Sort=A","Dates=H","DateFormat=P","Fill=—","Direction=H","UseDPDF=Y")</f>
        <v>1223</v>
      </c>
      <c r="R16" s="13">
        <f>_xll.BDH("AMZN US Equity","CF_CHANGE_IN_ACCOUNTS_PAYABLE","FQ4 2012","FQ4 2012","Currency=USD","Period=FQ","BEST_FPERIOD_OVERRIDE=FQ","FILING_STATUS=MR","SCALING_FORMAT=MLN","Sort=A","Dates=H","DateFormat=P","Fill=—","Direction=H","UseDPDF=Y")</f>
        <v>4926</v>
      </c>
      <c r="S16" s="13">
        <f>_xll.BDH("AMZN US Equity","CF_CHANGE_IN_ACCOUNTS_PAYABLE","FQ1 2013","FQ1 2013","Currency=USD","Period=FQ","BEST_FPERIOD_OVERRIDE=FQ","FILING_STATUS=MR","SCALING_FORMAT=MLN","Sort=A","Dates=H","DateFormat=P","Fill=—","Direction=H","UseDPDF=Y")</f>
        <v>-4187</v>
      </c>
      <c r="T16" s="13">
        <f>_xll.BDH("AMZN US Equity","CF_CHANGE_IN_ACCOUNTS_PAYABLE","FQ2 2013","FQ2 2013","Currency=USD","Period=FQ","BEST_FPERIOD_OVERRIDE=FQ","FILING_STATUS=MR","SCALING_FORMAT=MLN","Sort=A","Dates=H","DateFormat=P","Fill=—","Direction=H","UseDPDF=Y")</f>
        <v>0</v>
      </c>
      <c r="U16" s="13">
        <f>_xll.BDH("AMZN US Equity","CF_CHANGE_IN_ACCOUNTS_PAYABLE","FQ3 2013","FQ3 2013","Currency=USD","Period=FQ","BEST_FPERIOD_OVERRIDE=FQ","FILING_STATUS=MR","SCALING_FORMAT=MLN","Sort=A","Dates=H","DateFormat=P","Fill=—","Direction=H","UseDPDF=Y")</f>
        <v>947</v>
      </c>
      <c r="V16" s="13">
        <f>_xll.BDH("AMZN US Equity","CF_CHANGE_IN_ACCOUNTS_PAYABLE","FQ4 2013","FQ4 2013","Currency=USD","Period=FQ","BEST_FPERIOD_OVERRIDE=FQ","FILING_STATUS=MR","SCALING_FORMAT=MLN","Sort=A","Dates=H","DateFormat=P","Fill=—","Direction=H","UseDPDF=Y")</f>
        <v>5128</v>
      </c>
      <c r="W16" s="13">
        <f>_xll.BDH("AMZN US Equity","CF_CHANGE_IN_ACCOUNTS_PAYABLE","FQ1 2014","FQ1 2014","Currency=USD","Period=FQ","BEST_FPERIOD_OVERRIDE=FQ","FILING_STATUS=MR","SCALING_FORMAT=MLN","Sort=A","Dates=H","DateFormat=P","Fill=—","Direction=H","UseDPDF=Y")</f>
        <v>-4675</v>
      </c>
      <c r="X16" s="13">
        <f>_xll.BDH("AMZN US Equity","CF_CHANGE_IN_ACCOUNTS_PAYABLE","FQ2 2014","FQ2 2014","Currency=USD","Period=FQ","BEST_FPERIOD_OVERRIDE=FQ","FILING_STATUS=MR","SCALING_FORMAT=MLN","Sort=A","Dates=H","DateFormat=P","Fill=—","Direction=H","UseDPDF=Y")</f>
        <v>-344</v>
      </c>
      <c r="Y16" s="13">
        <f>_xll.BDH("AMZN US Equity","CF_CHANGE_IN_ACCOUNTS_PAYABLE","FQ3 2014","FQ3 2014","Currency=USD","Period=FQ","BEST_FPERIOD_OVERRIDE=FQ","FILING_STATUS=MR","SCALING_FORMAT=MLN","Sort=A","Dates=H","DateFormat=P","Fill=—","Direction=H","UseDPDF=Y")</f>
        <v>1724</v>
      </c>
      <c r="Z16" s="13">
        <f>_xll.BDH("AMZN US Equity","CF_CHANGE_IN_ACCOUNTS_PAYABLE","FQ4 2014","FQ4 2014","Currency=USD","Period=FQ","BEST_FPERIOD_OVERRIDE=FQ","FILING_STATUS=MR","SCALING_FORMAT=MLN","Sort=A","Dates=H","DateFormat=P","Fill=—","Direction=H","UseDPDF=Y")</f>
        <v>5053</v>
      </c>
      <c r="AA16" s="13">
        <f>_xll.BDH("AMZN US Equity","CF_CHANGE_IN_ACCOUNTS_PAYABLE","FQ1 2015","FQ1 2015","Currency=USD","Period=FQ","BEST_FPERIOD_OVERRIDE=FQ","FILING_STATUS=MR","SCALING_FORMAT=MLN","Sort=A","Dates=H","DateFormat=P","Fill=—","Direction=H","UseDPDF=Y")</f>
        <v>-4249</v>
      </c>
      <c r="AB16" s="13">
        <f>_xll.BDH("AMZN US Equity","CF_CHANGE_IN_ACCOUNTS_PAYABLE","FQ2 2015","FQ2 2015","Currency=USD","Period=FQ","BEST_FPERIOD_OVERRIDE=FQ","FILING_STATUS=MR","SCALING_FORMAT=MLN","Sort=A","Dates=H","DateFormat=P","Fill=—","Direction=H","UseDPDF=Y")</f>
        <v>373</v>
      </c>
      <c r="AC16" s="13">
        <f>_xll.BDH("AMZN US Equity","CF_CHANGE_IN_ACCOUNTS_PAYABLE","FQ3 2015","FQ3 2015","Currency=USD","Period=FQ","BEST_FPERIOD_OVERRIDE=FQ","FILING_STATUS=MR","SCALING_FORMAT=MLN","Sort=A","Dates=H","DateFormat=P","Fill=—","Direction=H","UseDPDF=Y")</f>
        <v>2030</v>
      </c>
      <c r="AD16" s="13">
        <f>_xll.BDH("AMZN US Equity","CF_CHANGE_IN_ACCOUNTS_PAYABLE","FQ4 2015","FQ4 2015","Currency=USD","Period=FQ","BEST_FPERIOD_OVERRIDE=FQ","FILING_STATUS=MR","SCALING_FORMAT=MLN","Sort=A","Dates=H","DateFormat=P","Fill=—","Direction=H","UseDPDF=Y")</f>
        <v>6140</v>
      </c>
      <c r="AE16" s="13">
        <f>_xll.BDH("AMZN US Equity","CF_CHANGE_IN_ACCOUNTS_PAYABLE","FQ1 2016","FQ1 2016","Currency=USD","Period=FQ","BEST_FPERIOD_OVERRIDE=FQ","FILING_STATUS=MR","SCALING_FORMAT=MLN","Sort=A","Dates=H","DateFormat=P","Fill=—","Direction=H","UseDPDF=Y")</f>
        <v>-5770</v>
      </c>
      <c r="AF16" s="13">
        <f>_xll.BDH("AMZN US Equity","CF_CHANGE_IN_ACCOUNTS_PAYABLE","FQ2 2016","FQ2 2016","Currency=USD","Period=FQ","BEST_FPERIOD_OVERRIDE=FQ","FILING_STATUS=MR","SCALING_FORMAT=MLN","Sort=A","Dates=H","DateFormat=P","Fill=—","Direction=H","UseDPDF=Y")</f>
        <v>977</v>
      </c>
      <c r="AG16" s="13">
        <f>_xll.BDH("AMZN US Equity","CF_CHANGE_IN_ACCOUNTS_PAYABLE","FQ3 2016","FQ3 2016","Currency=USD","Period=FQ","BEST_FPERIOD_OVERRIDE=FQ","FILING_STATUS=MR","SCALING_FORMAT=MLN","Sort=A","Dates=H","DateFormat=P","Fill=—","Direction=H","UseDPDF=Y")</f>
        <v>2540</v>
      </c>
      <c r="AH16" s="13">
        <f>_xll.BDH("AMZN US Equity","CF_CHANGE_IN_ACCOUNTS_PAYABLE","FQ4 2016","FQ4 2016","Currency=USD","Period=FQ","BEST_FPERIOD_OVERRIDE=FQ","FILING_STATUS=MR","SCALING_FORMAT=MLN","Sort=A","Dates=H","DateFormat=P","Fill=—","Direction=H","UseDPDF=Y")</f>
        <v>7283</v>
      </c>
      <c r="AI16" s="13">
        <f>_xll.BDH("AMZN US Equity","CF_CHANGE_IN_ACCOUNTS_PAYABLE","FQ1 2017","FQ1 2017","Currency=USD","Period=FQ","BEST_FPERIOD_OVERRIDE=FQ","FILING_STATUS=MR","SCALING_FORMAT=MLN","Sort=A","Dates=H","DateFormat=P","Fill=—","Direction=H","UseDPDF=Y")</f>
        <v>-6865</v>
      </c>
      <c r="AJ16" s="13">
        <f>_xll.BDH("AMZN US Equity","CF_CHANGE_IN_ACCOUNTS_PAYABLE","FQ2 2017","FQ2 2017","Currency=USD","Period=FQ","BEST_FPERIOD_OVERRIDE=FQ","FILING_STATUS=MR","SCALING_FORMAT=MLN","Sort=A","Dates=H","DateFormat=P","Fill=—","Direction=H","UseDPDF=Y")</f>
        <v>2088</v>
      </c>
      <c r="AK16" s="13">
        <f>_xll.BDH("AMZN US Equity","CF_CHANGE_IN_ACCOUNTS_PAYABLE","FQ3 2017","FQ3 2017","Currency=USD","Period=FQ","BEST_FPERIOD_OVERRIDE=FQ","FILING_STATUS=MR","SCALING_FORMAT=MLN","Sort=A","Dates=H","DateFormat=P","Fill=—","Direction=H","UseDPDF=Y")</f>
        <v>3046</v>
      </c>
      <c r="AL16" s="13">
        <f>_xll.BDH("AMZN US Equity","CF_CHANGE_IN_ACCOUNTS_PAYABLE","FQ4 2017","FQ4 2017","Currency=USD","Period=FQ","BEST_FPERIOD_OVERRIDE=FQ","FILING_STATUS=MR","SCALING_FORMAT=MLN","Sort=A","Dates=H","DateFormat=P","Fill=—","Direction=H","UseDPDF=Y")</f>
        <v>8907</v>
      </c>
      <c r="AM16" s="13">
        <f>_xll.BDH("AMZN US Equity","CF_CHANGE_IN_ACCOUNTS_PAYABLE","FQ1 2018","FQ1 2018","Currency=USD","Period=FQ","BEST_FPERIOD_OVERRIDE=FQ","FILING_STATUS=MR","SCALING_FORMAT=MLN","Sort=A","Dates=H","DateFormat=P","Fill=—","Direction=H","UseDPDF=Y")</f>
        <v>-10216</v>
      </c>
      <c r="AN16" s="13">
        <f>_xll.BDH("AMZN US Equity","CF_CHANGE_IN_ACCOUNTS_PAYABLE","FQ2 2018","FQ2 2018","Currency=USD","Period=FQ","BEST_FPERIOD_OVERRIDE=FQ","FILING_STATUS=MR","SCALING_FORMAT=MLN","Sort=A","Dates=H","DateFormat=P","Fill=—","Direction=H","UseDPDF=Y")</f>
        <v>2703</v>
      </c>
    </row>
    <row r="17" spans="1:40" x14ac:dyDescent="0.25">
      <c r="A17" s="10" t="s">
        <v>383</v>
      </c>
      <c r="B17" s="10" t="s">
        <v>384</v>
      </c>
      <c r="C17" s="13">
        <f>_xll.BDH("AMZN US Equity","INC_DEC_IN_OT_OP_AST_LIAB_DETAIL","FQ1 2009","FQ1 2009","Currency=USD","Period=FQ","BEST_FPERIOD_OVERRIDE=FQ","FILING_STATUS=MR","SCALING_FORMAT=MLN","Sort=A","Dates=H","DateFormat=P","Fill=—","Direction=H","UseDPDF=Y")</f>
        <v>-23</v>
      </c>
      <c r="D17" s="13">
        <f>_xll.BDH("AMZN US Equity","INC_DEC_IN_OT_OP_AST_LIAB_DETAIL","FQ2 2009","FQ2 2009","Currency=USD","Period=FQ","BEST_FPERIOD_OVERRIDE=FQ","FILING_STATUS=MR","SCALING_FORMAT=MLN","Sort=A","Dates=H","DateFormat=P","Fill=—","Direction=H","UseDPDF=Y")</f>
        <v>76</v>
      </c>
      <c r="E17" s="13">
        <f>_xll.BDH("AMZN US Equity","INC_DEC_IN_OT_OP_AST_LIAB_DETAIL","FQ3 2009","FQ3 2009","Currency=USD","Period=FQ","BEST_FPERIOD_OVERRIDE=FQ","FILING_STATUS=MR","SCALING_FORMAT=MLN","Sort=A","Dates=H","DateFormat=P","Fill=—","Direction=H","UseDPDF=Y")</f>
        <v>51</v>
      </c>
      <c r="F17" s="13">
        <f>_xll.BDH("AMZN US Equity","INC_DEC_IN_OT_OP_AST_LIAB_DETAIL","FQ4 2009","FQ4 2009","Currency=USD","Period=FQ","BEST_FPERIOD_OVERRIDE=FQ","FILING_STATUS=MR","SCALING_FORMAT=MLN","Sort=A","Dates=H","DateFormat=P","Fill=—","Direction=H","UseDPDF=Y")</f>
        <v>659</v>
      </c>
      <c r="G17" s="13">
        <f>_xll.BDH("AMZN US Equity","INC_DEC_IN_OT_OP_AST_LIAB_DETAIL","FQ1 2010","FQ1 2010","Currency=USD","Period=FQ","BEST_FPERIOD_OVERRIDE=FQ","FILING_STATUS=MR","SCALING_FORMAT=MLN","Sort=A","Dates=H","DateFormat=P","Fill=—","Direction=H","UseDPDF=Y")</f>
        <v>-400</v>
      </c>
      <c r="H17" s="13">
        <f>_xll.BDH("AMZN US Equity","INC_DEC_IN_OT_OP_AST_LIAB_DETAIL","FQ2 2010","FQ2 2010","Currency=USD","Period=FQ","BEST_FPERIOD_OVERRIDE=FQ","FILING_STATUS=MR","SCALING_FORMAT=MLN","Sort=A","Dates=H","DateFormat=P","Fill=—","Direction=H","UseDPDF=Y")</f>
        <v>147</v>
      </c>
      <c r="I17" s="13">
        <f>_xll.BDH("AMZN US Equity","INC_DEC_IN_OT_OP_AST_LIAB_DETAIL","FQ3 2010","FQ3 2010","Currency=USD","Period=FQ","BEST_FPERIOD_OVERRIDE=FQ","FILING_STATUS=MR","SCALING_FORMAT=MLN","Sort=A","Dates=H","DateFormat=P","Fill=—","Direction=H","UseDPDF=Y")</f>
        <v>144</v>
      </c>
      <c r="J17" s="13">
        <f>_xll.BDH("AMZN US Equity","INC_DEC_IN_OT_OP_AST_LIAB_DETAIL","FQ4 2010","FQ4 2010","Currency=USD","Period=FQ","BEST_FPERIOD_OVERRIDE=FQ","FILING_STATUS=MR","SCALING_FORMAT=MLN","Sort=A","Dates=H","DateFormat=P","Fill=—","Direction=H","UseDPDF=Y")</f>
        <v>519</v>
      </c>
      <c r="K17" s="13">
        <f>_xll.BDH("AMZN US Equity","INC_DEC_IN_OT_OP_AST_LIAB_DETAIL","FQ1 2011","FQ1 2011","Currency=USD","Period=FQ","BEST_FPERIOD_OVERRIDE=FQ","FILING_STATUS=MR","SCALING_FORMAT=MLN","Sort=A","Dates=H","DateFormat=P","Fill=—","Direction=H","UseDPDF=Y")</f>
        <v>-193</v>
      </c>
      <c r="L17" s="13">
        <f>_xll.BDH("AMZN US Equity","INC_DEC_IN_OT_OP_AST_LIAB_DETAIL","FQ2 2011","FQ2 2011","Currency=USD","Period=FQ","BEST_FPERIOD_OVERRIDE=FQ","FILING_STATUS=MR","SCALING_FORMAT=MLN","Sort=A","Dates=H","DateFormat=P","Fill=—","Direction=H","UseDPDF=Y")</f>
        <v>69</v>
      </c>
      <c r="M17" s="13">
        <f>_xll.BDH("AMZN US Equity","INC_DEC_IN_OT_OP_AST_LIAB_DETAIL","FQ3 2011","FQ3 2011","Currency=USD","Period=FQ","BEST_FPERIOD_OVERRIDE=FQ","FILING_STATUS=MR","SCALING_FORMAT=MLN","Sort=A","Dates=H","DateFormat=P","Fill=—","Direction=H","UseDPDF=Y")</f>
        <v>99</v>
      </c>
      <c r="N17" s="13">
        <f>_xll.BDH("AMZN US Equity","INC_DEC_IN_OT_OP_AST_LIAB_DETAIL","FQ4 2011","FQ4 2011","Currency=USD","Period=FQ","BEST_FPERIOD_OVERRIDE=FQ","FILING_STATUS=MR","SCALING_FORMAT=MLN","Sort=A","Dates=H","DateFormat=P","Fill=—","Direction=H","UseDPDF=Y")</f>
        <v>1134</v>
      </c>
      <c r="O17" s="13">
        <f>_xll.BDH("AMZN US Equity","INC_DEC_IN_OT_OP_AST_LIAB_DETAIL","FQ1 2012","FQ1 2012","Currency=USD","Period=FQ","BEST_FPERIOD_OVERRIDE=FQ","FILING_STATUS=MR","SCALING_FORMAT=MLN","Sort=A","Dates=H","DateFormat=P","Fill=—","Direction=H","UseDPDF=Y")</f>
        <v>-401</v>
      </c>
      <c r="P17" s="13">
        <f>_xll.BDH("AMZN US Equity","INC_DEC_IN_OT_OP_AST_LIAB_DETAIL","FQ2 2012","FQ2 2012","Currency=USD","Period=FQ","BEST_FPERIOD_OVERRIDE=FQ","FILING_STATUS=MR","SCALING_FORMAT=MLN","Sort=A","Dates=H","DateFormat=P","Fill=—","Direction=H","UseDPDF=Y")</f>
        <v>108</v>
      </c>
      <c r="Q17" s="13">
        <f>_xll.BDH("AMZN US Equity","INC_DEC_IN_OT_OP_AST_LIAB_DETAIL","FQ3 2012","FQ3 2012","Currency=USD","Period=FQ","BEST_FPERIOD_OVERRIDE=FQ","FILING_STATUS=MR","SCALING_FORMAT=MLN","Sort=A","Dates=H","DateFormat=P","Fill=—","Direction=H","UseDPDF=Y")</f>
        <v>195</v>
      </c>
      <c r="R17" s="13">
        <f>_xll.BDH("AMZN US Equity","INC_DEC_IN_OT_OP_AST_LIAB_DETAIL","FQ4 2012","FQ4 2012","Currency=USD","Period=FQ","BEST_FPERIOD_OVERRIDE=FQ","FILING_STATUS=MR","SCALING_FORMAT=MLN","Sort=A","Dates=H","DateFormat=P","Fill=—","Direction=H","UseDPDF=Y")</f>
        <v>1411</v>
      </c>
      <c r="S17" s="13">
        <f>_xll.BDH("AMZN US Equity","INC_DEC_IN_OT_OP_AST_LIAB_DETAIL","FQ1 2013","FQ1 2013","Currency=USD","Period=FQ","BEST_FPERIOD_OVERRIDE=FQ","FILING_STATUS=MR","SCALING_FORMAT=MLN","Sort=A","Dates=H","DateFormat=P","Fill=—","Direction=H","UseDPDF=Y")</f>
        <v>-479</v>
      </c>
      <c r="T17" s="13">
        <f>_xll.BDH("AMZN US Equity","INC_DEC_IN_OT_OP_AST_LIAB_DETAIL","FQ2 2013","FQ2 2013","Currency=USD","Period=FQ","BEST_FPERIOD_OVERRIDE=FQ","FILING_STATUS=MR","SCALING_FORMAT=MLN","Sort=A","Dates=H","DateFormat=P","Fill=—","Direction=H","UseDPDF=Y")</f>
        <v>-21</v>
      </c>
      <c r="U17" s="13">
        <f>_xll.BDH("AMZN US Equity","INC_DEC_IN_OT_OP_AST_LIAB_DETAIL","FQ3 2013","FQ3 2013","Currency=USD","Period=FQ","BEST_FPERIOD_OVERRIDE=FQ","FILING_STATUS=MR","SCALING_FORMAT=MLN","Sort=A","Dates=H","DateFormat=P","Fill=—","Direction=H","UseDPDF=Y")</f>
        <v>50</v>
      </c>
      <c r="V17" s="13">
        <f>_xll.BDH("AMZN US Equity","INC_DEC_IN_OT_OP_AST_LIAB_DETAIL","FQ4 2013","FQ4 2013","Currency=USD","Period=FQ","BEST_FPERIOD_OVERRIDE=FQ","FILING_STATUS=MR","SCALING_FORMAT=MLN","Sort=A","Dates=H","DateFormat=P","Fill=—","Direction=H","UseDPDF=Y")</f>
        <v>1587</v>
      </c>
      <c r="W17" s="13">
        <f>_xll.BDH("AMZN US Equity","INC_DEC_IN_OT_OP_AST_LIAB_DETAIL","FQ1 2014","FQ1 2014","Currency=USD","Period=FQ","BEST_FPERIOD_OVERRIDE=FQ","FILING_STATUS=MR","SCALING_FORMAT=MLN","Sort=A","Dates=H","DateFormat=P","Fill=—","Direction=H","UseDPDF=Y")</f>
        <v>-371</v>
      </c>
      <c r="X17" s="13">
        <f>_xll.BDH("AMZN US Equity","INC_DEC_IN_OT_OP_AST_LIAB_DETAIL","FQ2 2014","FQ2 2014","Currency=USD","Period=FQ","BEST_FPERIOD_OVERRIDE=FQ","FILING_STATUS=MR","SCALING_FORMAT=MLN","Sort=A","Dates=H","DateFormat=P","Fill=—","Direction=H","UseDPDF=Y")</f>
        <v>69</v>
      </c>
      <c r="Y17" s="13">
        <f>_xll.BDH("AMZN US Equity","INC_DEC_IN_OT_OP_AST_LIAB_DETAIL","FQ3 2014","FQ3 2014","Currency=USD","Period=FQ","BEST_FPERIOD_OVERRIDE=FQ","FILING_STATUS=MR","SCALING_FORMAT=MLN","Sort=A","Dates=H","DateFormat=P","Fill=—","Direction=H","UseDPDF=Y")</f>
        <v>262</v>
      </c>
      <c r="Z17" s="13">
        <f>_xll.BDH("AMZN US Equity","INC_DEC_IN_OT_OP_AST_LIAB_DETAIL","FQ4 2014","FQ4 2014","Currency=USD","Period=FQ","BEST_FPERIOD_OVERRIDE=FQ","FILING_STATUS=MR","SCALING_FORMAT=MLN","Sort=A","Dates=H","DateFormat=P","Fill=—","Direction=H","UseDPDF=Y")</f>
        <v>1490</v>
      </c>
      <c r="AA17" s="13">
        <f>_xll.BDH("AMZN US Equity","INC_DEC_IN_OT_OP_AST_LIAB_DETAIL","FQ1 2015","FQ1 2015","Currency=USD","Period=FQ","BEST_FPERIOD_OVERRIDE=FQ","FILING_STATUS=MR","SCALING_FORMAT=MLN","Sort=A","Dates=H","DateFormat=P","Fill=—","Direction=H","UseDPDF=Y")</f>
        <v>-300</v>
      </c>
      <c r="AB17" s="13">
        <f>_xll.BDH("AMZN US Equity","INC_DEC_IN_OT_OP_AST_LIAB_DETAIL","FQ2 2015","FQ2 2015","Currency=USD","Period=FQ","BEST_FPERIOD_OVERRIDE=FQ","FILING_STATUS=MR","SCALING_FORMAT=MLN","Sort=A","Dates=H","DateFormat=P","Fill=—","Direction=H","UseDPDF=Y")</f>
        <v>-1</v>
      </c>
      <c r="AC17" s="13">
        <f>_xll.BDH("AMZN US Equity","INC_DEC_IN_OT_OP_AST_LIAB_DETAIL","FQ3 2015","FQ3 2015","Currency=USD","Period=FQ","BEST_FPERIOD_OVERRIDE=FQ","FILING_STATUS=MR","SCALING_FORMAT=MLN","Sort=A","Dates=H","DateFormat=P","Fill=—","Direction=H","UseDPDF=Y")</f>
        <v>549</v>
      </c>
      <c r="AD17" s="13">
        <f>_xll.BDH("AMZN US Equity","INC_DEC_IN_OT_OP_AST_LIAB_DETAIL","FQ4 2015","FQ4 2015","Currency=USD","Period=FQ","BEST_FPERIOD_OVERRIDE=FQ","FILING_STATUS=MR","SCALING_FORMAT=MLN","Sort=A","Dates=H","DateFormat=P","Fill=—","Direction=H","UseDPDF=Y")</f>
        <v>1955</v>
      </c>
      <c r="AE17" s="13">
        <f>_xll.BDH("AMZN US Equity","INC_DEC_IN_OT_OP_AST_LIAB_DETAIL","FQ1 2016","FQ1 2016","Currency=USD","Period=FQ","BEST_FPERIOD_OVERRIDE=FQ","FILING_STATUS=MR","SCALING_FORMAT=MLN","Sort=A","Dates=H","DateFormat=P","Fill=—","Direction=H","UseDPDF=Y")</f>
        <v>-252</v>
      </c>
      <c r="AF17" s="13">
        <f>_xll.BDH("AMZN US Equity","INC_DEC_IN_OT_OP_AST_LIAB_DETAIL","FQ2 2016","FQ2 2016","Currency=USD","Period=FQ","BEST_FPERIOD_OVERRIDE=FQ","FILING_STATUS=MR","SCALING_FORMAT=MLN","Sort=A","Dates=H","DateFormat=P","Fill=—","Direction=H","UseDPDF=Y")</f>
        <v>117</v>
      </c>
      <c r="AG17" s="13">
        <f>_xll.BDH("AMZN US Equity","INC_DEC_IN_OT_OP_AST_LIAB_DETAIL","FQ3 2016","FQ3 2016","Currency=USD","Period=FQ","BEST_FPERIOD_OVERRIDE=FQ","FILING_STATUS=MR","SCALING_FORMAT=MLN","Sort=A","Dates=H","DateFormat=P","Fill=—","Direction=H","UseDPDF=Y")</f>
        <v>846</v>
      </c>
      <c r="AH17" s="13">
        <f>_xll.BDH("AMZN US Equity","INC_DEC_IN_OT_OP_AST_LIAB_DETAIL","FQ4 2016","FQ4 2016","Currency=USD","Period=FQ","BEST_FPERIOD_OVERRIDE=FQ","FILING_STATUS=MR","SCALING_FORMAT=MLN","Sort=A","Dates=H","DateFormat=P","Fill=—","Direction=H","UseDPDF=Y")</f>
        <v>2968</v>
      </c>
      <c r="AI17" s="13">
        <f>_xll.BDH("AMZN US Equity","INC_DEC_IN_OT_OP_AST_LIAB_DETAIL","FQ1 2017","FQ1 2017","Currency=USD","Period=FQ","BEST_FPERIOD_OVERRIDE=FQ","FILING_STATUS=MR","SCALING_FORMAT=MLN","Sort=A","Dates=H","DateFormat=P","Fill=—","Direction=H","UseDPDF=Y")</f>
        <v>-597</v>
      </c>
      <c r="AJ17" s="13">
        <f>_xll.BDH("AMZN US Equity","INC_DEC_IN_OT_OP_AST_LIAB_DETAIL","FQ2 2017","FQ2 2017","Currency=USD","Period=FQ","BEST_FPERIOD_OVERRIDE=FQ","FILING_STATUS=MR","SCALING_FORMAT=MLN","Sort=A","Dates=H","DateFormat=P","Fill=—","Direction=H","UseDPDF=Y")</f>
        <v>-639</v>
      </c>
      <c r="AK17" s="13">
        <f>_xll.BDH("AMZN US Equity","INC_DEC_IN_OT_OP_AST_LIAB_DETAIL","FQ3 2017","FQ3 2017","Currency=USD","Period=FQ","BEST_FPERIOD_OVERRIDE=FQ","FILING_STATUS=MR","SCALING_FORMAT=MLN","Sort=A","Dates=H","DateFormat=P","Fill=—","Direction=H","UseDPDF=Y")</f>
        <v>62</v>
      </c>
      <c r="AL17" s="13">
        <f>_xll.BDH("AMZN US Equity","INC_DEC_IN_OT_OP_AST_LIAB_DETAIL","FQ4 2017","FQ4 2017","Currency=USD","Period=FQ","BEST_FPERIOD_OVERRIDE=FQ","FILING_STATUS=MR","SCALING_FORMAT=MLN","Sort=A","Dates=H","DateFormat=P","Fill=—","Direction=H","UseDPDF=Y")</f>
        <v>2197</v>
      </c>
      <c r="AM17" s="13">
        <f>_xll.BDH("AMZN US Equity","INC_DEC_IN_OT_OP_AST_LIAB_DETAIL","FQ1 2018","FQ1 2018","Currency=USD","Period=FQ","BEST_FPERIOD_OVERRIDE=FQ","FILING_STATUS=MR","SCALING_FORMAT=MLN","Sort=A","Dates=H","DateFormat=P","Fill=—","Direction=H","UseDPDF=Y")</f>
        <v>-1319</v>
      </c>
      <c r="AN17" s="13">
        <f>_xll.BDH("AMZN US Equity","INC_DEC_IN_OT_OP_AST_LIAB_DETAIL","FQ2 2018","FQ2 2018","Currency=USD","Period=FQ","BEST_FPERIOD_OVERRIDE=FQ","FILING_STATUS=MR","SCALING_FORMAT=MLN","Sort=A","Dates=H","DateFormat=P","Fill=—","Direction=H","UseDPDF=Y")</f>
        <v>-488</v>
      </c>
    </row>
    <row r="18" spans="1:40" x14ac:dyDescent="0.25">
      <c r="A18" s="10" t="s">
        <v>385</v>
      </c>
      <c r="B18" s="10" t="s">
        <v>386</v>
      </c>
      <c r="C18" s="13">
        <f>_xll.BDH("AMZN US Equity","CF_NET_CASH_DISCONT_OPS_OPER","FQ1 2009","FQ1 2009","Currency=USD","Period=FQ","BEST_FPERIOD_OVERRIDE=FQ","FILING_STATUS=MR","SCALING_FORMAT=MLN","Sort=A","Dates=H","DateFormat=P","Fill=—","Direction=H","UseDPDF=Y")</f>
        <v>0</v>
      </c>
      <c r="D18" s="13">
        <f>_xll.BDH("AMZN US Equity","CF_NET_CASH_DISCONT_OPS_OPER","FQ2 2009","FQ2 2009","Currency=USD","Period=FQ","BEST_FPERIOD_OVERRIDE=FQ","FILING_STATUS=MR","SCALING_FORMAT=MLN","Sort=A","Dates=H","DateFormat=P","Fill=—","Direction=H","UseDPDF=Y")</f>
        <v>0</v>
      </c>
      <c r="E18" s="13">
        <f>_xll.BDH("AMZN US Equity","CF_NET_CASH_DISCONT_OPS_OPER","FQ3 2009","FQ3 2009","Currency=USD","Period=FQ","BEST_FPERIOD_OVERRIDE=FQ","FILING_STATUS=MR","SCALING_FORMAT=MLN","Sort=A","Dates=H","DateFormat=P","Fill=—","Direction=H","UseDPDF=Y")</f>
        <v>0</v>
      </c>
      <c r="F18" s="13">
        <f>_xll.BDH("AMZN US Equity","CF_NET_CASH_DISCONT_OPS_OPER","FQ4 2009","FQ4 2009","Currency=USD","Period=FQ","BEST_FPERIOD_OVERRIDE=FQ","FILING_STATUS=MR","SCALING_FORMAT=MLN","Sort=A","Dates=H","DateFormat=P","Fill=—","Direction=H","UseDPDF=Y")</f>
        <v>0</v>
      </c>
      <c r="G18" s="13">
        <f>_xll.BDH("AMZN US Equity","CF_NET_CASH_DISCONT_OPS_OPER","FQ1 2010","FQ1 2010","Currency=USD","Period=FQ","BEST_FPERIOD_OVERRIDE=FQ","FILING_STATUS=MR","SCALING_FORMAT=MLN","Sort=A","Dates=H","DateFormat=P","Fill=—","Direction=H","UseDPDF=Y")</f>
        <v>0</v>
      </c>
      <c r="H18" s="13">
        <f>_xll.BDH("AMZN US Equity","CF_NET_CASH_DISCONT_OPS_OPER","FQ2 2010","FQ2 2010","Currency=USD","Period=FQ","BEST_FPERIOD_OVERRIDE=FQ","FILING_STATUS=MR","SCALING_FORMAT=MLN","Sort=A","Dates=H","DateFormat=P","Fill=—","Direction=H","UseDPDF=Y")</f>
        <v>0</v>
      </c>
      <c r="I18" s="13">
        <f>_xll.BDH("AMZN US Equity","CF_NET_CASH_DISCONT_OPS_OPER","FQ3 2010","FQ3 2010","Currency=USD","Period=FQ","BEST_FPERIOD_OVERRIDE=FQ","FILING_STATUS=MR","SCALING_FORMAT=MLN","Sort=A","Dates=H","DateFormat=P","Fill=—","Direction=H","UseDPDF=Y")</f>
        <v>0</v>
      </c>
      <c r="J18" s="13">
        <f>_xll.BDH("AMZN US Equity","CF_NET_CASH_DISCONT_OPS_OPER","FQ4 2010","FQ4 2010","Currency=USD","Period=FQ","BEST_FPERIOD_OVERRIDE=FQ","FILING_STATUS=MR","SCALING_FORMAT=MLN","Sort=A","Dates=H","DateFormat=P","Fill=—","Direction=H","UseDPDF=Y")</f>
        <v>0</v>
      </c>
      <c r="K18" s="13">
        <f>_xll.BDH("AMZN US Equity","CF_NET_CASH_DISCONT_OPS_OPER","FQ1 2011","FQ1 2011","Currency=USD","Period=FQ","BEST_FPERIOD_OVERRIDE=FQ","FILING_STATUS=MR","SCALING_FORMAT=MLN","Sort=A","Dates=H","DateFormat=P","Fill=—","Direction=H","UseDPDF=Y")</f>
        <v>0</v>
      </c>
      <c r="L18" s="13">
        <f>_xll.BDH("AMZN US Equity","CF_NET_CASH_DISCONT_OPS_OPER","FQ2 2011","FQ2 2011","Currency=USD","Period=FQ","BEST_FPERIOD_OVERRIDE=FQ","FILING_STATUS=MR","SCALING_FORMAT=MLN","Sort=A","Dates=H","DateFormat=P","Fill=—","Direction=H","UseDPDF=Y")</f>
        <v>0</v>
      </c>
      <c r="M18" s="13">
        <f>_xll.BDH("AMZN US Equity","CF_NET_CASH_DISCONT_OPS_OPER","FQ3 2011","FQ3 2011","Currency=USD","Period=FQ","BEST_FPERIOD_OVERRIDE=FQ","FILING_STATUS=MR","SCALING_FORMAT=MLN","Sort=A","Dates=H","DateFormat=P","Fill=—","Direction=H","UseDPDF=Y")</f>
        <v>0</v>
      </c>
      <c r="N18" s="13">
        <f>_xll.BDH("AMZN US Equity","CF_NET_CASH_DISCONT_OPS_OPER","FQ4 2011","FQ4 2011","Currency=USD","Period=FQ","BEST_FPERIOD_OVERRIDE=FQ","FILING_STATUS=MR","SCALING_FORMAT=MLN","Sort=A","Dates=H","DateFormat=P","Fill=—","Direction=H","UseDPDF=Y")</f>
        <v>0</v>
      </c>
      <c r="O18" s="13">
        <f>_xll.BDH("AMZN US Equity","CF_NET_CASH_DISCONT_OPS_OPER","FQ1 2012","FQ1 2012","Currency=USD","Period=FQ","BEST_FPERIOD_OVERRIDE=FQ","FILING_STATUS=MR","SCALING_FORMAT=MLN","Sort=A","Dates=H","DateFormat=P","Fill=—","Direction=H","UseDPDF=Y")</f>
        <v>0</v>
      </c>
      <c r="P18" s="13">
        <f>_xll.BDH("AMZN US Equity","CF_NET_CASH_DISCONT_OPS_OPER","FQ2 2012","FQ2 2012","Currency=USD","Period=FQ","BEST_FPERIOD_OVERRIDE=FQ","FILING_STATUS=MR","SCALING_FORMAT=MLN","Sort=A","Dates=H","DateFormat=P","Fill=—","Direction=H","UseDPDF=Y")</f>
        <v>0</v>
      </c>
      <c r="Q18" s="13">
        <f>_xll.BDH("AMZN US Equity","CF_NET_CASH_DISCONT_OPS_OPER","FQ3 2012","FQ3 2012","Currency=USD","Period=FQ","BEST_FPERIOD_OVERRIDE=FQ","FILING_STATUS=MR","SCALING_FORMAT=MLN","Sort=A","Dates=H","DateFormat=P","Fill=—","Direction=H","UseDPDF=Y")</f>
        <v>0</v>
      </c>
      <c r="R18" s="13">
        <f>_xll.BDH("AMZN US Equity","CF_NET_CASH_DISCONT_OPS_OPER","FQ4 2012","FQ4 2012","Currency=USD","Period=FQ","BEST_FPERIOD_OVERRIDE=FQ","FILING_STATUS=MR","SCALING_FORMAT=MLN","Sort=A","Dates=H","DateFormat=P","Fill=—","Direction=H","UseDPDF=Y")</f>
        <v>0</v>
      </c>
      <c r="S18" s="13">
        <f>_xll.BDH("AMZN US Equity","CF_NET_CASH_DISCONT_OPS_OPER","FQ1 2013","FQ1 2013","Currency=USD","Period=FQ","BEST_FPERIOD_OVERRIDE=FQ","FILING_STATUS=MR","SCALING_FORMAT=MLN","Sort=A","Dates=H","DateFormat=P","Fill=—","Direction=H","UseDPDF=Y")</f>
        <v>0</v>
      </c>
      <c r="T18" s="13">
        <f>_xll.BDH("AMZN US Equity","CF_NET_CASH_DISCONT_OPS_OPER","FQ2 2013","FQ2 2013","Currency=USD","Period=FQ","BEST_FPERIOD_OVERRIDE=FQ","FILING_STATUS=MR","SCALING_FORMAT=MLN","Sort=A","Dates=H","DateFormat=P","Fill=—","Direction=H","UseDPDF=Y")</f>
        <v>0</v>
      </c>
      <c r="U18" s="13">
        <f>_xll.BDH("AMZN US Equity","CF_NET_CASH_DISCONT_OPS_OPER","FQ3 2013","FQ3 2013","Currency=USD","Period=FQ","BEST_FPERIOD_OVERRIDE=FQ","FILING_STATUS=MR","SCALING_FORMAT=MLN","Sort=A","Dates=H","DateFormat=P","Fill=—","Direction=H","UseDPDF=Y")</f>
        <v>0</v>
      </c>
      <c r="V18" s="13">
        <f>_xll.BDH("AMZN US Equity","CF_NET_CASH_DISCONT_OPS_OPER","FQ4 2013","FQ4 2013","Currency=USD","Period=FQ","BEST_FPERIOD_OVERRIDE=FQ","FILING_STATUS=MR","SCALING_FORMAT=MLN","Sort=A","Dates=H","DateFormat=P","Fill=—","Direction=H","UseDPDF=Y")</f>
        <v>0</v>
      </c>
      <c r="W18" s="13">
        <f>_xll.BDH("AMZN US Equity","CF_NET_CASH_DISCONT_OPS_OPER","FQ1 2014","FQ1 2014","Currency=USD","Period=FQ","BEST_FPERIOD_OVERRIDE=FQ","FILING_STATUS=MR","SCALING_FORMAT=MLN","Sort=A","Dates=H","DateFormat=P","Fill=—","Direction=H","UseDPDF=Y")</f>
        <v>0</v>
      </c>
      <c r="X18" s="13">
        <f>_xll.BDH("AMZN US Equity","CF_NET_CASH_DISCONT_OPS_OPER","FQ2 2014","FQ2 2014","Currency=USD","Period=FQ","BEST_FPERIOD_OVERRIDE=FQ","FILING_STATUS=MR","SCALING_FORMAT=MLN","Sort=A","Dates=H","DateFormat=P","Fill=—","Direction=H","UseDPDF=Y")</f>
        <v>0</v>
      </c>
      <c r="Y18" s="13">
        <f>_xll.BDH("AMZN US Equity","CF_NET_CASH_DISCONT_OPS_OPER","FQ3 2014","FQ3 2014","Currency=USD","Period=FQ","BEST_FPERIOD_OVERRIDE=FQ","FILING_STATUS=MR","SCALING_FORMAT=MLN","Sort=A","Dates=H","DateFormat=P","Fill=—","Direction=H","UseDPDF=Y")</f>
        <v>0</v>
      </c>
      <c r="Z18" s="13">
        <f>_xll.BDH("AMZN US Equity","CF_NET_CASH_DISCONT_OPS_OPER","FQ4 2014","FQ4 2014","Currency=USD","Period=FQ","BEST_FPERIOD_OVERRIDE=FQ","FILING_STATUS=MR","SCALING_FORMAT=MLN","Sort=A","Dates=H","DateFormat=P","Fill=—","Direction=H","UseDPDF=Y")</f>
        <v>0</v>
      </c>
      <c r="AA18" s="13">
        <f>_xll.BDH("AMZN US Equity","CF_NET_CASH_DISCONT_OPS_OPER","FQ1 2015","FQ1 2015","Currency=USD","Period=FQ","BEST_FPERIOD_OVERRIDE=FQ","FILING_STATUS=MR","SCALING_FORMAT=MLN","Sort=A","Dates=H","DateFormat=P","Fill=—","Direction=H","UseDPDF=Y")</f>
        <v>0</v>
      </c>
      <c r="AB18" s="13">
        <f>_xll.BDH("AMZN US Equity","CF_NET_CASH_DISCONT_OPS_OPER","FQ2 2015","FQ2 2015","Currency=USD","Period=FQ","BEST_FPERIOD_OVERRIDE=FQ","FILING_STATUS=MR","SCALING_FORMAT=MLN","Sort=A","Dates=H","DateFormat=P","Fill=—","Direction=H","UseDPDF=Y")</f>
        <v>0</v>
      </c>
      <c r="AC18" s="13">
        <f>_xll.BDH("AMZN US Equity","CF_NET_CASH_DISCONT_OPS_OPER","FQ3 2015","FQ3 2015","Currency=USD","Period=FQ","BEST_FPERIOD_OVERRIDE=FQ","FILING_STATUS=MR","SCALING_FORMAT=MLN","Sort=A","Dates=H","DateFormat=P","Fill=—","Direction=H","UseDPDF=Y")</f>
        <v>0</v>
      </c>
      <c r="AD18" s="13">
        <f>_xll.BDH("AMZN US Equity","CF_NET_CASH_DISCONT_OPS_OPER","FQ4 2015","FQ4 2015","Currency=USD","Period=FQ","BEST_FPERIOD_OVERRIDE=FQ","FILING_STATUS=MR","SCALING_FORMAT=MLN","Sort=A","Dates=H","DateFormat=P","Fill=—","Direction=H","UseDPDF=Y")</f>
        <v>0</v>
      </c>
      <c r="AE18" s="13">
        <f>_xll.BDH("AMZN US Equity","CF_NET_CASH_DISCONT_OPS_OPER","FQ1 2016","FQ1 2016","Currency=USD","Period=FQ","BEST_FPERIOD_OVERRIDE=FQ","FILING_STATUS=MR","SCALING_FORMAT=MLN","Sort=A","Dates=H","DateFormat=P","Fill=—","Direction=H","UseDPDF=Y")</f>
        <v>0</v>
      </c>
      <c r="AF18" s="13">
        <f>_xll.BDH("AMZN US Equity","CF_NET_CASH_DISCONT_OPS_OPER","FQ2 2016","FQ2 2016","Currency=USD","Period=FQ","BEST_FPERIOD_OVERRIDE=FQ","FILING_STATUS=MR","SCALING_FORMAT=MLN","Sort=A","Dates=H","DateFormat=P","Fill=—","Direction=H","UseDPDF=Y")</f>
        <v>0</v>
      </c>
      <c r="AG18" s="13">
        <f>_xll.BDH("AMZN US Equity","CF_NET_CASH_DISCONT_OPS_OPER","FQ3 2016","FQ3 2016","Currency=USD","Period=FQ","BEST_FPERIOD_OVERRIDE=FQ","FILING_STATUS=MR","SCALING_FORMAT=MLN","Sort=A","Dates=H","DateFormat=P","Fill=—","Direction=H","UseDPDF=Y")</f>
        <v>0</v>
      </c>
      <c r="AH18" s="13">
        <f>_xll.BDH("AMZN US Equity","CF_NET_CASH_DISCONT_OPS_OPER","FQ4 2016","FQ4 2016","Currency=USD","Period=FQ","BEST_FPERIOD_OVERRIDE=FQ","FILING_STATUS=MR","SCALING_FORMAT=MLN","Sort=A","Dates=H","DateFormat=P","Fill=—","Direction=H","UseDPDF=Y")</f>
        <v>0</v>
      </c>
      <c r="AI18" s="13">
        <f>_xll.BDH("AMZN US Equity","CF_NET_CASH_DISCONT_OPS_OPER","FQ1 2017","FQ1 2017","Currency=USD","Period=FQ","BEST_FPERIOD_OVERRIDE=FQ","FILING_STATUS=MR","SCALING_FORMAT=MLN","Sort=A","Dates=H","DateFormat=P","Fill=—","Direction=H","UseDPDF=Y")</f>
        <v>0</v>
      </c>
      <c r="AJ18" s="13">
        <f>_xll.BDH("AMZN US Equity","CF_NET_CASH_DISCONT_OPS_OPER","FQ2 2017","FQ2 2017","Currency=USD","Period=FQ","BEST_FPERIOD_OVERRIDE=FQ","FILING_STATUS=MR","SCALING_FORMAT=MLN","Sort=A","Dates=H","DateFormat=P","Fill=—","Direction=H","UseDPDF=Y")</f>
        <v>0</v>
      </c>
      <c r="AK18" s="13">
        <f>_xll.BDH("AMZN US Equity","CF_NET_CASH_DISCONT_OPS_OPER","FQ3 2017","FQ3 2017","Currency=USD","Period=FQ","BEST_FPERIOD_OVERRIDE=FQ","FILING_STATUS=MR","SCALING_FORMAT=MLN","Sort=A","Dates=H","DateFormat=P","Fill=—","Direction=H","UseDPDF=Y")</f>
        <v>0</v>
      </c>
      <c r="AL18" s="13">
        <f>_xll.BDH("AMZN US Equity","CF_NET_CASH_DISCONT_OPS_OPER","FQ4 2017","FQ4 2017","Currency=USD","Period=FQ","BEST_FPERIOD_OVERRIDE=FQ","FILING_STATUS=MR","SCALING_FORMAT=MLN","Sort=A","Dates=H","DateFormat=P","Fill=—","Direction=H","UseDPDF=Y")</f>
        <v>0</v>
      </c>
      <c r="AM18" s="13">
        <f>_xll.BDH("AMZN US Equity","CF_NET_CASH_DISCONT_OPS_OPER","FQ1 2018","FQ1 2018","Currency=USD","Period=FQ","BEST_FPERIOD_OVERRIDE=FQ","FILING_STATUS=MR","SCALING_FORMAT=MLN","Sort=A","Dates=H","DateFormat=P","Fill=—","Direction=H","UseDPDF=Y")</f>
        <v>0</v>
      </c>
      <c r="AN18" s="13">
        <f>_xll.BDH("AMZN US Equity","CF_NET_CASH_DISCONT_OPS_OPER","FQ2 2018","FQ2 2018","Currency=USD","Period=FQ","BEST_FPERIOD_OVERRIDE=FQ","FILING_STATUS=MR","SCALING_FORMAT=MLN","Sort=A","Dates=H","DateFormat=P","Fill=—","Direction=H","UseDPDF=Y")</f>
        <v>0</v>
      </c>
    </row>
    <row r="19" spans="1:40" x14ac:dyDescent="0.25">
      <c r="A19" s="6" t="s">
        <v>362</v>
      </c>
      <c r="B19" s="6" t="s">
        <v>387</v>
      </c>
      <c r="C19" s="17">
        <f>_xll.BDH("AMZN US Equity","CF_CASH_FROM_OPER","FQ1 2009","FQ1 2009","Currency=USD","Period=FQ","BEST_FPERIOD_OVERRIDE=FQ","FILING_STATUS=MR","SCALING_FORMAT=MLN","Sort=A","Dates=H","DateFormat=P","Fill=—","Direction=H","UseDPDF=Y")</f>
        <v>-585</v>
      </c>
      <c r="D19" s="17">
        <f>_xll.BDH("AMZN US Equity","CF_CASH_FROM_OPER","FQ2 2009","FQ2 2009","Currency=USD","Period=FQ","BEST_FPERIOD_OVERRIDE=FQ","FILING_STATUS=MR","SCALING_FORMAT=MLN","Sort=A","Dates=H","DateFormat=P","Fill=—","Direction=H","UseDPDF=Y")</f>
        <v>468</v>
      </c>
      <c r="E19" s="17">
        <f>_xll.BDH("AMZN US Equity","CF_CASH_FROM_OPER","FQ3 2009","FQ3 2009","Currency=USD","Period=FQ","BEST_FPERIOD_OVERRIDE=FQ","FILING_STATUS=MR","SCALING_FORMAT=MLN","Sort=A","Dates=H","DateFormat=P","Fill=—","Direction=H","UseDPDF=Y")</f>
        <v>799</v>
      </c>
      <c r="F19" s="17">
        <f>_xll.BDH("AMZN US Equity","CF_CASH_FROM_OPER","FQ4 2009","FQ4 2009","Currency=USD","Period=FQ","BEST_FPERIOD_OVERRIDE=FQ","FILING_STATUS=MR","SCALING_FORMAT=MLN","Sort=A","Dates=H","DateFormat=P","Fill=—","Direction=H","UseDPDF=Y")</f>
        <v>2610</v>
      </c>
      <c r="G19" s="17">
        <f>_xll.BDH("AMZN US Equity","CF_CASH_FROM_OPER","FQ1 2010","FQ1 2010","Currency=USD","Period=FQ","BEST_FPERIOD_OVERRIDE=FQ","FILING_STATUS=MR","SCALING_FORMAT=MLN","Sort=A","Dates=H","DateFormat=P","Fill=—","Direction=H","UseDPDF=Y")</f>
        <v>-1098</v>
      </c>
      <c r="H19" s="17">
        <f>_xll.BDH("AMZN US Equity","CF_CASH_FROM_OPER","FQ2 2010","FQ2 2010","Currency=USD","Period=FQ","BEST_FPERIOD_OVERRIDE=FQ","FILING_STATUS=MR","SCALING_FORMAT=MLN","Sort=A","Dates=H","DateFormat=P","Fill=—","Direction=H","UseDPDF=Y")</f>
        <v>250</v>
      </c>
      <c r="I19" s="17">
        <f>_xll.BDH("AMZN US Equity","CF_CASH_FROM_OPER","FQ3 2010","FQ3 2010","Currency=USD","Period=FQ","BEST_FPERIOD_OVERRIDE=FQ","FILING_STATUS=MR","SCALING_FORMAT=MLN","Sort=A","Dates=H","DateFormat=P","Fill=—","Direction=H","UseDPDF=Y")</f>
        <v>855</v>
      </c>
      <c r="J19" s="17">
        <f>_xll.BDH("AMZN US Equity","CF_CASH_FROM_OPER","FQ4 2010","FQ4 2010","Currency=USD","Period=FQ","BEST_FPERIOD_OVERRIDE=FQ","FILING_STATUS=MR","SCALING_FORMAT=MLN","Sort=A","Dates=H","DateFormat=P","Fill=—","Direction=H","UseDPDF=Y")</f>
        <v>3480</v>
      </c>
      <c r="K19" s="17">
        <f>_xll.BDH("AMZN US Equity","CF_CASH_FROM_OPER","FQ1 2011","FQ1 2011","Currency=USD","Period=FQ","BEST_FPERIOD_OVERRIDE=FQ","FILING_STATUS=MR","SCALING_FORMAT=MLN","Sort=A","Dates=H","DateFormat=P","Fill=—","Direction=H","UseDPDF=Y")</f>
        <v>-1586</v>
      </c>
      <c r="L19" s="17">
        <f>_xll.BDH("AMZN US Equity","CF_CASH_FROM_OPER","FQ2 2011","FQ2 2011","Currency=USD","Period=FQ","BEST_FPERIOD_OVERRIDE=FQ","FILING_STATUS=MR","SCALING_FORMAT=MLN","Sort=A","Dates=H","DateFormat=P","Fill=—","Direction=H","UseDPDF=Y")</f>
        <v>423</v>
      </c>
      <c r="M19" s="17">
        <f>_xll.BDH("AMZN US Equity","CF_CASH_FROM_OPER","FQ3 2011","FQ3 2011","Currency=USD","Period=FQ","BEST_FPERIOD_OVERRIDE=FQ","FILING_STATUS=MR","SCALING_FORMAT=MLN","Sort=A","Dates=H","DateFormat=P","Fill=—","Direction=H","UseDPDF=Y")</f>
        <v>797</v>
      </c>
      <c r="N19" s="17">
        <f>_xll.BDH("AMZN US Equity","CF_CASH_FROM_OPER","FQ4 2011","FQ4 2011","Currency=USD","Period=FQ","BEST_FPERIOD_OVERRIDE=FQ","FILING_STATUS=MR","SCALING_FORMAT=MLN","Sort=A","Dates=H","DateFormat=P","Fill=—","Direction=H","UseDPDF=Y")</f>
        <v>4269</v>
      </c>
      <c r="O19" s="17">
        <f>_xll.BDH("AMZN US Equity","CF_CASH_FROM_OPER","FQ1 2012","FQ1 2012","Currency=USD","Period=FQ","BEST_FPERIOD_OVERRIDE=FQ","FILING_STATUS=MR","SCALING_FORMAT=MLN","Sort=A","Dates=H","DateFormat=P","Fill=—","Direction=H","UseDPDF=Y")</f>
        <v>-2438</v>
      </c>
      <c r="P19" s="17">
        <f>_xll.BDH("AMZN US Equity","CF_CASH_FROM_OPER","FQ2 2012","FQ2 2012","Currency=USD","Period=FQ","BEST_FPERIOD_OVERRIDE=FQ","FILING_STATUS=MR","SCALING_FORMAT=MLN","Sort=A","Dates=H","DateFormat=P","Fill=—","Direction=H","UseDPDF=Y")</f>
        <v>594</v>
      </c>
      <c r="Q19" s="17">
        <f>_xll.BDH("AMZN US Equity","CF_CASH_FROM_OPER","FQ3 2012","FQ3 2012","Currency=USD","Period=FQ","BEST_FPERIOD_OVERRIDE=FQ","FILING_STATUS=MR","SCALING_FORMAT=MLN","Sort=A","Dates=H","DateFormat=P","Fill=—","Direction=H","UseDPDF=Y")</f>
        <v>943</v>
      </c>
      <c r="R19" s="17">
        <f>_xll.BDH("AMZN US Equity","CF_CASH_FROM_OPER","FQ4 2012","FQ4 2012","Currency=USD","Period=FQ","BEST_FPERIOD_OVERRIDE=FQ","FILING_STATUS=MR","SCALING_FORMAT=MLN","Sort=A","Dates=H","DateFormat=P","Fill=—","Direction=H","UseDPDF=Y")</f>
        <v>5081</v>
      </c>
      <c r="S19" s="17">
        <f>_xll.BDH("AMZN US Equity","CF_CASH_FROM_OPER","FQ1 2013","FQ1 2013","Currency=USD","Period=FQ","BEST_FPERIOD_OVERRIDE=FQ","FILING_STATUS=MR","SCALING_FORMAT=MLN","Sort=A","Dates=H","DateFormat=P","Fill=—","Direction=H","UseDPDF=Y")</f>
        <v>-2372</v>
      </c>
      <c r="T19" s="17">
        <f>_xll.BDH("AMZN US Equity","CF_CASH_FROM_OPER","FQ2 2013","FQ2 2013","Currency=USD","Period=FQ","BEST_FPERIOD_OVERRIDE=FQ","FILING_STATUS=MR","SCALING_FORMAT=MLN","Sort=A","Dates=H","DateFormat=P","Fill=—","Direction=H","UseDPDF=Y")</f>
        <v>880</v>
      </c>
      <c r="U19" s="17">
        <f>_xll.BDH("AMZN US Equity","CF_CASH_FROM_OPER","FQ3 2013","FQ3 2013","Currency=USD","Period=FQ","BEST_FPERIOD_OVERRIDE=FQ","FILING_STATUS=MR","SCALING_FORMAT=MLN","Sort=A","Dates=H","DateFormat=P","Fill=—","Direction=H","UseDPDF=Y")</f>
        <v>1388</v>
      </c>
      <c r="V19" s="17">
        <f>_xll.BDH("AMZN US Equity","CF_CASH_FROM_OPER","FQ4 2013","FQ4 2013","Currency=USD","Period=FQ","BEST_FPERIOD_OVERRIDE=FQ","FILING_STATUS=MR","SCALING_FORMAT=MLN","Sort=A","Dates=H","DateFormat=P","Fill=—","Direction=H","UseDPDF=Y")</f>
        <v>5578</v>
      </c>
      <c r="W19" s="17">
        <f>_xll.BDH("AMZN US Equity","CF_CASH_FROM_OPER","FQ1 2014","FQ1 2014","Currency=USD","Period=FQ","BEST_FPERIOD_OVERRIDE=FQ","FILING_STATUS=MR","SCALING_FORMAT=MLN","Sort=A","Dates=H","DateFormat=P","Fill=—","Direction=H","UseDPDF=Y")</f>
        <v>-2502</v>
      </c>
      <c r="X19" s="17">
        <f>_xll.BDH("AMZN US Equity","CF_CASH_FROM_OPER","FQ2 2014","FQ2 2014","Currency=USD","Period=FQ","BEST_FPERIOD_OVERRIDE=FQ","FILING_STATUS=MR","SCALING_FORMAT=MLN","Sort=A","Dates=H","DateFormat=P","Fill=—","Direction=H","UseDPDF=Y")</f>
        <v>862</v>
      </c>
      <c r="Y19" s="17">
        <f>_xll.BDH("AMZN US Equity","CF_CASH_FROM_OPER","FQ3 2014","FQ3 2014","Currency=USD","Period=FQ","BEST_FPERIOD_OVERRIDE=FQ","FILING_STATUS=MR","SCALING_FORMAT=MLN","Sort=A","Dates=H","DateFormat=P","Fill=—","Direction=H","UseDPDF=Y")</f>
        <v>1766</v>
      </c>
      <c r="Z19" s="17">
        <f>_xll.BDH("AMZN US Equity","CF_CASH_FROM_OPER","FQ4 2014","FQ4 2014","Currency=USD","Period=FQ","BEST_FPERIOD_OVERRIDE=FQ","FILING_STATUS=MR","SCALING_FORMAT=MLN","Sort=A","Dates=H","DateFormat=P","Fill=—","Direction=H","UseDPDF=Y")</f>
        <v>6715</v>
      </c>
      <c r="AA19" s="17">
        <f>_xll.BDH("AMZN US Equity","CF_CASH_FROM_OPER","FQ1 2015","FQ1 2015","Currency=USD","Period=FQ","BEST_FPERIOD_OVERRIDE=FQ","FILING_STATUS=MR","SCALING_FORMAT=MLN","Sort=A","Dates=H","DateFormat=P","Fill=—","Direction=H","UseDPDF=Y")</f>
        <v>-1499</v>
      </c>
      <c r="AB19" s="17">
        <f>_xll.BDH("AMZN US Equity","CF_CASH_FROM_OPER","FQ2 2015","FQ2 2015","Currency=USD","Period=FQ","BEST_FPERIOD_OVERRIDE=FQ","FILING_STATUS=MR","SCALING_FORMAT=MLN","Sort=A","Dates=H","DateFormat=P","Fill=—","Direction=H","UseDPDF=Y")</f>
        <v>1997</v>
      </c>
      <c r="AC19" s="17">
        <f>_xll.BDH("AMZN US Equity","CF_CASH_FROM_OPER","FQ3 2015","FQ3 2015","Currency=USD","Period=FQ","BEST_FPERIOD_OVERRIDE=FQ","FILING_STATUS=MR","SCALING_FORMAT=MLN","Sort=A","Dates=H","DateFormat=P","Fill=—","Direction=H","UseDPDF=Y")</f>
        <v>2610</v>
      </c>
      <c r="AD19" s="17">
        <f>_xll.BDH("AMZN US Equity","CF_CASH_FROM_OPER","FQ4 2015","FQ4 2015","Currency=USD","Period=FQ","BEST_FPERIOD_OVERRIDE=FQ","FILING_STATUS=MR","SCALING_FORMAT=MLN","Sort=A","Dates=H","DateFormat=P","Fill=—","Direction=H","UseDPDF=Y")</f>
        <v>8812</v>
      </c>
      <c r="AE19" s="17">
        <f>_xll.BDH("AMZN US Equity","CF_CASH_FROM_OPER","FQ1 2016","FQ1 2016","Currency=USD","Period=FQ","BEST_FPERIOD_OVERRIDE=FQ","FILING_STATUS=MR","SCALING_FORMAT=MLN","Sort=A","Dates=H","DateFormat=P","Fill=—","Direction=H","UseDPDF=Y")</f>
        <v>-1953</v>
      </c>
      <c r="AF19" s="17">
        <f>_xll.BDH("AMZN US Equity","CF_CASH_FROM_OPER","FQ2 2016","FQ2 2016","Currency=USD","Period=FQ","BEST_FPERIOD_OVERRIDE=FQ","FILING_STATUS=MR","SCALING_FORMAT=MLN","Sort=A","Dates=H","DateFormat=P","Fill=—","Direction=H","UseDPDF=Y")</f>
        <v>3578</v>
      </c>
      <c r="AG19" s="17">
        <f>_xll.BDH("AMZN US Equity","CF_CASH_FROM_OPER","FQ3 2016","FQ3 2016","Currency=USD","Period=FQ","BEST_FPERIOD_OVERRIDE=FQ","FILING_STATUS=MR","SCALING_FORMAT=MLN","Sort=A","Dates=H","DateFormat=P","Fill=—","Direction=H","UseDPDF=Y")</f>
        <v>4659</v>
      </c>
      <c r="AH19" s="17">
        <f>_xll.BDH("AMZN US Equity","CF_CASH_FROM_OPER","FQ4 2016","FQ4 2016","Currency=USD","Period=FQ","BEST_FPERIOD_OVERRIDE=FQ","FILING_STATUS=MR","SCALING_FORMAT=MLN","Sort=A","Dates=H","DateFormat=P","Fill=—","Direction=H","UseDPDF=Y")</f>
        <v>10987</v>
      </c>
      <c r="AI19" s="17">
        <f>_xll.BDH("AMZN US Equity","CF_CASH_FROM_OPER","FQ1 2017","FQ1 2017","Currency=USD","Period=FQ","BEST_FPERIOD_OVERRIDE=FQ","FILING_STATUS=MR","SCALING_FORMAT=MLN","Sort=A","Dates=H","DateFormat=P","Fill=—","Direction=H","UseDPDF=Y")</f>
        <v>-1619</v>
      </c>
      <c r="AJ19" s="17">
        <f>_xll.BDH("AMZN US Equity","CF_CASH_FROM_OPER","FQ2 2017","FQ2 2017","Currency=USD","Period=FQ","BEST_FPERIOD_OVERRIDE=FQ","FILING_STATUS=MR","SCALING_FORMAT=MLN","Sort=A","Dates=H","DateFormat=P","Fill=—","Direction=H","UseDPDF=Y")</f>
        <v>3850</v>
      </c>
      <c r="AK19" s="17">
        <f>_xll.BDH("AMZN US Equity","CF_CASH_FROM_OPER","FQ3 2017","FQ3 2017","Currency=USD","Period=FQ","BEST_FPERIOD_OVERRIDE=FQ","FILING_STATUS=MR","SCALING_FORMAT=MLN","Sort=A","Dates=H","DateFormat=P","Fill=—","Direction=H","UseDPDF=Y")</f>
        <v>3851</v>
      </c>
      <c r="AL19" s="17">
        <f>_xll.BDH("AMZN US Equity","CF_CASH_FROM_OPER","FQ4 2017","FQ4 2017","Currency=USD","Period=FQ","BEST_FPERIOD_OVERRIDE=FQ","FILING_STATUS=MR","SCALING_FORMAT=MLN","Sort=A","Dates=H","DateFormat=P","Fill=—","Direction=H","UseDPDF=Y")</f>
        <v>12344</v>
      </c>
      <c r="AM19" s="17">
        <f>_xll.BDH("AMZN US Equity","CF_CASH_FROM_OPER","FQ1 2018","FQ1 2018","Currency=USD","Period=FQ","BEST_FPERIOD_OVERRIDE=FQ","FILING_STATUS=MR","SCALING_FORMAT=MLN","Sort=A","Dates=H","DateFormat=P","Fill=—","Direction=H","UseDPDF=Y")</f>
        <v>-1791</v>
      </c>
      <c r="AN19" s="17">
        <f>_xll.BDH("AMZN US Equity","CF_CASH_FROM_OPER","FQ2 2018","FQ2 2018","Currency=USD","Period=FQ","BEST_FPERIOD_OVERRIDE=FQ","FILING_STATUS=MR","SCALING_FORMAT=MLN","Sort=A","Dates=H","DateFormat=P","Fill=—","Direction=H","UseDPDF=Y")</f>
        <v>7449</v>
      </c>
    </row>
    <row r="20" spans="1:40" x14ac:dyDescent="0.25">
      <c r="A20" s="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spans="1:40" x14ac:dyDescent="0.25">
      <c r="A21" s="6" t="s">
        <v>388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spans="1:40" x14ac:dyDescent="0.25">
      <c r="A22" s="10" t="s">
        <v>389</v>
      </c>
      <c r="B22" s="10" t="s">
        <v>390</v>
      </c>
      <c r="C22" s="13">
        <f>_xll.BDH("AMZN US Equity","CHG_IN_FXD_&amp;_INTANG_AST_DETAILED","FQ1 2009","FQ1 2009","Currency=USD","Period=FQ","BEST_FPERIOD_OVERRIDE=FQ","FILING_STATUS=MR","SCALING_FORMAT=MLN","Sort=A","Dates=H","DateFormat=P","Fill=—","Direction=H","UseDPDF=Y")</f>
        <v>-55</v>
      </c>
      <c r="D22" s="13">
        <f>_xll.BDH("AMZN US Equity","CHG_IN_FXD_&amp;_INTANG_AST_DETAILED","FQ2 2009","FQ2 2009","Currency=USD","Period=FQ","BEST_FPERIOD_OVERRIDE=FQ","FILING_STATUS=MR","SCALING_FORMAT=MLN","Sort=A","Dates=H","DateFormat=P","Fill=—","Direction=H","UseDPDF=Y")</f>
        <v>-78</v>
      </c>
      <c r="E22" s="13">
        <f>_xll.BDH("AMZN US Equity","CHG_IN_FXD_&amp;_INTANG_AST_DETAILED","FQ3 2009","FQ3 2009","Currency=USD","Period=FQ","BEST_FPERIOD_OVERRIDE=FQ","FILING_STATUS=MR","SCALING_FORMAT=MLN","Sort=A","Dates=H","DateFormat=P","Fill=—","Direction=H","UseDPDF=Y")</f>
        <v>-103</v>
      </c>
      <c r="F22" s="13">
        <f>_xll.BDH("AMZN US Equity","CHG_IN_FXD_&amp;_INTANG_AST_DETAILED","FQ4 2009","FQ4 2009","Currency=USD","Period=FQ","BEST_FPERIOD_OVERRIDE=FQ","FILING_STATUS=MR","SCALING_FORMAT=MLN","Sort=A","Dates=H","DateFormat=P","Fill=—","Direction=H","UseDPDF=Y")</f>
        <v>-137</v>
      </c>
      <c r="G22" s="13">
        <f>_xll.BDH("AMZN US Equity","CHG_IN_FXD_&amp;_INTANG_AST_DETAILED","FQ1 2010","FQ1 2010","Currency=USD","Period=FQ","BEST_FPERIOD_OVERRIDE=FQ","FILING_STATUS=MR","SCALING_FORMAT=MLN","Sort=A","Dates=H","DateFormat=P","Fill=—","Direction=H","UseDPDF=Y")</f>
        <v>-140</v>
      </c>
      <c r="H22" s="13">
        <f>_xll.BDH("AMZN US Equity","CHG_IN_FXD_&amp;_INTANG_AST_DETAILED","FQ2 2010","FQ2 2010","Currency=USD","Period=FQ","BEST_FPERIOD_OVERRIDE=FQ","FILING_STATUS=MR","SCALING_FORMAT=MLN","Sort=A","Dates=H","DateFormat=P","Fill=—","Direction=H","UseDPDF=Y")</f>
        <v>-196</v>
      </c>
      <c r="I22" s="13">
        <f>_xll.BDH("AMZN US Equity","CHG_IN_FXD_&amp;_INTANG_AST_DETAILED","FQ3 2010","FQ3 2010","Currency=USD","Period=FQ","BEST_FPERIOD_OVERRIDE=FQ","FILING_STATUS=MR","SCALING_FORMAT=MLN","Sort=A","Dates=H","DateFormat=P","Fill=—","Direction=H","UseDPDF=Y")</f>
        <v>-315</v>
      </c>
      <c r="J22" s="13">
        <f>_xll.BDH("AMZN US Equity","CHG_IN_FXD_&amp;_INTANG_AST_DETAILED","FQ4 2010","FQ4 2010","Currency=USD","Period=FQ","BEST_FPERIOD_OVERRIDE=FQ","FILING_STATUS=MR","SCALING_FORMAT=MLN","Sort=A","Dates=H","DateFormat=P","Fill=—","Direction=H","UseDPDF=Y")</f>
        <v>-328</v>
      </c>
      <c r="K22" s="13">
        <f>_xll.BDH("AMZN US Equity","CHG_IN_FXD_&amp;_INTANG_AST_DETAILED","FQ1 2011","FQ1 2011","Currency=USD","Period=FQ","BEST_FPERIOD_OVERRIDE=FQ","FILING_STATUS=MR","SCALING_FORMAT=MLN","Sort=A","Dates=H","DateFormat=P","Fill=—","Direction=H","UseDPDF=Y")</f>
        <v>-298</v>
      </c>
      <c r="L22" s="13">
        <f>_xll.BDH("AMZN US Equity","CHG_IN_FXD_&amp;_INTANG_AST_DETAILED","FQ2 2011","FQ2 2011","Currency=USD","Period=FQ","BEST_FPERIOD_OVERRIDE=FQ","FILING_STATUS=MR","SCALING_FORMAT=MLN","Sort=A","Dates=H","DateFormat=P","Fill=—","Direction=H","UseDPDF=Y")</f>
        <v>-433</v>
      </c>
      <c r="M22" s="13">
        <f>_xll.BDH("AMZN US Equity","CHG_IN_FXD_&amp;_INTANG_AST_DETAILED","FQ3 2011","FQ3 2011","Currency=USD","Period=FQ","BEST_FPERIOD_OVERRIDE=FQ","FILING_STATUS=MR","SCALING_FORMAT=MLN","Sort=A","Dates=H","DateFormat=P","Fill=—","Direction=H","UseDPDF=Y")</f>
        <v>-529</v>
      </c>
      <c r="N22" s="13">
        <f>_xll.BDH("AMZN US Equity","CHG_IN_FXD_&amp;_INTANG_AST_DETAILED","FQ4 2011","FQ4 2011","Currency=USD","Period=FQ","BEST_FPERIOD_OVERRIDE=FQ","FILING_STATUS=MR","SCALING_FORMAT=MLN","Sort=A","Dates=H","DateFormat=P","Fill=—","Direction=H","UseDPDF=Y")</f>
        <v>-550</v>
      </c>
      <c r="O22" s="13">
        <f>_xll.BDH("AMZN US Equity","CHG_IN_FXD_&amp;_INTANG_AST_DETAILED","FQ1 2012","FQ1 2012","Currency=USD","Period=FQ","BEST_FPERIOD_OVERRIDE=FQ","FILING_STATUS=MR","SCALING_FORMAT=MLN","Sort=A","Dates=H","DateFormat=P","Fill=—","Direction=H","UseDPDF=Y")</f>
        <v>-386</v>
      </c>
      <c r="P22" s="13">
        <f>_xll.BDH("AMZN US Equity","CHG_IN_FXD_&amp;_INTANG_AST_DETAILED","FQ2 2012","FQ2 2012","Currency=USD","Period=FQ","BEST_FPERIOD_OVERRIDE=FQ","FILING_STATUS=MR","SCALING_FORMAT=MLN","Sort=A","Dates=H","DateFormat=P","Fill=—","Direction=H","UseDPDF=Y")</f>
        <v>-657</v>
      </c>
      <c r="Q22" s="13">
        <f>_xll.BDH("AMZN US Equity","CHG_IN_FXD_&amp;_INTANG_AST_DETAILED","FQ3 2012","FQ3 2012","Currency=USD","Period=FQ","BEST_FPERIOD_OVERRIDE=FQ","FILING_STATUS=MR","SCALING_FORMAT=MLN","Sort=A","Dates=H","DateFormat=P","Fill=—","Direction=H","UseDPDF=Y")</f>
        <v>-716</v>
      </c>
      <c r="R22" s="13">
        <f>_xll.BDH("AMZN US Equity","CHG_IN_FXD_&amp;_INTANG_AST_DETAILED","FQ4 2012","FQ4 2012","Currency=USD","Period=FQ","BEST_FPERIOD_OVERRIDE=FQ","FILING_STATUS=MR","SCALING_FORMAT=MLN","Sort=A","Dates=H","DateFormat=P","Fill=—","Direction=H","UseDPDF=Y")</f>
        <v>-2025</v>
      </c>
      <c r="S22" s="13">
        <f>_xll.BDH("AMZN US Equity","CHG_IN_FXD_&amp;_INTANG_AST_DETAILED","FQ1 2013","FQ1 2013","Currency=USD","Period=FQ","BEST_FPERIOD_OVERRIDE=FQ","FILING_STATUS=MR","SCALING_FORMAT=MLN","Sort=A","Dates=H","DateFormat=P","Fill=—","Direction=H","UseDPDF=Y")</f>
        <v>-670</v>
      </c>
      <c r="T22" s="13">
        <f>_xll.BDH("AMZN US Equity","CHG_IN_FXD_&amp;_INTANG_AST_DETAILED","FQ2 2013","FQ2 2013","Currency=USD","Period=FQ","BEST_FPERIOD_OVERRIDE=FQ","FILING_STATUS=MR","SCALING_FORMAT=MLN","Sort=A","Dates=H","DateFormat=P","Fill=—","Direction=H","UseDPDF=Y")</f>
        <v>-855</v>
      </c>
      <c r="U22" s="13">
        <f>_xll.BDH("AMZN US Equity","CHG_IN_FXD_&amp;_INTANG_AST_DETAILED","FQ3 2013","FQ3 2013","Currency=USD","Period=FQ","BEST_FPERIOD_OVERRIDE=FQ","FILING_STATUS=MR","SCALING_FORMAT=MLN","Sort=A","Dates=H","DateFormat=P","Fill=—","Direction=H","UseDPDF=Y")</f>
        <v>-1038</v>
      </c>
      <c r="V22" s="13">
        <f>_xll.BDH("AMZN US Equity","CHG_IN_FXD_&amp;_INTANG_AST_DETAILED","FQ4 2013","FQ4 2013","Currency=USD","Period=FQ","BEST_FPERIOD_OVERRIDE=FQ","FILING_STATUS=MR","SCALING_FORMAT=MLN","Sort=A","Dates=H","DateFormat=P","Fill=—","Direction=H","UseDPDF=Y")</f>
        <v>-880</v>
      </c>
      <c r="W22" s="13">
        <f>_xll.BDH("AMZN US Equity","CHG_IN_FXD_&amp;_INTANG_AST_DETAILED","FQ1 2014","FQ1 2014","Currency=USD","Period=FQ","BEST_FPERIOD_OVERRIDE=FQ","FILING_STATUS=MR","SCALING_FORMAT=MLN","Sort=A","Dates=H","DateFormat=P","Fill=—","Direction=H","UseDPDF=Y")</f>
        <v>-1080</v>
      </c>
      <c r="X22" s="13">
        <f>_xll.BDH("AMZN US Equity","CHG_IN_FXD_&amp;_INTANG_AST_DETAILED","FQ2 2014","FQ2 2014","Currency=USD","Period=FQ","BEST_FPERIOD_OVERRIDE=FQ","FILING_STATUS=MR","SCALING_FORMAT=MLN","Sort=A","Dates=H","DateFormat=P","Fill=—","Direction=H","UseDPDF=Y")</f>
        <v>-1290</v>
      </c>
      <c r="Y22" s="13">
        <f>_xll.BDH("AMZN US Equity","CHG_IN_FXD_&amp;_INTANG_AST_DETAILED","FQ3 2014","FQ3 2014","Currency=USD","Period=FQ","BEST_FPERIOD_OVERRIDE=FQ","FILING_STATUS=MR","SCALING_FORMAT=MLN","Sort=A","Dates=H","DateFormat=P","Fill=—","Direction=H","UseDPDF=Y")</f>
        <v>-1378</v>
      </c>
      <c r="Z22" s="13">
        <f>_xll.BDH("AMZN US Equity","CHG_IN_FXD_&amp;_INTANG_AST_DETAILED","FQ4 2014","FQ4 2014","Currency=USD","Period=FQ","BEST_FPERIOD_OVERRIDE=FQ","FILING_STATUS=MR","SCALING_FORMAT=MLN","Sort=A","Dates=H","DateFormat=P","Fill=—","Direction=H","UseDPDF=Y")</f>
        <v>-1144</v>
      </c>
      <c r="AA22" s="13">
        <f>_xll.BDH("AMZN US Equity","CHG_IN_FXD_&amp;_INTANG_AST_DETAILED","FQ1 2015","FQ1 2015","Currency=USD","Period=FQ","BEST_FPERIOD_OVERRIDE=FQ","FILING_STATUS=MR","SCALING_FORMAT=MLN","Sort=A","Dates=H","DateFormat=P","Fill=—","Direction=H","UseDPDF=Y")</f>
        <v>-871</v>
      </c>
      <c r="AB22" s="13">
        <f>_xll.BDH("AMZN US Equity","CHG_IN_FXD_&amp;_INTANG_AST_DETAILED","FQ2 2015","FQ2 2015","Currency=USD","Period=FQ","BEST_FPERIOD_OVERRIDE=FQ","FILING_STATUS=MR","SCALING_FORMAT=MLN","Sort=A","Dates=H","DateFormat=P","Fill=—","Direction=H","UseDPDF=Y")</f>
        <v>-1213</v>
      </c>
      <c r="AC22" s="13">
        <f>_xll.BDH("AMZN US Equity","CHG_IN_FXD_&amp;_INTANG_AST_DETAILED","FQ3 2015","FQ3 2015","Currency=USD","Period=FQ","BEST_FPERIOD_OVERRIDE=FQ","FILING_STATUS=MR","SCALING_FORMAT=MLN","Sort=A","Dates=H","DateFormat=P","Fill=—","Direction=H","UseDPDF=Y")</f>
        <v>-1195</v>
      </c>
      <c r="AD22" s="13">
        <f>_xll.BDH("AMZN US Equity","CHG_IN_FXD_&amp;_INTANG_AST_DETAILED","FQ4 2015","FQ4 2015","Currency=USD","Period=FQ","BEST_FPERIOD_OVERRIDE=FQ","FILING_STATUS=MR","SCALING_FORMAT=MLN","Sort=A","Dates=H","DateFormat=P","Fill=—","Direction=H","UseDPDF=Y")</f>
        <v>-1309</v>
      </c>
      <c r="AE22" s="13">
        <f>_xll.BDH("AMZN US Equity","CHG_IN_FXD_&amp;_INTANG_AST_DETAILED","FQ1 2016","FQ1 2016","Currency=USD","Period=FQ","BEST_FPERIOD_OVERRIDE=FQ","FILING_STATUS=MR","SCALING_FORMAT=MLN","Sort=A","Dates=H","DateFormat=P","Fill=—","Direction=H","UseDPDF=Y")</f>
        <v>-1179</v>
      </c>
      <c r="AF22" s="13">
        <f>_xll.BDH("AMZN US Equity","CHG_IN_FXD_&amp;_INTANG_AST_DETAILED","FQ2 2016","FQ2 2016","Currency=USD","Period=FQ","BEST_FPERIOD_OVERRIDE=FQ","FILING_STATUS=MR","SCALING_FORMAT=MLN","Sort=A","Dates=H","DateFormat=P","Fill=—","Direction=H","UseDPDF=Y")</f>
        <v>-1711</v>
      </c>
      <c r="AG22" s="13">
        <f>_xll.BDH("AMZN US Equity","CHG_IN_FXD_&amp;_INTANG_AST_DETAILED","FQ3 2016","FQ3 2016","Currency=USD","Period=FQ","BEST_FPERIOD_OVERRIDE=FQ","FILING_STATUS=MR","SCALING_FORMAT=MLN","Sort=A","Dates=H","DateFormat=P","Fill=—","Direction=H","UseDPDF=Y")</f>
        <v>-1841</v>
      </c>
      <c r="AH22" s="13">
        <f>_xll.BDH("AMZN US Equity","CHG_IN_FXD_&amp;_INTANG_AST_DETAILED","FQ4 2016","FQ4 2016","Currency=USD","Period=FQ","BEST_FPERIOD_OVERRIDE=FQ","FILING_STATUS=MR","SCALING_FORMAT=MLN","Sort=A","Dates=H","DateFormat=P","Fill=—","Direction=H","UseDPDF=Y")</f>
        <v>-2005</v>
      </c>
      <c r="AI22" s="13">
        <f>_xll.BDH("AMZN US Equity","CHG_IN_FXD_&amp;_INTANG_AST_DETAILED","FQ1 2017","FQ1 2017","Currency=USD","Period=FQ","BEST_FPERIOD_OVERRIDE=FQ","FILING_STATUS=MR","SCALING_FORMAT=MLN","Sort=A","Dates=H","DateFormat=P","Fill=—","Direction=H","UseDPDF=Y")</f>
        <v>-1861</v>
      </c>
      <c r="AJ22" s="13">
        <f>_xll.BDH("AMZN US Equity","CHG_IN_FXD_&amp;_INTANG_AST_DETAILED","FQ2 2017","FQ2 2017","Currency=USD","Period=FQ","BEST_FPERIOD_OVERRIDE=FQ","FILING_STATUS=MR","SCALING_FORMAT=MLN","Sort=A","Dates=H","DateFormat=P","Fill=—","Direction=H","UseDPDF=Y")</f>
        <v>-2501</v>
      </c>
      <c r="AK22" s="13">
        <f>_xll.BDH("AMZN US Equity","CHG_IN_FXD_&amp;_INTANG_AST_DETAILED","FQ3 2017","FQ3 2017","Currency=USD","Period=FQ","BEST_FPERIOD_OVERRIDE=FQ","FILING_STATUS=MR","SCALING_FORMAT=MLN","Sort=A","Dates=H","DateFormat=P","Fill=—","Direction=H","UseDPDF=Y")</f>
        <v>-2659</v>
      </c>
      <c r="AL22" s="13">
        <f>_xll.BDH("AMZN US Equity","CHG_IN_FXD_&amp;_INTANG_AST_DETAILED","FQ4 2017","FQ4 2017","Currency=USD","Period=FQ","BEST_FPERIOD_OVERRIDE=FQ","FILING_STATUS=MR","SCALING_FORMAT=MLN","Sort=A","Dates=H","DateFormat=P","Fill=—","Direction=H","UseDPDF=Y")</f>
        <v>-3036</v>
      </c>
      <c r="AM22" s="13">
        <f>_xll.BDH("AMZN US Equity","CHG_IN_FXD_&amp;_INTANG_AST_DETAILED","FQ1 2018","FQ1 2018","Currency=USD","Period=FQ","BEST_FPERIOD_OVERRIDE=FQ","FILING_STATUS=MR","SCALING_FORMAT=MLN","Sort=A","Dates=H","DateFormat=P","Fill=—","Direction=H","UseDPDF=Y")</f>
        <v>-2727</v>
      </c>
      <c r="AN22" s="13">
        <f>_xll.BDH("AMZN US Equity","CHG_IN_FXD_&amp;_INTANG_AST_DETAILED","FQ2 2018","FQ2 2018","Currency=USD","Period=FQ","BEST_FPERIOD_OVERRIDE=FQ","FILING_STATUS=MR","SCALING_FORMAT=MLN","Sort=A","Dates=H","DateFormat=P","Fill=—","Direction=H","UseDPDF=Y")</f>
        <v>-2949</v>
      </c>
    </row>
    <row r="23" spans="1:40" x14ac:dyDescent="0.25">
      <c r="A23" s="10" t="s">
        <v>391</v>
      </c>
      <c r="B23" s="10" t="s">
        <v>392</v>
      </c>
      <c r="C23" s="13">
        <f>_xll.BDH("AMZN US Equity","DISP_FXD_&amp;_INTANGIBLES_DETAILED","FQ1 2009","FQ1 2009","Currency=USD","Period=FQ","BEST_FPERIOD_OVERRIDE=FQ","FILING_STATUS=MR","SCALING_FORMAT=MLN","Sort=A","Dates=H","DateFormat=P","Fill=—","Direction=H","UseDPDF=Y")</f>
        <v>0</v>
      </c>
      <c r="D23" s="13">
        <f>_xll.BDH("AMZN US Equity","DISP_FXD_&amp;_INTANGIBLES_DETAILED","FQ2 2009","FQ2 2009","Currency=USD","Period=FQ","BEST_FPERIOD_OVERRIDE=FQ","FILING_STATUS=MR","SCALING_FORMAT=MLN","Sort=A","Dates=H","DateFormat=P","Fill=—","Direction=H","UseDPDF=Y")</f>
        <v>0</v>
      </c>
      <c r="E23" s="13">
        <f>_xll.BDH("AMZN US Equity","DISP_FXD_&amp;_INTANGIBLES_DETAILED","FQ3 2009","FQ3 2009","Currency=USD","Period=FQ","BEST_FPERIOD_OVERRIDE=FQ","FILING_STATUS=MR","SCALING_FORMAT=MLN","Sort=A","Dates=H","DateFormat=P","Fill=—","Direction=H","UseDPDF=Y")</f>
        <v>0</v>
      </c>
      <c r="F23" s="13">
        <f>_xll.BDH("AMZN US Equity","DISP_FXD_&amp;_INTANGIBLES_DETAILED","FQ4 2009","FQ4 2009","Currency=USD","Period=FQ","BEST_FPERIOD_OVERRIDE=FQ","FILING_STATUS=MR","SCALING_FORMAT=MLN","Sort=A","Dates=H","DateFormat=P","Fill=—","Direction=H","UseDPDF=Y")</f>
        <v>0</v>
      </c>
      <c r="G23" s="13">
        <f>_xll.BDH("AMZN US Equity","DISP_FXD_&amp;_INTANGIBLES_DETAILED","FQ1 2010","FQ1 2010","Currency=USD","Period=FQ","BEST_FPERIOD_OVERRIDE=FQ","FILING_STATUS=MR","SCALING_FORMAT=MLN","Sort=A","Dates=H","DateFormat=P","Fill=—","Direction=H","UseDPDF=Y")</f>
        <v>0</v>
      </c>
      <c r="H23" s="13">
        <f>_xll.BDH("AMZN US Equity","DISP_FXD_&amp;_INTANGIBLES_DETAILED","FQ2 2010","FQ2 2010","Currency=USD","Period=FQ","BEST_FPERIOD_OVERRIDE=FQ","FILING_STATUS=MR","SCALING_FORMAT=MLN","Sort=A","Dates=H","DateFormat=P","Fill=—","Direction=H","UseDPDF=Y")</f>
        <v>0</v>
      </c>
      <c r="I23" s="13">
        <f>_xll.BDH("AMZN US Equity","DISP_FXD_&amp;_INTANGIBLES_DETAILED","FQ3 2010","FQ3 2010","Currency=USD","Period=FQ","BEST_FPERIOD_OVERRIDE=FQ","FILING_STATUS=MR","SCALING_FORMAT=MLN","Sort=A","Dates=H","DateFormat=P","Fill=—","Direction=H","UseDPDF=Y")</f>
        <v>0</v>
      </c>
      <c r="J23" s="13">
        <f>_xll.BDH("AMZN US Equity","DISP_FXD_&amp;_INTANGIBLES_DETAILED","FQ4 2010","FQ4 2010","Currency=USD","Period=FQ","BEST_FPERIOD_OVERRIDE=FQ","FILING_STATUS=MR","SCALING_FORMAT=MLN","Sort=A","Dates=H","DateFormat=P","Fill=—","Direction=H","UseDPDF=Y")</f>
        <v>0</v>
      </c>
      <c r="K23" s="13">
        <f>_xll.BDH("AMZN US Equity","DISP_FXD_&amp;_INTANGIBLES_DETAILED","FQ1 2011","FQ1 2011","Currency=USD","Period=FQ","BEST_FPERIOD_OVERRIDE=FQ","FILING_STATUS=MR","SCALING_FORMAT=MLN","Sort=A","Dates=H","DateFormat=P","Fill=—","Direction=H","UseDPDF=Y")</f>
        <v>0</v>
      </c>
      <c r="L23" s="13">
        <f>_xll.BDH("AMZN US Equity","DISP_FXD_&amp;_INTANGIBLES_DETAILED","FQ2 2011","FQ2 2011","Currency=USD","Period=FQ","BEST_FPERIOD_OVERRIDE=FQ","FILING_STATUS=MR","SCALING_FORMAT=MLN","Sort=A","Dates=H","DateFormat=P","Fill=—","Direction=H","UseDPDF=Y")</f>
        <v>0</v>
      </c>
      <c r="M23" s="13">
        <f>_xll.BDH("AMZN US Equity","DISP_FXD_&amp;_INTANGIBLES_DETAILED","FQ3 2011","FQ3 2011","Currency=USD","Period=FQ","BEST_FPERIOD_OVERRIDE=FQ","FILING_STATUS=MR","SCALING_FORMAT=MLN","Sort=A","Dates=H","DateFormat=P","Fill=—","Direction=H","UseDPDF=Y")</f>
        <v>0</v>
      </c>
      <c r="N23" s="13">
        <f>_xll.BDH("AMZN US Equity","DISP_FXD_&amp;_INTANGIBLES_DETAILED","FQ4 2011","FQ4 2011","Currency=USD","Period=FQ","BEST_FPERIOD_OVERRIDE=FQ","FILING_STATUS=MR","SCALING_FORMAT=MLN","Sort=A","Dates=H","DateFormat=P","Fill=—","Direction=H","UseDPDF=Y")</f>
        <v>0</v>
      </c>
      <c r="O23" s="13">
        <f>_xll.BDH("AMZN US Equity","DISP_FXD_&amp;_INTANGIBLES_DETAILED","FQ1 2012","FQ1 2012","Currency=USD","Period=FQ","BEST_FPERIOD_OVERRIDE=FQ","FILING_STATUS=MR","SCALING_FORMAT=MLN","Sort=A","Dates=H","DateFormat=P","Fill=—","Direction=H","UseDPDF=Y")</f>
        <v>0</v>
      </c>
      <c r="P23" s="13">
        <f>_xll.BDH("AMZN US Equity","DISP_FXD_&amp;_INTANGIBLES_DETAILED","FQ2 2012","FQ2 2012","Currency=USD","Period=FQ","BEST_FPERIOD_OVERRIDE=FQ","FILING_STATUS=MR","SCALING_FORMAT=MLN","Sort=A","Dates=H","DateFormat=P","Fill=—","Direction=H","UseDPDF=Y")</f>
        <v>0</v>
      </c>
      <c r="Q23" s="13">
        <f>_xll.BDH("AMZN US Equity","DISP_FXD_&amp;_INTANGIBLES_DETAILED","FQ3 2012","FQ3 2012","Currency=USD","Period=FQ","BEST_FPERIOD_OVERRIDE=FQ","FILING_STATUS=MR","SCALING_FORMAT=MLN","Sort=A","Dates=H","DateFormat=P","Fill=—","Direction=H","UseDPDF=Y")</f>
        <v>0</v>
      </c>
      <c r="R23" s="13">
        <f>_xll.BDH("AMZN US Equity","DISP_FXD_&amp;_INTANGIBLES_DETAILED","FQ4 2012","FQ4 2012","Currency=USD","Period=FQ","BEST_FPERIOD_OVERRIDE=FQ","FILING_STATUS=MR","SCALING_FORMAT=MLN","Sort=A","Dates=H","DateFormat=P","Fill=—","Direction=H","UseDPDF=Y")</f>
        <v>0</v>
      </c>
      <c r="S23" s="13">
        <f>_xll.BDH("AMZN US Equity","DISP_FXD_&amp;_INTANGIBLES_DETAILED","FQ1 2013","FQ1 2013","Currency=USD","Period=FQ","BEST_FPERIOD_OVERRIDE=FQ","FILING_STATUS=MR","SCALING_FORMAT=MLN","Sort=A","Dates=H","DateFormat=P","Fill=—","Direction=H","UseDPDF=Y")</f>
        <v>0</v>
      </c>
      <c r="T23" s="13">
        <f>_xll.BDH("AMZN US Equity","DISP_FXD_&amp;_INTANGIBLES_DETAILED","FQ2 2013","FQ2 2013","Currency=USD","Period=FQ","BEST_FPERIOD_OVERRIDE=FQ","FILING_STATUS=MR","SCALING_FORMAT=MLN","Sort=A","Dates=H","DateFormat=P","Fill=—","Direction=H","UseDPDF=Y")</f>
        <v>0</v>
      </c>
      <c r="U23" s="13">
        <f>_xll.BDH("AMZN US Equity","DISP_FXD_&amp;_INTANGIBLES_DETAILED","FQ3 2013","FQ3 2013","Currency=USD","Period=FQ","BEST_FPERIOD_OVERRIDE=FQ","FILING_STATUS=MR","SCALING_FORMAT=MLN","Sort=A","Dates=H","DateFormat=P","Fill=—","Direction=H","UseDPDF=Y")</f>
        <v>0</v>
      </c>
      <c r="V23" s="13">
        <f>_xll.BDH("AMZN US Equity","DISP_FXD_&amp;_INTANGIBLES_DETAILED","FQ4 2013","FQ4 2013","Currency=USD","Period=FQ","BEST_FPERIOD_OVERRIDE=FQ","FILING_STATUS=MR","SCALING_FORMAT=MLN","Sort=A","Dates=H","DateFormat=P","Fill=—","Direction=H","UseDPDF=Y")</f>
        <v>0</v>
      </c>
      <c r="W23" s="13">
        <f>_xll.BDH("AMZN US Equity","DISP_FXD_&amp;_INTANGIBLES_DETAILED","FQ1 2014","FQ1 2014","Currency=USD","Period=FQ","BEST_FPERIOD_OVERRIDE=FQ","FILING_STATUS=MR","SCALING_FORMAT=MLN","Sort=A","Dates=H","DateFormat=P","Fill=—","Direction=H","UseDPDF=Y")</f>
        <v>0</v>
      </c>
      <c r="X23" s="13">
        <f>_xll.BDH("AMZN US Equity","DISP_FXD_&amp;_INTANGIBLES_DETAILED","FQ2 2014","FQ2 2014","Currency=USD","Period=FQ","BEST_FPERIOD_OVERRIDE=FQ","FILING_STATUS=MR","SCALING_FORMAT=MLN","Sort=A","Dates=H","DateFormat=P","Fill=—","Direction=H","UseDPDF=Y")</f>
        <v>0</v>
      </c>
      <c r="Y23" s="13">
        <f>_xll.BDH("AMZN US Equity","DISP_FXD_&amp;_INTANGIBLES_DETAILED","FQ3 2014","FQ3 2014","Currency=USD","Period=FQ","BEST_FPERIOD_OVERRIDE=FQ","FILING_STATUS=MR","SCALING_FORMAT=MLN","Sort=A","Dates=H","DateFormat=P","Fill=—","Direction=H","UseDPDF=Y")</f>
        <v>0</v>
      </c>
      <c r="Z23" s="13">
        <f>_xll.BDH("AMZN US Equity","DISP_FXD_&amp;_INTANGIBLES_DETAILED","FQ4 2014","FQ4 2014","Currency=USD","Period=FQ","BEST_FPERIOD_OVERRIDE=FQ","FILING_STATUS=MR","SCALING_FORMAT=MLN","Sort=A","Dates=H","DateFormat=P","Fill=—","Direction=H","UseDPDF=Y")</f>
        <v>0</v>
      </c>
      <c r="AA23" s="13">
        <f>_xll.BDH("AMZN US Equity","DISP_FXD_&amp;_INTANGIBLES_DETAILED","FQ1 2015","FQ1 2015","Currency=USD","Period=FQ","BEST_FPERIOD_OVERRIDE=FQ","FILING_STATUS=MR","SCALING_FORMAT=MLN","Sort=A","Dates=H","DateFormat=P","Fill=—","Direction=H","UseDPDF=Y")</f>
        <v>0</v>
      </c>
      <c r="AB23" s="13">
        <f>_xll.BDH("AMZN US Equity","DISP_FXD_&amp;_INTANGIBLES_DETAILED","FQ2 2015","FQ2 2015","Currency=USD","Period=FQ","BEST_FPERIOD_OVERRIDE=FQ","FILING_STATUS=MR","SCALING_FORMAT=MLN","Sort=A","Dates=H","DateFormat=P","Fill=—","Direction=H","UseDPDF=Y")</f>
        <v>0</v>
      </c>
      <c r="AC23" s="13">
        <f>_xll.BDH("AMZN US Equity","DISP_FXD_&amp;_INTANGIBLES_DETAILED","FQ3 2015","FQ3 2015","Currency=USD","Period=FQ","BEST_FPERIOD_OVERRIDE=FQ","FILING_STATUS=MR","SCALING_FORMAT=MLN","Sort=A","Dates=H","DateFormat=P","Fill=—","Direction=H","UseDPDF=Y")</f>
        <v>0</v>
      </c>
      <c r="AD23" s="13">
        <f>_xll.BDH("AMZN US Equity","DISP_FXD_&amp;_INTANGIBLES_DETAILED","FQ4 2015","FQ4 2015","Currency=USD","Period=FQ","BEST_FPERIOD_OVERRIDE=FQ","FILING_STATUS=MR","SCALING_FORMAT=MLN","Sort=A","Dates=H","DateFormat=P","Fill=—","Direction=H","UseDPDF=Y")</f>
        <v>0</v>
      </c>
      <c r="AE23" s="13">
        <f>_xll.BDH("AMZN US Equity","DISP_FXD_&amp;_INTANGIBLES_DETAILED","FQ1 2016","FQ1 2016","Currency=USD","Period=FQ","BEST_FPERIOD_OVERRIDE=FQ","FILING_STATUS=MR","SCALING_FORMAT=MLN","Sort=A","Dates=H","DateFormat=P","Fill=—","Direction=H","UseDPDF=Y")</f>
        <v>0</v>
      </c>
      <c r="AF23" s="13">
        <f>_xll.BDH("AMZN US Equity","DISP_FXD_&amp;_INTANGIBLES_DETAILED","FQ2 2016","FQ2 2016","Currency=USD","Period=FQ","BEST_FPERIOD_OVERRIDE=FQ","FILING_STATUS=MR","SCALING_FORMAT=MLN","Sort=A","Dates=H","DateFormat=P","Fill=—","Direction=H","UseDPDF=Y")</f>
        <v>0</v>
      </c>
      <c r="AG23" s="13">
        <f>_xll.BDH("AMZN US Equity","DISP_FXD_&amp;_INTANGIBLES_DETAILED","FQ3 2016","FQ3 2016","Currency=USD","Period=FQ","BEST_FPERIOD_OVERRIDE=FQ","FILING_STATUS=MR","SCALING_FORMAT=MLN","Sort=A","Dates=H","DateFormat=P","Fill=—","Direction=H","UseDPDF=Y")</f>
        <v>0</v>
      </c>
      <c r="AH23" s="13">
        <f>_xll.BDH("AMZN US Equity","DISP_FXD_&amp;_INTANGIBLES_DETAILED","FQ4 2016","FQ4 2016","Currency=USD","Period=FQ","BEST_FPERIOD_OVERRIDE=FQ","FILING_STATUS=MR","SCALING_FORMAT=MLN","Sort=A","Dates=H","DateFormat=P","Fill=—","Direction=H","UseDPDF=Y")</f>
        <v>409</v>
      </c>
      <c r="AI23" s="13">
        <f>_xll.BDH("AMZN US Equity","DISP_FXD_&amp;_INTANGIBLES_DETAILED","FQ1 2017","FQ1 2017","Currency=USD","Period=FQ","BEST_FPERIOD_OVERRIDE=FQ","FILING_STATUS=MR","SCALING_FORMAT=MLN","Sort=A","Dates=H","DateFormat=P","Fill=—","Direction=H","UseDPDF=Y")</f>
        <v>287</v>
      </c>
      <c r="AJ23" s="13">
        <f>_xll.BDH("AMZN US Equity","DISP_FXD_&amp;_INTANGIBLES_DETAILED","FQ2 2017","FQ2 2017","Currency=USD","Period=FQ","BEST_FPERIOD_OVERRIDE=FQ","FILING_STATUS=MR","SCALING_FORMAT=MLN","Sort=A","Dates=H","DateFormat=P","Fill=—","Direction=H","UseDPDF=Y")</f>
        <v>612</v>
      </c>
      <c r="AK23" s="13">
        <f>_xll.BDH("AMZN US Equity","DISP_FXD_&amp;_INTANGIBLES_DETAILED","FQ3 2017","FQ3 2017","Currency=USD","Period=FQ","BEST_FPERIOD_OVERRIDE=FQ","FILING_STATUS=MR","SCALING_FORMAT=MLN","Sort=A","Dates=H","DateFormat=P","Fill=—","Direction=H","UseDPDF=Y")</f>
        <v>0</v>
      </c>
      <c r="AL23" s="13">
        <f>_xll.BDH("AMZN US Equity","DISP_FXD_&amp;_INTANGIBLES_DETAILED","FQ4 2017","FQ4 2017","Currency=USD","Period=FQ","BEST_FPERIOD_OVERRIDE=FQ","FILING_STATUS=MR","SCALING_FORMAT=MLN","Sort=A","Dates=H","DateFormat=P","Fill=—","Direction=H","UseDPDF=Y")</f>
        <v>583</v>
      </c>
      <c r="AM23" s="13">
        <f>_xll.BDH("AMZN US Equity","DISP_FXD_&amp;_INTANGIBLES_DETAILED","FQ1 2018","FQ1 2018","Currency=USD","Period=FQ","BEST_FPERIOD_OVERRIDE=FQ","FILING_STATUS=MR","SCALING_FORMAT=MLN","Sort=A","Dates=H","DateFormat=P","Fill=—","Direction=H","UseDPDF=Y")</f>
        <v>371</v>
      </c>
      <c r="AN23" s="13">
        <f>_xll.BDH("AMZN US Equity","DISP_FXD_&amp;_INTANGIBLES_DETAILED","FQ2 2018","FQ2 2018","Currency=USD","Period=FQ","BEST_FPERIOD_OVERRIDE=FQ","FILING_STATUS=MR","SCALING_FORMAT=MLN","Sort=A","Dates=H","DateFormat=P","Fill=—","Direction=H","UseDPDF=Y")</f>
        <v>294</v>
      </c>
    </row>
    <row r="24" spans="1:40" x14ac:dyDescent="0.25">
      <c r="A24" s="11" t="s">
        <v>393</v>
      </c>
      <c r="B24" s="11" t="s">
        <v>394</v>
      </c>
      <c r="C24" s="22">
        <f>_xll.BDH("AMZN US Equity","CF_DISPOSAL_OF_FIXED_PROD_ASSETS","FQ1 2009","FQ1 2009","Currency=USD","Period=FQ","BEST_FPERIOD_OVERRIDE=FQ","FILING_STATUS=MR","SCALING_FORMAT=MLN","Sort=A","Dates=H","DateFormat=P","Fill=—","Direction=H","UseDPDF=Y")</f>
        <v>0</v>
      </c>
      <c r="D24" s="22">
        <f>_xll.BDH("AMZN US Equity","CF_DISPOSAL_OF_FIXED_PROD_ASSETS","FQ2 2009","FQ2 2009","Currency=USD","Period=FQ","BEST_FPERIOD_OVERRIDE=FQ","FILING_STATUS=MR","SCALING_FORMAT=MLN","Sort=A","Dates=H","DateFormat=P","Fill=—","Direction=H","UseDPDF=Y")</f>
        <v>0</v>
      </c>
      <c r="E24" s="22">
        <f>_xll.BDH("AMZN US Equity","CF_DISPOSAL_OF_FIXED_PROD_ASSETS","FQ3 2009","FQ3 2009","Currency=USD","Period=FQ","BEST_FPERIOD_OVERRIDE=FQ","FILING_STATUS=MR","SCALING_FORMAT=MLN","Sort=A","Dates=H","DateFormat=P","Fill=—","Direction=H","UseDPDF=Y")</f>
        <v>0</v>
      </c>
      <c r="F24" s="22">
        <f>_xll.BDH("AMZN US Equity","CF_DISPOSAL_OF_FIXED_PROD_ASSETS","FQ4 2009","FQ4 2009","Currency=USD","Period=FQ","BEST_FPERIOD_OVERRIDE=FQ","FILING_STATUS=MR","SCALING_FORMAT=MLN","Sort=A","Dates=H","DateFormat=P","Fill=—","Direction=H","UseDPDF=Y")</f>
        <v>0</v>
      </c>
      <c r="G24" s="22">
        <f>_xll.BDH("AMZN US Equity","CF_DISPOSAL_OF_FIXED_PROD_ASSETS","FQ1 2010","FQ1 2010","Currency=USD","Period=FQ","BEST_FPERIOD_OVERRIDE=FQ","FILING_STATUS=MR","SCALING_FORMAT=MLN","Sort=A","Dates=H","DateFormat=P","Fill=—","Direction=H","UseDPDF=Y")</f>
        <v>0</v>
      </c>
      <c r="H24" s="22">
        <f>_xll.BDH("AMZN US Equity","CF_DISPOSAL_OF_FIXED_PROD_ASSETS","FQ2 2010","FQ2 2010","Currency=USD","Period=FQ","BEST_FPERIOD_OVERRIDE=FQ","FILING_STATUS=MR","SCALING_FORMAT=MLN","Sort=A","Dates=H","DateFormat=P","Fill=—","Direction=H","UseDPDF=Y")</f>
        <v>0</v>
      </c>
      <c r="I24" s="22">
        <f>_xll.BDH("AMZN US Equity","CF_DISPOSAL_OF_FIXED_PROD_ASSETS","FQ3 2010","FQ3 2010","Currency=USD","Period=FQ","BEST_FPERIOD_OVERRIDE=FQ","FILING_STATUS=MR","SCALING_FORMAT=MLN","Sort=A","Dates=H","DateFormat=P","Fill=—","Direction=H","UseDPDF=Y")</f>
        <v>0</v>
      </c>
      <c r="J24" s="22">
        <f>_xll.BDH("AMZN US Equity","CF_DISPOSAL_OF_FIXED_PROD_ASSETS","FQ4 2010","FQ4 2010","Currency=USD","Period=FQ","BEST_FPERIOD_OVERRIDE=FQ","FILING_STATUS=MR","SCALING_FORMAT=MLN","Sort=A","Dates=H","DateFormat=P","Fill=—","Direction=H","UseDPDF=Y")</f>
        <v>0</v>
      </c>
      <c r="K24" s="22">
        <f>_xll.BDH("AMZN US Equity","CF_DISPOSAL_OF_FIXED_PROD_ASSETS","FQ1 2011","FQ1 2011","Currency=USD","Period=FQ","BEST_FPERIOD_OVERRIDE=FQ","FILING_STATUS=MR","SCALING_FORMAT=MLN","Sort=A","Dates=H","DateFormat=P","Fill=—","Direction=H","UseDPDF=Y")</f>
        <v>0</v>
      </c>
      <c r="L24" s="22">
        <f>_xll.BDH("AMZN US Equity","CF_DISPOSAL_OF_FIXED_PROD_ASSETS","FQ2 2011","FQ2 2011","Currency=USD","Period=FQ","BEST_FPERIOD_OVERRIDE=FQ","FILING_STATUS=MR","SCALING_FORMAT=MLN","Sort=A","Dates=H","DateFormat=P","Fill=—","Direction=H","UseDPDF=Y")</f>
        <v>0</v>
      </c>
      <c r="M24" s="22">
        <f>_xll.BDH("AMZN US Equity","CF_DISPOSAL_OF_FIXED_PROD_ASSETS","FQ3 2011","FQ3 2011","Currency=USD","Period=FQ","BEST_FPERIOD_OVERRIDE=FQ","FILING_STATUS=MR","SCALING_FORMAT=MLN","Sort=A","Dates=H","DateFormat=P","Fill=—","Direction=H","UseDPDF=Y")</f>
        <v>0</v>
      </c>
      <c r="N24" s="22">
        <f>_xll.BDH("AMZN US Equity","CF_DISPOSAL_OF_FIXED_PROD_ASSETS","FQ4 2011","FQ4 2011","Currency=USD","Period=FQ","BEST_FPERIOD_OVERRIDE=FQ","FILING_STATUS=MR","SCALING_FORMAT=MLN","Sort=A","Dates=H","DateFormat=P","Fill=—","Direction=H","UseDPDF=Y")</f>
        <v>0</v>
      </c>
      <c r="O24" s="22">
        <f>_xll.BDH("AMZN US Equity","CF_DISPOSAL_OF_FIXED_PROD_ASSETS","FQ1 2012","FQ1 2012","Currency=USD","Period=FQ","BEST_FPERIOD_OVERRIDE=FQ","FILING_STATUS=MR","SCALING_FORMAT=MLN","Sort=A","Dates=H","DateFormat=P","Fill=—","Direction=H","UseDPDF=Y")</f>
        <v>0</v>
      </c>
      <c r="P24" s="22">
        <f>_xll.BDH("AMZN US Equity","CF_DISPOSAL_OF_FIXED_PROD_ASSETS","FQ2 2012","FQ2 2012","Currency=USD","Period=FQ","BEST_FPERIOD_OVERRIDE=FQ","FILING_STATUS=MR","SCALING_FORMAT=MLN","Sort=A","Dates=H","DateFormat=P","Fill=—","Direction=H","UseDPDF=Y")</f>
        <v>0</v>
      </c>
      <c r="Q24" s="22">
        <f>_xll.BDH("AMZN US Equity","CF_DISPOSAL_OF_FIXED_PROD_ASSETS","FQ3 2012","FQ3 2012","Currency=USD","Period=FQ","BEST_FPERIOD_OVERRIDE=FQ","FILING_STATUS=MR","SCALING_FORMAT=MLN","Sort=A","Dates=H","DateFormat=P","Fill=—","Direction=H","UseDPDF=Y")</f>
        <v>0</v>
      </c>
      <c r="R24" s="22">
        <f>_xll.BDH("AMZN US Equity","CF_DISPOSAL_OF_FIXED_PROD_ASSETS","FQ4 2012","FQ4 2012","Currency=USD","Period=FQ","BEST_FPERIOD_OVERRIDE=FQ","FILING_STATUS=MR","SCALING_FORMAT=MLN","Sort=A","Dates=H","DateFormat=P","Fill=—","Direction=H","UseDPDF=Y")</f>
        <v>0</v>
      </c>
      <c r="S24" s="22">
        <f>_xll.BDH("AMZN US Equity","CF_DISPOSAL_OF_FIXED_PROD_ASSETS","FQ1 2013","FQ1 2013","Currency=USD","Period=FQ","BEST_FPERIOD_OVERRIDE=FQ","FILING_STATUS=MR","SCALING_FORMAT=MLN","Sort=A","Dates=H","DateFormat=P","Fill=—","Direction=H","UseDPDF=Y")</f>
        <v>0</v>
      </c>
      <c r="T24" s="22">
        <f>_xll.BDH("AMZN US Equity","CF_DISPOSAL_OF_FIXED_PROD_ASSETS","FQ2 2013","FQ2 2013","Currency=USD","Period=FQ","BEST_FPERIOD_OVERRIDE=FQ","FILING_STATUS=MR","SCALING_FORMAT=MLN","Sort=A","Dates=H","DateFormat=P","Fill=—","Direction=H","UseDPDF=Y")</f>
        <v>0</v>
      </c>
      <c r="U24" s="22">
        <f>_xll.BDH("AMZN US Equity","CF_DISPOSAL_OF_FIXED_PROD_ASSETS","FQ3 2013","FQ3 2013","Currency=USD","Period=FQ","BEST_FPERIOD_OVERRIDE=FQ","FILING_STATUS=MR","SCALING_FORMAT=MLN","Sort=A","Dates=H","DateFormat=P","Fill=—","Direction=H","UseDPDF=Y")</f>
        <v>0</v>
      </c>
      <c r="V24" s="22">
        <f>_xll.BDH("AMZN US Equity","CF_DISPOSAL_OF_FIXED_PROD_ASSETS","FQ4 2013","FQ4 2013","Currency=USD","Period=FQ","BEST_FPERIOD_OVERRIDE=FQ","FILING_STATUS=MR","SCALING_FORMAT=MLN","Sort=A","Dates=H","DateFormat=P","Fill=—","Direction=H","UseDPDF=Y")</f>
        <v>0</v>
      </c>
      <c r="W24" s="22">
        <f>_xll.BDH("AMZN US Equity","CF_DISPOSAL_OF_FIXED_PROD_ASSETS","FQ1 2014","FQ1 2014","Currency=USD","Period=FQ","BEST_FPERIOD_OVERRIDE=FQ","FILING_STATUS=MR","SCALING_FORMAT=MLN","Sort=A","Dates=H","DateFormat=P","Fill=—","Direction=H","UseDPDF=Y")</f>
        <v>0</v>
      </c>
      <c r="X24" s="22">
        <f>_xll.BDH("AMZN US Equity","CF_DISPOSAL_OF_FIXED_PROD_ASSETS","FQ2 2014","FQ2 2014","Currency=USD","Period=FQ","BEST_FPERIOD_OVERRIDE=FQ","FILING_STATUS=MR","SCALING_FORMAT=MLN","Sort=A","Dates=H","DateFormat=P","Fill=—","Direction=H","UseDPDF=Y")</f>
        <v>0</v>
      </c>
      <c r="Y24" s="22">
        <f>_xll.BDH("AMZN US Equity","CF_DISPOSAL_OF_FIXED_PROD_ASSETS","FQ3 2014","FQ3 2014","Currency=USD","Period=FQ","BEST_FPERIOD_OVERRIDE=FQ","FILING_STATUS=MR","SCALING_FORMAT=MLN","Sort=A","Dates=H","DateFormat=P","Fill=—","Direction=H","UseDPDF=Y")</f>
        <v>0</v>
      </c>
      <c r="Z24" s="22">
        <f>_xll.BDH("AMZN US Equity","CF_DISPOSAL_OF_FIXED_PROD_ASSETS","FQ4 2014","FQ4 2014","Currency=USD","Period=FQ","BEST_FPERIOD_OVERRIDE=FQ","FILING_STATUS=MR","SCALING_FORMAT=MLN","Sort=A","Dates=H","DateFormat=P","Fill=—","Direction=H","UseDPDF=Y")</f>
        <v>0</v>
      </c>
      <c r="AA24" s="22">
        <f>_xll.BDH("AMZN US Equity","CF_DISPOSAL_OF_FIXED_PROD_ASSETS","FQ1 2015","FQ1 2015","Currency=USD","Period=FQ","BEST_FPERIOD_OVERRIDE=FQ","FILING_STATUS=MR","SCALING_FORMAT=MLN","Sort=A","Dates=H","DateFormat=P","Fill=—","Direction=H","UseDPDF=Y")</f>
        <v>0</v>
      </c>
      <c r="AB24" s="22">
        <f>_xll.BDH("AMZN US Equity","CF_DISPOSAL_OF_FIXED_PROD_ASSETS","FQ2 2015","FQ2 2015","Currency=USD","Period=FQ","BEST_FPERIOD_OVERRIDE=FQ","FILING_STATUS=MR","SCALING_FORMAT=MLN","Sort=A","Dates=H","DateFormat=P","Fill=—","Direction=H","UseDPDF=Y")</f>
        <v>0</v>
      </c>
      <c r="AC24" s="22">
        <f>_xll.BDH("AMZN US Equity","CF_DISPOSAL_OF_FIXED_PROD_ASSETS","FQ3 2015","FQ3 2015","Currency=USD","Period=FQ","BEST_FPERIOD_OVERRIDE=FQ","FILING_STATUS=MR","SCALING_FORMAT=MLN","Sort=A","Dates=H","DateFormat=P","Fill=—","Direction=H","UseDPDF=Y")</f>
        <v>0</v>
      </c>
      <c r="AD24" s="22">
        <f>_xll.BDH("AMZN US Equity","CF_DISPOSAL_OF_FIXED_PROD_ASSETS","FQ4 2015","FQ4 2015","Currency=USD","Period=FQ","BEST_FPERIOD_OVERRIDE=FQ","FILING_STATUS=MR","SCALING_FORMAT=MLN","Sort=A","Dates=H","DateFormat=P","Fill=—","Direction=H","UseDPDF=Y")</f>
        <v>0</v>
      </c>
      <c r="AE24" s="22">
        <f>_xll.BDH("AMZN US Equity","CF_DISPOSAL_OF_FIXED_PROD_ASSETS","FQ1 2016","FQ1 2016","Currency=USD","Period=FQ","BEST_FPERIOD_OVERRIDE=FQ","FILING_STATUS=MR","SCALING_FORMAT=MLN","Sort=A","Dates=H","DateFormat=P","Fill=—","Direction=H","UseDPDF=Y")</f>
        <v>0</v>
      </c>
      <c r="AF24" s="22">
        <f>_xll.BDH("AMZN US Equity","CF_DISPOSAL_OF_FIXED_PROD_ASSETS","FQ2 2016","FQ2 2016","Currency=USD","Period=FQ","BEST_FPERIOD_OVERRIDE=FQ","FILING_STATUS=MR","SCALING_FORMAT=MLN","Sort=A","Dates=H","DateFormat=P","Fill=—","Direction=H","UseDPDF=Y")</f>
        <v>0</v>
      </c>
      <c r="AG24" s="22">
        <f>_xll.BDH("AMZN US Equity","CF_DISPOSAL_OF_FIXED_PROD_ASSETS","FQ3 2016","FQ3 2016","Currency=USD","Period=FQ","BEST_FPERIOD_OVERRIDE=FQ","FILING_STATUS=MR","SCALING_FORMAT=MLN","Sort=A","Dates=H","DateFormat=P","Fill=—","Direction=H","UseDPDF=Y")</f>
        <v>0</v>
      </c>
      <c r="AH24" s="22">
        <f>_xll.BDH("AMZN US Equity","CF_DISPOSAL_OF_FIXED_PROD_ASSETS","FQ4 2016","FQ4 2016","Currency=USD","Period=FQ","BEST_FPERIOD_OVERRIDE=FQ","FILING_STATUS=MR","SCALING_FORMAT=MLN","Sort=A","Dates=H","DateFormat=P","Fill=—","Direction=H","UseDPDF=Y")</f>
        <v>409</v>
      </c>
      <c r="AI24" s="22">
        <f>_xll.BDH("AMZN US Equity","CF_DISPOSAL_OF_FIXED_PROD_ASSETS","FQ1 2017","FQ1 2017","Currency=USD","Period=FQ","BEST_FPERIOD_OVERRIDE=FQ","FILING_STATUS=MR","SCALING_FORMAT=MLN","Sort=A","Dates=H","DateFormat=P","Fill=—","Direction=H","UseDPDF=Y")</f>
        <v>287</v>
      </c>
      <c r="AJ24" s="22">
        <f>_xll.BDH("AMZN US Equity","CF_DISPOSAL_OF_FIXED_PROD_ASSETS","FQ2 2017","FQ2 2017","Currency=USD","Period=FQ","BEST_FPERIOD_OVERRIDE=FQ","FILING_STATUS=MR","SCALING_FORMAT=MLN","Sort=A","Dates=H","DateFormat=P","Fill=—","Direction=H","UseDPDF=Y")</f>
        <v>612</v>
      </c>
      <c r="AK24" s="22">
        <f>_xll.BDH("AMZN US Equity","CF_DISPOSAL_OF_FIXED_PROD_ASSETS","FQ3 2017","FQ3 2017","Currency=USD","Period=FQ","BEST_FPERIOD_OVERRIDE=FQ","FILING_STATUS=MR","SCALING_FORMAT=MLN","Sort=A","Dates=H","DateFormat=P","Fill=—","Direction=H","UseDPDF=Y")</f>
        <v>0</v>
      </c>
      <c r="AL24" s="22">
        <f>_xll.BDH("AMZN US Equity","CF_DISPOSAL_OF_FIXED_PROD_ASSETS","FQ4 2017","FQ4 2017","Currency=USD","Period=FQ","BEST_FPERIOD_OVERRIDE=FQ","FILING_STATUS=MR","SCALING_FORMAT=MLN","Sort=A","Dates=H","DateFormat=P","Fill=—","Direction=H","UseDPDF=Y")</f>
        <v>583</v>
      </c>
      <c r="AM24" s="22">
        <f>_xll.BDH("AMZN US Equity","CF_DISPOSAL_OF_FIXED_PROD_ASSETS","FQ1 2018","FQ1 2018","Currency=USD","Period=FQ","BEST_FPERIOD_OVERRIDE=FQ","FILING_STATUS=MR","SCALING_FORMAT=MLN","Sort=A","Dates=H","DateFormat=P","Fill=—","Direction=H","UseDPDF=Y")</f>
        <v>371</v>
      </c>
      <c r="AN24" s="22">
        <f>_xll.BDH("AMZN US Equity","CF_DISPOSAL_OF_FIXED_PROD_ASSETS","FQ2 2018","FQ2 2018","Currency=USD","Period=FQ","BEST_FPERIOD_OVERRIDE=FQ","FILING_STATUS=MR","SCALING_FORMAT=MLN","Sort=A","Dates=H","DateFormat=P","Fill=—","Direction=H","UseDPDF=Y")</f>
        <v>294</v>
      </c>
    </row>
    <row r="25" spans="1:40" x14ac:dyDescent="0.25">
      <c r="A25" s="11" t="s">
        <v>395</v>
      </c>
      <c r="B25" s="11" t="s">
        <v>396</v>
      </c>
      <c r="C25" s="22">
        <f>_xll.BDH("AMZN US Equity","CF_DISPOSAL_OF_INTANGIBLE_ASSETS","FQ1 2009","FQ1 2009","Currency=USD","Period=FQ","BEST_FPERIOD_OVERRIDE=FQ","FILING_STATUS=MR","SCALING_FORMAT=MLN","Sort=A","Dates=H","DateFormat=P","Fill=—","Direction=H","UseDPDF=Y")</f>
        <v>0</v>
      </c>
      <c r="D25" s="22">
        <f>_xll.BDH("AMZN US Equity","CF_DISPOSAL_OF_INTANGIBLE_ASSETS","FQ2 2009","FQ2 2009","Currency=USD","Period=FQ","BEST_FPERIOD_OVERRIDE=FQ","FILING_STATUS=MR","SCALING_FORMAT=MLN","Sort=A","Dates=H","DateFormat=P","Fill=—","Direction=H","UseDPDF=Y")</f>
        <v>0</v>
      </c>
      <c r="E25" s="22">
        <f>_xll.BDH("AMZN US Equity","CF_DISPOSAL_OF_INTANGIBLE_ASSETS","FQ3 2009","FQ3 2009","Currency=USD","Period=FQ","BEST_FPERIOD_OVERRIDE=FQ","FILING_STATUS=MR","SCALING_FORMAT=MLN","Sort=A","Dates=H","DateFormat=P","Fill=—","Direction=H","UseDPDF=Y")</f>
        <v>0</v>
      </c>
      <c r="F25" s="22">
        <f>_xll.BDH("AMZN US Equity","CF_DISPOSAL_OF_INTANGIBLE_ASSETS","FQ4 2009","FQ4 2009","Currency=USD","Period=FQ","BEST_FPERIOD_OVERRIDE=FQ","FILING_STATUS=MR","SCALING_FORMAT=MLN","Sort=A","Dates=H","DateFormat=P","Fill=—","Direction=H","UseDPDF=Y")</f>
        <v>0</v>
      </c>
      <c r="G25" s="22">
        <f>_xll.BDH("AMZN US Equity","CF_DISPOSAL_OF_INTANGIBLE_ASSETS","FQ1 2010","FQ1 2010","Currency=USD","Period=FQ","BEST_FPERIOD_OVERRIDE=FQ","FILING_STATUS=MR","SCALING_FORMAT=MLN","Sort=A","Dates=H","DateFormat=P","Fill=—","Direction=H","UseDPDF=Y")</f>
        <v>0</v>
      </c>
      <c r="H25" s="22">
        <f>_xll.BDH("AMZN US Equity","CF_DISPOSAL_OF_INTANGIBLE_ASSETS","FQ2 2010","FQ2 2010","Currency=USD","Period=FQ","BEST_FPERIOD_OVERRIDE=FQ","FILING_STATUS=MR","SCALING_FORMAT=MLN","Sort=A","Dates=H","DateFormat=P","Fill=—","Direction=H","UseDPDF=Y")</f>
        <v>0</v>
      </c>
      <c r="I25" s="22">
        <f>_xll.BDH("AMZN US Equity","CF_DISPOSAL_OF_INTANGIBLE_ASSETS","FQ3 2010","FQ3 2010","Currency=USD","Period=FQ","BEST_FPERIOD_OVERRIDE=FQ","FILING_STATUS=MR","SCALING_FORMAT=MLN","Sort=A","Dates=H","DateFormat=P","Fill=—","Direction=H","UseDPDF=Y")</f>
        <v>0</v>
      </c>
      <c r="J25" s="22">
        <f>_xll.BDH("AMZN US Equity","CF_DISPOSAL_OF_INTANGIBLE_ASSETS","FQ4 2010","FQ4 2010","Currency=USD","Period=FQ","BEST_FPERIOD_OVERRIDE=FQ","FILING_STATUS=MR","SCALING_FORMAT=MLN","Sort=A","Dates=H","DateFormat=P","Fill=—","Direction=H","UseDPDF=Y")</f>
        <v>0</v>
      </c>
      <c r="K25" s="22">
        <f>_xll.BDH("AMZN US Equity","CF_DISPOSAL_OF_INTANGIBLE_ASSETS","FQ1 2011","FQ1 2011","Currency=USD","Period=FQ","BEST_FPERIOD_OVERRIDE=FQ","FILING_STATUS=MR","SCALING_FORMAT=MLN","Sort=A","Dates=H","DateFormat=P","Fill=—","Direction=H","UseDPDF=Y")</f>
        <v>0</v>
      </c>
      <c r="L25" s="22">
        <f>_xll.BDH("AMZN US Equity","CF_DISPOSAL_OF_INTANGIBLE_ASSETS","FQ2 2011","FQ2 2011","Currency=USD","Period=FQ","BEST_FPERIOD_OVERRIDE=FQ","FILING_STATUS=MR","SCALING_FORMAT=MLN","Sort=A","Dates=H","DateFormat=P","Fill=—","Direction=H","UseDPDF=Y")</f>
        <v>0</v>
      </c>
      <c r="M25" s="22">
        <f>_xll.BDH("AMZN US Equity","CF_DISPOSAL_OF_INTANGIBLE_ASSETS","FQ3 2011","FQ3 2011","Currency=USD","Period=FQ","BEST_FPERIOD_OVERRIDE=FQ","FILING_STATUS=MR","SCALING_FORMAT=MLN","Sort=A","Dates=H","DateFormat=P","Fill=—","Direction=H","UseDPDF=Y")</f>
        <v>0</v>
      </c>
      <c r="N25" s="22">
        <f>_xll.BDH("AMZN US Equity","CF_DISPOSAL_OF_INTANGIBLE_ASSETS","FQ4 2011","FQ4 2011","Currency=USD","Period=FQ","BEST_FPERIOD_OVERRIDE=FQ","FILING_STATUS=MR","SCALING_FORMAT=MLN","Sort=A","Dates=H","DateFormat=P","Fill=—","Direction=H","UseDPDF=Y")</f>
        <v>0</v>
      </c>
      <c r="O25" s="22">
        <f>_xll.BDH("AMZN US Equity","CF_DISPOSAL_OF_INTANGIBLE_ASSETS","FQ1 2012","FQ1 2012","Currency=USD","Period=FQ","BEST_FPERIOD_OVERRIDE=FQ","FILING_STATUS=MR","SCALING_FORMAT=MLN","Sort=A","Dates=H","DateFormat=P","Fill=—","Direction=H","UseDPDF=Y")</f>
        <v>0</v>
      </c>
      <c r="P25" s="22">
        <f>_xll.BDH("AMZN US Equity","CF_DISPOSAL_OF_INTANGIBLE_ASSETS","FQ2 2012","FQ2 2012","Currency=USD","Period=FQ","BEST_FPERIOD_OVERRIDE=FQ","FILING_STATUS=MR","SCALING_FORMAT=MLN","Sort=A","Dates=H","DateFormat=P","Fill=—","Direction=H","UseDPDF=Y")</f>
        <v>0</v>
      </c>
      <c r="Q25" s="22">
        <f>_xll.BDH("AMZN US Equity","CF_DISPOSAL_OF_INTANGIBLE_ASSETS","FQ3 2012","FQ3 2012","Currency=USD","Period=FQ","BEST_FPERIOD_OVERRIDE=FQ","FILING_STATUS=MR","SCALING_FORMAT=MLN","Sort=A","Dates=H","DateFormat=P","Fill=—","Direction=H","UseDPDF=Y")</f>
        <v>0</v>
      </c>
      <c r="R25" s="22">
        <f>_xll.BDH("AMZN US Equity","CF_DISPOSAL_OF_INTANGIBLE_ASSETS","FQ4 2012","FQ4 2012","Currency=USD","Period=FQ","BEST_FPERIOD_OVERRIDE=FQ","FILING_STATUS=MR","SCALING_FORMAT=MLN","Sort=A","Dates=H","DateFormat=P","Fill=—","Direction=H","UseDPDF=Y")</f>
        <v>0</v>
      </c>
      <c r="S25" s="22">
        <f>_xll.BDH("AMZN US Equity","CF_DISPOSAL_OF_INTANGIBLE_ASSETS","FQ1 2013","FQ1 2013","Currency=USD","Period=FQ","BEST_FPERIOD_OVERRIDE=FQ","FILING_STATUS=MR","SCALING_FORMAT=MLN","Sort=A","Dates=H","DateFormat=P","Fill=—","Direction=H","UseDPDF=Y")</f>
        <v>0</v>
      </c>
      <c r="T25" s="22">
        <f>_xll.BDH("AMZN US Equity","CF_DISPOSAL_OF_INTANGIBLE_ASSETS","FQ2 2013","FQ2 2013","Currency=USD","Period=FQ","BEST_FPERIOD_OVERRIDE=FQ","FILING_STATUS=MR","SCALING_FORMAT=MLN","Sort=A","Dates=H","DateFormat=P","Fill=—","Direction=H","UseDPDF=Y")</f>
        <v>0</v>
      </c>
      <c r="U25" s="22">
        <f>_xll.BDH("AMZN US Equity","CF_DISPOSAL_OF_INTANGIBLE_ASSETS","FQ3 2013","FQ3 2013","Currency=USD","Period=FQ","BEST_FPERIOD_OVERRIDE=FQ","FILING_STATUS=MR","SCALING_FORMAT=MLN","Sort=A","Dates=H","DateFormat=P","Fill=—","Direction=H","UseDPDF=Y")</f>
        <v>0</v>
      </c>
      <c r="V25" s="22">
        <f>_xll.BDH("AMZN US Equity","CF_DISPOSAL_OF_INTANGIBLE_ASSETS","FQ4 2013","FQ4 2013","Currency=USD","Period=FQ","BEST_FPERIOD_OVERRIDE=FQ","FILING_STATUS=MR","SCALING_FORMAT=MLN","Sort=A","Dates=H","DateFormat=P","Fill=—","Direction=H","UseDPDF=Y")</f>
        <v>0</v>
      </c>
      <c r="W25" s="22">
        <f>_xll.BDH("AMZN US Equity","CF_DISPOSAL_OF_INTANGIBLE_ASSETS","FQ1 2014","FQ1 2014","Currency=USD","Period=FQ","BEST_FPERIOD_OVERRIDE=FQ","FILING_STATUS=MR","SCALING_FORMAT=MLN","Sort=A","Dates=H","DateFormat=P","Fill=—","Direction=H","UseDPDF=Y")</f>
        <v>0</v>
      </c>
      <c r="X25" s="22">
        <f>_xll.BDH("AMZN US Equity","CF_DISPOSAL_OF_INTANGIBLE_ASSETS","FQ2 2014","FQ2 2014","Currency=USD","Period=FQ","BEST_FPERIOD_OVERRIDE=FQ","FILING_STATUS=MR","SCALING_FORMAT=MLN","Sort=A","Dates=H","DateFormat=P","Fill=—","Direction=H","UseDPDF=Y")</f>
        <v>0</v>
      </c>
      <c r="Y25" s="22">
        <f>_xll.BDH("AMZN US Equity","CF_DISPOSAL_OF_INTANGIBLE_ASSETS","FQ3 2014","FQ3 2014","Currency=USD","Period=FQ","BEST_FPERIOD_OVERRIDE=FQ","FILING_STATUS=MR","SCALING_FORMAT=MLN","Sort=A","Dates=H","DateFormat=P","Fill=—","Direction=H","UseDPDF=Y")</f>
        <v>0</v>
      </c>
      <c r="Z25" s="22">
        <f>_xll.BDH("AMZN US Equity","CF_DISPOSAL_OF_INTANGIBLE_ASSETS","FQ4 2014","FQ4 2014","Currency=USD","Period=FQ","BEST_FPERIOD_OVERRIDE=FQ","FILING_STATUS=MR","SCALING_FORMAT=MLN","Sort=A","Dates=H","DateFormat=P","Fill=—","Direction=H","UseDPDF=Y")</f>
        <v>0</v>
      </c>
      <c r="AA25" s="22">
        <f>_xll.BDH("AMZN US Equity","CF_DISPOSAL_OF_INTANGIBLE_ASSETS","FQ1 2015","FQ1 2015","Currency=USD","Period=FQ","BEST_FPERIOD_OVERRIDE=FQ","FILING_STATUS=MR","SCALING_FORMAT=MLN","Sort=A","Dates=H","DateFormat=P","Fill=—","Direction=H","UseDPDF=Y")</f>
        <v>0</v>
      </c>
      <c r="AB25" s="22">
        <f>_xll.BDH("AMZN US Equity","CF_DISPOSAL_OF_INTANGIBLE_ASSETS","FQ2 2015","FQ2 2015","Currency=USD","Period=FQ","BEST_FPERIOD_OVERRIDE=FQ","FILING_STATUS=MR","SCALING_FORMAT=MLN","Sort=A","Dates=H","DateFormat=P","Fill=—","Direction=H","UseDPDF=Y")</f>
        <v>0</v>
      </c>
      <c r="AC25" s="22">
        <f>_xll.BDH("AMZN US Equity","CF_DISPOSAL_OF_INTANGIBLE_ASSETS","FQ3 2015","FQ3 2015","Currency=USD","Period=FQ","BEST_FPERIOD_OVERRIDE=FQ","FILING_STATUS=MR","SCALING_FORMAT=MLN","Sort=A","Dates=H","DateFormat=P","Fill=—","Direction=H","UseDPDF=Y")</f>
        <v>0</v>
      </c>
      <c r="AD25" s="22">
        <f>_xll.BDH("AMZN US Equity","CF_DISPOSAL_OF_INTANGIBLE_ASSETS","FQ4 2015","FQ4 2015","Currency=USD","Period=FQ","BEST_FPERIOD_OVERRIDE=FQ","FILING_STATUS=MR","SCALING_FORMAT=MLN","Sort=A","Dates=H","DateFormat=P","Fill=—","Direction=H","UseDPDF=Y")</f>
        <v>0</v>
      </c>
      <c r="AE25" s="22">
        <f>_xll.BDH("AMZN US Equity","CF_DISPOSAL_OF_INTANGIBLE_ASSETS","FQ1 2016","FQ1 2016","Currency=USD","Period=FQ","BEST_FPERIOD_OVERRIDE=FQ","FILING_STATUS=MR","SCALING_FORMAT=MLN","Sort=A","Dates=H","DateFormat=P","Fill=—","Direction=H","UseDPDF=Y")</f>
        <v>0</v>
      </c>
      <c r="AF25" s="22">
        <f>_xll.BDH("AMZN US Equity","CF_DISPOSAL_OF_INTANGIBLE_ASSETS","FQ2 2016","FQ2 2016","Currency=USD","Period=FQ","BEST_FPERIOD_OVERRIDE=FQ","FILING_STATUS=MR","SCALING_FORMAT=MLN","Sort=A","Dates=H","DateFormat=P","Fill=—","Direction=H","UseDPDF=Y")</f>
        <v>0</v>
      </c>
      <c r="AG25" s="22">
        <f>_xll.BDH("AMZN US Equity","CF_DISPOSAL_OF_INTANGIBLE_ASSETS","FQ3 2016","FQ3 2016","Currency=USD","Period=FQ","BEST_FPERIOD_OVERRIDE=FQ","FILING_STATUS=MR","SCALING_FORMAT=MLN","Sort=A","Dates=H","DateFormat=P","Fill=—","Direction=H","UseDPDF=Y")</f>
        <v>0</v>
      </c>
      <c r="AH25" s="22">
        <f>_xll.BDH("AMZN US Equity","CF_DISPOSAL_OF_INTANGIBLE_ASSETS","FQ4 2016","FQ4 2016","Currency=USD","Period=FQ","BEST_FPERIOD_OVERRIDE=FQ","FILING_STATUS=MR","SCALING_FORMAT=MLN","Sort=A","Dates=H","DateFormat=P","Fill=—","Direction=H","UseDPDF=Y")</f>
        <v>0</v>
      </c>
      <c r="AI25" s="22">
        <f>_xll.BDH("AMZN US Equity","CF_DISPOSAL_OF_INTANGIBLE_ASSETS","FQ1 2017","FQ1 2017","Currency=USD","Period=FQ","BEST_FPERIOD_OVERRIDE=FQ","FILING_STATUS=MR","SCALING_FORMAT=MLN","Sort=A","Dates=H","DateFormat=P","Fill=—","Direction=H","UseDPDF=Y")</f>
        <v>0</v>
      </c>
      <c r="AJ25" s="22">
        <f>_xll.BDH("AMZN US Equity","CF_DISPOSAL_OF_INTANGIBLE_ASSETS","FQ2 2017","FQ2 2017","Currency=USD","Period=FQ","BEST_FPERIOD_OVERRIDE=FQ","FILING_STATUS=MR","SCALING_FORMAT=MLN","Sort=A","Dates=H","DateFormat=P","Fill=—","Direction=H","UseDPDF=Y")</f>
        <v>0</v>
      </c>
      <c r="AK25" s="22">
        <f>_xll.BDH("AMZN US Equity","CF_DISPOSAL_OF_INTANGIBLE_ASSETS","FQ3 2017","FQ3 2017","Currency=USD","Period=FQ","BEST_FPERIOD_OVERRIDE=FQ","FILING_STATUS=MR","SCALING_FORMAT=MLN","Sort=A","Dates=H","DateFormat=P","Fill=—","Direction=H","UseDPDF=Y")</f>
        <v>0</v>
      </c>
      <c r="AL25" s="22">
        <f>_xll.BDH("AMZN US Equity","CF_DISPOSAL_OF_INTANGIBLE_ASSETS","FQ4 2017","FQ4 2017","Currency=USD","Period=FQ","BEST_FPERIOD_OVERRIDE=FQ","FILING_STATUS=MR","SCALING_FORMAT=MLN","Sort=A","Dates=H","DateFormat=P","Fill=—","Direction=H","UseDPDF=Y")</f>
        <v>0</v>
      </c>
      <c r="AM25" s="22">
        <f>_xll.BDH("AMZN US Equity","CF_DISPOSAL_OF_INTANGIBLE_ASSETS","FQ1 2018","FQ1 2018","Currency=USD","Period=FQ","BEST_FPERIOD_OVERRIDE=FQ","FILING_STATUS=MR","SCALING_FORMAT=MLN","Sort=A","Dates=H","DateFormat=P","Fill=—","Direction=H","UseDPDF=Y")</f>
        <v>0</v>
      </c>
      <c r="AN25" s="22">
        <f>_xll.BDH("AMZN US Equity","CF_DISPOSAL_OF_INTANGIBLE_ASSETS","FQ2 2018","FQ2 2018","Currency=USD","Period=FQ","BEST_FPERIOD_OVERRIDE=FQ","FILING_STATUS=MR","SCALING_FORMAT=MLN","Sort=A","Dates=H","DateFormat=P","Fill=—","Direction=H","UseDPDF=Y")</f>
        <v>0</v>
      </c>
    </row>
    <row r="26" spans="1:40" x14ac:dyDescent="0.25">
      <c r="A26" s="10" t="s">
        <v>397</v>
      </c>
      <c r="B26" s="10" t="s">
        <v>398</v>
      </c>
      <c r="C26" s="13">
        <f>_xll.BDH("AMZN US Equity","ACQUIS_FXD_&amp;_INTANG_DETAILED","FQ1 2009","FQ1 2009","Currency=USD","Period=FQ","BEST_FPERIOD_OVERRIDE=FQ","FILING_STATUS=MR","SCALING_FORMAT=MLN","Sort=A","Dates=H","DateFormat=P","Fill=—","Direction=H","UseDPDF=Y")</f>
        <v>-55</v>
      </c>
      <c r="D26" s="13">
        <f>_xll.BDH("AMZN US Equity","ACQUIS_FXD_&amp;_INTANG_DETAILED","FQ2 2009","FQ2 2009","Currency=USD","Period=FQ","BEST_FPERIOD_OVERRIDE=FQ","FILING_STATUS=MR","SCALING_FORMAT=MLN","Sort=A","Dates=H","DateFormat=P","Fill=—","Direction=H","UseDPDF=Y")</f>
        <v>-78</v>
      </c>
      <c r="E26" s="13">
        <f>_xll.BDH("AMZN US Equity","ACQUIS_FXD_&amp;_INTANG_DETAILED","FQ3 2009","FQ3 2009","Currency=USD","Period=FQ","BEST_FPERIOD_OVERRIDE=FQ","FILING_STATUS=MR","SCALING_FORMAT=MLN","Sort=A","Dates=H","DateFormat=P","Fill=—","Direction=H","UseDPDF=Y")</f>
        <v>-103</v>
      </c>
      <c r="F26" s="13">
        <f>_xll.BDH("AMZN US Equity","ACQUIS_FXD_&amp;_INTANG_DETAILED","FQ4 2009","FQ4 2009","Currency=USD","Period=FQ","BEST_FPERIOD_OVERRIDE=FQ","FILING_STATUS=MR","SCALING_FORMAT=MLN","Sort=A","Dates=H","DateFormat=P","Fill=—","Direction=H","UseDPDF=Y")</f>
        <v>-137</v>
      </c>
      <c r="G26" s="13">
        <f>_xll.BDH("AMZN US Equity","ACQUIS_FXD_&amp;_INTANG_DETAILED","FQ1 2010","FQ1 2010","Currency=USD","Period=FQ","BEST_FPERIOD_OVERRIDE=FQ","FILING_STATUS=MR","SCALING_FORMAT=MLN","Sort=A","Dates=H","DateFormat=P","Fill=—","Direction=H","UseDPDF=Y")</f>
        <v>-140</v>
      </c>
      <c r="H26" s="13">
        <f>_xll.BDH("AMZN US Equity","ACQUIS_FXD_&amp;_INTANG_DETAILED","FQ2 2010","FQ2 2010","Currency=USD","Period=FQ","BEST_FPERIOD_OVERRIDE=FQ","FILING_STATUS=MR","SCALING_FORMAT=MLN","Sort=A","Dates=H","DateFormat=P","Fill=—","Direction=H","UseDPDF=Y")</f>
        <v>-196</v>
      </c>
      <c r="I26" s="13">
        <f>_xll.BDH("AMZN US Equity","ACQUIS_FXD_&amp;_INTANG_DETAILED","FQ3 2010","FQ3 2010","Currency=USD","Period=FQ","BEST_FPERIOD_OVERRIDE=FQ","FILING_STATUS=MR","SCALING_FORMAT=MLN","Sort=A","Dates=H","DateFormat=P","Fill=—","Direction=H","UseDPDF=Y")</f>
        <v>-315</v>
      </c>
      <c r="J26" s="13">
        <f>_xll.BDH("AMZN US Equity","ACQUIS_FXD_&amp;_INTANG_DETAILED","FQ4 2010","FQ4 2010","Currency=USD","Period=FQ","BEST_FPERIOD_OVERRIDE=FQ","FILING_STATUS=MR","SCALING_FORMAT=MLN","Sort=A","Dates=H","DateFormat=P","Fill=—","Direction=H","UseDPDF=Y")</f>
        <v>-328</v>
      </c>
      <c r="K26" s="13">
        <f>_xll.BDH("AMZN US Equity","ACQUIS_FXD_&amp;_INTANG_DETAILED","FQ1 2011","FQ1 2011","Currency=USD","Period=FQ","BEST_FPERIOD_OVERRIDE=FQ","FILING_STATUS=MR","SCALING_FORMAT=MLN","Sort=A","Dates=H","DateFormat=P","Fill=—","Direction=H","UseDPDF=Y")</f>
        <v>-298</v>
      </c>
      <c r="L26" s="13">
        <f>_xll.BDH("AMZN US Equity","ACQUIS_FXD_&amp;_INTANG_DETAILED","FQ2 2011","FQ2 2011","Currency=USD","Period=FQ","BEST_FPERIOD_OVERRIDE=FQ","FILING_STATUS=MR","SCALING_FORMAT=MLN","Sort=A","Dates=H","DateFormat=P","Fill=—","Direction=H","UseDPDF=Y")</f>
        <v>-433</v>
      </c>
      <c r="M26" s="13">
        <f>_xll.BDH("AMZN US Equity","ACQUIS_FXD_&amp;_INTANG_DETAILED","FQ3 2011","FQ3 2011","Currency=USD","Period=FQ","BEST_FPERIOD_OVERRIDE=FQ","FILING_STATUS=MR","SCALING_FORMAT=MLN","Sort=A","Dates=H","DateFormat=P","Fill=—","Direction=H","UseDPDF=Y")</f>
        <v>-529</v>
      </c>
      <c r="N26" s="13">
        <f>_xll.BDH("AMZN US Equity","ACQUIS_FXD_&amp;_INTANG_DETAILED","FQ4 2011","FQ4 2011","Currency=USD","Period=FQ","BEST_FPERIOD_OVERRIDE=FQ","FILING_STATUS=MR","SCALING_FORMAT=MLN","Sort=A","Dates=H","DateFormat=P","Fill=—","Direction=H","UseDPDF=Y")</f>
        <v>-550</v>
      </c>
      <c r="O26" s="13">
        <f>_xll.BDH("AMZN US Equity","ACQUIS_FXD_&amp;_INTANG_DETAILED","FQ1 2012","FQ1 2012","Currency=USD","Period=FQ","BEST_FPERIOD_OVERRIDE=FQ","FILING_STATUS=MR","SCALING_FORMAT=MLN","Sort=A","Dates=H","DateFormat=P","Fill=—","Direction=H","UseDPDF=Y")</f>
        <v>-386</v>
      </c>
      <c r="P26" s="13">
        <f>_xll.BDH("AMZN US Equity","ACQUIS_FXD_&amp;_INTANG_DETAILED","FQ2 2012","FQ2 2012","Currency=USD","Period=FQ","BEST_FPERIOD_OVERRIDE=FQ","FILING_STATUS=MR","SCALING_FORMAT=MLN","Sort=A","Dates=H","DateFormat=P","Fill=—","Direction=H","UseDPDF=Y")</f>
        <v>-657</v>
      </c>
      <c r="Q26" s="13">
        <f>_xll.BDH("AMZN US Equity","ACQUIS_FXD_&amp;_INTANG_DETAILED","FQ3 2012","FQ3 2012","Currency=USD","Period=FQ","BEST_FPERIOD_OVERRIDE=FQ","FILING_STATUS=MR","SCALING_FORMAT=MLN","Sort=A","Dates=H","DateFormat=P","Fill=—","Direction=H","UseDPDF=Y")</f>
        <v>-716</v>
      </c>
      <c r="R26" s="13">
        <f>_xll.BDH("AMZN US Equity","ACQUIS_FXD_&amp;_INTANG_DETAILED","FQ4 2012","FQ4 2012","Currency=USD","Period=FQ","BEST_FPERIOD_OVERRIDE=FQ","FILING_STATUS=MR","SCALING_FORMAT=MLN","Sort=A","Dates=H","DateFormat=P","Fill=—","Direction=H","UseDPDF=Y")</f>
        <v>-2025</v>
      </c>
      <c r="S26" s="13">
        <f>_xll.BDH("AMZN US Equity","ACQUIS_FXD_&amp;_INTANG_DETAILED","FQ1 2013","FQ1 2013","Currency=USD","Period=FQ","BEST_FPERIOD_OVERRIDE=FQ","FILING_STATUS=MR","SCALING_FORMAT=MLN","Sort=A","Dates=H","DateFormat=P","Fill=—","Direction=H","UseDPDF=Y")</f>
        <v>-670</v>
      </c>
      <c r="T26" s="13">
        <f>_xll.BDH("AMZN US Equity","ACQUIS_FXD_&amp;_INTANG_DETAILED","FQ2 2013","FQ2 2013","Currency=USD","Period=FQ","BEST_FPERIOD_OVERRIDE=FQ","FILING_STATUS=MR","SCALING_FORMAT=MLN","Sort=A","Dates=H","DateFormat=P","Fill=—","Direction=H","UseDPDF=Y")</f>
        <v>-855</v>
      </c>
      <c r="U26" s="13">
        <f>_xll.BDH("AMZN US Equity","ACQUIS_FXD_&amp;_INTANG_DETAILED","FQ3 2013","FQ3 2013","Currency=USD","Period=FQ","BEST_FPERIOD_OVERRIDE=FQ","FILING_STATUS=MR","SCALING_FORMAT=MLN","Sort=A","Dates=H","DateFormat=P","Fill=—","Direction=H","UseDPDF=Y")</f>
        <v>-1038</v>
      </c>
      <c r="V26" s="13">
        <f>_xll.BDH("AMZN US Equity","ACQUIS_FXD_&amp;_INTANG_DETAILED","FQ4 2013","FQ4 2013","Currency=USD","Period=FQ","BEST_FPERIOD_OVERRIDE=FQ","FILING_STATUS=MR","SCALING_FORMAT=MLN","Sort=A","Dates=H","DateFormat=P","Fill=—","Direction=H","UseDPDF=Y")</f>
        <v>-880</v>
      </c>
      <c r="W26" s="13">
        <f>_xll.BDH("AMZN US Equity","ACQUIS_FXD_&amp;_INTANG_DETAILED","FQ1 2014","FQ1 2014","Currency=USD","Period=FQ","BEST_FPERIOD_OVERRIDE=FQ","FILING_STATUS=MR","SCALING_FORMAT=MLN","Sort=A","Dates=H","DateFormat=P","Fill=—","Direction=H","UseDPDF=Y")</f>
        <v>-1080</v>
      </c>
      <c r="X26" s="13">
        <f>_xll.BDH("AMZN US Equity","ACQUIS_FXD_&amp;_INTANG_DETAILED","FQ2 2014","FQ2 2014","Currency=USD","Period=FQ","BEST_FPERIOD_OVERRIDE=FQ","FILING_STATUS=MR","SCALING_FORMAT=MLN","Sort=A","Dates=H","DateFormat=P","Fill=—","Direction=H","UseDPDF=Y")</f>
        <v>-1290</v>
      </c>
      <c r="Y26" s="13">
        <f>_xll.BDH("AMZN US Equity","ACQUIS_FXD_&amp;_INTANG_DETAILED","FQ3 2014","FQ3 2014","Currency=USD","Period=FQ","BEST_FPERIOD_OVERRIDE=FQ","FILING_STATUS=MR","SCALING_FORMAT=MLN","Sort=A","Dates=H","DateFormat=P","Fill=—","Direction=H","UseDPDF=Y")</f>
        <v>-1378</v>
      </c>
      <c r="Z26" s="13">
        <f>_xll.BDH("AMZN US Equity","ACQUIS_FXD_&amp;_INTANG_DETAILED","FQ4 2014","FQ4 2014","Currency=USD","Period=FQ","BEST_FPERIOD_OVERRIDE=FQ","FILING_STATUS=MR","SCALING_FORMAT=MLN","Sort=A","Dates=H","DateFormat=P","Fill=—","Direction=H","UseDPDF=Y")</f>
        <v>-1144</v>
      </c>
      <c r="AA26" s="13">
        <f>_xll.BDH("AMZN US Equity","ACQUIS_FXD_&amp;_INTANG_DETAILED","FQ1 2015","FQ1 2015","Currency=USD","Period=FQ","BEST_FPERIOD_OVERRIDE=FQ","FILING_STATUS=MR","SCALING_FORMAT=MLN","Sort=A","Dates=H","DateFormat=P","Fill=—","Direction=H","UseDPDF=Y")</f>
        <v>-871</v>
      </c>
      <c r="AB26" s="13">
        <f>_xll.BDH("AMZN US Equity","ACQUIS_FXD_&amp;_INTANG_DETAILED","FQ2 2015","FQ2 2015","Currency=USD","Period=FQ","BEST_FPERIOD_OVERRIDE=FQ","FILING_STATUS=MR","SCALING_FORMAT=MLN","Sort=A","Dates=H","DateFormat=P","Fill=—","Direction=H","UseDPDF=Y")</f>
        <v>-1213</v>
      </c>
      <c r="AC26" s="13">
        <f>_xll.BDH("AMZN US Equity","ACQUIS_FXD_&amp;_INTANG_DETAILED","FQ3 2015","FQ3 2015","Currency=USD","Period=FQ","BEST_FPERIOD_OVERRIDE=FQ","FILING_STATUS=MR","SCALING_FORMAT=MLN","Sort=A","Dates=H","DateFormat=P","Fill=—","Direction=H","UseDPDF=Y")</f>
        <v>-1195</v>
      </c>
      <c r="AD26" s="13">
        <f>_xll.BDH("AMZN US Equity","ACQUIS_FXD_&amp;_INTANG_DETAILED","FQ4 2015","FQ4 2015","Currency=USD","Period=FQ","BEST_FPERIOD_OVERRIDE=FQ","FILING_STATUS=MR","SCALING_FORMAT=MLN","Sort=A","Dates=H","DateFormat=P","Fill=—","Direction=H","UseDPDF=Y")</f>
        <v>-1309</v>
      </c>
      <c r="AE26" s="13">
        <f>_xll.BDH("AMZN US Equity","ACQUIS_FXD_&amp;_INTANG_DETAILED","FQ1 2016","FQ1 2016","Currency=USD","Period=FQ","BEST_FPERIOD_OVERRIDE=FQ","FILING_STATUS=MR","SCALING_FORMAT=MLN","Sort=A","Dates=H","DateFormat=P","Fill=—","Direction=H","UseDPDF=Y")</f>
        <v>-1179</v>
      </c>
      <c r="AF26" s="13">
        <f>_xll.BDH("AMZN US Equity","ACQUIS_FXD_&amp;_INTANG_DETAILED","FQ2 2016","FQ2 2016","Currency=USD","Period=FQ","BEST_FPERIOD_OVERRIDE=FQ","FILING_STATUS=MR","SCALING_FORMAT=MLN","Sort=A","Dates=H","DateFormat=P","Fill=—","Direction=H","UseDPDF=Y")</f>
        <v>-1711</v>
      </c>
      <c r="AG26" s="13">
        <f>_xll.BDH("AMZN US Equity","ACQUIS_FXD_&amp;_INTANG_DETAILED","FQ3 2016","FQ3 2016","Currency=USD","Period=FQ","BEST_FPERIOD_OVERRIDE=FQ","FILING_STATUS=MR","SCALING_FORMAT=MLN","Sort=A","Dates=H","DateFormat=P","Fill=—","Direction=H","UseDPDF=Y")</f>
        <v>-1841</v>
      </c>
      <c r="AH26" s="13">
        <f>_xll.BDH("AMZN US Equity","ACQUIS_FXD_&amp;_INTANG_DETAILED","FQ4 2016","FQ4 2016","Currency=USD","Period=FQ","BEST_FPERIOD_OVERRIDE=FQ","FILING_STATUS=MR","SCALING_FORMAT=MLN","Sort=A","Dates=H","DateFormat=P","Fill=—","Direction=H","UseDPDF=Y")</f>
        <v>-2414</v>
      </c>
      <c r="AI26" s="13">
        <f>_xll.BDH("AMZN US Equity","ACQUIS_FXD_&amp;_INTANG_DETAILED","FQ1 2017","FQ1 2017","Currency=USD","Period=FQ","BEST_FPERIOD_OVERRIDE=FQ","FILING_STATUS=MR","SCALING_FORMAT=MLN","Sort=A","Dates=H","DateFormat=P","Fill=—","Direction=H","UseDPDF=Y")</f>
        <v>-2148</v>
      </c>
      <c r="AJ26" s="13">
        <f>_xll.BDH("AMZN US Equity","ACQUIS_FXD_&amp;_INTANG_DETAILED","FQ2 2017","FQ2 2017","Currency=USD","Period=FQ","BEST_FPERIOD_OVERRIDE=FQ","FILING_STATUS=MR","SCALING_FORMAT=MLN","Sort=A","Dates=H","DateFormat=P","Fill=—","Direction=H","UseDPDF=Y")</f>
        <v>-3113</v>
      </c>
      <c r="AK26" s="13">
        <f>_xll.BDH("AMZN US Equity","ACQUIS_FXD_&amp;_INTANG_DETAILED","FQ3 2017","FQ3 2017","Currency=USD","Period=FQ","BEST_FPERIOD_OVERRIDE=FQ","FILING_STATUS=MR","SCALING_FORMAT=MLN","Sort=A","Dates=H","DateFormat=P","Fill=—","Direction=H","UseDPDF=Y")</f>
        <v>-2659</v>
      </c>
      <c r="AL26" s="13">
        <f>_xll.BDH("AMZN US Equity","ACQUIS_FXD_&amp;_INTANG_DETAILED","FQ4 2017","FQ4 2017","Currency=USD","Period=FQ","BEST_FPERIOD_OVERRIDE=FQ","FILING_STATUS=MR","SCALING_FORMAT=MLN","Sort=A","Dates=H","DateFormat=P","Fill=—","Direction=H","UseDPDF=Y")</f>
        <v>-3619</v>
      </c>
      <c r="AM26" s="13">
        <f>_xll.BDH("AMZN US Equity","ACQUIS_FXD_&amp;_INTANG_DETAILED","FQ1 2018","FQ1 2018","Currency=USD","Period=FQ","BEST_FPERIOD_OVERRIDE=FQ","FILING_STATUS=MR","SCALING_FORMAT=MLN","Sort=A","Dates=H","DateFormat=P","Fill=—","Direction=H","UseDPDF=Y")</f>
        <v>-3098</v>
      </c>
      <c r="AN26" s="13">
        <f>_xll.BDH("AMZN US Equity","ACQUIS_FXD_&amp;_INTANG_DETAILED","FQ2 2018","FQ2 2018","Currency=USD","Period=FQ","BEST_FPERIOD_OVERRIDE=FQ","FILING_STATUS=MR","SCALING_FORMAT=MLN","Sort=A","Dates=H","DateFormat=P","Fill=—","Direction=H","UseDPDF=Y")</f>
        <v>-3243</v>
      </c>
    </row>
    <row r="27" spans="1:40" x14ac:dyDescent="0.25">
      <c r="A27" s="11" t="s">
        <v>399</v>
      </c>
      <c r="B27" s="11" t="s">
        <v>400</v>
      </c>
      <c r="C27" s="22">
        <f>_xll.BDH("AMZN US Equity","CF_PURCHASE_OF_FIXED_PROD_ASSETS","FQ1 2009","FQ1 2009","Currency=USD","Period=FQ","BEST_FPERIOD_OVERRIDE=FQ","FILING_STATUS=MR","SCALING_FORMAT=MLN","Sort=A","Dates=H","DateFormat=P","Fill=—","Direction=H","UseDPDF=Y")</f>
        <v>-55</v>
      </c>
      <c r="D27" s="22">
        <f>_xll.BDH("AMZN US Equity","CF_PURCHASE_OF_FIXED_PROD_ASSETS","FQ2 2009","FQ2 2009","Currency=USD","Period=FQ","BEST_FPERIOD_OVERRIDE=FQ","FILING_STATUS=MR","SCALING_FORMAT=MLN","Sort=A","Dates=H","DateFormat=P","Fill=—","Direction=H","UseDPDF=Y")</f>
        <v>-78</v>
      </c>
      <c r="E27" s="22">
        <f>_xll.BDH("AMZN US Equity","CF_PURCHASE_OF_FIXED_PROD_ASSETS","FQ3 2009","FQ3 2009","Currency=USD","Period=FQ","BEST_FPERIOD_OVERRIDE=FQ","FILING_STATUS=MR","SCALING_FORMAT=MLN","Sort=A","Dates=H","DateFormat=P","Fill=—","Direction=H","UseDPDF=Y")</f>
        <v>-103</v>
      </c>
      <c r="F27" s="22">
        <f>_xll.BDH("AMZN US Equity","CF_PURCHASE_OF_FIXED_PROD_ASSETS","FQ4 2009","FQ4 2009","Currency=USD","Period=FQ","BEST_FPERIOD_OVERRIDE=FQ","FILING_STATUS=MR","SCALING_FORMAT=MLN","Sort=A","Dates=H","DateFormat=P","Fill=—","Direction=H","UseDPDF=Y")</f>
        <v>-137</v>
      </c>
      <c r="G27" s="22">
        <f>_xll.BDH("AMZN US Equity","CF_PURCHASE_OF_FIXED_PROD_ASSETS","FQ1 2010","FQ1 2010","Currency=USD","Period=FQ","BEST_FPERIOD_OVERRIDE=FQ","FILING_STATUS=MR","SCALING_FORMAT=MLN","Sort=A","Dates=H","DateFormat=P","Fill=—","Direction=H","UseDPDF=Y")</f>
        <v>-140</v>
      </c>
      <c r="H27" s="22">
        <f>_xll.BDH("AMZN US Equity","CF_PURCHASE_OF_FIXED_PROD_ASSETS","FQ2 2010","FQ2 2010","Currency=USD","Period=FQ","BEST_FPERIOD_OVERRIDE=FQ","FILING_STATUS=MR","SCALING_FORMAT=MLN","Sort=A","Dates=H","DateFormat=P","Fill=—","Direction=H","UseDPDF=Y")</f>
        <v>-196</v>
      </c>
      <c r="I27" s="22">
        <f>_xll.BDH("AMZN US Equity","CF_PURCHASE_OF_FIXED_PROD_ASSETS","FQ3 2010","FQ3 2010","Currency=USD","Period=FQ","BEST_FPERIOD_OVERRIDE=FQ","FILING_STATUS=MR","SCALING_FORMAT=MLN","Sort=A","Dates=H","DateFormat=P","Fill=—","Direction=H","UseDPDF=Y")</f>
        <v>-315</v>
      </c>
      <c r="J27" s="22">
        <f>_xll.BDH("AMZN US Equity","CF_PURCHASE_OF_FIXED_PROD_ASSETS","FQ4 2010","FQ4 2010","Currency=USD","Period=FQ","BEST_FPERIOD_OVERRIDE=FQ","FILING_STATUS=MR","SCALING_FORMAT=MLN","Sort=A","Dates=H","DateFormat=P","Fill=—","Direction=H","UseDPDF=Y")</f>
        <v>-328</v>
      </c>
      <c r="K27" s="22">
        <f>_xll.BDH("AMZN US Equity","CF_PURCHASE_OF_FIXED_PROD_ASSETS","FQ1 2011","FQ1 2011","Currency=USD","Period=FQ","BEST_FPERIOD_OVERRIDE=FQ","FILING_STATUS=MR","SCALING_FORMAT=MLN","Sort=A","Dates=H","DateFormat=P","Fill=—","Direction=H","UseDPDF=Y")</f>
        <v>-298</v>
      </c>
      <c r="L27" s="22">
        <f>_xll.BDH("AMZN US Equity","CF_PURCHASE_OF_FIXED_PROD_ASSETS","FQ2 2011","FQ2 2011","Currency=USD","Period=FQ","BEST_FPERIOD_OVERRIDE=FQ","FILING_STATUS=MR","SCALING_FORMAT=MLN","Sort=A","Dates=H","DateFormat=P","Fill=—","Direction=H","UseDPDF=Y")</f>
        <v>-433</v>
      </c>
      <c r="M27" s="22">
        <f>_xll.BDH("AMZN US Equity","CF_PURCHASE_OF_FIXED_PROD_ASSETS","FQ3 2011","FQ3 2011","Currency=USD","Period=FQ","BEST_FPERIOD_OVERRIDE=FQ","FILING_STATUS=MR","SCALING_FORMAT=MLN","Sort=A","Dates=H","DateFormat=P","Fill=—","Direction=H","UseDPDF=Y")</f>
        <v>-529</v>
      </c>
      <c r="N27" s="22">
        <f>_xll.BDH("AMZN US Equity","CF_PURCHASE_OF_FIXED_PROD_ASSETS","FQ4 2011","FQ4 2011","Currency=USD","Period=FQ","BEST_FPERIOD_OVERRIDE=FQ","FILING_STATUS=MR","SCALING_FORMAT=MLN","Sort=A","Dates=H","DateFormat=P","Fill=—","Direction=H","UseDPDF=Y")</f>
        <v>-550</v>
      </c>
      <c r="O27" s="22">
        <f>_xll.BDH("AMZN US Equity","CF_PURCHASE_OF_FIXED_PROD_ASSETS","FQ1 2012","FQ1 2012","Currency=USD","Period=FQ","BEST_FPERIOD_OVERRIDE=FQ","FILING_STATUS=MR","SCALING_FORMAT=MLN","Sort=A","Dates=H","DateFormat=P","Fill=—","Direction=H","UseDPDF=Y")</f>
        <v>-386</v>
      </c>
      <c r="P27" s="22">
        <f>_xll.BDH("AMZN US Equity","CF_PURCHASE_OF_FIXED_PROD_ASSETS","FQ2 2012","FQ2 2012","Currency=USD","Period=FQ","BEST_FPERIOD_OVERRIDE=FQ","FILING_STATUS=MR","SCALING_FORMAT=MLN","Sort=A","Dates=H","DateFormat=P","Fill=—","Direction=H","UseDPDF=Y")</f>
        <v>-657</v>
      </c>
      <c r="Q27" s="22">
        <f>_xll.BDH("AMZN US Equity","CF_PURCHASE_OF_FIXED_PROD_ASSETS","FQ3 2012","FQ3 2012","Currency=USD","Period=FQ","BEST_FPERIOD_OVERRIDE=FQ","FILING_STATUS=MR","SCALING_FORMAT=MLN","Sort=A","Dates=H","DateFormat=P","Fill=—","Direction=H","UseDPDF=Y")</f>
        <v>-716</v>
      </c>
      <c r="R27" s="22">
        <f>_xll.BDH("AMZN US Equity","CF_PURCHASE_OF_FIXED_PROD_ASSETS","FQ4 2012","FQ4 2012","Currency=USD","Period=FQ","BEST_FPERIOD_OVERRIDE=FQ","FILING_STATUS=MR","SCALING_FORMAT=MLN","Sort=A","Dates=H","DateFormat=P","Fill=—","Direction=H","UseDPDF=Y")</f>
        <v>-2025</v>
      </c>
      <c r="S27" s="22">
        <f>_xll.BDH("AMZN US Equity","CF_PURCHASE_OF_FIXED_PROD_ASSETS","FQ1 2013","FQ1 2013","Currency=USD","Period=FQ","BEST_FPERIOD_OVERRIDE=FQ","FILING_STATUS=MR","SCALING_FORMAT=MLN","Sort=A","Dates=H","DateFormat=P","Fill=—","Direction=H","UseDPDF=Y")</f>
        <v>-670</v>
      </c>
      <c r="T27" s="22">
        <f>_xll.BDH("AMZN US Equity","CF_PURCHASE_OF_FIXED_PROD_ASSETS","FQ2 2013","FQ2 2013","Currency=USD","Period=FQ","BEST_FPERIOD_OVERRIDE=FQ","FILING_STATUS=MR","SCALING_FORMAT=MLN","Sort=A","Dates=H","DateFormat=P","Fill=—","Direction=H","UseDPDF=Y")</f>
        <v>-855</v>
      </c>
      <c r="U27" s="22">
        <f>_xll.BDH("AMZN US Equity","CF_PURCHASE_OF_FIXED_PROD_ASSETS","FQ3 2013","FQ3 2013","Currency=USD","Period=FQ","BEST_FPERIOD_OVERRIDE=FQ","FILING_STATUS=MR","SCALING_FORMAT=MLN","Sort=A","Dates=H","DateFormat=P","Fill=—","Direction=H","UseDPDF=Y")</f>
        <v>-1038</v>
      </c>
      <c r="V27" s="22">
        <f>_xll.BDH("AMZN US Equity","CF_PURCHASE_OF_FIXED_PROD_ASSETS","FQ4 2013","FQ4 2013","Currency=USD","Period=FQ","BEST_FPERIOD_OVERRIDE=FQ","FILING_STATUS=MR","SCALING_FORMAT=MLN","Sort=A","Dates=H","DateFormat=P","Fill=—","Direction=H","UseDPDF=Y")</f>
        <v>-880</v>
      </c>
      <c r="W27" s="22">
        <f>_xll.BDH("AMZN US Equity","CF_PURCHASE_OF_FIXED_PROD_ASSETS","FQ1 2014","FQ1 2014","Currency=USD","Period=FQ","BEST_FPERIOD_OVERRIDE=FQ","FILING_STATUS=MR","SCALING_FORMAT=MLN","Sort=A","Dates=H","DateFormat=P","Fill=—","Direction=H","UseDPDF=Y")</f>
        <v>-1080</v>
      </c>
      <c r="X27" s="22">
        <f>_xll.BDH("AMZN US Equity","CF_PURCHASE_OF_FIXED_PROD_ASSETS","FQ2 2014","FQ2 2014","Currency=USD","Period=FQ","BEST_FPERIOD_OVERRIDE=FQ","FILING_STATUS=MR","SCALING_FORMAT=MLN","Sort=A","Dates=H","DateFormat=P","Fill=—","Direction=H","UseDPDF=Y")</f>
        <v>-1290</v>
      </c>
      <c r="Y27" s="22">
        <f>_xll.BDH("AMZN US Equity","CF_PURCHASE_OF_FIXED_PROD_ASSETS","FQ3 2014","FQ3 2014","Currency=USD","Period=FQ","BEST_FPERIOD_OVERRIDE=FQ","FILING_STATUS=MR","SCALING_FORMAT=MLN","Sort=A","Dates=H","DateFormat=P","Fill=—","Direction=H","UseDPDF=Y")</f>
        <v>-1378</v>
      </c>
      <c r="Z27" s="22">
        <f>_xll.BDH("AMZN US Equity","CF_PURCHASE_OF_FIXED_PROD_ASSETS","FQ4 2014","FQ4 2014","Currency=USD","Period=FQ","BEST_FPERIOD_OVERRIDE=FQ","FILING_STATUS=MR","SCALING_FORMAT=MLN","Sort=A","Dates=H","DateFormat=P","Fill=—","Direction=H","UseDPDF=Y")</f>
        <v>-1144</v>
      </c>
      <c r="AA27" s="22">
        <f>_xll.BDH("AMZN US Equity","CF_PURCHASE_OF_FIXED_PROD_ASSETS","FQ1 2015","FQ1 2015","Currency=USD","Period=FQ","BEST_FPERIOD_OVERRIDE=FQ","FILING_STATUS=MR","SCALING_FORMAT=MLN","Sort=A","Dates=H","DateFormat=P","Fill=—","Direction=H","UseDPDF=Y")</f>
        <v>-871</v>
      </c>
      <c r="AB27" s="22">
        <f>_xll.BDH("AMZN US Equity","CF_PURCHASE_OF_FIXED_PROD_ASSETS","FQ2 2015","FQ2 2015","Currency=USD","Period=FQ","BEST_FPERIOD_OVERRIDE=FQ","FILING_STATUS=MR","SCALING_FORMAT=MLN","Sort=A","Dates=H","DateFormat=P","Fill=—","Direction=H","UseDPDF=Y")</f>
        <v>-1213</v>
      </c>
      <c r="AC27" s="22">
        <f>_xll.BDH("AMZN US Equity","CF_PURCHASE_OF_FIXED_PROD_ASSETS","FQ3 2015","FQ3 2015","Currency=USD","Period=FQ","BEST_FPERIOD_OVERRIDE=FQ","FILING_STATUS=MR","SCALING_FORMAT=MLN","Sort=A","Dates=H","DateFormat=P","Fill=—","Direction=H","UseDPDF=Y")</f>
        <v>-1195</v>
      </c>
      <c r="AD27" s="22">
        <f>_xll.BDH("AMZN US Equity","CF_PURCHASE_OF_FIXED_PROD_ASSETS","FQ4 2015","FQ4 2015","Currency=USD","Period=FQ","BEST_FPERIOD_OVERRIDE=FQ","FILING_STATUS=MR","SCALING_FORMAT=MLN","Sort=A","Dates=H","DateFormat=P","Fill=—","Direction=H","UseDPDF=Y")</f>
        <v>-1309</v>
      </c>
      <c r="AE27" s="22">
        <f>_xll.BDH("AMZN US Equity","CF_PURCHASE_OF_FIXED_PROD_ASSETS","FQ1 2016","FQ1 2016","Currency=USD","Period=FQ","BEST_FPERIOD_OVERRIDE=FQ","FILING_STATUS=MR","SCALING_FORMAT=MLN","Sort=A","Dates=H","DateFormat=P","Fill=—","Direction=H","UseDPDF=Y")</f>
        <v>-1179</v>
      </c>
      <c r="AF27" s="22">
        <f>_xll.BDH("AMZN US Equity","CF_PURCHASE_OF_FIXED_PROD_ASSETS","FQ2 2016","FQ2 2016","Currency=USD","Period=FQ","BEST_FPERIOD_OVERRIDE=FQ","FILING_STATUS=MR","SCALING_FORMAT=MLN","Sort=A","Dates=H","DateFormat=P","Fill=—","Direction=H","UseDPDF=Y")</f>
        <v>-1711</v>
      </c>
      <c r="AG27" s="22">
        <f>_xll.BDH("AMZN US Equity","CF_PURCHASE_OF_FIXED_PROD_ASSETS","FQ3 2016","FQ3 2016","Currency=USD","Period=FQ","BEST_FPERIOD_OVERRIDE=FQ","FILING_STATUS=MR","SCALING_FORMAT=MLN","Sort=A","Dates=H","DateFormat=P","Fill=—","Direction=H","UseDPDF=Y")</f>
        <v>-1841</v>
      </c>
      <c r="AH27" s="22">
        <f>_xll.BDH("AMZN US Equity","CF_PURCHASE_OF_FIXED_PROD_ASSETS","FQ4 2016","FQ4 2016","Currency=USD","Period=FQ","BEST_FPERIOD_OVERRIDE=FQ","FILING_STATUS=MR","SCALING_FORMAT=MLN","Sort=A","Dates=H","DateFormat=P","Fill=—","Direction=H","UseDPDF=Y")</f>
        <v>-2414</v>
      </c>
      <c r="AI27" s="22">
        <f>_xll.BDH("AMZN US Equity","CF_PURCHASE_OF_FIXED_PROD_ASSETS","FQ1 2017","FQ1 2017","Currency=USD","Period=FQ","BEST_FPERIOD_OVERRIDE=FQ","FILING_STATUS=MR","SCALING_FORMAT=MLN","Sort=A","Dates=H","DateFormat=P","Fill=—","Direction=H","UseDPDF=Y")</f>
        <v>-2148</v>
      </c>
      <c r="AJ27" s="22">
        <f>_xll.BDH("AMZN US Equity","CF_PURCHASE_OF_FIXED_PROD_ASSETS","FQ2 2017","FQ2 2017","Currency=USD","Period=FQ","BEST_FPERIOD_OVERRIDE=FQ","FILING_STATUS=MR","SCALING_FORMAT=MLN","Sort=A","Dates=H","DateFormat=P","Fill=—","Direction=H","UseDPDF=Y")</f>
        <v>-3113</v>
      </c>
      <c r="AK27" s="22">
        <f>_xll.BDH("AMZN US Equity","CF_PURCHASE_OF_FIXED_PROD_ASSETS","FQ3 2017","FQ3 2017","Currency=USD","Period=FQ","BEST_FPERIOD_OVERRIDE=FQ","FILING_STATUS=MR","SCALING_FORMAT=MLN","Sort=A","Dates=H","DateFormat=P","Fill=—","Direction=H","UseDPDF=Y")</f>
        <v>-2659</v>
      </c>
      <c r="AL27" s="22">
        <f>_xll.BDH("AMZN US Equity","CF_PURCHASE_OF_FIXED_PROD_ASSETS","FQ4 2017","FQ4 2017","Currency=USD","Period=FQ","BEST_FPERIOD_OVERRIDE=FQ","FILING_STATUS=MR","SCALING_FORMAT=MLN","Sort=A","Dates=H","DateFormat=P","Fill=—","Direction=H","UseDPDF=Y")</f>
        <v>-3619</v>
      </c>
      <c r="AM27" s="22">
        <f>_xll.BDH("AMZN US Equity","CF_PURCHASE_OF_FIXED_PROD_ASSETS","FQ1 2018","FQ1 2018","Currency=USD","Period=FQ","BEST_FPERIOD_OVERRIDE=FQ","FILING_STATUS=MR","SCALING_FORMAT=MLN","Sort=A","Dates=H","DateFormat=P","Fill=—","Direction=H","UseDPDF=Y")</f>
        <v>-3098</v>
      </c>
      <c r="AN27" s="22">
        <f>_xll.BDH("AMZN US Equity","CF_PURCHASE_OF_FIXED_PROD_ASSETS","FQ2 2018","FQ2 2018","Currency=USD","Period=FQ","BEST_FPERIOD_OVERRIDE=FQ","FILING_STATUS=MR","SCALING_FORMAT=MLN","Sort=A","Dates=H","DateFormat=P","Fill=—","Direction=H","UseDPDF=Y")</f>
        <v>-3243</v>
      </c>
    </row>
    <row r="28" spans="1:40" x14ac:dyDescent="0.25">
      <c r="A28" s="11" t="s">
        <v>401</v>
      </c>
      <c r="B28" s="11" t="s">
        <v>402</v>
      </c>
      <c r="C28" s="22">
        <f>_xll.BDH("AMZN US Equity","CF_ACQUISITION_OF_INTANG_ASSETS","FQ1 2009","FQ1 2009","Currency=USD","Period=FQ","BEST_FPERIOD_OVERRIDE=FQ","FILING_STATUS=MR","SCALING_FORMAT=MLN","Sort=A","Dates=H","DateFormat=P","Fill=—","Direction=H","UseDPDF=Y")</f>
        <v>0</v>
      </c>
      <c r="D28" s="22">
        <f>_xll.BDH("AMZN US Equity","CF_ACQUISITION_OF_INTANG_ASSETS","FQ2 2009","FQ2 2009","Currency=USD","Period=FQ","BEST_FPERIOD_OVERRIDE=FQ","FILING_STATUS=MR","SCALING_FORMAT=MLN","Sort=A","Dates=H","DateFormat=P","Fill=—","Direction=H","UseDPDF=Y")</f>
        <v>0</v>
      </c>
      <c r="E28" s="22">
        <f>_xll.BDH("AMZN US Equity","CF_ACQUISITION_OF_INTANG_ASSETS","FQ3 2009","FQ3 2009","Currency=USD","Period=FQ","BEST_FPERIOD_OVERRIDE=FQ","FILING_STATUS=MR","SCALING_FORMAT=MLN","Sort=A","Dates=H","DateFormat=P","Fill=—","Direction=H","UseDPDF=Y")</f>
        <v>0</v>
      </c>
      <c r="F28" s="22">
        <f>_xll.BDH("AMZN US Equity","CF_ACQUISITION_OF_INTANG_ASSETS","FQ4 2009","FQ4 2009","Currency=USD","Period=FQ","BEST_FPERIOD_OVERRIDE=FQ","FILING_STATUS=MR","SCALING_FORMAT=MLN","Sort=A","Dates=H","DateFormat=P","Fill=—","Direction=H","UseDPDF=Y")</f>
        <v>0</v>
      </c>
      <c r="G28" s="22">
        <f>_xll.BDH("AMZN US Equity","CF_ACQUISITION_OF_INTANG_ASSETS","FQ1 2010","FQ1 2010","Currency=USD","Period=FQ","BEST_FPERIOD_OVERRIDE=FQ","FILING_STATUS=MR","SCALING_FORMAT=MLN","Sort=A","Dates=H","DateFormat=P","Fill=—","Direction=H","UseDPDF=Y")</f>
        <v>0</v>
      </c>
      <c r="H28" s="22">
        <f>_xll.BDH("AMZN US Equity","CF_ACQUISITION_OF_INTANG_ASSETS","FQ2 2010","FQ2 2010","Currency=USD","Period=FQ","BEST_FPERIOD_OVERRIDE=FQ","FILING_STATUS=MR","SCALING_FORMAT=MLN","Sort=A","Dates=H","DateFormat=P","Fill=—","Direction=H","UseDPDF=Y")</f>
        <v>0</v>
      </c>
      <c r="I28" s="22">
        <f>_xll.BDH("AMZN US Equity","CF_ACQUISITION_OF_INTANG_ASSETS","FQ3 2010","FQ3 2010","Currency=USD","Period=FQ","BEST_FPERIOD_OVERRIDE=FQ","FILING_STATUS=MR","SCALING_FORMAT=MLN","Sort=A","Dates=H","DateFormat=P","Fill=—","Direction=H","UseDPDF=Y")</f>
        <v>0</v>
      </c>
      <c r="J28" s="22">
        <f>_xll.BDH("AMZN US Equity","CF_ACQUISITION_OF_INTANG_ASSETS","FQ4 2010","FQ4 2010","Currency=USD","Period=FQ","BEST_FPERIOD_OVERRIDE=FQ","FILING_STATUS=MR","SCALING_FORMAT=MLN","Sort=A","Dates=H","DateFormat=P","Fill=—","Direction=H","UseDPDF=Y")</f>
        <v>0</v>
      </c>
      <c r="K28" s="22">
        <f>_xll.BDH("AMZN US Equity","CF_ACQUISITION_OF_INTANG_ASSETS","FQ1 2011","FQ1 2011","Currency=USD","Period=FQ","BEST_FPERIOD_OVERRIDE=FQ","FILING_STATUS=MR","SCALING_FORMAT=MLN","Sort=A","Dates=H","DateFormat=P","Fill=—","Direction=H","UseDPDF=Y")</f>
        <v>0</v>
      </c>
      <c r="L28" s="22">
        <f>_xll.BDH("AMZN US Equity","CF_ACQUISITION_OF_INTANG_ASSETS","FQ2 2011","FQ2 2011","Currency=USD","Period=FQ","BEST_FPERIOD_OVERRIDE=FQ","FILING_STATUS=MR","SCALING_FORMAT=MLN","Sort=A","Dates=H","DateFormat=P","Fill=—","Direction=H","UseDPDF=Y")</f>
        <v>0</v>
      </c>
      <c r="M28" s="22">
        <f>_xll.BDH("AMZN US Equity","CF_ACQUISITION_OF_INTANG_ASSETS","FQ3 2011","FQ3 2011","Currency=USD","Period=FQ","BEST_FPERIOD_OVERRIDE=FQ","FILING_STATUS=MR","SCALING_FORMAT=MLN","Sort=A","Dates=H","DateFormat=P","Fill=—","Direction=H","UseDPDF=Y")</f>
        <v>0</v>
      </c>
      <c r="N28" s="22">
        <f>_xll.BDH("AMZN US Equity","CF_ACQUISITION_OF_INTANG_ASSETS","FQ4 2011","FQ4 2011","Currency=USD","Period=FQ","BEST_FPERIOD_OVERRIDE=FQ","FILING_STATUS=MR","SCALING_FORMAT=MLN","Sort=A","Dates=H","DateFormat=P","Fill=—","Direction=H","UseDPDF=Y")</f>
        <v>0</v>
      </c>
      <c r="O28" s="22">
        <f>_xll.BDH("AMZN US Equity","CF_ACQUISITION_OF_INTANG_ASSETS","FQ1 2012","FQ1 2012","Currency=USD","Period=FQ","BEST_FPERIOD_OVERRIDE=FQ","FILING_STATUS=MR","SCALING_FORMAT=MLN","Sort=A","Dates=H","DateFormat=P","Fill=—","Direction=H","UseDPDF=Y")</f>
        <v>0</v>
      </c>
      <c r="P28" s="22">
        <f>_xll.BDH("AMZN US Equity","CF_ACQUISITION_OF_INTANG_ASSETS","FQ2 2012","FQ2 2012","Currency=USD","Period=FQ","BEST_FPERIOD_OVERRIDE=FQ","FILING_STATUS=MR","SCALING_FORMAT=MLN","Sort=A","Dates=H","DateFormat=P","Fill=—","Direction=H","UseDPDF=Y")</f>
        <v>0</v>
      </c>
      <c r="Q28" s="22">
        <f>_xll.BDH("AMZN US Equity","CF_ACQUISITION_OF_INTANG_ASSETS","FQ3 2012","FQ3 2012","Currency=USD","Period=FQ","BEST_FPERIOD_OVERRIDE=FQ","FILING_STATUS=MR","SCALING_FORMAT=MLN","Sort=A","Dates=H","DateFormat=P","Fill=—","Direction=H","UseDPDF=Y")</f>
        <v>0</v>
      </c>
      <c r="R28" s="22">
        <f>_xll.BDH("AMZN US Equity","CF_ACQUISITION_OF_INTANG_ASSETS","FQ4 2012","FQ4 2012","Currency=USD","Period=FQ","BEST_FPERIOD_OVERRIDE=FQ","FILING_STATUS=MR","SCALING_FORMAT=MLN","Sort=A","Dates=H","DateFormat=P","Fill=—","Direction=H","UseDPDF=Y")</f>
        <v>0</v>
      </c>
      <c r="S28" s="22">
        <f>_xll.BDH("AMZN US Equity","CF_ACQUISITION_OF_INTANG_ASSETS","FQ1 2013","FQ1 2013","Currency=USD","Period=FQ","BEST_FPERIOD_OVERRIDE=FQ","FILING_STATUS=MR","SCALING_FORMAT=MLN","Sort=A","Dates=H","DateFormat=P","Fill=—","Direction=H","UseDPDF=Y")</f>
        <v>0</v>
      </c>
      <c r="T28" s="22">
        <f>_xll.BDH("AMZN US Equity","CF_ACQUISITION_OF_INTANG_ASSETS","FQ2 2013","FQ2 2013","Currency=USD","Period=FQ","BEST_FPERIOD_OVERRIDE=FQ","FILING_STATUS=MR","SCALING_FORMAT=MLN","Sort=A","Dates=H","DateFormat=P","Fill=—","Direction=H","UseDPDF=Y")</f>
        <v>0</v>
      </c>
      <c r="U28" s="22">
        <f>_xll.BDH("AMZN US Equity","CF_ACQUISITION_OF_INTANG_ASSETS","FQ3 2013","FQ3 2013","Currency=USD","Period=FQ","BEST_FPERIOD_OVERRIDE=FQ","FILING_STATUS=MR","SCALING_FORMAT=MLN","Sort=A","Dates=H","DateFormat=P","Fill=—","Direction=H","UseDPDF=Y")</f>
        <v>0</v>
      </c>
      <c r="V28" s="22">
        <f>_xll.BDH("AMZN US Equity","CF_ACQUISITION_OF_INTANG_ASSETS","FQ4 2013","FQ4 2013","Currency=USD","Period=FQ","BEST_FPERIOD_OVERRIDE=FQ","FILING_STATUS=MR","SCALING_FORMAT=MLN","Sort=A","Dates=H","DateFormat=P","Fill=—","Direction=H","UseDPDF=Y")</f>
        <v>0</v>
      </c>
      <c r="W28" s="22">
        <f>_xll.BDH("AMZN US Equity","CF_ACQUISITION_OF_INTANG_ASSETS","FQ1 2014","FQ1 2014","Currency=USD","Period=FQ","BEST_FPERIOD_OVERRIDE=FQ","FILING_STATUS=MR","SCALING_FORMAT=MLN","Sort=A","Dates=H","DateFormat=P","Fill=—","Direction=H","UseDPDF=Y")</f>
        <v>0</v>
      </c>
      <c r="X28" s="22">
        <f>_xll.BDH("AMZN US Equity","CF_ACQUISITION_OF_INTANG_ASSETS","FQ2 2014","FQ2 2014","Currency=USD","Period=FQ","BEST_FPERIOD_OVERRIDE=FQ","FILING_STATUS=MR","SCALING_FORMAT=MLN","Sort=A","Dates=H","DateFormat=P","Fill=—","Direction=H","UseDPDF=Y")</f>
        <v>0</v>
      </c>
      <c r="Y28" s="22">
        <f>_xll.BDH("AMZN US Equity","CF_ACQUISITION_OF_INTANG_ASSETS","FQ3 2014","FQ3 2014","Currency=USD","Period=FQ","BEST_FPERIOD_OVERRIDE=FQ","FILING_STATUS=MR","SCALING_FORMAT=MLN","Sort=A","Dates=H","DateFormat=P","Fill=—","Direction=H","UseDPDF=Y")</f>
        <v>0</v>
      </c>
      <c r="Z28" s="22">
        <f>_xll.BDH("AMZN US Equity","CF_ACQUISITION_OF_INTANG_ASSETS","FQ4 2014","FQ4 2014","Currency=USD","Period=FQ","BEST_FPERIOD_OVERRIDE=FQ","FILING_STATUS=MR","SCALING_FORMAT=MLN","Sort=A","Dates=H","DateFormat=P","Fill=—","Direction=H","UseDPDF=Y")</f>
        <v>0</v>
      </c>
      <c r="AA28" s="22">
        <f>_xll.BDH("AMZN US Equity","CF_ACQUISITION_OF_INTANG_ASSETS","FQ1 2015","FQ1 2015","Currency=USD","Period=FQ","BEST_FPERIOD_OVERRIDE=FQ","FILING_STATUS=MR","SCALING_FORMAT=MLN","Sort=A","Dates=H","DateFormat=P","Fill=—","Direction=H","UseDPDF=Y")</f>
        <v>0</v>
      </c>
      <c r="AB28" s="22">
        <f>_xll.BDH("AMZN US Equity","CF_ACQUISITION_OF_INTANG_ASSETS","FQ2 2015","FQ2 2015","Currency=USD","Period=FQ","BEST_FPERIOD_OVERRIDE=FQ","FILING_STATUS=MR","SCALING_FORMAT=MLN","Sort=A","Dates=H","DateFormat=P","Fill=—","Direction=H","UseDPDF=Y")</f>
        <v>0</v>
      </c>
      <c r="AC28" s="22">
        <f>_xll.BDH("AMZN US Equity","CF_ACQUISITION_OF_INTANG_ASSETS","FQ3 2015","FQ3 2015","Currency=USD","Period=FQ","BEST_FPERIOD_OVERRIDE=FQ","FILING_STATUS=MR","SCALING_FORMAT=MLN","Sort=A","Dates=H","DateFormat=P","Fill=—","Direction=H","UseDPDF=Y")</f>
        <v>0</v>
      </c>
      <c r="AD28" s="22">
        <f>_xll.BDH("AMZN US Equity","CF_ACQUISITION_OF_INTANG_ASSETS","FQ4 2015","FQ4 2015","Currency=USD","Period=FQ","BEST_FPERIOD_OVERRIDE=FQ","FILING_STATUS=MR","SCALING_FORMAT=MLN","Sort=A","Dates=H","DateFormat=P","Fill=—","Direction=H","UseDPDF=Y")</f>
        <v>0</v>
      </c>
      <c r="AE28" s="22">
        <f>_xll.BDH("AMZN US Equity","CF_ACQUISITION_OF_INTANG_ASSETS","FQ1 2016","FQ1 2016","Currency=USD","Period=FQ","BEST_FPERIOD_OVERRIDE=FQ","FILING_STATUS=MR","SCALING_FORMAT=MLN","Sort=A","Dates=H","DateFormat=P","Fill=—","Direction=H","UseDPDF=Y")</f>
        <v>0</v>
      </c>
      <c r="AF28" s="22">
        <f>_xll.BDH("AMZN US Equity","CF_ACQUISITION_OF_INTANG_ASSETS","FQ2 2016","FQ2 2016","Currency=USD","Period=FQ","BEST_FPERIOD_OVERRIDE=FQ","FILING_STATUS=MR","SCALING_FORMAT=MLN","Sort=A","Dates=H","DateFormat=P","Fill=—","Direction=H","UseDPDF=Y")</f>
        <v>0</v>
      </c>
      <c r="AG28" s="22">
        <f>_xll.BDH("AMZN US Equity","CF_ACQUISITION_OF_INTANG_ASSETS","FQ3 2016","FQ3 2016","Currency=USD","Period=FQ","BEST_FPERIOD_OVERRIDE=FQ","FILING_STATUS=MR","SCALING_FORMAT=MLN","Sort=A","Dates=H","DateFormat=P","Fill=—","Direction=H","UseDPDF=Y")</f>
        <v>0</v>
      </c>
      <c r="AH28" s="22">
        <f>_xll.BDH("AMZN US Equity","CF_ACQUISITION_OF_INTANG_ASSETS","FQ4 2016","FQ4 2016","Currency=USD","Period=FQ","BEST_FPERIOD_OVERRIDE=FQ","FILING_STATUS=MR","SCALING_FORMAT=MLN","Sort=A","Dates=H","DateFormat=P","Fill=—","Direction=H","UseDPDF=Y")</f>
        <v>0</v>
      </c>
      <c r="AI28" s="22">
        <f>_xll.BDH("AMZN US Equity","CF_ACQUISITION_OF_INTANG_ASSETS","FQ1 2017","FQ1 2017","Currency=USD","Period=FQ","BEST_FPERIOD_OVERRIDE=FQ","FILING_STATUS=MR","SCALING_FORMAT=MLN","Sort=A","Dates=H","DateFormat=P","Fill=—","Direction=H","UseDPDF=Y")</f>
        <v>0</v>
      </c>
      <c r="AJ28" s="22">
        <f>_xll.BDH("AMZN US Equity","CF_ACQUISITION_OF_INTANG_ASSETS","FQ2 2017","FQ2 2017","Currency=USD","Period=FQ","BEST_FPERIOD_OVERRIDE=FQ","FILING_STATUS=MR","SCALING_FORMAT=MLN","Sort=A","Dates=H","DateFormat=P","Fill=—","Direction=H","UseDPDF=Y")</f>
        <v>0</v>
      </c>
      <c r="AK28" s="22">
        <f>_xll.BDH("AMZN US Equity","CF_ACQUISITION_OF_INTANG_ASSETS","FQ3 2017","FQ3 2017","Currency=USD","Period=FQ","BEST_FPERIOD_OVERRIDE=FQ","FILING_STATUS=MR","SCALING_FORMAT=MLN","Sort=A","Dates=H","DateFormat=P","Fill=—","Direction=H","UseDPDF=Y")</f>
        <v>0</v>
      </c>
      <c r="AL28" s="22">
        <f>_xll.BDH("AMZN US Equity","CF_ACQUISITION_OF_INTANG_ASSETS","FQ4 2017","FQ4 2017","Currency=USD","Period=FQ","BEST_FPERIOD_OVERRIDE=FQ","FILING_STATUS=MR","SCALING_FORMAT=MLN","Sort=A","Dates=H","DateFormat=P","Fill=—","Direction=H","UseDPDF=Y")</f>
        <v>0</v>
      </c>
      <c r="AM28" s="22">
        <f>_xll.BDH("AMZN US Equity","CF_ACQUISITION_OF_INTANG_ASSETS","FQ1 2018","FQ1 2018","Currency=USD","Period=FQ","BEST_FPERIOD_OVERRIDE=FQ","FILING_STATUS=MR","SCALING_FORMAT=MLN","Sort=A","Dates=H","DateFormat=P","Fill=—","Direction=H","UseDPDF=Y")</f>
        <v>0</v>
      </c>
      <c r="AN28" s="22">
        <f>_xll.BDH("AMZN US Equity","CF_ACQUISITION_OF_INTANG_ASSETS","FQ2 2018","FQ2 2018","Currency=USD","Period=FQ","BEST_FPERIOD_OVERRIDE=FQ","FILING_STATUS=MR","SCALING_FORMAT=MLN","Sort=A","Dates=H","DateFormat=P","Fill=—","Direction=H","UseDPDF=Y")</f>
        <v>0</v>
      </c>
    </row>
    <row r="29" spans="1:40" x14ac:dyDescent="0.25">
      <c r="A29" s="10" t="s">
        <v>403</v>
      </c>
      <c r="B29" s="10" t="s">
        <v>404</v>
      </c>
      <c r="C29" s="13">
        <f>_xll.BDH("AMZN US Equity","NET_CHG_IN_LT_INVEST_DETAILED","FQ1 2009","FQ1 2009","Currency=USD","Period=FQ","BEST_FPERIOD_OVERRIDE=FQ","FILING_STATUS=MR","SCALING_FORMAT=MLN","Sort=A","Dates=H","DateFormat=P","Fill=—","Direction=H","UseDPDF=Y")</f>
        <v>0</v>
      </c>
      <c r="D29" s="13">
        <f>_xll.BDH("AMZN US Equity","NET_CHG_IN_LT_INVEST_DETAILED","FQ2 2009","FQ2 2009","Currency=USD","Period=FQ","BEST_FPERIOD_OVERRIDE=FQ","FILING_STATUS=MR","SCALING_FORMAT=MLN","Sort=A","Dates=H","DateFormat=P","Fill=—","Direction=H","UseDPDF=Y")</f>
        <v>0</v>
      </c>
      <c r="E29" s="13">
        <f>_xll.BDH("AMZN US Equity","NET_CHG_IN_LT_INVEST_DETAILED","FQ3 2009","FQ3 2009","Currency=USD","Period=FQ","BEST_FPERIOD_OVERRIDE=FQ","FILING_STATUS=MR","SCALING_FORMAT=MLN","Sort=A","Dates=H","DateFormat=P","Fill=—","Direction=H","UseDPDF=Y")</f>
        <v>0</v>
      </c>
      <c r="F29" s="13">
        <f>_xll.BDH("AMZN US Equity","NET_CHG_IN_LT_INVEST_DETAILED","FQ4 2009","FQ4 2009","Currency=USD","Period=FQ","BEST_FPERIOD_OVERRIDE=FQ","FILING_STATUS=MR","SCALING_FORMAT=MLN","Sort=A","Dates=H","DateFormat=P","Fill=—","Direction=H","UseDPDF=Y")</f>
        <v>0</v>
      </c>
      <c r="G29" s="13">
        <f>_xll.BDH("AMZN US Equity","NET_CHG_IN_LT_INVEST_DETAILED","FQ1 2010","FQ1 2010","Currency=USD","Period=FQ","BEST_FPERIOD_OVERRIDE=FQ","FILING_STATUS=MR","SCALING_FORMAT=MLN","Sort=A","Dates=H","DateFormat=P","Fill=—","Direction=H","UseDPDF=Y")</f>
        <v>0</v>
      </c>
      <c r="H29" s="13">
        <f>_xll.BDH("AMZN US Equity","NET_CHG_IN_LT_INVEST_DETAILED","FQ2 2010","FQ2 2010","Currency=USD","Period=FQ","BEST_FPERIOD_OVERRIDE=FQ","FILING_STATUS=MR","SCALING_FORMAT=MLN","Sort=A","Dates=H","DateFormat=P","Fill=—","Direction=H","UseDPDF=Y")</f>
        <v>0</v>
      </c>
      <c r="I29" s="13">
        <f>_xll.BDH("AMZN US Equity","NET_CHG_IN_LT_INVEST_DETAILED","FQ3 2010","FQ3 2010","Currency=USD","Period=FQ","BEST_FPERIOD_OVERRIDE=FQ","FILING_STATUS=MR","SCALING_FORMAT=MLN","Sort=A","Dates=H","DateFormat=P","Fill=—","Direction=H","UseDPDF=Y")</f>
        <v>0</v>
      </c>
      <c r="J29" s="13">
        <f>_xll.BDH("AMZN US Equity","NET_CHG_IN_LT_INVEST_DETAILED","FQ4 2010","FQ4 2010","Currency=USD","Period=FQ","BEST_FPERIOD_OVERRIDE=FQ","FILING_STATUS=MR","SCALING_FORMAT=MLN","Sort=A","Dates=H","DateFormat=P","Fill=—","Direction=H","UseDPDF=Y")</f>
        <v>0</v>
      </c>
      <c r="K29" s="13">
        <f>_xll.BDH("AMZN US Equity","NET_CHG_IN_LT_INVEST_DETAILED","FQ1 2011","FQ1 2011","Currency=USD","Period=FQ","BEST_FPERIOD_OVERRIDE=FQ","FILING_STATUS=MR","SCALING_FORMAT=MLN","Sort=A","Dates=H","DateFormat=P","Fill=—","Direction=H","UseDPDF=Y")</f>
        <v>0</v>
      </c>
      <c r="L29" s="13">
        <f>_xll.BDH("AMZN US Equity","NET_CHG_IN_LT_INVEST_DETAILED","FQ2 2011","FQ2 2011","Currency=USD","Period=FQ","BEST_FPERIOD_OVERRIDE=FQ","FILING_STATUS=MR","SCALING_FORMAT=MLN","Sort=A","Dates=H","DateFormat=P","Fill=—","Direction=H","UseDPDF=Y")</f>
        <v>0</v>
      </c>
      <c r="M29" s="13">
        <f>_xll.BDH("AMZN US Equity","NET_CHG_IN_LT_INVEST_DETAILED","FQ3 2011","FQ3 2011","Currency=USD","Period=FQ","BEST_FPERIOD_OVERRIDE=FQ","FILING_STATUS=MR","SCALING_FORMAT=MLN","Sort=A","Dates=H","DateFormat=P","Fill=—","Direction=H","UseDPDF=Y")</f>
        <v>0</v>
      </c>
      <c r="N29" s="13">
        <f>_xll.BDH("AMZN US Equity","NET_CHG_IN_LT_INVEST_DETAILED","FQ4 2011","FQ4 2011","Currency=USD","Period=FQ","BEST_FPERIOD_OVERRIDE=FQ","FILING_STATUS=MR","SCALING_FORMAT=MLN","Sort=A","Dates=H","DateFormat=P","Fill=—","Direction=H","UseDPDF=Y")</f>
        <v>0</v>
      </c>
      <c r="O29" s="13">
        <f>_xll.BDH("AMZN US Equity","NET_CHG_IN_LT_INVEST_DETAILED","FQ1 2012","FQ1 2012","Currency=USD","Period=FQ","BEST_FPERIOD_OVERRIDE=FQ","FILING_STATUS=MR","SCALING_FORMAT=MLN","Sort=A","Dates=H","DateFormat=P","Fill=—","Direction=H","UseDPDF=Y")</f>
        <v>0</v>
      </c>
      <c r="P29" s="13">
        <f>_xll.BDH("AMZN US Equity","NET_CHG_IN_LT_INVEST_DETAILED","FQ2 2012","FQ2 2012","Currency=USD","Period=FQ","BEST_FPERIOD_OVERRIDE=FQ","FILING_STATUS=MR","SCALING_FORMAT=MLN","Sort=A","Dates=H","DateFormat=P","Fill=—","Direction=H","UseDPDF=Y")</f>
        <v>0</v>
      </c>
      <c r="Q29" s="13">
        <f>_xll.BDH("AMZN US Equity","NET_CHG_IN_LT_INVEST_DETAILED","FQ3 2012","FQ3 2012","Currency=USD","Period=FQ","BEST_FPERIOD_OVERRIDE=FQ","FILING_STATUS=MR","SCALING_FORMAT=MLN","Sort=A","Dates=H","DateFormat=P","Fill=—","Direction=H","UseDPDF=Y")</f>
        <v>0</v>
      </c>
      <c r="R29" s="13">
        <f>_xll.BDH("AMZN US Equity","NET_CHG_IN_LT_INVEST_DETAILED","FQ4 2012","FQ4 2012","Currency=USD","Period=FQ","BEST_FPERIOD_OVERRIDE=FQ","FILING_STATUS=MR","SCALING_FORMAT=MLN","Sort=A","Dates=H","DateFormat=P","Fill=—","Direction=H","UseDPDF=Y")</f>
        <v>0</v>
      </c>
      <c r="S29" s="13">
        <f>_xll.BDH("AMZN US Equity","NET_CHG_IN_LT_INVEST_DETAILED","FQ1 2013","FQ1 2013","Currency=USD","Period=FQ","BEST_FPERIOD_OVERRIDE=FQ","FILING_STATUS=MR","SCALING_FORMAT=MLN","Sort=A","Dates=H","DateFormat=P","Fill=—","Direction=H","UseDPDF=Y")</f>
        <v>0</v>
      </c>
      <c r="T29" s="13">
        <f>_xll.BDH("AMZN US Equity","NET_CHG_IN_LT_INVEST_DETAILED","FQ2 2013","FQ2 2013","Currency=USD","Period=FQ","BEST_FPERIOD_OVERRIDE=FQ","FILING_STATUS=MR","SCALING_FORMAT=MLN","Sort=A","Dates=H","DateFormat=P","Fill=—","Direction=H","UseDPDF=Y")</f>
        <v>0</v>
      </c>
      <c r="U29" s="13">
        <f>_xll.BDH("AMZN US Equity","NET_CHG_IN_LT_INVEST_DETAILED","FQ3 2013","FQ3 2013","Currency=USD","Period=FQ","BEST_FPERIOD_OVERRIDE=FQ","FILING_STATUS=MR","SCALING_FORMAT=MLN","Sort=A","Dates=H","DateFormat=P","Fill=—","Direction=H","UseDPDF=Y")</f>
        <v>0</v>
      </c>
      <c r="V29" s="13">
        <f>_xll.BDH("AMZN US Equity","NET_CHG_IN_LT_INVEST_DETAILED","FQ4 2013","FQ4 2013","Currency=USD","Period=FQ","BEST_FPERIOD_OVERRIDE=FQ","FILING_STATUS=MR","SCALING_FORMAT=MLN","Sort=A","Dates=H","DateFormat=P","Fill=—","Direction=H","UseDPDF=Y")</f>
        <v>0</v>
      </c>
      <c r="W29" s="13">
        <f>_xll.BDH("AMZN US Equity","NET_CHG_IN_LT_INVEST_DETAILED","FQ1 2014","FQ1 2014","Currency=USD","Period=FQ","BEST_FPERIOD_OVERRIDE=FQ","FILING_STATUS=MR","SCALING_FORMAT=MLN","Sort=A","Dates=H","DateFormat=P","Fill=—","Direction=H","UseDPDF=Y")</f>
        <v>0</v>
      </c>
      <c r="X29" s="13">
        <f>_xll.BDH("AMZN US Equity","NET_CHG_IN_LT_INVEST_DETAILED","FQ2 2014","FQ2 2014","Currency=USD","Period=FQ","BEST_FPERIOD_OVERRIDE=FQ","FILING_STATUS=MR","SCALING_FORMAT=MLN","Sort=A","Dates=H","DateFormat=P","Fill=—","Direction=H","UseDPDF=Y")</f>
        <v>0</v>
      </c>
      <c r="Y29" s="13">
        <f>_xll.BDH("AMZN US Equity","NET_CHG_IN_LT_INVEST_DETAILED","FQ3 2014","FQ3 2014","Currency=USD","Period=FQ","BEST_FPERIOD_OVERRIDE=FQ","FILING_STATUS=MR","SCALING_FORMAT=MLN","Sort=A","Dates=H","DateFormat=P","Fill=—","Direction=H","UseDPDF=Y")</f>
        <v>0</v>
      </c>
      <c r="Z29" s="13">
        <f>_xll.BDH("AMZN US Equity","NET_CHG_IN_LT_INVEST_DETAILED","FQ4 2014","FQ4 2014","Currency=USD","Period=FQ","BEST_FPERIOD_OVERRIDE=FQ","FILING_STATUS=MR","SCALING_FORMAT=MLN","Sort=A","Dates=H","DateFormat=P","Fill=—","Direction=H","UseDPDF=Y")</f>
        <v>0</v>
      </c>
      <c r="AA29" s="13">
        <f>_xll.BDH("AMZN US Equity","NET_CHG_IN_LT_INVEST_DETAILED","FQ1 2015","FQ1 2015","Currency=USD","Period=FQ","BEST_FPERIOD_OVERRIDE=FQ","FILING_STATUS=MR","SCALING_FORMAT=MLN","Sort=A","Dates=H","DateFormat=P","Fill=—","Direction=H","UseDPDF=Y")</f>
        <v>0</v>
      </c>
      <c r="AB29" s="13">
        <f>_xll.BDH("AMZN US Equity","NET_CHG_IN_LT_INVEST_DETAILED","FQ2 2015","FQ2 2015","Currency=USD","Period=FQ","BEST_FPERIOD_OVERRIDE=FQ","FILING_STATUS=MR","SCALING_FORMAT=MLN","Sort=A","Dates=H","DateFormat=P","Fill=—","Direction=H","UseDPDF=Y")</f>
        <v>0</v>
      </c>
      <c r="AC29" s="13">
        <f>_xll.BDH("AMZN US Equity","NET_CHG_IN_LT_INVEST_DETAILED","FQ3 2015","FQ3 2015","Currency=USD","Period=FQ","BEST_FPERIOD_OVERRIDE=FQ","FILING_STATUS=MR","SCALING_FORMAT=MLN","Sort=A","Dates=H","DateFormat=P","Fill=—","Direction=H","UseDPDF=Y")</f>
        <v>0</v>
      </c>
      <c r="AD29" s="13">
        <f>_xll.BDH("AMZN US Equity","NET_CHG_IN_LT_INVEST_DETAILED","FQ4 2015","FQ4 2015","Currency=USD","Period=FQ","BEST_FPERIOD_OVERRIDE=FQ","FILING_STATUS=MR","SCALING_FORMAT=MLN","Sort=A","Dates=H","DateFormat=P","Fill=—","Direction=H","UseDPDF=Y")</f>
        <v>0</v>
      </c>
      <c r="AE29" s="13">
        <f>_xll.BDH("AMZN US Equity","NET_CHG_IN_LT_INVEST_DETAILED","FQ1 2016","FQ1 2016","Currency=USD","Period=FQ","BEST_FPERIOD_OVERRIDE=FQ","FILING_STATUS=MR","SCALING_FORMAT=MLN","Sort=A","Dates=H","DateFormat=P","Fill=—","Direction=H","UseDPDF=Y")</f>
        <v>0</v>
      </c>
      <c r="AF29" s="13">
        <f>_xll.BDH("AMZN US Equity","NET_CHG_IN_LT_INVEST_DETAILED","FQ2 2016","FQ2 2016","Currency=USD","Period=FQ","BEST_FPERIOD_OVERRIDE=FQ","FILING_STATUS=MR","SCALING_FORMAT=MLN","Sort=A","Dates=H","DateFormat=P","Fill=—","Direction=H","UseDPDF=Y")</f>
        <v>0</v>
      </c>
      <c r="AG29" s="13">
        <f>_xll.BDH("AMZN US Equity","NET_CHG_IN_LT_INVEST_DETAILED","FQ3 2016","FQ3 2016","Currency=USD","Period=FQ","BEST_FPERIOD_OVERRIDE=FQ","FILING_STATUS=MR","SCALING_FORMAT=MLN","Sort=A","Dates=H","DateFormat=P","Fill=—","Direction=H","UseDPDF=Y")</f>
        <v>0</v>
      </c>
      <c r="AH29" s="13">
        <f>_xll.BDH("AMZN US Equity","NET_CHG_IN_LT_INVEST_DETAILED","FQ4 2016","FQ4 2016","Currency=USD","Period=FQ","BEST_FPERIOD_OVERRIDE=FQ","FILING_STATUS=MR","SCALING_FORMAT=MLN","Sort=A","Dates=H","DateFormat=P","Fill=—","Direction=H","UseDPDF=Y")</f>
        <v>0</v>
      </c>
      <c r="AI29" s="13">
        <f>_xll.BDH("AMZN US Equity","NET_CHG_IN_LT_INVEST_DETAILED","FQ1 2017","FQ1 2017","Currency=USD","Period=FQ","BEST_FPERIOD_OVERRIDE=FQ","FILING_STATUS=MR","SCALING_FORMAT=MLN","Sort=A","Dates=H","DateFormat=P","Fill=—","Direction=H","UseDPDF=Y")</f>
        <v>0</v>
      </c>
      <c r="AJ29" s="13">
        <f>_xll.BDH("AMZN US Equity","NET_CHG_IN_LT_INVEST_DETAILED","FQ2 2017","FQ2 2017","Currency=USD","Period=FQ","BEST_FPERIOD_OVERRIDE=FQ","FILING_STATUS=MR","SCALING_FORMAT=MLN","Sort=A","Dates=H","DateFormat=P","Fill=—","Direction=H","UseDPDF=Y")</f>
        <v>0</v>
      </c>
      <c r="AK29" s="13">
        <f>_xll.BDH("AMZN US Equity","NET_CHG_IN_LT_INVEST_DETAILED","FQ3 2017","FQ3 2017","Currency=USD","Period=FQ","BEST_FPERIOD_OVERRIDE=FQ","FILING_STATUS=MR","SCALING_FORMAT=MLN","Sort=A","Dates=H","DateFormat=P","Fill=—","Direction=H","UseDPDF=Y")</f>
        <v>0</v>
      </c>
      <c r="AL29" s="13">
        <f>_xll.BDH("AMZN US Equity","NET_CHG_IN_LT_INVEST_DETAILED","FQ4 2017","FQ4 2017","Currency=USD","Period=FQ","BEST_FPERIOD_OVERRIDE=FQ","FILING_STATUS=MR","SCALING_FORMAT=MLN","Sort=A","Dates=H","DateFormat=P","Fill=—","Direction=H","UseDPDF=Y")</f>
        <v>0</v>
      </c>
      <c r="AM29" s="13">
        <f>_xll.BDH("AMZN US Equity","NET_CHG_IN_LT_INVEST_DETAILED","FQ1 2018","FQ1 2018","Currency=USD","Period=FQ","BEST_FPERIOD_OVERRIDE=FQ","FILING_STATUS=MR","SCALING_FORMAT=MLN","Sort=A","Dates=H","DateFormat=P","Fill=—","Direction=H","UseDPDF=Y")</f>
        <v>0</v>
      </c>
      <c r="AN29" s="13">
        <f>_xll.BDH("AMZN US Equity","NET_CHG_IN_LT_INVEST_DETAILED","FQ2 2018","FQ2 2018","Currency=USD","Period=FQ","BEST_FPERIOD_OVERRIDE=FQ","FILING_STATUS=MR","SCALING_FORMAT=MLN","Sort=A","Dates=H","DateFormat=P","Fill=—","Direction=H","UseDPDF=Y")</f>
        <v>0</v>
      </c>
    </row>
    <row r="30" spans="1:40" x14ac:dyDescent="0.25">
      <c r="A30" s="10" t="s">
        <v>405</v>
      </c>
      <c r="B30" s="10" t="s">
        <v>406</v>
      </c>
      <c r="C30" s="13">
        <f>_xll.BDH("AMZN US Equity","CF_DECR_INVEST","FQ1 2009","FQ1 2009","Currency=USD","Period=FQ","BEST_FPERIOD_OVERRIDE=FQ","FILING_STATUS=MR","SCALING_FORMAT=MLN","Sort=A","Dates=H","DateFormat=P","Fill=—","Direction=H","UseDPDF=Y")</f>
        <v>0</v>
      </c>
      <c r="D30" s="13">
        <f>_xll.BDH("AMZN US Equity","CF_DECR_INVEST","FQ2 2009","FQ2 2009","Currency=USD","Period=FQ","BEST_FPERIOD_OVERRIDE=FQ","FILING_STATUS=MR","SCALING_FORMAT=MLN","Sort=A","Dates=H","DateFormat=P","Fill=—","Direction=H","UseDPDF=Y")</f>
        <v>0</v>
      </c>
      <c r="E30" s="13">
        <f>_xll.BDH("AMZN US Equity","CF_DECR_INVEST","FQ3 2009","FQ3 2009","Currency=USD","Period=FQ","BEST_FPERIOD_OVERRIDE=FQ","FILING_STATUS=MR","SCALING_FORMAT=MLN","Sort=A","Dates=H","DateFormat=P","Fill=—","Direction=H","UseDPDF=Y")</f>
        <v>0</v>
      </c>
      <c r="F30" s="13">
        <f>_xll.BDH("AMZN US Equity","CF_DECR_INVEST","FQ4 2009","FQ4 2009","Currency=USD","Period=FQ","BEST_FPERIOD_OVERRIDE=FQ","FILING_STATUS=MR","SCALING_FORMAT=MLN","Sort=A","Dates=H","DateFormat=P","Fill=—","Direction=H","UseDPDF=Y")</f>
        <v>0</v>
      </c>
      <c r="G30" s="13">
        <f>_xll.BDH("AMZN US Equity","CF_DECR_INVEST","FQ1 2010","FQ1 2010","Currency=USD","Period=FQ","BEST_FPERIOD_OVERRIDE=FQ","FILING_STATUS=MR","SCALING_FORMAT=MLN","Sort=A","Dates=H","DateFormat=P","Fill=—","Direction=H","UseDPDF=Y")</f>
        <v>0</v>
      </c>
      <c r="H30" s="13">
        <f>_xll.BDH("AMZN US Equity","CF_DECR_INVEST","FQ2 2010","FQ2 2010","Currency=USD","Period=FQ","BEST_FPERIOD_OVERRIDE=FQ","FILING_STATUS=MR","SCALING_FORMAT=MLN","Sort=A","Dates=H","DateFormat=P","Fill=—","Direction=H","UseDPDF=Y")</f>
        <v>0</v>
      </c>
      <c r="I30" s="13">
        <f>_xll.BDH("AMZN US Equity","CF_DECR_INVEST","FQ3 2010","FQ3 2010","Currency=USD","Period=FQ","BEST_FPERIOD_OVERRIDE=FQ","FILING_STATUS=MR","SCALING_FORMAT=MLN","Sort=A","Dates=H","DateFormat=P","Fill=—","Direction=H","UseDPDF=Y")</f>
        <v>0</v>
      </c>
      <c r="J30" s="13">
        <f>_xll.BDH("AMZN US Equity","CF_DECR_INVEST","FQ4 2010","FQ4 2010","Currency=USD","Period=FQ","BEST_FPERIOD_OVERRIDE=FQ","FILING_STATUS=MR","SCALING_FORMAT=MLN","Sort=A","Dates=H","DateFormat=P","Fill=—","Direction=H","UseDPDF=Y")</f>
        <v>0</v>
      </c>
      <c r="K30" s="13">
        <f>_xll.BDH("AMZN US Equity","CF_DECR_INVEST","FQ1 2011","FQ1 2011","Currency=USD","Period=FQ","BEST_FPERIOD_OVERRIDE=FQ","FILING_STATUS=MR","SCALING_FORMAT=MLN","Sort=A","Dates=H","DateFormat=P","Fill=—","Direction=H","UseDPDF=Y")</f>
        <v>0</v>
      </c>
      <c r="L30" s="13">
        <f>_xll.BDH("AMZN US Equity","CF_DECR_INVEST","FQ2 2011","FQ2 2011","Currency=USD","Period=FQ","BEST_FPERIOD_OVERRIDE=FQ","FILING_STATUS=MR","SCALING_FORMAT=MLN","Sort=A","Dates=H","DateFormat=P","Fill=—","Direction=H","UseDPDF=Y")</f>
        <v>0</v>
      </c>
      <c r="M30" s="13">
        <f>_xll.BDH("AMZN US Equity","CF_DECR_INVEST","FQ3 2011","FQ3 2011","Currency=USD","Period=FQ","BEST_FPERIOD_OVERRIDE=FQ","FILING_STATUS=MR","SCALING_FORMAT=MLN","Sort=A","Dates=H","DateFormat=P","Fill=—","Direction=H","UseDPDF=Y")</f>
        <v>0</v>
      </c>
      <c r="N30" s="13">
        <f>_xll.BDH("AMZN US Equity","CF_DECR_INVEST","FQ4 2011","FQ4 2011","Currency=USD","Period=FQ","BEST_FPERIOD_OVERRIDE=FQ","FILING_STATUS=MR","SCALING_FORMAT=MLN","Sort=A","Dates=H","DateFormat=P","Fill=—","Direction=H","UseDPDF=Y")</f>
        <v>0</v>
      </c>
      <c r="O30" s="13">
        <f>_xll.BDH("AMZN US Equity","CF_DECR_INVEST","FQ1 2012","FQ1 2012","Currency=USD","Period=FQ","BEST_FPERIOD_OVERRIDE=FQ","FILING_STATUS=MR","SCALING_FORMAT=MLN","Sort=A","Dates=H","DateFormat=P","Fill=—","Direction=H","UseDPDF=Y")</f>
        <v>0</v>
      </c>
      <c r="P30" s="13">
        <f>_xll.BDH("AMZN US Equity","CF_DECR_INVEST","FQ2 2012","FQ2 2012","Currency=USD","Period=FQ","BEST_FPERIOD_OVERRIDE=FQ","FILING_STATUS=MR","SCALING_FORMAT=MLN","Sort=A","Dates=H","DateFormat=P","Fill=—","Direction=H","UseDPDF=Y")</f>
        <v>0</v>
      </c>
      <c r="Q30" s="13">
        <f>_xll.BDH("AMZN US Equity","CF_DECR_INVEST","FQ3 2012","FQ3 2012","Currency=USD","Period=FQ","BEST_FPERIOD_OVERRIDE=FQ","FILING_STATUS=MR","SCALING_FORMAT=MLN","Sort=A","Dates=H","DateFormat=P","Fill=—","Direction=H","UseDPDF=Y")</f>
        <v>0</v>
      </c>
      <c r="R30" s="13">
        <f>_xll.BDH("AMZN US Equity","CF_DECR_INVEST","FQ4 2012","FQ4 2012","Currency=USD","Period=FQ","BEST_FPERIOD_OVERRIDE=FQ","FILING_STATUS=MR","SCALING_FORMAT=MLN","Sort=A","Dates=H","DateFormat=P","Fill=—","Direction=H","UseDPDF=Y")</f>
        <v>0</v>
      </c>
      <c r="S30" s="13">
        <f>_xll.BDH("AMZN US Equity","CF_DECR_INVEST","FQ1 2013","FQ1 2013","Currency=USD","Period=FQ","BEST_FPERIOD_OVERRIDE=FQ","FILING_STATUS=MR","SCALING_FORMAT=MLN","Sort=A","Dates=H","DateFormat=P","Fill=—","Direction=H","UseDPDF=Y")</f>
        <v>0</v>
      </c>
      <c r="T30" s="13">
        <f>_xll.BDH("AMZN US Equity","CF_DECR_INVEST","FQ2 2013","FQ2 2013","Currency=USD","Period=FQ","BEST_FPERIOD_OVERRIDE=FQ","FILING_STATUS=MR","SCALING_FORMAT=MLN","Sort=A","Dates=H","DateFormat=P","Fill=—","Direction=H","UseDPDF=Y")</f>
        <v>0</v>
      </c>
      <c r="U30" s="13">
        <f>_xll.BDH("AMZN US Equity","CF_DECR_INVEST","FQ3 2013","FQ3 2013","Currency=USD","Period=FQ","BEST_FPERIOD_OVERRIDE=FQ","FILING_STATUS=MR","SCALING_FORMAT=MLN","Sort=A","Dates=H","DateFormat=P","Fill=—","Direction=H","UseDPDF=Y")</f>
        <v>0</v>
      </c>
      <c r="V30" s="13">
        <f>_xll.BDH("AMZN US Equity","CF_DECR_INVEST","FQ4 2013","FQ4 2013","Currency=USD","Period=FQ","BEST_FPERIOD_OVERRIDE=FQ","FILING_STATUS=MR","SCALING_FORMAT=MLN","Sort=A","Dates=H","DateFormat=P","Fill=—","Direction=H","UseDPDF=Y")</f>
        <v>0</v>
      </c>
      <c r="W30" s="13">
        <f>_xll.BDH("AMZN US Equity","CF_DECR_INVEST","FQ1 2014","FQ1 2014","Currency=USD","Period=FQ","BEST_FPERIOD_OVERRIDE=FQ","FILING_STATUS=MR","SCALING_FORMAT=MLN","Sort=A","Dates=H","DateFormat=P","Fill=—","Direction=H","UseDPDF=Y")</f>
        <v>0</v>
      </c>
      <c r="X30" s="13">
        <f>_xll.BDH("AMZN US Equity","CF_DECR_INVEST","FQ2 2014","FQ2 2014","Currency=USD","Period=FQ","BEST_FPERIOD_OVERRIDE=FQ","FILING_STATUS=MR","SCALING_FORMAT=MLN","Sort=A","Dates=H","DateFormat=P","Fill=—","Direction=H","UseDPDF=Y")</f>
        <v>0</v>
      </c>
      <c r="Y30" s="13">
        <f>_xll.BDH("AMZN US Equity","CF_DECR_INVEST","FQ3 2014","FQ3 2014","Currency=USD","Period=FQ","BEST_FPERIOD_OVERRIDE=FQ","FILING_STATUS=MR","SCALING_FORMAT=MLN","Sort=A","Dates=H","DateFormat=P","Fill=—","Direction=H","UseDPDF=Y")</f>
        <v>0</v>
      </c>
      <c r="Z30" s="13">
        <f>_xll.BDH("AMZN US Equity","CF_DECR_INVEST","FQ4 2014","FQ4 2014","Currency=USD","Period=FQ","BEST_FPERIOD_OVERRIDE=FQ","FILING_STATUS=MR","SCALING_FORMAT=MLN","Sort=A","Dates=H","DateFormat=P","Fill=—","Direction=H","UseDPDF=Y")</f>
        <v>0</v>
      </c>
      <c r="AA30" s="13">
        <f>_xll.BDH("AMZN US Equity","CF_DECR_INVEST","FQ1 2015","FQ1 2015","Currency=USD","Period=FQ","BEST_FPERIOD_OVERRIDE=FQ","FILING_STATUS=MR","SCALING_FORMAT=MLN","Sort=A","Dates=H","DateFormat=P","Fill=—","Direction=H","UseDPDF=Y")</f>
        <v>0</v>
      </c>
      <c r="AB30" s="13">
        <f>_xll.BDH("AMZN US Equity","CF_DECR_INVEST","FQ2 2015","FQ2 2015","Currency=USD","Period=FQ","BEST_FPERIOD_OVERRIDE=FQ","FILING_STATUS=MR","SCALING_FORMAT=MLN","Sort=A","Dates=H","DateFormat=P","Fill=—","Direction=H","UseDPDF=Y")</f>
        <v>0</v>
      </c>
      <c r="AC30" s="13">
        <f>_xll.BDH("AMZN US Equity","CF_DECR_INVEST","FQ3 2015","FQ3 2015","Currency=USD","Period=FQ","BEST_FPERIOD_OVERRIDE=FQ","FILING_STATUS=MR","SCALING_FORMAT=MLN","Sort=A","Dates=H","DateFormat=P","Fill=—","Direction=H","UseDPDF=Y")</f>
        <v>0</v>
      </c>
      <c r="AD30" s="13">
        <f>_xll.BDH("AMZN US Equity","CF_DECR_INVEST","FQ4 2015","FQ4 2015","Currency=USD","Period=FQ","BEST_FPERIOD_OVERRIDE=FQ","FILING_STATUS=MR","SCALING_FORMAT=MLN","Sort=A","Dates=H","DateFormat=P","Fill=—","Direction=H","UseDPDF=Y")</f>
        <v>0</v>
      </c>
      <c r="AE30" s="13">
        <f>_xll.BDH("AMZN US Equity","CF_DECR_INVEST","FQ1 2016","FQ1 2016","Currency=USD","Period=FQ","BEST_FPERIOD_OVERRIDE=FQ","FILING_STATUS=MR","SCALING_FORMAT=MLN","Sort=A","Dates=H","DateFormat=P","Fill=—","Direction=H","UseDPDF=Y")</f>
        <v>0</v>
      </c>
      <c r="AF30" s="13">
        <f>_xll.BDH("AMZN US Equity","CF_DECR_INVEST","FQ2 2016","FQ2 2016","Currency=USD","Period=FQ","BEST_FPERIOD_OVERRIDE=FQ","FILING_STATUS=MR","SCALING_FORMAT=MLN","Sort=A","Dates=H","DateFormat=P","Fill=—","Direction=H","UseDPDF=Y")</f>
        <v>0</v>
      </c>
      <c r="AG30" s="13">
        <f>_xll.BDH("AMZN US Equity","CF_DECR_INVEST","FQ3 2016","FQ3 2016","Currency=USD","Period=FQ","BEST_FPERIOD_OVERRIDE=FQ","FILING_STATUS=MR","SCALING_FORMAT=MLN","Sort=A","Dates=H","DateFormat=P","Fill=—","Direction=H","UseDPDF=Y")</f>
        <v>0</v>
      </c>
      <c r="AH30" s="13">
        <f>_xll.BDH("AMZN US Equity","CF_DECR_INVEST","FQ4 2016","FQ4 2016","Currency=USD","Period=FQ","BEST_FPERIOD_OVERRIDE=FQ","FILING_STATUS=MR","SCALING_FORMAT=MLN","Sort=A","Dates=H","DateFormat=P","Fill=—","Direction=H","UseDPDF=Y")</f>
        <v>0</v>
      </c>
      <c r="AI30" s="13">
        <f>_xll.BDH("AMZN US Equity","CF_DECR_INVEST","FQ1 2017","FQ1 2017","Currency=USD","Period=FQ","BEST_FPERIOD_OVERRIDE=FQ","FILING_STATUS=MR","SCALING_FORMAT=MLN","Sort=A","Dates=H","DateFormat=P","Fill=—","Direction=H","UseDPDF=Y")</f>
        <v>0</v>
      </c>
      <c r="AJ30" s="13">
        <f>_xll.BDH("AMZN US Equity","CF_DECR_INVEST","FQ2 2017","FQ2 2017","Currency=USD","Period=FQ","BEST_FPERIOD_OVERRIDE=FQ","FILING_STATUS=MR","SCALING_FORMAT=MLN","Sort=A","Dates=H","DateFormat=P","Fill=—","Direction=H","UseDPDF=Y")</f>
        <v>0</v>
      </c>
      <c r="AK30" s="13">
        <f>_xll.BDH("AMZN US Equity","CF_DECR_INVEST","FQ3 2017","FQ3 2017","Currency=USD","Period=FQ","BEST_FPERIOD_OVERRIDE=FQ","FILING_STATUS=MR","SCALING_FORMAT=MLN","Sort=A","Dates=H","DateFormat=P","Fill=—","Direction=H","UseDPDF=Y")</f>
        <v>0</v>
      </c>
      <c r="AL30" s="13">
        <f>_xll.BDH("AMZN US Equity","CF_DECR_INVEST","FQ4 2017","FQ4 2017","Currency=USD","Period=FQ","BEST_FPERIOD_OVERRIDE=FQ","FILING_STATUS=MR","SCALING_FORMAT=MLN","Sort=A","Dates=H","DateFormat=P","Fill=—","Direction=H","UseDPDF=Y")</f>
        <v>0</v>
      </c>
      <c r="AM30" s="13">
        <f>_xll.BDH("AMZN US Equity","CF_DECR_INVEST","FQ1 2018","FQ1 2018","Currency=USD","Period=FQ","BEST_FPERIOD_OVERRIDE=FQ","FILING_STATUS=MR","SCALING_FORMAT=MLN","Sort=A","Dates=H","DateFormat=P","Fill=—","Direction=H","UseDPDF=Y")</f>
        <v>0</v>
      </c>
      <c r="AN30" s="13">
        <f>_xll.BDH("AMZN US Equity","CF_DECR_INVEST","FQ2 2018","FQ2 2018","Currency=USD","Period=FQ","BEST_FPERIOD_OVERRIDE=FQ","FILING_STATUS=MR","SCALING_FORMAT=MLN","Sort=A","Dates=H","DateFormat=P","Fill=—","Direction=H","UseDPDF=Y")</f>
        <v>0</v>
      </c>
    </row>
    <row r="31" spans="1:40" x14ac:dyDescent="0.25">
      <c r="A31" s="10" t="s">
        <v>407</v>
      </c>
      <c r="B31" s="10" t="s">
        <v>408</v>
      </c>
      <c r="C31" s="13">
        <f>_xll.BDH("AMZN US Equity","CF_INCR_INVEST","FQ1 2009","FQ1 2009","Currency=USD","Period=FQ","BEST_FPERIOD_OVERRIDE=FQ","FILING_STATUS=MR","SCALING_FORMAT=MLN","Sort=A","Dates=H","DateFormat=P","Fill=—","Direction=H","UseDPDF=Y")</f>
        <v>0</v>
      </c>
      <c r="D31" s="13">
        <f>_xll.BDH("AMZN US Equity","CF_INCR_INVEST","FQ2 2009","FQ2 2009","Currency=USD","Period=FQ","BEST_FPERIOD_OVERRIDE=FQ","FILING_STATUS=MR","SCALING_FORMAT=MLN","Sort=A","Dates=H","DateFormat=P","Fill=—","Direction=H","UseDPDF=Y")</f>
        <v>0</v>
      </c>
      <c r="E31" s="13">
        <f>_xll.BDH("AMZN US Equity","CF_INCR_INVEST","FQ3 2009","FQ3 2009","Currency=USD","Period=FQ","BEST_FPERIOD_OVERRIDE=FQ","FILING_STATUS=MR","SCALING_FORMAT=MLN","Sort=A","Dates=H","DateFormat=P","Fill=—","Direction=H","UseDPDF=Y")</f>
        <v>0</v>
      </c>
      <c r="F31" s="13">
        <f>_xll.BDH("AMZN US Equity","CF_INCR_INVEST","FQ4 2009","FQ4 2009","Currency=USD","Period=FQ","BEST_FPERIOD_OVERRIDE=FQ","FILING_STATUS=MR","SCALING_FORMAT=MLN","Sort=A","Dates=H","DateFormat=P","Fill=—","Direction=H","UseDPDF=Y")</f>
        <v>0</v>
      </c>
      <c r="G31" s="13">
        <f>_xll.BDH("AMZN US Equity","CF_INCR_INVEST","FQ1 2010","FQ1 2010","Currency=USD","Period=FQ","BEST_FPERIOD_OVERRIDE=FQ","FILING_STATUS=MR","SCALING_FORMAT=MLN","Sort=A","Dates=H","DateFormat=P","Fill=—","Direction=H","UseDPDF=Y")</f>
        <v>0</v>
      </c>
      <c r="H31" s="13">
        <f>_xll.BDH("AMZN US Equity","CF_INCR_INVEST","FQ2 2010","FQ2 2010","Currency=USD","Period=FQ","BEST_FPERIOD_OVERRIDE=FQ","FILING_STATUS=MR","SCALING_FORMAT=MLN","Sort=A","Dates=H","DateFormat=P","Fill=—","Direction=H","UseDPDF=Y")</f>
        <v>0</v>
      </c>
      <c r="I31" s="13">
        <f>_xll.BDH("AMZN US Equity","CF_INCR_INVEST","FQ3 2010","FQ3 2010","Currency=USD","Period=FQ","BEST_FPERIOD_OVERRIDE=FQ","FILING_STATUS=MR","SCALING_FORMAT=MLN","Sort=A","Dates=H","DateFormat=P","Fill=—","Direction=H","UseDPDF=Y")</f>
        <v>0</v>
      </c>
      <c r="J31" s="13">
        <f>_xll.BDH("AMZN US Equity","CF_INCR_INVEST","FQ4 2010","FQ4 2010","Currency=USD","Period=FQ","BEST_FPERIOD_OVERRIDE=FQ","FILING_STATUS=MR","SCALING_FORMAT=MLN","Sort=A","Dates=H","DateFormat=P","Fill=—","Direction=H","UseDPDF=Y")</f>
        <v>0</v>
      </c>
      <c r="K31" s="13">
        <f>_xll.BDH("AMZN US Equity","CF_INCR_INVEST","FQ1 2011","FQ1 2011","Currency=USD","Period=FQ","BEST_FPERIOD_OVERRIDE=FQ","FILING_STATUS=MR","SCALING_FORMAT=MLN","Sort=A","Dates=H","DateFormat=P","Fill=—","Direction=H","UseDPDF=Y")</f>
        <v>0</v>
      </c>
      <c r="L31" s="13">
        <f>_xll.BDH("AMZN US Equity","CF_INCR_INVEST","FQ2 2011","FQ2 2011","Currency=USD","Period=FQ","BEST_FPERIOD_OVERRIDE=FQ","FILING_STATUS=MR","SCALING_FORMAT=MLN","Sort=A","Dates=H","DateFormat=P","Fill=—","Direction=H","UseDPDF=Y")</f>
        <v>0</v>
      </c>
      <c r="M31" s="13">
        <f>_xll.BDH("AMZN US Equity","CF_INCR_INVEST","FQ3 2011","FQ3 2011","Currency=USD","Period=FQ","BEST_FPERIOD_OVERRIDE=FQ","FILING_STATUS=MR","SCALING_FORMAT=MLN","Sort=A","Dates=H","DateFormat=P","Fill=—","Direction=H","UseDPDF=Y")</f>
        <v>0</v>
      </c>
      <c r="N31" s="13">
        <f>_xll.BDH("AMZN US Equity","CF_INCR_INVEST","FQ4 2011","FQ4 2011","Currency=USD","Period=FQ","BEST_FPERIOD_OVERRIDE=FQ","FILING_STATUS=MR","SCALING_FORMAT=MLN","Sort=A","Dates=H","DateFormat=P","Fill=—","Direction=H","UseDPDF=Y")</f>
        <v>0</v>
      </c>
      <c r="O31" s="13">
        <f>_xll.BDH("AMZN US Equity","CF_INCR_INVEST","FQ1 2012","FQ1 2012","Currency=USD","Period=FQ","BEST_FPERIOD_OVERRIDE=FQ","FILING_STATUS=MR","SCALING_FORMAT=MLN","Sort=A","Dates=H","DateFormat=P","Fill=—","Direction=H","UseDPDF=Y")</f>
        <v>0</v>
      </c>
      <c r="P31" s="13">
        <f>_xll.BDH("AMZN US Equity","CF_INCR_INVEST","FQ2 2012","FQ2 2012","Currency=USD","Period=FQ","BEST_FPERIOD_OVERRIDE=FQ","FILING_STATUS=MR","SCALING_FORMAT=MLN","Sort=A","Dates=H","DateFormat=P","Fill=—","Direction=H","UseDPDF=Y")</f>
        <v>0</v>
      </c>
      <c r="Q31" s="13">
        <f>_xll.BDH("AMZN US Equity","CF_INCR_INVEST","FQ3 2012","FQ3 2012","Currency=USD","Period=FQ","BEST_FPERIOD_OVERRIDE=FQ","FILING_STATUS=MR","SCALING_FORMAT=MLN","Sort=A","Dates=H","DateFormat=P","Fill=—","Direction=H","UseDPDF=Y")</f>
        <v>0</v>
      </c>
      <c r="R31" s="13">
        <f>_xll.BDH("AMZN US Equity","CF_INCR_INVEST","FQ4 2012","FQ4 2012","Currency=USD","Period=FQ","BEST_FPERIOD_OVERRIDE=FQ","FILING_STATUS=MR","SCALING_FORMAT=MLN","Sort=A","Dates=H","DateFormat=P","Fill=—","Direction=H","UseDPDF=Y")</f>
        <v>0</v>
      </c>
      <c r="S31" s="13">
        <f>_xll.BDH("AMZN US Equity","CF_INCR_INVEST","FQ1 2013","FQ1 2013","Currency=USD","Period=FQ","BEST_FPERIOD_OVERRIDE=FQ","FILING_STATUS=MR","SCALING_FORMAT=MLN","Sort=A","Dates=H","DateFormat=P","Fill=—","Direction=H","UseDPDF=Y")</f>
        <v>0</v>
      </c>
      <c r="T31" s="13">
        <f>_xll.BDH("AMZN US Equity","CF_INCR_INVEST","FQ2 2013","FQ2 2013","Currency=USD","Period=FQ","BEST_FPERIOD_OVERRIDE=FQ","FILING_STATUS=MR","SCALING_FORMAT=MLN","Sort=A","Dates=H","DateFormat=P","Fill=—","Direction=H","UseDPDF=Y")</f>
        <v>0</v>
      </c>
      <c r="U31" s="13">
        <f>_xll.BDH("AMZN US Equity","CF_INCR_INVEST","FQ3 2013","FQ3 2013","Currency=USD","Period=FQ","BEST_FPERIOD_OVERRIDE=FQ","FILING_STATUS=MR","SCALING_FORMAT=MLN","Sort=A","Dates=H","DateFormat=P","Fill=—","Direction=H","UseDPDF=Y")</f>
        <v>0</v>
      </c>
      <c r="V31" s="13">
        <f>_xll.BDH("AMZN US Equity","CF_INCR_INVEST","FQ4 2013","FQ4 2013","Currency=USD","Period=FQ","BEST_FPERIOD_OVERRIDE=FQ","FILING_STATUS=MR","SCALING_FORMAT=MLN","Sort=A","Dates=H","DateFormat=P","Fill=—","Direction=H","UseDPDF=Y")</f>
        <v>0</v>
      </c>
      <c r="W31" s="13">
        <f>_xll.BDH("AMZN US Equity","CF_INCR_INVEST","FQ1 2014","FQ1 2014","Currency=USD","Period=FQ","BEST_FPERIOD_OVERRIDE=FQ","FILING_STATUS=MR","SCALING_FORMAT=MLN","Sort=A","Dates=H","DateFormat=P","Fill=—","Direction=H","UseDPDF=Y")</f>
        <v>0</v>
      </c>
      <c r="X31" s="13">
        <f>_xll.BDH("AMZN US Equity","CF_INCR_INVEST","FQ2 2014","FQ2 2014","Currency=USD","Period=FQ","BEST_FPERIOD_OVERRIDE=FQ","FILING_STATUS=MR","SCALING_FORMAT=MLN","Sort=A","Dates=H","DateFormat=P","Fill=—","Direction=H","UseDPDF=Y")</f>
        <v>0</v>
      </c>
      <c r="Y31" s="13">
        <f>_xll.BDH("AMZN US Equity","CF_INCR_INVEST","FQ3 2014","FQ3 2014","Currency=USD","Period=FQ","BEST_FPERIOD_OVERRIDE=FQ","FILING_STATUS=MR","SCALING_FORMAT=MLN","Sort=A","Dates=H","DateFormat=P","Fill=—","Direction=H","UseDPDF=Y")</f>
        <v>0</v>
      </c>
      <c r="Z31" s="13">
        <f>_xll.BDH("AMZN US Equity","CF_INCR_INVEST","FQ4 2014","FQ4 2014","Currency=USD","Period=FQ","BEST_FPERIOD_OVERRIDE=FQ","FILING_STATUS=MR","SCALING_FORMAT=MLN","Sort=A","Dates=H","DateFormat=P","Fill=—","Direction=H","UseDPDF=Y")</f>
        <v>0</v>
      </c>
      <c r="AA31" s="13">
        <f>_xll.BDH("AMZN US Equity","CF_INCR_INVEST","FQ1 2015","FQ1 2015","Currency=USD","Period=FQ","BEST_FPERIOD_OVERRIDE=FQ","FILING_STATUS=MR","SCALING_FORMAT=MLN","Sort=A","Dates=H","DateFormat=P","Fill=—","Direction=H","UseDPDF=Y")</f>
        <v>0</v>
      </c>
      <c r="AB31" s="13">
        <f>_xll.BDH("AMZN US Equity","CF_INCR_INVEST","FQ2 2015","FQ2 2015","Currency=USD","Period=FQ","BEST_FPERIOD_OVERRIDE=FQ","FILING_STATUS=MR","SCALING_FORMAT=MLN","Sort=A","Dates=H","DateFormat=P","Fill=—","Direction=H","UseDPDF=Y")</f>
        <v>0</v>
      </c>
      <c r="AC31" s="13">
        <f>_xll.BDH("AMZN US Equity","CF_INCR_INVEST","FQ3 2015","FQ3 2015","Currency=USD","Period=FQ","BEST_FPERIOD_OVERRIDE=FQ","FILING_STATUS=MR","SCALING_FORMAT=MLN","Sort=A","Dates=H","DateFormat=P","Fill=—","Direction=H","UseDPDF=Y")</f>
        <v>0</v>
      </c>
      <c r="AD31" s="13">
        <f>_xll.BDH("AMZN US Equity","CF_INCR_INVEST","FQ4 2015","FQ4 2015","Currency=USD","Period=FQ","BEST_FPERIOD_OVERRIDE=FQ","FILING_STATUS=MR","SCALING_FORMAT=MLN","Sort=A","Dates=H","DateFormat=P","Fill=—","Direction=H","UseDPDF=Y")</f>
        <v>0</v>
      </c>
      <c r="AE31" s="13">
        <f>_xll.BDH("AMZN US Equity","CF_INCR_INVEST","FQ1 2016","FQ1 2016","Currency=USD","Period=FQ","BEST_FPERIOD_OVERRIDE=FQ","FILING_STATUS=MR","SCALING_FORMAT=MLN","Sort=A","Dates=H","DateFormat=P","Fill=—","Direction=H","UseDPDF=Y")</f>
        <v>0</v>
      </c>
      <c r="AF31" s="13">
        <f>_xll.BDH("AMZN US Equity","CF_INCR_INVEST","FQ2 2016","FQ2 2016","Currency=USD","Period=FQ","BEST_FPERIOD_OVERRIDE=FQ","FILING_STATUS=MR","SCALING_FORMAT=MLN","Sort=A","Dates=H","DateFormat=P","Fill=—","Direction=H","UseDPDF=Y")</f>
        <v>0</v>
      </c>
      <c r="AG31" s="13">
        <f>_xll.BDH("AMZN US Equity","CF_INCR_INVEST","FQ3 2016","FQ3 2016","Currency=USD","Period=FQ","BEST_FPERIOD_OVERRIDE=FQ","FILING_STATUS=MR","SCALING_FORMAT=MLN","Sort=A","Dates=H","DateFormat=P","Fill=—","Direction=H","UseDPDF=Y")</f>
        <v>0</v>
      </c>
      <c r="AH31" s="13">
        <f>_xll.BDH("AMZN US Equity","CF_INCR_INVEST","FQ4 2016","FQ4 2016","Currency=USD","Period=FQ","BEST_FPERIOD_OVERRIDE=FQ","FILING_STATUS=MR","SCALING_FORMAT=MLN","Sort=A","Dates=H","DateFormat=P","Fill=—","Direction=H","UseDPDF=Y")</f>
        <v>0</v>
      </c>
      <c r="AI31" s="13">
        <f>_xll.BDH("AMZN US Equity","CF_INCR_INVEST","FQ1 2017","FQ1 2017","Currency=USD","Period=FQ","BEST_FPERIOD_OVERRIDE=FQ","FILING_STATUS=MR","SCALING_FORMAT=MLN","Sort=A","Dates=H","DateFormat=P","Fill=—","Direction=H","UseDPDF=Y")</f>
        <v>0</v>
      </c>
      <c r="AJ31" s="13">
        <f>_xll.BDH("AMZN US Equity","CF_INCR_INVEST","FQ2 2017","FQ2 2017","Currency=USD","Period=FQ","BEST_FPERIOD_OVERRIDE=FQ","FILING_STATUS=MR","SCALING_FORMAT=MLN","Sort=A","Dates=H","DateFormat=P","Fill=—","Direction=H","UseDPDF=Y")</f>
        <v>0</v>
      </c>
      <c r="AK31" s="13">
        <f>_xll.BDH("AMZN US Equity","CF_INCR_INVEST","FQ3 2017","FQ3 2017","Currency=USD","Period=FQ","BEST_FPERIOD_OVERRIDE=FQ","FILING_STATUS=MR","SCALING_FORMAT=MLN","Sort=A","Dates=H","DateFormat=P","Fill=—","Direction=H","UseDPDF=Y")</f>
        <v>0</v>
      </c>
      <c r="AL31" s="13">
        <f>_xll.BDH("AMZN US Equity","CF_INCR_INVEST","FQ4 2017","FQ4 2017","Currency=USD","Period=FQ","BEST_FPERIOD_OVERRIDE=FQ","FILING_STATUS=MR","SCALING_FORMAT=MLN","Sort=A","Dates=H","DateFormat=P","Fill=—","Direction=H","UseDPDF=Y")</f>
        <v>0</v>
      </c>
      <c r="AM31" s="13">
        <f>_xll.BDH("AMZN US Equity","CF_INCR_INVEST","FQ1 2018","FQ1 2018","Currency=USD","Period=FQ","BEST_FPERIOD_OVERRIDE=FQ","FILING_STATUS=MR","SCALING_FORMAT=MLN","Sort=A","Dates=H","DateFormat=P","Fill=—","Direction=H","UseDPDF=Y")</f>
        <v>0</v>
      </c>
      <c r="AN31" s="13">
        <f>_xll.BDH("AMZN US Equity","CF_INCR_INVEST","FQ2 2018","FQ2 2018","Currency=USD","Period=FQ","BEST_FPERIOD_OVERRIDE=FQ","FILING_STATUS=MR","SCALING_FORMAT=MLN","Sort=A","Dates=H","DateFormat=P","Fill=—","Direction=H","UseDPDF=Y")</f>
        <v>0</v>
      </c>
    </row>
    <row r="32" spans="1:40" x14ac:dyDescent="0.25">
      <c r="A32" s="10" t="s">
        <v>409</v>
      </c>
      <c r="B32" s="10" t="s">
        <v>410</v>
      </c>
      <c r="C32" s="13">
        <f>_xll.BDH("AMZN US Equity","CF_NT_CSH_RCVD_PD_FOR_ACQUIS_DIV","FQ1 2009","FQ1 2009","Currency=USD","Period=FQ","BEST_FPERIOD_OVERRIDE=FQ","FILING_STATUS=MR","SCALING_FORMAT=MLN","Sort=A","Dates=H","DateFormat=P","Fill=—","Direction=H","UseDPDF=Y")</f>
        <v>-15</v>
      </c>
      <c r="D32" s="13">
        <f>_xll.BDH("AMZN US Equity","CF_NT_CSH_RCVD_PD_FOR_ACQUIS_DIV","FQ2 2009","FQ2 2009","Currency=USD","Period=FQ","BEST_FPERIOD_OVERRIDE=FQ","FILING_STATUS=MR","SCALING_FORMAT=MLN","Sort=A","Dates=H","DateFormat=P","Fill=—","Direction=H","UseDPDF=Y")</f>
        <v>-19</v>
      </c>
      <c r="E32" s="13">
        <f>_xll.BDH("AMZN US Equity","CF_NT_CSH_RCVD_PD_FOR_ACQUIS_DIV","FQ3 2009","FQ3 2009","Currency=USD","Period=FQ","BEST_FPERIOD_OVERRIDE=FQ","FILING_STATUS=MR","SCALING_FORMAT=MLN","Sort=A","Dates=H","DateFormat=P","Fill=—","Direction=H","UseDPDF=Y")</f>
        <v>-5</v>
      </c>
      <c r="F32" s="13">
        <f>_xll.BDH("AMZN US Equity","CF_NT_CSH_RCVD_PD_FOR_ACQUIS_DIV","FQ4 2009","FQ4 2009","Currency=USD","Period=FQ","BEST_FPERIOD_OVERRIDE=FQ","FILING_STATUS=MR","SCALING_FORMAT=MLN","Sort=A","Dates=H","DateFormat=P","Fill=—","Direction=H","UseDPDF=Y")</f>
        <v>1</v>
      </c>
      <c r="G32" s="13">
        <f>_xll.BDH("AMZN US Equity","CF_NT_CSH_RCVD_PD_FOR_ACQUIS_DIV","FQ1 2010","FQ1 2010","Currency=USD","Period=FQ","BEST_FPERIOD_OVERRIDE=FQ","FILING_STATUS=MR","SCALING_FORMAT=MLN","Sort=A","Dates=H","DateFormat=P","Fill=—","Direction=H","UseDPDF=Y")</f>
        <v>-19</v>
      </c>
      <c r="H32" s="13">
        <f>_xll.BDH("AMZN US Equity","CF_NT_CSH_RCVD_PD_FOR_ACQUIS_DIV","FQ2 2010","FQ2 2010","Currency=USD","Period=FQ","BEST_FPERIOD_OVERRIDE=FQ","FILING_STATUS=MR","SCALING_FORMAT=MLN","Sort=A","Dates=H","DateFormat=P","Fill=—","Direction=H","UseDPDF=Y")</f>
        <v>-21</v>
      </c>
      <c r="I32" s="13">
        <f>_xll.BDH("AMZN US Equity","CF_NT_CSH_RCVD_PD_FOR_ACQUIS_DIV","FQ3 2010","FQ3 2010","Currency=USD","Period=FQ","BEST_FPERIOD_OVERRIDE=FQ","FILING_STATUS=MR","SCALING_FORMAT=MLN","Sort=A","Dates=H","DateFormat=P","Fill=—","Direction=H","UseDPDF=Y")</f>
        <v>-42</v>
      </c>
      <c r="J32" s="13">
        <f>_xll.BDH("AMZN US Equity","CF_NT_CSH_RCVD_PD_FOR_ACQUIS_DIV","FQ4 2010","FQ4 2010","Currency=USD","Period=FQ","BEST_FPERIOD_OVERRIDE=FQ","FILING_STATUS=MR","SCALING_FORMAT=MLN","Sort=A","Dates=H","DateFormat=P","Fill=—","Direction=H","UseDPDF=Y")</f>
        <v>-271</v>
      </c>
      <c r="K32" s="13">
        <f>_xll.BDH("AMZN US Equity","CF_NT_CSH_RCVD_PD_FOR_ACQUIS_DIV","FQ1 2011","FQ1 2011","Currency=USD","Period=FQ","BEST_FPERIOD_OVERRIDE=FQ","FILING_STATUS=MR","SCALING_FORMAT=MLN","Sort=A","Dates=H","DateFormat=P","Fill=—","Direction=H","UseDPDF=Y")</f>
        <v>-139</v>
      </c>
      <c r="L32" s="13">
        <f>_xll.BDH("AMZN US Equity","CF_NT_CSH_RCVD_PD_FOR_ACQUIS_DIV","FQ2 2011","FQ2 2011","Currency=USD","Period=FQ","BEST_FPERIOD_OVERRIDE=FQ","FILING_STATUS=MR","SCALING_FORMAT=MLN","Sort=A","Dates=H","DateFormat=P","Fill=—","Direction=H","UseDPDF=Y")</f>
        <v>-469</v>
      </c>
      <c r="M32" s="13">
        <f>_xll.BDH("AMZN US Equity","CF_NT_CSH_RCVD_PD_FOR_ACQUIS_DIV","FQ3 2011","FQ3 2011","Currency=USD","Period=FQ","BEST_FPERIOD_OVERRIDE=FQ","FILING_STATUS=MR","SCALING_FORMAT=MLN","Sort=A","Dates=H","DateFormat=P","Fill=—","Direction=H","UseDPDF=Y")</f>
        <v>-48</v>
      </c>
      <c r="N32" s="13">
        <f>_xll.BDH("AMZN US Equity","CF_NT_CSH_RCVD_PD_FOR_ACQUIS_DIV","FQ4 2011","FQ4 2011","Currency=USD","Period=FQ","BEST_FPERIOD_OVERRIDE=FQ","FILING_STATUS=MR","SCALING_FORMAT=MLN","Sort=A","Dates=H","DateFormat=P","Fill=—","Direction=H","UseDPDF=Y")</f>
        <v>-49</v>
      </c>
      <c r="O32" s="13">
        <f>_xll.BDH("AMZN US Equity","CF_NT_CSH_RCVD_PD_FOR_ACQUIS_DIV","FQ1 2012","FQ1 2012","Currency=USD","Period=FQ","BEST_FPERIOD_OVERRIDE=FQ","FILING_STATUS=MR","SCALING_FORMAT=MLN","Sort=A","Dates=H","DateFormat=P","Fill=—","Direction=H","UseDPDF=Y")</f>
        <v>-50</v>
      </c>
      <c r="P32" s="13">
        <f>_xll.BDH("AMZN US Equity","CF_NT_CSH_RCVD_PD_FOR_ACQUIS_DIV","FQ2 2012","FQ2 2012","Currency=USD","Period=FQ","BEST_FPERIOD_OVERRIDE=FQ","FILING_STATUS=MR","SCALING_FORMAT=MLN","Sort=A","Dates=H","DateFormat=P","Fill=—","Direction=H","UseDPDF=Y")</f>
        <v>-624</v>
      </c>
      <c r="Q32" s="13">
        <f>_xll.BDH("AMZN US Equity","CF_NT_CSH_RCVD_PD_FOR_ACQUIS_DIV","FQ3 2012","FQ3 2012","Currency=USD","Period=FQ","BEST_FPERIOD_OVERRIDE=FQ","FILING_STATUS=MR","SCALING_FORMAT=MLN","Sort=A","Dates=H","DateFormat=P","Fill=—","Direction=H","UseDPDF=Y")</f>
        <v>-37</v>
      </c>
      <c r="R32" s="13">
        <f>_xll.BDH("AMZN US Equity","CF_NT_CSH_RCVD_PD_FOR_ACQUIS_DIV","FQ4 2012","FQ4 2012","Currency=USD","Period=FQ","BEST_FPERIOD_OVERRIDE=FQ","FILING_STATUS=MR","SCALING_FORMAT=MLN","Sort=A","Dates=H","DateFormat=P","Fill=—","Direction=H","UseDPDF=Y")</f>
        <v>-35</v>
      </c>
      <c r="S32" s="13">
        <f>_xll.BDH("AMZN US Equity","CF_NT_CSH_RCVD_PD_FOR_ACQUIS_DIV","FQ1 2013","FQ1 2013","Currency=USD","Period=FQ","BEST_FPERIOD_OVERRIDE=FQ","FILING_STATUS=MR","SCALING_FORMAT=MLN","Sort=A","Dates=H","DateFormat=P","Fill=—","Direction=H","UseDPDF=Y")</f>
        <v>-103</v>
      </c>
      <c r="T32" s="13">
        <f>_xll.BDH("AMZN US Equity","CF_NT_CSH_RCVD_PD_FOR_ACQUIS_DIV","FQ2 2013","FQ2 2013","Currency=USD","Period=FQ","BEST_FPERIOD_OVERRIDE=FQ","FILING_STATUS=MR","SCALING_FORMAT=MLN","Sort=A","Dates=H","DateFormat=P","Fill=—","Direction=H","UseDPDF=Y")</f>
        <v>-148</v>
      </c>
      <c r="U32" s="13">
        <f>_xll.BDH("AMZN US Equity","CF_NT_CSH_RCVD_PD_FOR_ACQUIS_DIV","FQ3 2013","FQ3 2013","Currency=USD","Period=FQ","BEST_FPERIOD_OVERRIDE=FQ","FILING_STATUS=MR","SCALING_FORMAT=MLN","Sort=A","Dates=H","DateFormat=P","Fill=—","Direction=H","UseDPDF=Y")</f>
        <v>-1</v>
      </c>
      <c r="V32" s="13">
        <f>_xll.BDH("AMZN US Equity","CF_NT_CSH_RCVD_PD_FOR_ACQUIS_DIV","FQ4 2013","FQ4 2013","Currency=USD","Period=FQ","BEST_FPERIOD_OVERRIDE=FQ","FILING_STATUS=MR","SCALING_FORMAT=MLN","Sort=A","Dates=H","DateFormat=P","Fill=—","Direction=H","UseDPDF=Y")</f>
        <v>-59</v>
      </c>
      <c r="W32" s="13">
        <f>_xll.BDH("AMZN US Equity","CF_NT_CSH_RCVD_PD_FOR_ACQUIS_DIV","FQ1 2014","FQ1 2014","Currency=USD","Period=FQ","BEST_FPERIOD_OVERRIDE=FQ","FILING_STATUS=MR","SCALING_FORMAT=MLN","Sort=A","Dates=H","DateFormat=P","Fill=—","Direction=H","UseDPDF=Y")</f>
        <v>0</v>
      </c>
      <c r="X32" s="13">
        <f>_xll.BDH("AMZN US Equity","CF_NT_CSH_RCVD_PD_FOR_ACQUIS_DIV","FQ2 2014","FQ2 2014","Currency=USD","Period=FQ","BEST_FPERIOD_OVERRIDE=FQ","FILING_STATUS=MR","SCALING_FORMAT=MLN","Sort=A","Dates=H","DateFormat=P","Fill=—","Direction=H","UseDPDF=Y")</f>
        <v>-67</v>
      </c>
      <c r="Y32" s="13">
        <f>_xll.BDH("AMZN US Equity","CF_NT_CSH_RCVD_PD_FOR_ACQUIS_DIV","FQ3 2014","FQ3 2014","Currency=USD","Period=FQ","BEST_FPERIOD_OVERRIDE=FQ","FILING_STATUS=MR","SCALING_FORMAT=MLN","Sort=A","Dates=H","DateFormat=P","Fill=—","Direction=H","UseDPDF=Y")</f>
        <v>-860</v>
      </c>
      <c r="Z32" s="13">
        <f>_xll.BDH("AMZN US Equity","CF_NT_CSH_RCVD_PD_FOR_ACQUIS_DIV","FQ4 2014","FQ4 2014","Currency=USD","Period=FQ","BEST_FPERIOD_OVERRIDE=FQ","FILING_STATUS=MR","SCALING_FORMAT=MLN","Sort=A","Dates=H","DateFormat=P","Fill=—","Direction=H","UseDPDF=Y")</f>
        <v>-53</v>
      </c>
      <c r="AA32" s="13">
        <f>_xll.BDH("AMZN US Equity","CF_NT_CSH_RCVD_PD_FOR_ACQUIS_DIV","FQ1 2015","FQ1 2015","Currency=USD","Period=FQ","BEST_FPERIOD_OVERRIDE=FQ","FILING_STATUS=MR","SCALING_FORMAT=MLN","Sort=A","Dates=H","DateFormat=P","Fill=—","Direction=H","UseDPDF=Y")</f>
        <v>-365</v>
      </c>
      <c r="AB32" s="13">
        <f>_xll.BDH("AMZN US Equity","CF_NT_CSH_RCVD_PD_FOR_ACQUIS_DIV","FQ2 2015","FQ2 2015","Currency=USD","Period=FQ","BEST_FPERIOD_OVERRIDE=FQ","FILING_STATUS=MR","SCALING_FORMAT=MLN","Sort=A","Dates=H","DateFormat=P","Fill=—","Direction=H","UseDPDF=Y")</f>
        <v>-8</v>
      </c>
      <c r="AC32" s="13">
        <f>_xll.BDH("AMZN US Equity","CF_NT_CSH_RCVD_PD_FOR_ACQUIS_DIV","FQ3 2015","FQ3 2015","Currency=USD","Period=FQ","BEST_FPERIOD_OVERRIDE=FQ","FILING_STATUS=MR","SCALING_FORMAT=MLN","Sort=A","Dates=H","DateFormat=P","Fill=—","Direction=H","UseDPDF=Y")</f>
        <v>-105</v>
      </c>
      <c r="AD32" s="13">
        <f>_xll.BDH("AMZN US Equity","CF_NT_CSH_RCVD_PD_FOR_ACQUIS_DIV","FQ4 2015","FQ4 2015","Currency=USD","Period=FQ","BEST_FPERIOD_OVERRIDE=FQ","FILING_STATUS=MR","SCALING_FORMAT=MLN","Sort=A","Dates=H","DateFormat=P","Fill=—","Direction=H","UseDPDF=Y")</f>
        <v>-317</v>
      </c>
      <c r="AE32" s="13">
        <f>_xll.BDH("AMZN US Equity","CF_NT_CSH_RCVD_PD_FOR_ACQUIS_DIV","FQ1 2016","FQ1 2016","Currency=USD","Period=FQ","BEST_FPERIOD_OVERRIDE=FQ","FILING_STATUS=MR","SCALING_FORMAT=MLN","Sort=A","Dates=H","DateFormat=P","Fill=—","Direction=H","UseDPDF=Y")</f>
        <v>-16</v>
      </c>
      <c r="AF32" s="13">
        <f>_xll.BDH("AMZN US Equity","CF_NT_CSH_RCVD_PD_FOR_ACQUIS_DIV","FQ2 2016","FQ2 2016","Currency=USD","Period=FQ","BEST_FPERIOD_OVERRIDE=FQ","FILING_STATUS=MR","SCALING_FORMAT=MLN","Sort=A","Dates=H","DateFormat=P","Fill=—","Direction=H","UseDPDF=Y")</f>
        <v>-14</v>
      </c>
      <c r="AG32" s="13">
        <f>_xll.BDH("AMZN US Equity","CF_NT_CSH_RCVD_PD_FOR_ACQUIS_DIV","FQ3 2016","FQ3 2016","Currency=USD","Period=FQ","BEST_FPERIOD_OVERRIDE=FQ","FILING_STATUS=MR","SCALING_FORMAT=MLN","Sort=A","Dates=H","DateFormat=P","Fill=—","Direction=H","UseDPDF=Y")</f>
        <v>-84</v>
      </c>
      <c r="AH32" s="13">
        <f>_xll.BDH("AMZN US Equity","CF_NT_CSH_RCVD_PD_FOR_ACQUIS_DIV","FQ4 2016","FQ4 2016","Currency=USD","Period=FQ","BEST_FPERIOD_OVERRIDE=FQ","FILING_STATUS=MR","SCALING_FORMAT=MLN","Sort=A","Dates=H","DateFormat=P","Fill=—","Direction=H","UseDPDF=Y")</f>
        <v>-3</v>
      </c>
      <c r="AI32" s="13">
        <f>_xll.BDH("AMZN US Equity","CF_NT_CSH_RCVD_PD_FOR_ACQUIS_DIV","FQ1 2017","FQ1 2017","Currency=USD","Period=FQ","BEST_FPERIOD_OVERRIDE=FQ","FILING_STATUS=MR","SCALING_FORMAT=MLN","Sort=A","Dates=H","DateFormat=P","Fill=—","Direction=H","UseDPDF=Y")</f>
        <v>-45</v>
      </c>
      <c r="AJ32" s="13">
        <f>_xll.BDH("AMZN US Equity","CF_NT_CSH_RCVD_PD_FOR_ACQUIS_DIV","FQ2 2017","FQ2 2017","Currency=USD","Period=FQ","BEST_FPERIOD_OVERRIDE=FQ","FILING_STATUS=MR","SCALING_FORMAT=MLN","Sort=A","Dates=H","DateFormat=P","Fill=—","Direction=H","UseDPDF=Y")</f>
        <v>-633</v>
      </c>
      <c r="AK32" s="13">
        <f>_xll.BDH("AMZN US Equity","CF_NT_CSH_RCVD_PD_FOR_ACQUIS_DIV","FQ3 2017","FQ3 2017","Currency=USD","Period=FQ","BEST_FPERIOD_OVERRIDE=FQ","FILING_STATUS=MR","SCALING_FORMAT=MLN","Sort=A","Dates=H","DateFormat=P","Fill=—","Direction=H","UseDPDF=Y")</f>
        <v>-13213</v>
      </c>
      <c r="AL32" s="13">
        <f>_xll.BDH("AMZN US Equity","CF_NT_CSH_RCVD_PD_FOR_ACQUIS_DIV","FQ4 2017","FQ4 2017","Currency=USD","Period=FQ","BEST_FPERIOD_OVERRIDE=FQ","FILING_STATUS=MR","SCALING_FORMAT=MLN","Sort=A","Dates=H","DateFormat=P","Fill=—","Direction=H","UseDPDF=Y")</f>
        <v>-81</v>
      </c>
      <c r="AM32" s="13">
        <f>_xll.BDH("AMZN US Equity","CF_NT_CSH_RCVD_PD_FOR_ACQUIS_DIV","FQ1 2018","FQ1 2018","Currency=USD","Period=FQ","BEST_FPERIOD_OVERRIDE=FQ","FILING_STATUS=MR","SCALING_FORMAT=MLN","Sort=A","Dates=H","DateFormat=P","Fill=—","Direction=H","UseDPDF=Y")</f>
        <v>-13</v>
      </c>
      <c r="AN32" s="13">
        <f>_xll.BDH("AMZN US Equity","CF_NT_CSH_RCVD_PD_FOR_ACQUIS_DIV","FQ2 2018","FQ2 2018","Currency=USD","Period=FQ","BEST_FPERIOD_OVERRIDE=FQ","FILING_STATUS=MR","SCALING_FORMAT=MLN","Sort=A","Dates=H","DateFormat=P","Fill=—","Direction=H","UseDPDF=Y")</f>
        <v>-866</v>
      </c>
    </row>
    <row r="33" spans="1:40" x14ac:dyDescent="0.25">
      <c r="A33" s="10" t="s">
        <v>411</v>
      </c>
      <c r="B33" s="10" t="s">
        <v>412</v>
      </c>
      <c r="C33" s="13">
        <f>_xll.BDH("AMZN US Equity","CF_CASH_FOR_DIVESTITURES","FQ1 2009","FQ1 2009","Currency=USD","Period=FQ","BEST_FPERIOD_OVERRIDE=FQ","FILING_STATUS=MR","SCALING_FORMAT=MLN","Sort=A","Dates=H","DateFormat=P","Fill=—","Direction=H","UseDPDF=Y")</f>
        <v>0</v>
      </c>
      <c r="D33" s="13">
        <f>_xll.BDH("AMZN US Equity","CF_CASH_FOR_DIVESTITURES","FQ2 2009","FQ2 2009","Currency=USD","Period=FQ","BEST_FPERIOD_OVERRIDE=FQ","FILING_STATUS=MR","SCALING_FORMAT=MLN","Sort=A","Dates=H","DateFormat=P","Fill=—","Direction=H","UseDPDF=Y")</f>
        <v>0</v>
      </c>
      <c r="E33" s="13">
        <f>_xll.BDH("AMZN US Equity","CF_CASH_FOR_DIVESTITURES","FQ3 2009","FQ3 2009","Currency=USD","Period=FQ","BEST_FPERIOD_OVERRIDE=FQ","FILING_STATUS=MR","SCALING_FORMAT=MLN","Sort=A","Dates=H","DateFormat=P","Fill=—","Direction=H","UseDPDF=Y")</f>
        <v>0</v>
      </c>
      <c r="F33" s="13">
        <f>_xll.BDH("AMZN US Equity","CF_CASH_FOR_DIVESTITURES","FQ4 2009","FQ4 2009","Currency=USD","Period=FQ","BEST_FPERIOD_OVERRIDE=FQ","FILING_STATUS=MR","SCALING_FORMAT=MLN","Sort=A","Dates=H","DateFormat=P","Fill=—","Direction=H","UseDPDF=Y")</f>
        <v>1</v>
      </c>
      <c r="G33" s="13">
        <f>_xll.BDH("AMZN US Equity","CF_CASH_FOR_DIVESTITURES","FQ1 2010","FQ1 2010","Currency=USD","Period=FQ","BEST_FPERIOD_OVERRIDE=FQ","FILING_STATUS=MR","SCALING_FORMAT=MLN","Sort=A","Dates=H","DateFormat=P","Fill=—","Direction=H","UseDPDF=Y")</f>
        <v>0</v>
      </c>
      <c r="H33" s="13">
        <f>_xll.BDH("AMZN US Equity","CF_CASH_FOR_DIVESTITURES","FQ2 2010","FQ2 2010","Currency=USD","Period=FQ","BEST_FPERIOD_OVERRIDE=FQ","FILING_STATUS=MR","SCALING_FORMAT=MLN","Sort=A","Dates=H","DateFormat=P","Fill=—","Direction=H","UseDPDF=Y")</f>
        <v>0</v>
      </c>
      <c r="I33" s="13">
        <f>_xll.BDH("AMZN US Equity","CF_CASH_FOR_DIVESTITURES","FQ3 2010","FQ3 2010","Currency=USD","Period=FQ","BEST_FPERIOD_OVERRIDE=FQ","FILING_STATUS=MR","SCALING_FORMAT=MLN","Sort=A","Dates=H","DateFormat=P","Fill=—","Direction=H","UseDPDF=Y")</f>
        <v>0</v>
      </c>
      <c r="J33" s="13">
        <f>_xll.BDH("AMZN US Equity","CF_CASH_FOR_DIVESTITURES","FQ4 2010","FQ4 2010","Currency=USD","Period=FQ","BEST_FPERIOD_OVERRIDE=FQ","FILING_STATUS=MR","SCALING_FORMAT=MLN","Sort=A","Dates=H","DateFormat=P","Fill=—","Direction=H","UseDPDF=Y")</f>
        <v>0</v>
      </c>
      <c r="K33" s="13">
        <f>_xll.BDH("AMZN US Equity","CF_CASH_FOR_DIVESTITURES","FQ1 2011","FQ1 2011","Currency=USD","Period=FQ","BEST_FPERIOD_OVERRIDE=FQ","FILING_STATUS=MR","SCALING_FORMAT=MLN","Sort=A","Dates=H","DateFormat=P","Fill=—","Direction=H","UseDPDF=Y")</f>
        <v>0</v>
      </c>
      <c r="L33" s="13">
        <f>_xll.BDH("AMZN US Equity","CF_CASH_FOR_DIVESTITURES","FQ2 2011","FQ2 2011","Currency=USD","Period=FQ","BEST_FPERIOD_OVERRIDE=FQ","FILING_STATUS=MR","SCALING_FORMAT=MLN","Sort=A","Dates=H","DateFormat=P","Fill=—","Direction=H","UseDPDF=Y")</f>
        <v>0</v>
      </c>
      <c r="M33" s="13">
        <f>_xll.BDH("AMZN US Equity","CF_CASH_FOR_DIVESTITURES","FQ3 2011","FQ3 2011","Currency=USD","Period=FQ","BEST_FPERIOD_OVERRIDE=FQ","FILING_STATUS=MR","SCALING_FORMAT=MLN","Sort=A","Dates=H","DateFormat=P","Fill=—","Direction=H","UseDPDF=Y")</f>
        <v>0</v>
      </c>
      <c r="N33" s="13">
        <f>_xll.BDH("AMZN US Equity","CF_CASH_FOR_DIVESTITURES","FQ4 2011","FQ4 2011","Currency=USD","Period=FQ","BEST_FPERIOD_OVERRIDE=FQ","FILING_STATUS=MR","SCALING_FORMAT=MLN","Sort=A","Dates=H","DateFormat=P","Fill=—","Direction=H","UseDPDF=Y")</f>
        <v>0</v>
      </c>
      <c r="O33" s="13">
        <f>_xll.BDH("AMZN US Equity","CF_CASH_FOR_DIVESTITURES","FQ1 2012","FQ1 2012","Currency=USD","Period=FQ","BEST_FPERIOD_OVERRIDE=FQ","FILING_STATUS=MR","SCALING_FORMAT=MLN","Sort=A","Dates=H","DateFormat=P","Fill=—","Direction=H","UseDPDF=Y")</f>
        <v>0</v>
      </c>
      <c r="P33" s="13">
        <f>_xll.BDH("AMZN US Equity","CF_CASH_FOR_DIVESTITURES","FQ2 2012","FQ2 2012","Currency=USD","Period=FQ","BEST_FPERIOD_OVERRIDE=FQ","FILING_STATUS=MR","SCALING_FORMAT=MLN","Sort=A","Dates=H","DateFormat=P","Fill=—","Direction=H","UseDPDF=Y")</f>
        <v>0</v>
      </c>
      <c r="Q33" s="13">
        <f>_xll.BDH("AMZN US Equity","CF_CASH_FOR_DIVESTITURES","FQ3 2012","FQ3 2012","Currency=USD","Period=FQ","BEST_FPERIOD_OVERRIDE=FQ","FILING_STATUS=MR","SCALING_FORMAT=MLN","Sort=A","Dates=H","DateFormat=P","Fill=—","Direction=H","UseDPDF=Y")</f>
        <v>0</v>
      </c>
      <c r="R33" s="13">
        <f>_xll.BDH("AMZN US Equity","CF_CASH_FOR_DIVESTITURES","FQ4 2012","FQ4 2012","Currency=USD","Period=FQ","BEST_FPERIOD_OVERRIDE=FQ","FILING_STATUS=MR","SCALING_FORMAT=MLN","Sort=A","Dates=H","DateFormat=P","Fill=—","Direction=H","UseDPDF=Y")</f>
        <v>0</v>
      </c>
      <c r="S33" s="13">
        <f>_xll.BDH("AMZN US Equity","CF_CASH_FOR_DIVESTITURES","FQ1 2013","FQ1 2013","Currency=USD","Period=FQ","BEST_FPERIOD_OVERRIDE=FQ","FILING_STATUS=MR","SCALING_FORMAT=MLN","Sort=A","Dates=H","DateFormat=P","Fill=—","Direction=H","UseDPDF=Y")</f>
        <v>0</v>
      </c>
      <c r="T33" s="13">
        <f>_xll.BDH("AMZN US Equity","CF_CASH_FOR_DIVESTITURES","FQ2 2013","FQ2 2013","Currency=USD","Period=FQ","BEST_FPERIOD_OVERRIDE=FQ","FILING_STATUS=MR","SCALING_FORMAT=MLN","Sort=A","Dates=H","DateFormat=P","Fill=—","Direction=H","UseDPDF=Y")</f>
        <v>0</v>
      </c>
      <c r="U33" s="13">
        <f>_xll.BDH("AMZN US Equity","CF_CASH_FOR_DIVESTITURES","FQ3 2013","FQ3 2013","Currency=USD","Period=FQ","BEST_FPERIOD_OVERRIDE=FQ","FILING_STATUS=MR","SCALING_FORMAT=MLN","Sort=A","Dates=H","DateFormat=P","Fill=—","Direction=H","UseDPDF=Y")</f>
        <v>0</v>
      </c>
      <c r="V33" s="13">
        <f>_xll.BDH("AMZN US Equity","CF_CASH_FOR_DIVESTITURES","FQ4 2013","FQ4 2013","Currency=USD","Period=FQ","BEST_FPERIOD_OVERRIDE=FQ","FILING_STATUS=MR","SCALING_FORMAT=MLN","Sort=A","Dates=H","DateFormat=P","Fill=—","Direction=H","UseDPDF=Y")</f>
        <v>0</v>
      </c>
      <c r="W33" s="13">
        <f>_xll.BDH("AMZN US Equity","CF_CASH_FOR_DIVESTITURES","FQ1 2014","FQ1 2014","Currency=USD","Period=FQ","BEST_FPERIOD_OVERRIDE=FQ","FILING_STATUS=MR","SCALING_FORMAT=MLN","Sort=A","Dates=H","DateFormat=P","Fill=—","Direction=H","UseDPDF=Y")</f>
        <v>0</v>
      </c>
      <c r="X33" s="13">
        <f>_xll.BDH("AMZN US Equity","CF_CASH_FOR_DIVESTITURES","FQ2 2014","FQ2 2014","Currency=USD","Period=FQ","BEST_FPERIOD_OVERRIDE=FQ","FILING_STATUS=MR","SCALING_FORMAT=MLN","Sort=A","Dates=H","DateFormat=P","Fill=—","Direction=H","UseDPDF=Y")</f>
        <v>0</v>
      </c>
      <c r="Y33" s="13">
        <f>_xll.BDH("AMZN US Equity","CF_CASH_FOR_DIVESTITURES","FQ3 2014","FQ3 2014","Currency=USD","Period=FQ","BEST_FPERIOD_OVERRIDE=FQ","FILING_STATUS=MR","SCALING_FORMAT=MLN","Sort=A","Dates=H","DateFormat=P","Fill=—","Direction=H","UseDPDF=Y")</f>
        <v>0</v>
      </c>
      <c r="Z33" s="13">
        <f>_xll.BDH("AMZN US Equity","CF_CASH_FOR_DIVESTITURES","FQ4 2014","FQ4 2014","Currency=USD","Period=FQ","BEST_FPERIOD_OVERRIDE=FQ","FILING_STATUS=MR","SCALING_FORMAT=MLN","Sort=A","Dates=H","DateFormat=P","Fill=—","Direction=H","UseDPDF=Y")</f>
        <v>0</v>
      </c>
      <c r="AA33" s="13">
        <f>_xll.BDH("AMZN US Equity","CF_CASH_FOR_DIVESTITURES","FQ1 2015","FQ1 2015","Currency=USD","Period=FQ","BEST_FPERIOD_OVERRIDE=FQ","FILING_STATUS=MR","SCALING_FORMAT=MLN","Sort=A","Dates=H","DateFormat=P","Fill=—","Direction=H","UseDPDF=Y")</f>
        <v>0</v>
      </c>
      <c r="AB33" s="13">
        <f>_xll.BDH("AMZN US Equity","CF_CASH_FOR_DIVESTITURES","FQ2 2015","FQ2 2015","Currency=USD","Period=FQ","BEST_FPERIOD_OVERRIDE=FQ","FILING_STATUS=MR","SCALING_FORMAT=MLN","Sort=A","Dates=H","DateFormat=P","Fill=—","Direction=H","UseDPDF=Y")</f>
        <v>0</v>
      </c>
      <c r="AC33" s="13">
        <f>_xll.BDH("AMZN US Equity","CF_CASH_FOR_DIVESTITURES","FQ3 2015","FQ3 2015","Currency=USD","Period=FQ","BEST_FPERIOD_OVERRIDE=FQ","FILING_STATUS=MR","SCALING_FORMAT=MLN","Sort=A","Dates=H","DateFormat=P","Fill=—","Direction=H","UseDPDF=Y")</f>
        <v>0</v>
      </c>
      <c r="AD33" s="13">
        <f>_xll.BDH("AMZN US Equity","CF_CASH_FOR_DIVESTITURES","FQ4 2015","FQ4 2015","Currency=USD","Period=FQ","BEST_FPERIOD_OVERRIDE=FQ","FILING_STATUS=MR","SCALING_FORMAT=MLN","Sort=A","Dates=H","DateFormat=P","Fill=—","Direction=H","UseDPDF=Y")</f>
        <v>0</v>
      </c>
      <c r="AE33" s="13">
        <f>_xll.BDH("AMZN US Equity","CF_CASH_FOR_DIVESTITURES","FQ1 2016","FQ1 2016","Currency=USD","Period=FQ","BEST_FPERIOD_OVERRIDE=FQ","FILING_STATUS=MR","SCALING_FORMAT=MLN","Sort=A","Dates=H","DateFormat=P","Fill=—","Direction=H","UseDPDF=Y")</f>
        <v>0</v>
      </c>
      <c r="AF33" s="13">
        <f>_xll.BDH("AMZN US Equity","CF_CASH_FOR_DIVESTITURES","FQ2 2016","FQ2 2016","Currency=USD","Period=FQ","BEST_FPERIOD_OVERRIDE=FQ","FILING_STATUS=MR","SCALING_FORMAT=MLN","Sort=A","Dates=H","DateFormat=P","Fill=—","Direction=H","UseDPDF=Y")</f>
        <v>0</v>
      </c>
      <c r="AG33" s="13">
        <f>_xll.BDH("AMZN US Equity","CF_CASH_FOR_DIVESTITURES","FQ3 2016","FQ3 2016","Currency=USD","Period=FQ","BEST_FPERIOD_OVERRIDE=FQ","FILING_STATUS=MR","SCALING_FORMAT=MLN","Sort=A","Dates=H","DateFormat=P","Fill=—","Direction=H","UseDPDF=Y")</f>
        <v>0</v>
      </c>
      <c r="AH33" s="13">
        <f>_xll.BDH("AMZN US Equity","CF_CASH_FOR_DIVESTITURES","FQ4 2016","FQ4 2016","Currency=USD","Period=FQ","BEST_FPERIOD_OVERRIDE=FQ","FILING_STATUS=MR","SCALING_FORMAT=MLN","Sort=A","Dates=H","DateFormat=P","Fill=—","Direction=H","UseDPDF=Y")</f>
        <v>0</v>
      </c>
      <c r="AI33" s="13">
        <f>_xll.BDH("AMZN US Equity","CF_CASH_FOR_DIVESTITURES","FQ1 2017","FQ1 2017","Currency=USD","Period=FQ","BEST_FPERIOD_OVERRIDE=FQ","FILING_STATUS=MR","SCALING_FORMAT=MLN","Sort=A","Dates=H","DateFormat=P","Fill=—","Direction=H","UseDPDF=Y")</f>
        <v>0</v>
      </c>
      <c r="AJ33" s="13">
        <f>_xll.BDH("AMZN US Equity","CF_CASH_FOR_DIVESTITURES","FQ2 2017","FQ2 2017","Currency=USD","Period=FQ","BEST_FPERIOD_OVERRIDE=FQ","FILING_STATUS=MR","SCALING_FORMAT=MLN","Sort=A","Dates=H","DateFormat=P","Fill=—","Direction=H","UseDPDF=Y")</f>
        <v>0</v>
      </c>
      <c r="AK33" s="13">
        <f>_xll.BDH("AMZN US Equity","CF_CASH_FOR_DIVESTITURES","FQ3 2017","FQ3 2017","Currency=USD","Period=FQ","BEST_FPERIOD_OVERRIDE=FQ","FILING_STATUS=MR","SCALING_FORMAT=MLN","Sort=A","Dates=H","DateFormat=P","Fill=—","Direction=H","UseDPDF=Y")</f>
        <v>0</v>
      </c>
      <c r="AL33" s="13">
        <f>_xll.BDH("AMZN US Equity","CF_CASH_FOR_DIVESTITURES","FQ4 2017","FQ4 2017","Currency=USD","Period=FQ","BEST_FPERIOD_OVERRIDE=FQ","FILING_STATUS=MR","SCALING_FORMAT=MLN","Sort=A","Dates=H","DateFormat=P","Fill=—","Direction=H","UseDPDF=Y")</f>
        <v>0</v>
      </c>
      <c r="AM33" s="13">
        <f>_xll.BDH("AMZN US Equity","CF_CASH_FOR_DIVESTITURES","FQ1 2018","FQ1 2018","Currency=USD","Period=FQ","BEST_FPERIOD_OVERRIDE=FQ","FILING_STATUS=MR","SCALING_FORMAT=MLN","Sort=A","Dates=H","DateFormat=P","Fill=—","Direction=H","UseDPDF=Y")</f>
        <v>0</v>
      </c>
      <c r="AN33" s="13">
        <f>_xll.BDH("AMZN US Equity","CF_CASH_FOR_DIVESTITURES","FQ2 2018","FQ2 2018","Currency=USD","Period=FQ","BEST_FPERIOD_OVERRIDE=FQ","FILING_STATUS=MR","SCALING_FORMAT=MLN","Sort=A","Dates=H","DateFormat=P","Fill=—","Direction=H","UseDPDF=Y")</f>
        <v>0</v>
      </c>
    </row>
    <row r="34" spans="1:40" x14ac:dyDescent="0.25">
      <c r="A34" s="10" t="s">
        <v>413</v>
      </c>
      <c r="B34" s="10" t="s">
        <v>414</v>
      </c>
      <c r="C34" s="13">
        <f>_xll.BDH("AMZN US Equity","CF_CASH_FOR_ACQUIS_SUBSIDIARIES","FQ1 2009","FQ1 2009","Currency=USD","Period=FQ","BEST_FPERIOD_OVERRIDE=FQ","FILING_STATUS=MR","SCALING_FORMAT=MLN","Sort=A","Dates=H","DateFormat=P","Fill=—","Direction=H","UseDPDF=Y")</f>
        <v>-15</v>
      </c>
      <c r="D34" s="13">
        <f>_xll.BDH("AMZN US Equity","CF_CASH_FOR_ACQUIS_SUBSIDIARIES","FQ2 2009","FQ2 2009","Currency=USD","Period=FQ","BEST_FPERIOD_OVERRIDE=FQ","FILING_STATUS=MR","SCALING_FORMAT=MLN","Sort=A","Dates=H","DateFormat=P","Fill=—","Direction=H","UseDPDF=Y")</f>
        <v>-19</v>
      </c>
      <c r="E34" s="13">
        <f>_xll.BDH("AMZN US Equity","CF_CASH_FOR_ACQUIS_SUBSIDIARIES","FQ3 2009","FQ3 2009","Currency=USD","Period=FQ","BEST_FPERIOD_OVERRIDE=FQ","FILING_STATUS=MR","SCALING_FORMAT=MLN","Sort=A","Dates=H","DateFormat=P","Fill=—","Direction=H","UseDPDF=Y")</f>
        <v>-5</v>
      </c>
      <c r="F34" s="13">
        <f>_xll.BDH("AMZN US Equity","CF_CASH_FOR_ACQUIS_SUBSIDIARIES","FQ4 2009","FQ4 2009","Currency=USD","Period=FQ","BEST_FPERIOD_OVERRIDE=FQ","FILING_STATUS=MR","SCALING_FORMAT=MLN","Sort=A","Dates=H","DateFormat=P","Fill=—","Direction=H","UseDPDF=Y")</f>
        <v>0</v>
      </c>
      <c r="G34" s="13">
        <f>_xll.BDH("AMZN US Equity","CF_CASH_FOR_ACQUIS_SUBSIDIARIES","FQ1 2010","FQ1 2010","Currency=USD","Period=FQ","BEST_FPERIOD_OVERRIDE=FQ","FILING_STATUS=MR","SCALING_FORMAT=MLN","Sort=A","Dates=H","DateFormat=P","Fill=—","Direction=H","UseDPDF=Y")</f>
        <v>-19</v>
      </c>
      <c r="H34" s="13">
        <f>_xll.BDH("AMZN US Equity","CF_CASH_FOR_ACQUIS_SUBSIDIARIES","FQ2 2010","FQ2 2010","Currency=USD","Period=FQ","BEST_FPERIOD_OVERRIDE=FQ","FILING_STATUS=MR","SCALING_FORMAT=MLN","Sort=A","Dates=H","DateFormat=P","Fill=—","Direction=H","UseDPDF=Y")</f>
        <v>-21</v>
      </c>
      <c r="I34" s="13">
        <f>_xll.BDH("AMZN US Equity","CF_CASH_FOR_ACQUIS_SUBSIDIARIES","FQ3 2010","FQ3 2010","Currency=USD","Period=FQ","BEST_FPERIOD_OVERRIDE=FQ","FILING_STATUS=MR","SCALING_FORMAT=MLN","Sort=A","Dates=H","DateFormat=P","Fill=—","Direction=H","UseDPDF=Y")</f>
        <v>-42</v>
      </c>
      <c r="J34" s="13">
        <f>_xll.BDH("AMZN US Equity","CF_CASH_FOR_ACQUIS_SUBSIDIARIES","FQ4 2010","FQ4 2010","Currency=USD","Period=FQ","BEST_FPERIOD_OVERRIDE=FQ","FILING_STATUS=MR","SCALING_FORMAT=MLN","Sort=A","Dates=H","DateFormat=P","Fill=—","Direction=H","UseDPDF=Y")</f>
        <v>-271</v>
      </c>
      <c r="K34" s="13">
        <f>_xll.BDH("AMZN US Equity","CF_CASH_FOR_ACQUIS_SUBSIDIARIES","FQ1 2011","FQ1 2011","Currency=USD","Period=FQ","BEST_FPERIOD_OVERRIDE=FQ","FILING_STATUS=MR","SCALING_FORMAT=MLN","Sort=A","Dates=H","DateFormat=P","Fill=—","Direction=H","UseDPDF=Y")</f>
        <v>-139</v>
      </c>
      <c r="L34" s="13">
        <f>_xll.BDH("AMZN US Equity","CF_CASH_FOR_ACQUIS_SUBSIDIARIES","FQ2 2011","FQ2 2011","Currency=USD","Period=FQ","BEST_FPERIOD_OVERRIDE=FQ","FILING_STATUS=MR","SCALING_FORMAT=MLN","Sort=A","Dates=H","DateFormat=P","Fill=—","Direction=H","UseDPDF=Y")</f>
        <v>-469</v>
      </c>
      <c r="M34" s="13">
        <f>_xll.BDH("AMZN US Equity","CF_CASH_FOR_ACQUIS_SUBSIDIARIES","FQ3 2011","FQ3 2011","Currency=USD","Period=FQ","BEST_FPERIOD_OVERRIDE=FQ","FILING_STATUS=MR","SCALING_FORMAT=MLN","Sort=A","Dates=H","DateFormat=P","Fill=—","Direction=H","UseDPDF=Y")</f>
        <v>-48</v>
      </c>
      <c r="N34" s="13">
        <f>_xll.BDH("AMZN US Equity","CF_CASH_FOR_ACQUIS_SUBSIDIARIES","FQ4 2011","FQ4 2011","Currency=USD","Period=FQ","BEST_FPERIOD_OVERRIDE=FQ","FILING_STATUS=MR","SCALING_FORMAT=MLN","Sort=A","Dates=H","DateFormat=P","Fill=—","Direction=H","UseDPDF=Y")</f>
        <v>-49</v>
      </c>
      <c r="O34" s="13">
        <f>_xll.BDH("AMZN US Equity","CF_CASH_FOR_ACQUIS_SUBSIDIARIES","FQ1 2012","FQ1 2012","Currency=USD","Period=FQ","BEST_FPERIOD_OVERRIDE=FQ","FILING_STATUS=MR","SCALING_FORMAT=MLN","Sort=A","Dates=H","DateFormat=P","Fill=—","Direction=H","UseDPDF=Y")</f>
        <v>-50</v>
      </c>
      <c r="P34" s="13">
        <f>_xll.BDH("AMZN US Equity","CF_CASH_FOR_ACQUIS_SUBSIDIARIES","FQ2 2012","FQ2 2012","Currency=USD","Period=FQ","BEST_FPERIOD_OVERRIDE=FQ","FILING_STATUS=MR","SCALING_FORMAT=MLN","Sort=A","Dates=H","DateFormat=P","Fill=—","Direction=H","UseDPDF=Y")</f>
        <v>-624</v>
      </c>
      <c r="Q34" s="13">
        <f>_xll.BDH("AMZN US Equity","CF_CASH_FOR_ACQUIS_SUBSIDIARIES","FQ3 2012","FQ3 2012","Currency=USD","Period=FQ","BEST_FPERIOD_OVERRIDE=FQ","FILING_STATUS=MR","SCALING_FORMAT=MLN","Sort=A","Dates=H","DateFormat=P","Fill=—","Direction=H","UseDPDF=Y")</f>
        <v>-37</v>
      </c>
      <c r="R34" s="13">
        <f>_xll.BDH("AMZN US Equity","CF_CASH_FOR_ACQUIS_SUBSIDIARIES","FQ4 2012","FQ4 2012","Currency=USD","Period=FQ","BEST_FPERIOD_OVERRIDE=FQ","FILING_STATUS=MR","SCALING_FORMAT=MLN","Sort=A","Dates=H","DateFormat=P","Fill=—","Direction=H","UseDPDF=Y")</f>
        <v>-35</v>
      </c>
      <c r="S34" s="13">
        <f>_xll.BDH("AMZN US Equity","CF_CASH_FOR_ACQUIS_SUBSIDIARIES","FQ1 2013","FQ1 2013","Currency=USD","Period=FQ","BEST_FPERIOD_OVERRIDE=FQ","FILING_STATUS=MR","SCALING_FORMAT=MLN","Sort=A","Dates=H","DateFormat=P","Fill=—","Direction=H","UseDPDF=Y")</f>
        <v>-103</v>
      </c>
      <c r="T34" s="13">
        <f>_xll.BDH("AMZN US Equity","CF_CASH_FOR_ACQUIS_SUBSIDIARIES","FQ2 2013","FQ2 2013","Currency=USD","Period=FQ","BEST_FPERIOD_OVERRIDE=FQ","FILING_STATUS=MR","SCALING_FORMAT=MLN","Sort=A","Dates=H","DateFormat=P","Fill=—","Direction=H","UseDPDF=Y")</f>
        <v>-148</v>
      </c>
      <c r="U34" s="13">
        <f>_xll.BDH("AMZN US Equity","CF_CASH_FOR_ACQUIS_SUBSIDIARIES","FQ3 2013","FQ3 2013","Currency=USD","Period=FQ","BEST_FPERIOD_OVERRIDE=FQ","FILING_STATUS=MR","SCALING_FORMAT=MLN","Sort=A","Dates=H","DateFormat=P","Fill=—","Direction=H","UseDPDF=Y")</f>
        <v>-1</v>
      </c>
      <c r="V34" s="13">
        <f>_xll.BDH("AMZN US Equity","CF_CASH_FOR_ACQUIS_SUBSIDIARIES","FQ4 2013","FQ4 2013","Currency=USD","Period=FQ","BEST_FPERIOD_OVERRIDE=FQ","FILING_STATUS=MR","SCALING_FORMAT=MLN","Sort=A","Dates=H","DateFormat=P","Fill=—","Direction=H","UseDPDF=Y")</f>
        <v>-59</v>
      </c>
      <c r="W34" s="13">
        <f>_xll.BDH("AMZN US Equity","CF_CASH_FOR_ACQUIS_SUBSIDIARIES","FQ1 2014","FQ1 2014","Currency=USD","Period=FQ","BEST_FPERIOD_OVERRIDE=FQ","FILING_STATUS=MR","SCALING_FORMAT=MLN","Sort=A","Dates=H","DateFormat=P","Fill=—","Direction=H","UseDPDF=Y")</f>
        <v>0</v>
      </c>
      <c r="X34" s="13">
        <f>_xll.BDH("AMZN US Equity","CF_CASH_FOR_ACQUIS_SUBSIDIARIES","FQ2 2014","FQ2 2014","Currency=USD","Period=FQ","BEST_FPERIOD_OVERRIDE=FQ","FILING_STATUS=MR","SCALING_FORMAT=MLN","Sort=A","Dates=H","DateFormat=P","Fill=—","Direction=H","UseDPDF=Y")</f>
        <v>-67</v>
      </c>
      <c r="Y34" s="13">
        <f>_xll.BDH("AMZN US Equity","CF_CASH_FOR_ACQUIS_SUBSIDIARIES","FQ3 2014","FQ3 2014","Currency=USD","Period=FQ","BEST_FPERIOD_OVERRIDE=FQ","FILING_STATUS=MR","SCALING_FORMAT=MLN","Sort=A","Dates=H","DateFormat=P","Fill=—","Direction=H","UseDPDF=Y")</f>
        <v>-860</v>
      </c>
      <c r="Z34" s="13">
        <f>_xll.BDH("AMZN US Equity","CF_CASH_FOR_ACQUIS_SUBSIDIARIES","FQ4 2014","FQ4 2014","Currency=USD","Period=FQ","BEST_FPERIOD_OVERRIDE=FQ","FILING_STATUS=MR","SCALING_FORMAT=MLN","Sort=A","Dates=H","DateFormat=P","Fill=—","Direction=H","UseDPDF=Y")</f>
        <v>-53</v>
      </c>
      <c r="AA34" s="13">
        <f>_xll.BDH("AMZN US Equity","CF_CASH_FOR_ACQUIS_SUBSIDIARIES","FQ1 2015","FQ1 2015","Currency=USD","Period=FQ","BEST_FPERIOD_OVERRIDE=FQ","FILING_STATUS=MR","SCALING_FORMAT=MLN","Sort=A","Dates=H","DateFormat=P","Fill=—","Direction=H","UseDPDF=Y")</f>
        <v>-365</v>
      </c>
      <c r="AB34" s="13">
        <f>_xll.BDH("AMZN US Equity","CF_CASH_FOR_ACQUIS_SUBSIDIARIES","FQ2 2015","FQ2 2015","Currency=USD","Period=FQ","BEST_FPERIOD_OVERRIDE=FQ","FILING_STATUS=MR","SCALING_FORMAT=MLN","Sort=A","Dates=H","DateFormat=P","Fill=—","Direction=H","UseDPDF=Y")</f>
        <v>-8</v>
      </c>
      <c r="AC34" s="13">
        <f>_xll.BDH("AMZN US Equity","CF_CASH_FOR_ACQUIS_SUBSIDIARIES","FQ3 2015","FQ3 2015","Currency=USD","Period=FQ","BEST_FPERIOD_OVERRIDE=FQ","FILING_STATUS=MR","SCALING_FORMAT=MLN","Sort=A","Dates=H","DateFormat=P","Fill=—","Direction=H","UseDPDF=Y")</f>
        <v>-105</v>
      </c>
      <c r="AD34" s="13">
        <f>_xll.BDH("AMZN US Equity","CF_CASH_FOR_ACQUIS_SUBSIDIARIES","FQ4 2015","FQ4 2015","Currency=USD","Period=FQ","BEST_FPERIOD_OVERRIDE=FQ","FILING_STATUS=MR","SCALING_FORMAT=MLN","Sort=A","Dates=H","DateFormat=P","Fill=—","Direction=H","UseDPDF=Y")</f>
        <v>-317</v>
      </c>
      <c r="AE34" s="13">
        <f>_xll.BDH("AMZN US Equity","CF_CASH_FOR_ACQUIS_SUBSIDIARIES","FQ1 2016","FQ1 2016","Currency=USD","Period=FQ","BEST_FPERIOD_OVERRIDE=FQ","FILING_STATUS=MR","SCALING_FORMAT=MLN","Sort=A","Dates=H","DateFormat=P","Fill=—","Direction=H","UseDPDF=Y")</f>
        <v>-16</v>
      </c>
      <c r="AF34" s="13">
        <f>_xll.BDH("AMZN US Equity","CF_CASH_FOR_ACQUIS_SUBSIDIARIES","FQ2 2016","FQ2 2016","Currency=USD","Period=FQ","BEST_FPERIOD_OVERRIDE=FQ","FILING_STATUS=MR","SCALING_FORMAT=MLN","Sort=A","Dates=H","DateFormat=P","Fill=—","Direction=H","UseDPDF=Y")</f>
        <v>-14</v>
      </c>
      <c r="AG34" s="13">
        <f>_xll.BDH("AMZN US Equity","CF_CASH_FOR_ACQUIS_SUBSIDIARIES","FQ3 2016","FQ3 2016","Currency=USD","Period=FQ","BEST_FPERIOD_OVERRIDE=FQ","FILING_STATUS=MR","SCALING_FORMAT=MLN","Sort=A","Dates=H","DateFormat=P","Fill=—","Direction=H","UseDPDF=Y")</f>
        <v>-84</v>
      </c>
      <c r="AH34" s="13">
        <f>_xll.BDH("AMZN US Equity","CF_CASH_FOR_ACQUIS_SUBSIDIARIES","FQ4 2016","FQ4 2016","Currency=USD","Period=FQ","BEST_FPERIOD_OVERRIDE=FQ","FILING_STATUS=MR","SCALING_FORMAT=MLN","Sort=A","Dates=H","DateFormat=P","Fill=—","Direction=H","UseDPDF=Y")</f>
        <v>-3</v>
      </c>
      <c r="AI34" s="13">
        <f>_xll.BDH("AMZN US Equity","CF_CASH_FOR_ACQUIS_SUBSIDIARIES","FQ1 2017","FQ1 2017","Currency=USD","Period=FQ","BEST_FPERIOD_OVERRIDE=FQ","FILING_STATUS=MR","SCALING_FORMAT=MLN","Sort=A","Dates=H","DateFormat=P","Fill=—","Direction=H","UseDPDF=Y")</f>
        <v>-45</v>
      </c>
      <c r="AJ34" s="13">
        <f>_xll.BDH("AMZN US Equity","CF_CASH_FOR_ACQUIS_SUBSIDIARIES","FQ2 2017","FQ2 2017","Currency=USD","Period=FQ","BEST_FPERIOD_OVERRIDE=FQ","FILING_STATUS=MR","SCALING_FORMAT=MLN","Sort=A","Dates=H","DateFormat=P","Fill=—","Direction=H","UseDPDF=Y")</f>
        <v>-633</v>
      </c>
      <c r="AK34" s="13">
        <f>_xll.BDH("AMZN US Equity","CF_CASH_FOR_ACQUIS_SUBSIDIARIES","FQ3 2017","FQ3 2017","Currency=USD","Period=FQ","BEST_FPERIOD_OVERRIDE=FQ","FILING_STATUS=MR","SCALING_FORMAT=MLN","Sort=A","Dates=H","DateFormat=P","Fill=—","Direction=H","UseDPDF=Y")</f>
        <v>-13213</v>
      </c>
      <c r="AL34" s="13">
        <f>_xll.BDH("AMZN US Equity","CF_CASH_FOR_ACQUIS_SUBSIDIARIES","FQ4 2017","FQ4 2017","Currency=USD","Period=FQ","BEST_FPERIOD_OVERRIDE=FQ","FILING_STATUS=MR","SCALING_FORMAT=MLN","Sort=A","Dates=H","DateFormat=P","Fill=—","Direction=H","UseDPDF=Y")</f>
        <v>-81</v>
      </c>
      <c r="AM34" s="13">
        <f>_xll.BDH("AMZN US Equity","CF_CASH_FOR_ACQUIS_SUBSIDIARIES","FQ1 2018","FQ1 2018","Currency=USD","Period=FQ","BEST_FPERIOD_OVERRIDE=FQ","FILING_STATUS=MR","SCALING_FORMAT=MLN","Sort=A","Dates=H","DateFormat=P","Fill=—","Direction=H","UseDPDF=Y")</f>
        <v>-13</v>
      </c>
      <c r="AN34" s="13">
        <f>_xll.BDH("AMZN US Equity","CF_CASH_FOR_ACQUIS_SUBSIDIARIES","FQ2 2018","FQ2 2018","Currency=USD","Period=FQ","BEST_FPERIOD_OVERRIDE=FQ","FILING_STATUS=MR","SCALING_FORMAT=MLN","Sort=A","Dates=H","DateFormat=P","Fill=—","Direction=H","UseDPDF=Y")</f>
        <v>-866</v>
      </c>
    </row>
    <row r="35" spans="1:40" x14ac:dyDescent="0.25">
      <c r="A35" s="10" t="s">
        <v>415</v>
      </c>
      <c r="B35" s="10" t="s">
        <v>416</v>
      </c>
      <c r="C35" s="13">
        <f>_xll.BDH("AMZN US Equity","CF_CASH_FOR_JOINT_VENTURES_ASSOC","FQ1 2009","FQ1 2009","Currency=USD","Period=FQ","BEST_FPERIOD_OVERRIDE=FQ","FILING_STATUS=MR","SCALING_FORMAT=MLN","Sort=A","Dates=H","DateFormat=P","Fill=—","Direction=H","UseDPDF=Y")</f>
        <v>0</v>
      </c>
      <c r="D35" s="13">
        <f>_xll.BDH("AMZN US Equity","CF_CASH_FOR_JOINT_VENTURES_ASSOC","FQ2 2009","FQ2 2009","Currency=USD","Period=FQ","BEST_FPERIOD_OVERRIDE=FQ","FILING_STATUS=MR","SCALING_FORMAT=MLN","Sort=A","Dates=H","DateFormat=P","Fill=—","Direction=H","UseDPDF=Y")</f>
        <v>0</v>
      </c>
      <c r="E35" s="13">
        <f>_xll.BDH("AMZN US Equity","CF_CASH_FOR_JOINT_VENTURES_ASSOC","FQ3 2009","FQ3 2009","Currency=USD","Period=FQ","BEST_FPERIOD_OVERRIDE=FQ","FILING_STATUS=MR","SCALING_FORMAT=MLN","Sort=A","Dates=H","DateFormat=P","Fill=—","Direction=H","UseDPDF=Y")</f>
        <v>0</v>
      </c>
      <c r="F35" s="13">
        <f>_xll.BDH("AMZN US Equity","CF_CASH_FOR_JOINT_VENTURES_ASSOC","FQ4 2009","FQ4 2009","Currency=USD","Period=FQ","BEST_FPERIOD_OVERRIDE=FQ","FILING_STATUS=MR","SCALING_FORMAT=MLN","Sort=A","Dates=H","DateFormat=P","Fill=—","Direction=H","UseDPDF=Y")</f>
        <v>0</v>
      </c>
      <c r="G35" s="13">
        <f>_xll.BDH("AMZN US Equity","CF_CASH_FOR_JOINT_VENTURES_ASSOC","FQ1 2010","FQ1 2010","Currency=USD","Period=FQ","BEST_FPERIOD_OVERRIDE=FQ","FILING_STATUS=MR","SCALING_FORMAT=MLN","Sort=A","Dates=H","DateFormat=P","Fill=—","Direction=H","UseDPDF=Y")</f>
        <v>0</v>
      </c>
      <c r="H35" s="13">
        <f>_xll.BDH("AMZN US Equity","CF_CASH_FOR_JOINT_VENTURES_ASSOC","FQ2 2010","FQ2 2010","Currency=USD","Period=FQ","BEST_FPERIOD_OVERRIDE=FQ","FILING_STATUS=MR","SCALING_FORMAT=MLN","Sort=A","Dates=H","DateFormat=P","Fill=—","Direction=H","UseDPDF=Y")</f>
        <v>0</v>
      </c>
      <c r="I35" s="13">
        <f>_xll.BDH("AMZN US Equity","CF_CASH_FOR_JOINT_VENTURES_ASSOC","FQ3 2010","FQ3 2010","Currency=USD","Period=FQ","BEST_FPERIOD_OVERRIDE=FQ","FILING_STATUS=MR","SCALING_FORMAT=MLN","Sort=A","Dates=H","DateFormat=P","Fill=—","Direction=H","UseDPDF=Y")</f>
        <v>0</v>
      </c>
      <c r="J35" s="13">
        <f>_xll.BDH("AMZN US Equity","CF_CASH_FOR_JOINT_VENTURES_ASSOC","FQ4 2010","FQ4 2010","Currency=USD","Period=FQ","BEST_FPERIOD_OVERRIDE=FQ","FILING_STATUS=MR","SCALING_FORMAT=MLN","Sort=A","Dates=H","DateFormat=P","Fill=—","Direction=H","UseDPDF=Y")</f>
        <v>0</v>
      </c>
      <c r="K35" s="13">
        <f>_xll.BDH("AMZN US Equity","CF_CASH_FOR_JOINT_VENTURES_ASSOC","FQ1 2011","FQ1 2011","Currency=USD","Period=FQ","BEST_FPERIOD_OVERRIDE=FQ","FILING_STATUS=MR","SCALING_FORMAT=MLN","Sort=A","Dates=H","DateFormat=P","Fill=—","Direction=H","UseDPDF=Y")</f>
        <v>0</v>
      </c>
      <c r="L35" s="13">
        <f>_xll.BDH("AMZN US Equity","CF_CASH_FOR_JOINT_VENTURES_ASSOC","FQ2 2011","FQ2 2011","Currency=USD","Period=FQ","BEST_FPERIOD_OVERRIDE=FQ","FILING_STATUS=MR","SCALING_FORMAT=MLN","Sort=A","Dates=H","DateFormat=P","Fill=—","Direction=H","UseDPDF=Y")</f>
        <v>0</v>
      </c>
      <c r="M35" s="13">
        <f>_xll.BDH("AMZN US Equity","CF_CASH_FOR_JOINT_VENTURES_ASSOC","FQ3 2011","FQ3 2011","Currency=USD","Period=FQ","BEST_FPERIOD_OVERRIDE=FQ","FILING_STATUS=MR","SCALING_FORMAT=MLN","Sort=A","Dates=H","DateFormat=P","Fill=—","Direction=H","UseDPDF=Y")</f>
        <v>0</v>
      </c>
      <c r="N35" s="13">
        <f>_xll.BDH("AMZN US Equity","CF_CASH_FOR_JOINT_VENTURES_ASSOC","FQ4 2011","FQ4 2011","Currency=USD","Period=FQ","BEST_FPERIOD_OVERRIDE=FQ","FILING_STATUS=MR","SCALING_FORMAT=MLN","Sort=A","Dates=H","DateFormat=P","Fill=—","Direction=H","UseDPDF=Y")</f>
        <v>0</v>
      </c>
      <c r="O35" s="13">
        <f>_xll.BDH("AMZN US Equity","CF_CASH_FOR_JOINT_VENTURES_ASSOC","FQ1 2012","FQ1 2012","Currency=USD","Period=FQ","BEST_FPERIOD_OVERRIDE=FQ","FILING_STATUS=MR","SCALING_FORMAT=MLN","Sort=A","Dates=H","DateFormat=P","Fill=—","Direction=H","UseDPDF=Y")</f>
        <v>0</v>
      </c>
      <c r="P35" s="13">
        <f>_xll.BDH("AMZN US Equity","CF_CASH_FOR_JOINT_VENTURES_ASSOC","FQ2 2012","FQ2 2012","Currency=USD","Period=FQ","BEST_FPERIOD_OVERRIDE=FQ","FILING_STATUS=MR","SCALING_FORMAT=MLN","Sort=A","Dates=H","DateFormat=P","Fill=—","Direction=H","UseDPDF=Y")</f>
        <v>0</v>
      </c>
      <c r="Q35" s="13">
        <f>_xll.BDH("AMZN US Equity","CF_CASH_FOR_JOINT_VENTURES_ASSOC","FQ3 2012","FQ3 2012","Currency=USD","Period=FQ","BEST_FPERIOD_OVERRIDE=FQ","FILING_STATUS=MR","SCALING_FORMAT=MLN","Sort=A","Dates=H","DateFormat=P","Fill=—","Direction=H","UseDPDF=Y")</f>
        <v>0</v>
      </c>
      <c r="R35" s="13">
        <f>_xll.BDH("AMZN US Equity","CF_CASH_FOR_JOINT_VENTURES_ASSOC","FQ4 2012","FQ4 2012","Currency=USD","Period=FQ","BEST_FPERIOD_OVERRIDE=FQ","FILING_STATUS=MR","SCALING_FORMAT=MLN","Sort=A","Dates=H","DateFormat=P","Fill=—","Direction=H","UseDPDF=Y")</f>
        <v>0</v>
      </c>
      <c r="S35" s="13">
        <f>_xll.BDH("AMZN US Equity","CF_CASH_FOR_JOINT_VENTURES_ASSOC","FQ1 2013","FQ1 2013","Currency=USD","Period=FQ","BEST_FPERIOD_OVERRIDE=FQ","FILING_STATUS=MR","SCALING_FORMAT=MLN","Sort=A","Dates=H","DateFormat=P","Fill=—","Direction=H","UseDPDF=Y")</f>
        <v>0</v>
      </c>
      <c r="T35" s="13">
        <f>_xll.BDH("AMZN US Equity","CF_CASH_FOR_JOINT_VENTURES_ASSOC","FQ2 2013","FQ2 2013","Currency=USD","Period=FQ","BEST_FPERIOD_OVERRIDE=FQ","FILING_STATUS=MR","SCALING_FORMAT=MLN","Sort=A","Dates=H","DateFormat=P","Fill=—","Direction=H","UseDPDF=Y")</f>
        <v>0</v>
      </c>
      <c r="U35" s="13">
        <f>_xll.BDH("AMZN US Equity","CF_CASH_FOR_JOINT_VENTURES_ASSOC","FQ3 2013","FQ3 2013","Currency=USD","Period=FQ","BEST_FPERIOD_OVERRIDE=FQ","FILING_STATUS=MR","SCALING_FORMAT=MLN","Sort=A","Dates=H","DateFormat=P","Fill=—","Direction=H","UseDPDF=Y")</f>
        <v>0</v>
      </c>
      <c r="V35" s="13">
        <f>_xll.BDH("AMZN US Equity","CF_CASH_FOR_JOINT_VENTURES_ASSOC","FQ4 2013","FQ4 2013","Currency=USD","Period=FQ","BEST_FPERIOD_OVERRIDE=FQ","FILING_STATUS=MR","SCALING_FORMAT=MLN","Sort=A","Dates=H","DateFormat=P","Fill=—","Direction=H","UseDPDF=Y")</f>
        <v>0</v>
      </c>
      <c r="W35" s="13">
        <f>_xll.BDH("AMZN US Equity","CF_CASH_FOR_JOINT_VENTURES_ASSOC","FQ1 2014","FQ1 2014","Currency=USD","Period=FQ","BEST_FPERIOD_OVERRIDE=FQ","FILING_STATUS=MR","SCALING_FORMAT=MLN","Sort=A","Dates=H","DateFormat=P","Fill=—","Direction=H","UseDPDF=Y")</f>
        <v>0</v>
      </c>
      <c r="X35" s="13">
        <f>_xll.BDH("AMZN US Equity","CF_CASH_FOR_JOINT_VENTURES_ASSOC","FQ2 2014","FQ2 2014","Currency=USD","Period=FQ","BEST_FPERIOD_OVERRIDE=FQ","FILING_STATUS=MR","SCALING_FORMAT=MLN","Sort=A","Dates=H","DateFormat=P","Fill=—","Direction=H","UseDPDF=Y")</f>
        <v>0</v>
      </c>
      <c r="Y35" s="13">
        <f>_xll.BDH("AMZN US Equity","CF_CASH_FOR_JOINT_VENTURES_ASSOC","FQ3 2014","FQ3 2014","Currency=USD","Period=FQ","BEST_FPERIOD_OVERRIDE=FQ","FILING_STATUS=MR","SCALING_FORMAT=MLN","Sort=A","Dates=H","DateFormat=P","Fill=—","Direction=H","UseDPDF=Y")</f>
        <v>0</v>
      </c>
      <c r="Z35" s="13">
        <f>_xll.BDH("AMZN US Equity","CF_CASH_FOR_JOINT_VENTURES_ASSOC","FQ4 2014","FQ4 2014","Currency=USD","Period=FQ","BEST_FPERIOD_OVERRIDE=FQ","FILING_STATUS=MR","SCALING_FORMAT=MLN","Sort=A","Dates=H","DateFormat=P","Fill=—","Direction=H","UseDPDF=Y")</f>
        <v>0</v>
      </c>
      <c r="AA35" s="13">
        <f>_xll.BDH("AMZN US Equity","CF_CASH_FOR_JOINT_VENTURES_ASSOC","FQ1 2015","FQ1 2015","Currency=USD","Period=FQ","BEST_FPERIOD_OVERRIDE=FQ","FILING_STATUS=MR","SCALING_FORMAT=MLN","Sort=A","Dates=H","DateFormat=P","Fill=—","Direction=H","UseDPDF=Y")</f>
        <v>0</v>
      </c>
      <c r="AB35" s="13">
        <f>_xll.BDH("AMZN US Equity","CF_CASH_FOR_JOINT_VENTURES_ASSOC","FQ2 2015","FQ2 2015","Currency=USD","Period=FQ","BEST_FPERIOD_OVERRIDE=FQ","FILING_STATUS=MR","SCALING_FORMAT=MLN","Sort=A","Dates=H","DateFormat=P","Fill=—","Direction=H","UseDPDF=Y")</f>
        <v>0</v>
      </c>
      <c r="AC35" s="13">
        <f>_xll.BDH("AMZN US Equity","CF_CASH_FOR_JOINT_VENTURES_ASSOC","FQ3 2015","FQ3 2015","Currency=USD","Period=FQ","BEST_FPERIOD_OVERRIDE=FQ","FILING_STATUS=MR","SCALING_FORMAT=MLN","Sort=A","Dates=H","DateFormat=P","Fill=—","Direction=H","UseDPDF=Y")</f>
        <v>0</v>
      </c>
      <c r="AD35" s="13">
        <f>_xll.BDH("AMZN US Equity","CF_CASH_FOR_JOINT_VENTURES_ASSOC","FQ4 2015","FQ4 2015","Currency=USD","Period=FQ","BEST_FPERIOD_OVERRIDE=FQ","FILING_STATUS=MR","SCALING_FORMAT=MLN","Sort=A","Dates=H","DateFormat=P","Fill=—","Direction=H","UseDPDF=Y")</f>
        <v>0</v>
      </c>
      <c r="AE35" s="13">
        <f>_xll.BDH("AMZN US Equity","CF_CASH_FOR_JOINT_VENTURES_ASSOC","FQ1 2016","FQ1 2016","Currency=USD","Period=FQ","BEST_FPERIOD_OVERRIDE=FQ","FILING_STATUS=MR","SCALING_FORMAT=MLN","Sort=A","Dates=H","DateFormat=P","Fill=—","Direction=H","UseDPDF=Y")</f>
        <v>0</v>
      </c>
      <c r="AF35" s="13">
        <f>_xll.BDH("AMZN US Equity","CF_CASH_FOR_JOINT_VENTURES_ASSOC","FQ2 2016","FQ2 2016","Currency=USD","Period=FQ","BEST_FPERIOD_OVERRIDE=FQ","FILING_STATUS=MR","SCALING_FORMAT=MLN","Sort=A","Dates=H","DateFormat=P","Fill=—","Direction=H","UseDPDF=Y")</f>
        <v>0</v>
      </c>
      <c r="AG35" s="13">
        <f>_xll.BDH("AMZN US Equity","CF_CASH_FOR_JOINT_VENTURES_ASSOC","FQ3 2016","FQ3 2016","Currency=USD","Period=FQ","BEST_FPERIOD_OVERRIDE=FQ","FILING_STATUS=MR","SCALING_FORMAT=MLN","Sort=A","Dates=H","DateFormat=P","Fill=—","Direction=H","UseDPDF=Y")</f>
        <v>0</v>
      </c>
      <c r="AH35" s="13">
        <f>_xll.BDH("AMZN US Equity","CF_CASH_FOR_JOINT_VENTURES_ASSOC","FQ4 2016","FQ4 2016","Currency=USD","Period=FQ","BEST_FPERIOD_OVERRIDE=FQ","FILING_STATUS=MR","SCALING_FORMAT=MLN","Sort=A","Dates=H","DateFormat=P","Fill=—","Direction=H","UseDPDF=Y")</f>
        <v>0</v>
      </c>
      <c r="AI35" s="13">
        <f>_xll.BDH("AMZN US Equity","CF_CASH_FOR_JOINT_VENTURES_ASSOC","FQ1 2017","FQ1 2017","Currency=USD","Period=FQ","BEST_FPERIOD_OVERRIDE=FQ","FILING_STATUS=MR","SCALING_FORMAT=MLN","Sort=A","Dates=H","DateFormat=P","Fill=—","Direction=H","UseDPDF=Y")</f>
        <v>0</v>
      </c>
      <c r="AJ35" s="13">
        <f>_xll.BDH("AMZN US Equity","CF_CASH_FOR_JOINT_VENTURES_ASSOC","FQ2 2017","FQ2 2017","Currency=USD","Period=FQ","BEST_FPERIOD_OVERRIDE=FQ","FILING_STATUS=MR","SCALING_FORMAT=MLN","Sort=A","Dates=H","DateFormat=P","Fill=—","Direction=H","UseDPDF=Y")</f>
        <v>0</v>
      </c>
      <c r="AK35" s="13">
        <f>_xll.BDH("AMZN US Equity","CF_CASH_FOR_JOINT_VENTURES_ASSOC","FQ3 2017","FQ3 2017","Currency=USD","Period=FQ","BEST_FPERIOD_OVERRIDE=FQ","FILING_STATUS=MR","SCALING_FORMAT=MLN","Sort=A","Dates=H","DateFormat=P","Fill=—","Direction=H","UseDPDF=Y")</f>
        <v>0</v>
      </c>
      <c r="AL35" s="13">
        <f>_xll.BDH("AMZN US Equity","CF_CASH_FOR_JOINT_VENTURES_ASSOC","FQ4 2017","FQ4 2017","Currency=USD","Period=FQ","BEST_FPERIOD_OVERRIDE=FQ","FILING_STATUS=MR","SCALING_FORMAT=MLN","Sort=A","Dates=H","DateFormat=P","Fill=—","Direction=H","UseDPDF=Y")</f>
        <v>0</v>
      </c>
      <c r="AM35" s="13">
        <f>_xll.BDH("AMZN US Equity","CF_CASH_FOR_JOINT_VENTURES_ASSOC","FQ1 2018","FQ1 2018","Currency=USD","Period=FQ","BEST_FPERIOD_OVERRIDE=FQ","FILING_STATUS=MR","SCALING_FORMAT=MLN","Sort=A","Dates=H","DateFormat=P","Fill=—","Direction=H","UseDPDF=Y")</f>
        <v>0</v>
      </c>
      <c r="AN35" s="13">
        <f>_xll.BDH("AMZN US Equity","CF_CASH_FOR_JOINT_VENTURES_ASSOC","FQ2 2018","FQ2 2018","Currency=USD","Period=FQ","BEST_FPERIOD_OVERRIDE=FQ","FILING_STATUS=MR","SCALING_FORMAT=MLN","Sort=A","Dates=H","DateFormat=P","Fill=—","Direction=H","UseDPDF=Y")</f>
        <v>0</v>
      </c>
    </row>
    <row r="36" spans="1:40" x14ac:dyDescent="0.25">
      <c r="A36" s="10" t="s">
        <v>417</v>
      </c>
      <c r="B36" s="10" t="s">
        <v>418</v>
      </c>
      <c r="C36" s="13">
        <f>_xll.BDH("AMZN US Equity","OTHER_INVESTING_ACT_DETAILED","FQ1 2009","FQ1 2009","Currency=USD","Period=FQ","BEST_FPERIOD_OVERRIDE=FQ","FILING_STATUS=MR","SCALING_FORMAT=MLN","Sort=A","Dates=H","DateFormat=P","Fill=—","Direction=H","UseDPDF=Y")</f>
        <v>-77</v>
      </c>
      <c r="D36" s="13">
        <f>_xll.BDH("AMZN US Equity","OTHER_INVESTING_ACT_DETAILED","FQ2 2009","FQ2 2009","Currency=USD","Period=FQ","BEST_FPERIOD_OVERRIDE=FQ","FILING_STATUS=MR","SCALING_FORMAT=MLN","Sort=A","Dates=H","DateFormat=P","Fill=—","Direction=H","UseDPDF=Y")</f>
        <v>-182</v>
      </c>
      <c r="E36" s="13">
        <f>_xll.BDH("AMZN US Equity","OTHER_INVESTING_ACT_DETAILED","FQ3 2009","FQ3 2009","Currency=USD","Period=FQ","BEST_FPERIOD_OVERRIDE=FQ","FILING_STATUS=MR","SCALING_FORMAT=MLN","Sort=A","Dates=H","DateFormat=P","Fill=—","Direction=H","UseDPDF=Y")</f>
        <v>-194</v>
      </c>
      <c r="F36" s="13">
        <f>_xll.BDH("AMZN US Equity","OTHER_INVESTING_ACT_DETAILED","FQ4 2009","FQ4 2009","Currency=USD","Period=FQ","BEST_FPERIOD_OVERRIDE=FQ","FILING_STATUS=MR","SCALING_FORMAT=MLN","Sort=A","Dates=H","DateFormat=P","Fill=—","Direction=H","UseDPDF=Y")</f>
        <v>-1472</v>
      </c>
      <c r="G36" s="13">
        <f>_xll.BDH("AMZN US Equity","OTHER_INVESTING_ACT_DETAILED","FQ1 2010","FQ1 2010","Currency=USD","Period=FQ","BEST_FPERIOD_OVERRIDE=FQ","FILING_STATUS=MR","SCALING_FORMAT=MLN","Sort=A","Dates=H","DateFormat=P","Fill=—","Direction=H","UseDPDF=Y")</f>
        <v>-383</v>
      </c>
      <c r="H36" s="13">
        <f>_xll.BDH("AMZN US Equity","OTHER_INVESTING_ACT_DETAILED","FQ2 2010","FQ2 2010","Currency=USD","Period=FQ","BEST_FPERIOD_OVERRIDE=FQ","FILING_STATUS=MR","SCALING_FORMAT=MLN","Sort=A","Dates=H","DateFormat=P","Fill=—","Direction=H","UseDPDF=Y")</f>
        <v>-258</v>
      </c>
      <c r="I36" s="13">
        <f>_xll.BDH("AMZN US Equity","OTHER_INVESTING_ACT_DETAILED","FQ3 2010","FQ3 2010","Currency=USD","Period=FQ","BEST_FPERIOD_OVERRIDE=FQ","FILING_STATUS=MR","SCALING_FORMAT=MLN","Sort=A","Dates=H","DateFormat=P","Fill=—","Direction=H","UseDPDF=Y")</f>
        <v>-771</v>
      </c>
      <c r="J36" s="13">
        <f>_xll.BDH("AMZN US Equity","OTHER_INVESTING_ACT_DETAILED","FQ4 2010","FQ4 2010","Currency=USD","Period=FQ","BEST_FPERIOD_OVERRIDE=FQ","FILING_STATUS=MR","SCALING_FORMAT=MLN","Sort=A","Dates=H","DateFormat=P","Fill=—","Direction=H","UseDPDF=Y")</f>
        <v>-616</v>
      </c>
      <c r="K36" s="13">
        <f>_xll.BDH("AMZN US Equity","OTHER_INVESTING_ACT_DETAILED","FQ1 2011","FQ1 2011","Currency=USD","Period=FQ","BEST_FPERIOD_OVERRIDE=FQ","FILING_STATUS=MR","SCALING_FORMAT=MLN","Sort=A","Dates=H","DateFormat=P","Fill=—","Direction=H","UseDPDF=Y")</f>
        <v>827</v>
      </c>
      <c r="L36" s="13">
        <f>_xll.BDH("AMZN US Equity","OTHER_INVESTING_ACT_DETAILED","FQ2 2011","FQ2 2011","Currency=USD","Period=FQ","BEST_FPERIOD_OVERRIDE=FQ","FILING_STATUS=MR","SCALING_FORMAT=MLN","Sort=A","Dates=H","DateFormat=P","Fill=—","Direction=H","UseDPDF=Y")</f>
        <v>-49</v>
      </c>
      <c r="M36" s="13">
        <f>_xll.BDH("AMZN US Equity","OTHER_INVESTING_ACT_DETAILED","FQ3 2011","FQ3 2011","Currency=USD","Period=FQ","BEST_FPERIOD_OVERRIDE=FQ","FILING_STATUS=MR","SCALING_FORMAT=MLN","Sort=A","Dates=H","DateFormat=P","Fill=—","Direction=H","UseDPDF=Y")</f>
        <v>677</v>
      </c>
      <c r="N36" s="13">
        <f>_xll.BDH("AMZN US Equity","OTHER_INVESTING_ACT_DETAILED","FQ4 2011","FQ4 2011","Currency=USD","Period=FQ","BEST_FPERIOD_OVERRIDE=FQ","FILING_STATUS=MR","SCALING_FORMAT=MLN","Sort=A","Dates=H","DateFormat=P","Fill=—","Direction=H","UseDPDF=Y")</f>
        <v>-870</v>
      </c>
      <c r="O36" s="13">
        <f>_xll.BDH("AMZN US Equity","OTHER_INVESTING_ACT_DETAILED","FQ1 2012","FQ1 2012","Currency=USD","Period=FQ","BEST_FPERIOD_OVERRIDE=FQ","FILING_STATUS=MR","SCALING_FORMAT=MLN","Sort=A","Dates=H","DateFormat=P","Fill=—","Direction=H","UseDPDF=Y")</f>
        <v>886</v>
      </c>
      <c r="P36" s="13">
        <f>_xll.BDH("AMZN US Equity","OTHER_INVESTING_ACT_DETAILED","FQ2 2012","FQ2 2012","Currency=USD","Period=FQ","BEST_FPERIOD_OVERRIDE=FQ","FILING_STATUS=MR","SCALING_FORMAT=MLN","Sort=A","Dates=H","DateFormat=P","Fill=—","Direction=H","UseDPDF=Y")</f>
        <v>686</v>
      </c>
      <c r="Q36" s="13">
        <f>_xll.BDH("AMZN US Equity","OTHER_INVESTING_ACT_DETAILED","FQ3 2012","FQ3 2012","Currency=USD","Period=FQ","BEST_FPERIOD_OVERRIDE=FQ","FILING_STATUS=MR","SCALING_FORMAT=MLN","Sort=A","Dates=H","DateFormat=P","Fill=—","Direction=H","UseDPDF=Y")</f>
        <v>384</v>
      </c>
      <c r="R36" s="13">
        <f>_xll.BDH("AMZN US Equity","OTHER_INVESTING_ACT_DETAILED","FQ4 2012","FQ4 2012","Currency=USD","Period=FQ","BEST_FPERIOD_OVERRIDE=FQ","FILING_STATUS=MR","SCALING_FORMAT=MLN","Sort=A","Dates=H","DateFormat=P","Fill=—","Direction=H","UseDPDF=Y")</f>
        <v>-1022</v>
      </c>
      <c r="S36" s="13">
        <f>_xll.BDH("AMZN US Equity","OTHER_INVESTING_ACT_DETAILED","FQ1 2013","FQ1 2013","Currency=USD","Period=FQ","BEST_FPERIOD_OVERRIDE=FQ","FILING_STATUS=MR","SCALING_FORMAT=MLN","Sort=A","Dates=H","DateFormat=P","Fill=—","Direction=H","UseDPDF=Y")</f>
        <v>-177</v>
      </c>
      <c r="T36" s="13">
        <f>_xll.BDH("AMZN US Equity","OTHER_INVESTING_ACT_DETAILED","FQ2 2013","FQ2 2013","Currency=USD","Period=FQ","BEST_FPERIOD_OVERRIDE=FQ","FILING_STATUS=MR","SCALING_FORMAT=MLN","Sort=A","Dates=H","DateFormat=P","Fill=—","Direction=H","UseDPDF=Y")</f>
        <v>-417</v>
      </c>
      <c r="U36" s="13">
        <f>_xll.BDH("AMZN US Equity","OTHER_INVESTING_ACT_DETAILED","FQ3 2013","FQ3 2013","Currency=USD","Period=FQ","BEST_FPERIOD_OVERRIDE=FQ","FILING_STATUS=MR","SCALING_FORMAT=MLN","Sort=A","Dates=H","DateFormat=P","Fill=—","Direction=H","UseDPDF=Y")</f>
        <v>-24</v>
      </c>
      <c r="V36" s="13">
        <f>_xll.BDH("AMZN US Equity","OTHER_INVESTING_ACT_DETAILED","FQ4 2013","FQ4 2013","Currency=USD","Period=FQ","BEST_FPERIOD_OVERRIDE=FQ","FILING_STATUS=MR","SCALING_FORMAT=MLN","Sort=A","Dates=H","DateFormat=P","Fill=—","Direction=H","UseDPDF=Y")</f>
        <v>96</v>
      </c>
      <c r="W36" s="13">
        <f>_xll.BDH("AMZN US Equity","OTHER_INVESTING_ACT_DETAILED","FQ1 2014","FQ1 2014","Currency=USD","Period=FQ","BEST_FPERIOD_OVERRIDE=FQ","FILING_STATUS=MR","SCALING_FORMAT=MLN","Sort=A","Dates=H","DateFormat=P","Fill=—","Direction=H","UseDPDF=Y")</f>
        <v>156</v>
      </c>
      <c r="X36" s="13">
        <f>_xll.BDH("AMZN US Equity","OTHER_INVESTING_ACT_DETAILED","FQ2 2014","FQ2 2014","Currency=USD","Period=FQ","BEST_FPERIOD_OVERRIDE=FQ","FILING_STATUS=MR","SCALING_FORMAT=MLN","Sort=A","Dates=H","DateFormat=P","Fill=—","Direction=H","UseDPDF=Y")</f>
        <v>626</v>
      </c>
      <c r="Y36" s="13">
        <f>_xll.BDH("AMZN US Equity","OTHER_INVESTING_ACT_DETAILED","FQ3 2014","FQ3 2014","Currency=USD","Period=FQ","BEST_FPERIOD_OVERRIDE=FQ","FILING_STATUS=MR","SCALING_FORMAT=MLN","Sort=A","Dates=H","DateFormat=P","Fill=—","Direction=H","UseDPDF=Y")</f>
        <v>1292</v>
      </c>
      <c r="Z36" s="13">
        <f>_xll.BDH("AMZN US Equity","OTHER_INVESTING_ACT_DETAILED","FQ4 2014","FQ4 2014","Currency=USD","Period=FQ","BEST_FPERIOD_OVERRIDE=FQ","FILING_STATUS=MR","SCALING_FORMAT=MLN","Sort=A","Dates=H","DateFormat=P","Fill=—","Direction=H","UseDPDF=Y")</f>
        <v>-1268</v>
      </c>
      <c r="AA36" s="13">
        <f>_xll.BDH("AMZN US Equity","OTHER_INVESTING_ACT_DETAILED","FQ1 2015","FQ1 2015","Currency=USD","Period=FQ","BEST_FPERIOD_OVERRIDE=FQ","FILING_STATUS=MR","SCALING_FORMAT=MLN","Sort=A","Dates=H","DateFormat=P","Fill=—","Direction=H","UseDPDF=Y")</f>
        <v>-611</v>
      </c>
      <c r="AB36" s="13">
        <f>_xll.BDH("AMZN US Equity","OTHER_INVESTING_ACT_DETAILED","FQ2 2015","FQ2 2015","Currency=USD","Period=FQ","BEST_FPERIOD_OVERRIDE=FQ","FILING_STATUS=MR","SCALING_FORMAT=MLN","Sort=A","Dates=H","DateFormat=P","Fill=—","Direction=H","UseDPDF=Y")</f>
        <v>-155</v>
      </c>
      <c r="AC36" s="13">
        <f>_xll.BDH("AMZN US Equity","OTHER_INVESTING_ACT_DETAILED","FQ3 2015","FQ3 2015","Currency=USD","Period=FQ","BEST_FPERIOD_OVERRIDE=FQ","FILING_STATUS=MR","SCALING_FORMAT=MLN","Sort=A","Dates=H","DateFormat=P","Fill=—","Direction=H","UseDPDF=Y")</f>
        <v>-77</v>
      </c>
      <c r="AD36" s="13">
        <f>_xll.BDH("AMZN US Equity","OTHER_INVESTING_ACT_DETAILED","FQ4 2015","FQ4 2015","Currency=USD","Period=FQ","BEST_FPERIOD_OVERRIDE=FQ","FILING_STATUS=MR","SCALING_FORMAT=MLN","Sort=A","Dates=H","DateFormat=P","Fill=—","Direction=H","UseDPDF=Y")</f>
        <v>-224</v>
      </c>
      <c r="AE36" s="13">
        <f>_xll.BDH("AMZN US Equity","OTHER_INVESTING_ACT_DETAILED","FQ1 2016","FQ1 2016","Currency=USD","Period=FQ","BEST_FPERIOD_OVERRIDE=FQ","FILING_STATUS=MR","SCALING_FORMAT=MLN","Sort=A","Dates=H","DateFormat=P","Fill=—","Direction=H","UseDPDF=Y")</f>
        <v>502</v>
      </c>
      <c r="AF36" s="13">
        <f>_xll.BDH("AMZN US Equity","OTHER_INVESTING_ACT_DETAILED","FQ2 2016","FQ2 2016","Currency=USD","Period=FQ","BEST_FPERIOD_OVERRIDE=FQ","FILING_STATUS=MR","SCALING_FORMAT=MLN","Sort=A","Dates=H","DateFormat=P","Fill=—","Direction=H","UseDPDF=Y")</f>
        <v>-714</v>
      </c>
      <c r="AG36" s="13">
        <f>_xll.BDH("AMZN US Equity","OTHER_INVESTING_ACT_DETAILED","FQ3 2016","FQ3 2016","Currency=USD","Period=FQ","BEST_FPERIOD_OVERRIDE=FQ","FILING_STATUS=MR","SCALING_FORMAT=MLN","Sort=A","Dates=H","DateFormat=P","Fill=—","Direction=H","UseDPDF=Y")</f>
        <v>-645</v>
      </c>
      <c r="AH36" s="13">
        <f>_xll.BDH("AMZN US Equity","OTHER_INVESTING_ACT_DETAILED","FQ4 2016","FQ4 2016","Currency=USD","Period=FQ","BEST_FPERIOD_OVERRIDE=FQ","FILING_STATUS=MR","SCALING_FORMAT=MLN","Sort=A","Dates=H","DateFormat=P","Fill=—","Direction=H","UseDPDF=Y")</f>
        <v>-2166</v>
      </c>
      <c r="AI36" s="13">
        <f>_xll.BDH("AMZN US Equity","OTHER_INVESTING_ACT_DETAILED","FQ1 2017","FQ1 2017","Currency=USD","Period=FQ","BEST_FPERIOD_OVERRIDE=FQ","FILING_STATUS=MR","SCALING_FORMAT=MLN","Sort=A","Dates=H","DateFormat=P","Fill=—","Direction=H","UseDPDF=Y")</f>
        <v>556</v>
      </c>
      <c r="AJ36" s="13">
        <f>_xll.BDH("AMZN US Equity","OTHER_INVESTING_ACT_DETAILED","FQ2 2017","FQ2 2017","Currency=USD","Period=FQ","BEST_FPERIOD_OVERRIDE=FQ","FILING_STATUS=MR","SCALING_FORMAT=MLN","Sort=A","Dates=H","DateFormat=P","Fill=—","Direction=H","UseDPDF=Y")</f>
        <v>-2140</v>
      </c>
      <c r="AK36" s="13">
        <f>_xll.BDH("AMZN US Equity","OTHER_INVESTING_ACT_DETAILED","FQ3 2017","FQ3 2017","Currency=USD","Period=FQ","BEST_FPERIOD_OVERRIDE=FQ","FILING_STATUS=MR","SCALING_FORMAT=MLN","Sort=A","Dates=H","DateFormat=P","Fill=—","Direction=H","UseDPDF=Y")</f>
        <v>-3248</v>
      </c>
      <c r="AL36" s="13">
        <f>_xll.BDH("AMZN US Equity","OTHER_INVESTING_ACT_DETAILED","FQ4 2017","FQ4 2017","Currency=USD","Period=FQ","BEST_FPERIOD_OVERRIDE=FQ","FILING_STATUS=MR","SCALING_FORMAT=MLN","Sort=A","Dates=H","DateFormat=P","Fill=—","Direction=H","UseDPDF=Y")</f>
        <v>1085</v>
      </c>
      <c r="AM36" s="13">
        <f>_xll.BDH("AMZN US Equity","OTHER_INVESTING_ACT_DETAILED","FQ1 2018","FQ1 2018","Currency=USD","Period=FQ","BEST_FPERIOD_OVERRIDE=FQ","FILING_STATUS=MR","SCALING_FORMAT=MLN","Sort=A","Dates=H","DateFormat=P","Fill=—","Direction=H","UseDPDF=Y")</f>
        <v>2207</v>
      </c>
      <c r="AN36" s="13">
        <f>_xll.BDH("AMZN US Equity","OTHER_INVESTING_ACT_DETAILED","FQ2 2018","FQ2 2018","Currency=USD","Period=FQ","BEST_FPERIOD_OVERRIDE=FQ","FILING_STATUS=MR","SCALING_FORMAT=MLN","Sort=A","Dates=H","DateFormat=P","Fill=—","Direction=H","UseDPDF=Y")</f>
        <v>1123</v>
      </c>
    </row>
    <row r="37" spans="1:40" x14ac:dyDescent="0.25">
      <c r="A37" s="10" t="s">
        <v>385</v>
      </c>
      <c r="B37" s="10" t="s">
        <v>419</v>
      </c>
      <c r="C37" s="13">
        <f>_xll.BDH("AMZN US Equity","CF_NET_CASH_DISCONTINUED_OPS_INV","FQ1 2009","FQ1 2009","Currency=USD","Period=FQ","BEST_FPERIOD_OVERRIDE=FQ","FILING_STATUS=MR","SCALING_FORMAT=MLN","Sort=A","Dates=H","DateFormat=P","Fill=—","Direction=H","UseDPDF=Y")</f>
        <v>0</v>
      </c>
      <c r="D37" s="13">
        <f>_xll.BDH("AMZN US Equity","CF_NET_CASH_DISCONTINUED_OPS_INV","FQ2 2009","FQ2 2009","Currency=USD","Period=FQ","BEST_FPERIOD_OVERRIDE=FQ","FILING_STATUS=MR","SCALING_FORMAT=MLN","Sort=A","Dates=H","DateFormat=P","Fill=—","Direction=H","UseDPDF=Y")</f>
        <v>0</v>
      </c>
      <c r="E37" s="13">
        <f>_xll.BDH("AMZN US Equity","CF_NET_CASH_DISCONTINUED_OPS_INV","FQ3 2009","FQ3 2009","Currency=USD","Period=FQ","BEST_FPERIOD_OVERRIDE=FQ","FILING_STATUS=MR","SCALING_FORMAT=MLN","Sort=A","Dates=H","DateFormat=P","Fill=—","Direction=H","UseDPDF=Y")</f>
        <v>0</v>
      </c>
      <c r="F37" s="13">
        <f>_xll.BDH("AMZN US Equity","CF_NET_CASH_DISCONTINUED_OPS_INV","FQ4 2009","FQ4 2009","Currency=USD","Period=FQ","BEST_FPERIOD_OVERRIDE=FQ","FILING_STATUS=MR","SCALING_FORMAT=MLN","Sort=A","Dates=H","DateFormat=P","Fill=—","Direction=H","UseDPDF=Y")</f>
        <v>0</v>
      </c>
      <c r="G37" s="13">
        <f>_xll.BDH("AMZN US Equity","CF_NET_CASH_DISCONTINUED_OPS_INV","FQ1 2010","FQ1 2010","Currency=USD","Period=FQ","BEST_FPERIOD_OVERRIDE=FQ","FILING_STATUS=MR","SCALING_FORMAT=MLN","Sort=A","Dates=H","DateFormat=P","Fill=—","Direction=H","UseDPDF=Y")</f>
        <v>0</v>
      </c>
      <c r="H37" s="13">
        <f>_xll.BDH("AMZN US Equity","CF_NET_CASH_DISCONTINUED_OPS_INV","FQ2 2010","FQ2 2010","Currency=USD","Period=FQ","BEST_FPERIOD_OVERRIDE=FQ","FILING_STATUS=MR","SCALING_FORMAT=MLN","Sort=A","Dates=H","DateFormat=P","Fill=—","Direction=H","UseDPDF=Y")</f>
        <v>0</v>
      </c>
      <c r="I37" s="13">
        <f>_xll.BDH("AMZN US Equity","CF_NET_CASH_DISCONTINUED_OPS_INV","FQ3 2010","FQ3 2010","Currency=USD","Period=FQ","BEST_FPERIOD_OVERRIDE=FQ","FILING_STATUS=MR","SCALING_FORMAT=MLN","Sort=A","Dates=H","DateFormat=P","Fill=—","Direction=H","UseDPDF=Y")</f>
        <v>0</v>
      </c>
      <c r="J37" s="13">
        <f>_xll.BDH("AMZN US Equity","CF_NET_CASH_DISCONTINUED_OPS_INV","FQ4 2010","FQ4 2010","Currency=USD","Period=FQ","BEST_FPERIOD_OVERRIDE=FQ","FILING_STATUS=MR","SCALING_FORMAT=MLN","Sort=A","Dates=H","DateFormat=P","Fill=—","Direction=H","UseDPDF=Y")</f>
        <v>0</v>
      </c>
      <c r="K37" s="13">
        <f>_xll.BDH("AMZN US Equity","CF_NET_CASH_DISCONTINUED_OPS_INV","FQ1 2011","FQ1 2011","Currency=USD","Period=FQ","BEST_FPERIOD_OVERRIDE=FQ","FILING_STATUS=MR","SCALING_FORMAT=MLN","Sort=A","Dates=H","DateFormat=P","Fill=—","Direction=H","UseDPDF=Y")</f>
        <v>0</v>
      </c>
      <c r="L37" s="13">
        <f>_xll.BDH("AMZN US Equity","CF_NET_CASH_DISCONTINUED_OPS_INV","FQ2 2011","FQ2 2011","Currency=USD","Period=FQ","BEST_FPERIOD_OVERRIDE=FQ","FILING_STATUS=MR","SCALING_FORMAT=MLN","Sort=A","Dates=H","DateFormat=P","Fill=—","Direction=H","UseDPDF=Y")</f>
        <v>0</v>
      </c>
      <c r="M37" s="13">
        <f>_xll.BDH("AMZN US Equity","CF_NET_CASH_DISCONTINUED_OPS_INV","FQ3 2011","FQ3 2011","Currency=USD","Period=FQ","BEST_FPERIOD_OVERRIDE=FQ","FILING_STATUS=MR","SCALING_FORMAT=MLN","Sort=A","Dates=H","DateFormat=P","Fill=—","Direction=H","UseDPDF=Y")</f>
        <v>0</v>
      </c>
      <c r="N37" s="13">
        <f>_xll.BDH("AMZN US Equity","CF_NET_CASH_DISCONTINUED_OPS_INV","FQ4 2011","FQ4 2011","Currency=USD","Period=FQ","BEST_FPERIOD_OVERRIDE=FQ","FILING_STATUS=MR","SCALING_FORMAT=MLN","Sort=A","Dates=H","DateFormat=P","Fill=—","Direction=H","UseDPDF=Y")</f>
        <v>0</v>
      </c>
      <c r="O37" s="13">
        <f>_xll.BDH("AMZN US Equity","CF_NET_CASH_DISCONTINUED_OPS_INV","FQ1 2012","FQ1 2012","Currency=USD","Period=FQ","BEST_FPERIOD_OVERRIDE=FQ","FILING_STATUS=MR","SCALING_FORMAT=MLN","Sort=A","Dates=H","DateFormat=P","Fill=—","Direction=H","UseDPDF=Y")</f>
        <v>0</v>
      </c>
      <c r="P37" s="13">
        <f>_xll.BDH("AMZN US Equity","CF_NET_CASH_DISCONTINUED_OPS_INV","FQ2 2012","FQ2 2012","Currency=USD","Period=FQ","BEST_FPERIOD_OVERRIDE=FQ","FILING_STATUS=MR","SCALING_FORMAT=MLN","Sort=A","Dates=H","DateFormat=P","Fill=—","Direction=H","UseDPDF=Y")</f>
        <v>0</v>
      </c>
      <c r="Q37" s="13">
        <f>_xll.BDH("AMZN US Equity","CF_NET_CASH_DISCONTINUED_OPS_INV","FQ3 2012","FQ3 2012","Currency=USD","Period=FQ","BEST_FPERIOD_OVERRIDE=FQ","FILING_STATUS=MR","SCALING_FORMAT=MLN","Sort=A","Dates=H","DateFormat=P","Fill=—","Direction=H","UseDPDF=Y")</f>
        <v>0</v>
      </c>
      <c r="R37" s="13">
        <f>_xll.BDH("AMZN US Equity","CF_NET_CASH_DISCONTINUED_OPS_INV","FQ4 2012","FQ4 2012","Currency=USD","Period=FQ","BEST_FPERIOD_OVERRIDE=FQ","FILING_STATUS=MR","SCALING_FORMAT=MLN","Sort=A","Dates=H","DateFormat=P","Fill=—","Direction=H","UseDPDF=Y")</f>
        <v>0</v>
      </c>
      <c r="S37" s="13">
        <f>_xll.BDH("AMZN US Equity","CF_NET_CASH_DISCONTINUED_OPS_INV","FQ1 2013","FQ1 2013","Currency=USD","Period=FQ","BEST_FPERIOD_OVERRIDE=FQ","FILING_STATUS=MR","SCALING_FORMAT=MLN","Sort=A","Dates=H","DateFormat=P","Fill=—","Direction=H","UseDPDF=Y")</f>
        <v>0</v>
      </c>
      <c r="T37" s="13">
        <f>_xll.BDH("AMZN US Equity","CF_NET_CASH_DISCONTINUED_OPS_INV","FQ2 2013","FQ2 2013","Currency=USD","Period=FQ","BEST_FPERIOD_OVERRIDE=FQ","FILING_STATUS=MR","SCALING_FORMAT=MLN","Sort=A","Dates=H","DateFormat=P","Fill=—","Direction=H","UseDPDF=Y")</f>
        <v>0</v>
      </c>
      <c r="U37" s="13">
        <f>_xll.BDH("AMZN US Equity","CF_NET_CASH_DISCONTINUED_OPS_INV","FQ3 2013","FQ3 2013","Currency=USD","Period=FQ","BEST_FPERIOD_OVERRIDE=FQ","FILING_STATUS=MR","SCALING_FORMAT=MLN","Sort=A","Dates=H","DateFormat=P","Fill=—","Direction=H","UseDPDF=Y")</f>
        <v>0</v>
      </c>
      <c r="V37" s="13">
        <f>_xll.BDH("AMZN US Equity","CF_NET_CASH_DISCONTINUED_OPS_INV","FQ4 2013","FQ4 2013","Currency=USD","Period=FQ","BEST_FPERIOD_OVERRIDE=FQ","FILING_STATUS=MR","SCALING_FORMAT=MLN","Sort=A","Dates=H","DateFormat=P","Fill=—","Direction=H","UseDPDF=Y")</f>
        <v>0</v>
      </c>
      <c r="W37" s="13">
        <f>_xll.BDH("AMZN US Equity","CF_NET_CASH_DISCONTINUED_OPS_INV","FQ1 2014","FQ1 2014","Currency=USD","Period=FQ","BEST_FPERIOD_OVERRIDE=FQ","FILING_STATUS=MR","SCALING_FORMAT=MLN","Sort=A","Dates=H","DateFormat=P","Fill=—","Direction=H","UseDPDF=Y")</f>
        <v>0</v>
      </c>
      <c r="X37" s="13">
        <f>_xll.BDH("AMZN US Equity","CF_NET_CASH_DISCONTINUED_OPS_INV","FQ2 2014","FQ2 2014","Currency=USD","Period=FQ","BEST_FPERIOD_OVERRIDE=FQ","FILING_STATUS=MR","SCALING_FORMAT=MLN","Sort=A","Dates=H","DateFormat=P","Fill=—","Direction=H","UseDPDF=Y")</f>
        <v>0</v>
      </c>
      <c r="Y37" s="13">
        <f>_xll.BDH("AMZN US Equity","CF_NET_CASH_DISCONTINUED_OPS_INV","FQ3 2014","FQ3 2014","Currency=USD","Period=FQ","BEST_FPERIOD_OVERRIDE=FQ","FILING_STATUS=MR","SCALING_FORMAT=MLN","Sort=A","Dates=H","DateFormat=P","Fill=—","Direction=H","UseDPDF=Y")</f>
        <v>0</v>
      </c>
      <c r="Z37" s="13">
        <f>_xll.BDH("AMZN US Equity","CF_NET_CASH_DISCONTINUED_OPS_INV","FQ4 2014","FQ4 2014","Currency=USD","Period=FQ","BEST_FPERIOD_OVERRIDE=FQ","FILING_STATUS=MR","SCALING_FORMAT=MLN","Sort=A","Dates=H","DateFormat=P","Fill=—","Direction=H","UseDPDF=Y")</f>
        <v>0</v>
      </c>
      <c r="AA37" s="13">
        <f>_xll.BDH("AMZN US Equity","CF_NET_CASH_DISCONTINUED_OPS_INV","FQ1 2015","FQ1 2015","Currency=USD","Period=FQ","BEST_FPERIOD_OVERRIDE=FQ","FILING_STATUS=MR","SCALING_FORMAT=MLN","Sort=A","Dates=H","DateFormat=P","Fill=—","Direction=H","UseDPDF=Y")</f>
        <v>0</v>
      </c>
      <c r="AB37" s="13">
        <f>_xll.BDH("AMZN US Equity","CF_NET_CASH_DISCONTINUED_OPS_INV","FQ2 2015","FQ2 2015","Currency=USD","Period=FQ","BEST_FPERIOD_OVERRIDE=FQ","FILING_STATUS=MR","SCALING_FORMAT=MLN","Sort=A","Dates=H","DateFormat=P","Fill=—","Direction=H","UseDPDF=Y")</f>
        <v>0</v>
      </c>
      <c r="AC37" s="13">
        <f>_xll.BDH("AMZN US Equity","CF_NET_CASH_DISCONTINUED_OPS_INV","FQ3 2015","FQ3 2015","Currency=USD","Period=FQ","BEST_FPERIOD_OVERRIDE=FQ","FILING_STATUS=MR","SCALING_FORMAT=MLN","Sort=A","Dates=H","DateFormat=P","Fill=—","Direction=H","UseDPDF=Y")</f>
        <v>0</v>
      </c>
      <c r="AD37" s="13">
        <f>_xll.BDH("AMZN US Equity","CF_NET_CASH_DISCONTINUED_OPS_INV","FQ4 2015","FQ4 2015","Currency=USD","Period=FQ","BEST_FPERIOD_OVERRIDE=FQ","FILING_STATUS=MR","SCALING_FORMAT=MLN","Sort=A","Dates=H","DateFormat=P","Fill=—","Direction=H","UseDPDF=Y")</f>
        <v>0</v>
      </c>
      <c r="AE37" s="13">
        <f>_xll.BDH("AMZN US Equity","CF_NET_CASH_DISCONTINUED_OPS_INV","FQ1 2016","FQ1 2016","Currency=USD","Period=FQ","BEST_FPERIOD_OVERRIDE=FQ","FILING_STATUS=MR","SCALING_FORMAT=MLN","Sort=A","Dates=H","DateFormat=P","Fill=—","Direction=H","UseDPDF=Y")</f>
        <v>0</v>
      </c>
      <c r="AF37" s="13">
        <f>_xll.BDH("AMZN US Equity","CF_NET_CASH_DISCONTINUED_OPS_INV","FQ2 2016","FQ2 2016","Currency=USD","Period=FQ","BEST_FPERIOD_OVERRIDE=FQ","FILING_STATUS=MR","SCALING_FORMAT=MLN","Sort=A","Dates=H","DateFormat=P","Fill=—","Direction=H","UseDPDF=Y")</f>
        <v>0</v>
      </c>
      <c r="AG37" s="13">
        <f>_xll.BDH("AMZN US Equity","CF_NET_CASH_DISCONTINUED_OPS_INV","FQ3 2016","FQ3 2016","Currency=USD","Period=FQ","BEST_FPERIOD_OVERRIDE=FQ","FILING_STATUS=MR","SCALING_FORMAT=MLN","Sort=A","Dates=H","DateFormat=P","Fill=—","Direction=H","UseDPDF=Y")</f>
        <v>0</v>
      </c>
      <c r="AH37" s="13">
        <f>_xll.BDH("AMZN US Equity","CF_NET_CASH_DISCONTINUED_OPS_INV","FQ4 2016","FQ4 2016","Currency=USD","Period=FQ","BEST_FPERIOD_OVERRIDE=FQ","FILING_STATUS=MR","SCALING_FORMAT=MLN","Sort=A","Dates=H","DateFormat=P","Fill=—","Direction=H","UseDPDF=Y")</f>
        <v>0</v>
      </c>
      <c r="AI37" s="13">
        <f>_xll.BDH("AMZN US Equity","CF_NET_CASH_DISCONTINUED_OPS_INV","FQ1 2017","FQ1 2017","Currency=USD","Period=FQ","BEST_FPERIOD_OVERRIDE=FQ","FILING_STATUS=MR","SCALING_FORMAT=MLN","Sort=A","Dates=H","DateFormat=P","Fill=—","Direction=H","UseDPDF=Y")</f>
        <v>0</v>
      </c>
      <c r="AJ37" s="13">
        <f>_xll.BDH("AMZN US Equity","CF_NET_CASH_DISCONTINUED_OPS_INV","FQ2 2017","FQ2 2017","Currency=USD","Period=FQ","BEST_FPERIOD_OVERRIDE=FQ","FILING_STATUS=MR","SCALING_FORMAT=MLN","Sort=A","Dates=H","DateFormat=P","Fill=—","Direction=H","UseDPDF=Y")</f>
        <v>0</v>
      </c>
      <c r="AK37" s="13">
        <f>_xll.BDH("AMZN US Equity","CF_NET_CASH_DISCONTINUED_OPS_INV","FQ3 2017","FQ3 2017","Currency=USD","Period=FQ","BEST_FPERIOD_OVERRIDE=FQ","FILING_STATUS=MR","SCALING_FORMAT=MLN","Sort=A","Dates=H","DateFormat=P","Fill=—","Direction=H","UseDPDF=Y")</f>
        <v>0</v>
      </c>
      <c r="AL37" s="13">
        <f>_xll.BDH("AMZN US Equity","CF_NET_CASH_DISCONTINUED_OPS_INV","FQ4 2017","FQ4 2017","Currency=USD","Period=FQ","BEST_FPERIOD_OVERRIDE=FQ","FILING_STATUS=MR","SCALING_FORMAT=MLN","Sort=A","Dates=H","DateFormat=P","Fill=—","Direction=H","UseDPDF=Y")</f>
        <v>0</v>
      </c>
      <c r="AM37" s="13">
        <f>_xll.BDH("AMZN US Equity","CF_NET_CASH_DISCONTINUED_OPS_INV","FQ1 2018","FQ1 2018","Currency=USD","Period=FQ","BEST_FPERIOD_OVERRIDE=FQ","FILING_STATUS=MR","SCALING_FORMAT=MLN","Sort=A","Dates=H","DateFormat=P","Fill=—","Direction=H","UseDPDF=Y")</f>
        <v>0</v>
      </c>
      <c r="AN37" s="13">
        <f>_xll.BDH("AMZN US Equity","CF_NET_CASH_DISCONTINUED_OPS_INV","FQ2 2018","FQ2 2018","Currency=USD","Period=FQ","BEST_FPERIOD_OVERRIDE=FQ","FILING_STATUS=MR","SCALING_FORMAT=MLN","Sort=A","Dates=H","DateFormat=P","Fill=—","Direction=H","UseDPDF=Y")</f>
        <v>0</v>
      </c>
    </row>
    <row r="38" spans="1:40" x14ac:dyDescent="0.25">
      <c r="A38" s="6" t="s">
        <v>388</v>
      </c>
      <c r="B38" s="6" t="s">
        <v>420</v>
      </c>
      <c r="C38" s="17">
        <f>_xll.BDH("AMZN US Equity","CF_CASH_FROM_INV_ACT","FQ1 2009","FQ1 2009","Currency=USD","Period=FQ","BEST_FPERIOD_OVERRIDE=FQ","FILING_STATUS=MR","SCALING_FORMAT=MLN","Sort=A","Dates=H","DateFormat=P","Fill=—","Direction=H","UseDPDF=Y")</f>
        <v>-147</v>
      </c>
      <c r="D38" s="17">
        <f>_xll.BDH("AMZN US Equity","CF_CASH_FROM_INV_ACT","FQ2 2009","FQ2 2009","Currency=USD","Period=FQ","BEST_FPERIOD_OVERRIDE=FQ","FILING_STATUS=MR","SCALING_FORMAT=MLN","Sort=A","Dates=H","DateFormat=P","Fill=—","Direction=H","UseDPDF=Y")</f>
        <v>-279</v>
      </c>
      <c r="E38" s="17">
        <f>_xll.BDH("AMZN US Equity","CF_CASH_FROM_INV_ACT","FQ3 2009","FQ3 2009","Currency=USD","Period=FQ","BEST_FPERIOD_OVERRIDE=FQ","FILING_STATUS=MR","SCALING_FORMAT=MLN","Sort=A","Dates=H","DateFormat=P","Fill=—","Direction=H","UseDPDF=Y")</f>
        <v>-302</v>
      </c>
      <c r="F38" s="17">
        <f>_xll.BDH("AMZN US Equity","CF_CASH_FROM_INV_ACT","FQ4 2009","FQ4 2009","Currency=USD","Period=FQ","BEST_FPERIOD_OVERRIDE=FQ","FILING_STATUS=MR","SCALING_FORMAT=MLN","Sort=A","Dates=H","DateFormat=P","Fill=—","Direction=H","UseDPDF=Y")</f>
        <v>-1608</v>
      </c>
      <c r="G38" s="17">
        <f>_xll.BDH("AMZN US Equity","CF_CASH_FROM_INV_ACT","FQ1 2010","FQ1 2010","Currency=USD","Period=FQ","BEST_FPERIOD_OVERRIDE=FQ","FILING_STATUS=MR","SCALING_FORMAT=MLN","Sort=A","Dates=H","DateFormat=P","Fill=—","Direction=H","UseDPDF=Y")</f>
        <v>-542</v>
      </c>
      <c r="H38" s="17">
        <f>_xll.BDH("AMZN US Equity","CF_CASH_FROM_INV_ACT","FQ2 2010","FQ2 2010","Currency=USD","Period=FQ","BEST_FPERIOD_OVERRIDE=FQ","FILING_STATUS=MR","SCALING_FORMAT=MLN","Sort=A","Dates=H","DateFormat=P","Fill=—","Direction=H","UseDPDF=Y")</f>
        <v>-475</v>
      </c>
      <c r="I38" s="17">
        <f>_xll.BDH("AMZN US Equity","CF_CASH_FROM_INV_ACT","FQ3 2010","FQ3 2010","Currency=USD","Period=FQ","BEST_FPERIOD_OVERRIDE=FQ","FILING_STATUS=MR","SCALING_FORMAT=MLN","Sort=A","Dates=H","DateFormat=P","Fill=—","Direction=H","UseDPDF=Y")</f>
        <v>-1128</v>
      </c>
      <c r="J38" s="17">
        <f>_xll.BDH("AMZN US Equity","CF_CASH_FROM_INV_ACT","FQ4 2010","FQ4 2010","Currency=USD","Period=FQ","BEST_FPERIOD_OVERRIDE=FQ","FILING_STATUS=MR","SCALING_FORMAT=MLN","Sort=A","Dates=H","DateFormat=P","Fill=—","Direction=H","UseDPDF=Y")</f>
        <v>-1215</v>
      </c>
      <c r="K38" s="17">
        <f>_xll.BDH("AMZN US Equity","CF_CASH_FROM_INV_ACT","FQ1 2011","FQ1 2011","Currency=USD","Period=FQ","BEST_FPERIOD_OVERRIDE=FQ","FILING_STATUS=MR","SCALING_FORMAT=MLN","Sort=A","Dates=H","DateFormat=P","Fill=—","Direction=H","UseDPDF=Y")</f>
        <v>390</v>
      </c>
      <c r="L38" s="17">
        <f>_xll.BDH("AMZN US Equity","CF_CASH_FROM_INV_ACT","FQ2 2011","FQ2 2011","Currency=USD","Period=FQ","BEST_FPERIOD_OVERRIDE=FQ","FILING_STATUS=MR","SCALING_FORMAT=MLN","Sort=A","Dates=H","DateFormat=P","Fill=—","Direction=H","UseDPDF=Y")</f>
        <v>-951</v>
      </c>
      <c r="M38" s="17">
        <f>_xll.BDH("AMZN US Equity","CF_CASH_FROM_INV_ACT","FQ3 2011","FQ3 2011","Currency=USD","Period=FQ","BEST_FPERIOD_OVERRIDE=FQ","FILING_STATUS=MR","SCALING_FORMAT=MLN","Sort=A","Dates=H","DateFormat=P","Fill=—","Direction=H","UseDPDF=Y")</f>
        <v>100</v>
      </c>
      <c r="N38" s="17">
        <f>_xll.BDH("AMZN US Equity","CF_CASH_FROM_INV_ACT","FQ4 2011","FQ4 2011","Currency=USD","Period=FQ","BEST_FPERIOD_OVERRIDE=FQ","FILING_STATUS=MR","SCALING_FORMAT=MLN","Sort=A","Dates=H","DateFormat=P","Fill=—","Direction=H","UseDPDF=Y")</f>
        <v>-1469</v>
      </c>
      <c r="O38" s="17">
        <f>_xll.BDH("AMZN US Equity","CF_CASH_FROM_INV_ACT","FQ1 2012","FQ1 2012","Currency=USD","Period=FQ","BEST_FPERIOD_OVERRIDE=FQ","FILING_STATUS=MR","SCALING_FORMAT=MLN","Sort=A","Dates=H","DateFormat=P","Fill=—","Direction=H","UseDPDF=Y")</f>
        <v>450</v>
      </c>
      <c r="P38" s="17">
        <f>_xll.BDH("AMZN US Equity","CF_CASH_FROM_INV_ACT","FQ2 2012","FQ2 2012","Currency=USD","Period=FQ","BEST_FPERIOD_OVERRIDE=FQ","FILING_STATUS=MR","SCALING_FORMAT=MLN","Sort=A","Dates=H","DateFormat=P","Fill=—","Direction=H","UseDPDF=Y")</f>
        <v>-595</v>
      </c>
      <c r="Q38" s="17">
        <f>_xll.BDH("AMZN US Equity","CF_CASH_FROM_INV_ACT","FQ3 2012","FQ3 2012","Currency=USD","Period=FQ","BEST_FPERIOD_OVERRIDE=FQ","FILING_STATUS=MR","SCALING_FORMAT=MLN","Sort=A","Dates=H","DateFormat=P","Fill=—","Direction=H","UseDPDF=Y")</f>
        <v>-369</v>
      </c>
      <c r="R38" s="17">
        <f>_xll.BDH("AMZN US Equity","CF_CASH_FROM_INV_ACT","FQ4 2012","FQ4 2012","Currency=USD","Period=FQ","BEST_FPERIOD_OVERRIDE=FQ","FILING_STATUS=MR","SCALING_FORMAT=MLN","Sort=A","Dates=H","DateFormat=P","Fill=—","Direction=H","UseDPDF=Y")</f>
        <v>-3082</v>
      </c>
      <c r="S38" s="17">
        <f>_xll.BDH("AMZN US Equity","CF_CASH_FROM_INV_ACT","FQ1 2013","FQ1 2013","Currency=USD","Period=FQ","BEST_FPERIOD_OVERRIDE=FQ","FILING_STATUS=MR","SCALING_FORMAT=MLN","Sort=A","Dates=H","DateFormat=P","Fill=—","Direction=H","UseDPDF=Y")</f>
        <v>-950</v>
      </c>
      <c r="T38" s="17">
        <f>_xll.BDH("AMZN US Equity","CF_CASH_FROM_INV_ACT","FQ2 2013","FQ2 2013","Currency=USD","Period=FQ","BEST_FPERIOD_OVERRIDE=FQ","FILING_STATUS=MR","SCALING_FORMAT=MLN","Sort=A","Dates=H","DateFormat=P","Fill=—","Direction=H","UseDPDF=Y")</f>
        <v>-1420</v>
      </c>
      <c r="U38" s="17">
        <f>_xll.BDH("AMZN US Equity","CF_CASH_FROM_INV_ACT","FQ3 2013","FQ3 2013","Currency=USD","Period=FQ","BEST_FPERIOD_OVERRIDE=FQ","FILING_STATUS=MR","SCALING_FORMAT=MLN","Sort=A","Dates=H","DateFormat=P","Fill=—","Direction=H","UseDPDF=Y")</f>
        <v>-1063</v>
      </c>
      <c r="V38" s="17">
        <f>_xll.BDH("AMZN US Equity","CF_CASH_FROM_INV_ACT","FQ4 2013","FQ4 2013","Currency=USD","Period=FQ","BEST_FPERIOD_OVERRIDE=FQ","FILING_STATUS=MR","SCALING_FORMAT=MLN","Sort=A","Dates=H","DateFormat=P","Fill=—","Direction=H","UseDPDF=Y")</f>
        <v>-843</v>
      </c>
      <c r="W38" s="17">
        <f>_xll.BDH("AMZN US Equity","CF_CASH_FROM_INV_ACT","FQ1 2014","FQ1 2014","Currency=USD","Period=FQ","BEST_FPERIOD_OVERRIDE=FQ","FILING_STATUS=MR","SCALING_FORMAT=MLN","Sort=A","Dates=H","DateFormat=P","Fill=—","Direction=H","UseDPDF=Y")</f>
        <v>-924</v>
      </c>
      <c r="X38" s="17">
        <f>_xll.BDH("AMZN US Equity","CF_CASH_FROM_INV_ACT","FQ2 2014","FQ2 2014","Currency=USD","Period=FQ","BEST_FPERIOD_OVERRIDE=FQ","FILING_STATUS=MR","SCALING_FORMAT=MLN","Sort=A","Dates=H","DateFormat=P","Fill=—","Direction=H","UseDPDF=Y")</f>
        <v>-731</v>
      </c>
      <c r="Y38" s="17">
        <f>_xll.BDH("AMZN US Equity","CF_CASH_FROM_INV_ACT","FQ3 2014","FQ3 2014","Currency=USD","Period=FQ","BEST_FPERIOD_OVERRIDE=FQ","FILING_STATUS=MR","SCALING_FORMAT=MLN","Sort=A","Dates=H","DateFormat=P","Fill=—","Direction=H","UseDPDF=Y")</f>
        <v>-946</v>
      </c>
      <c r="Z38" s="17">
        <f>_xll.BDH("AMZN US Equity","CF_CASH_FROM_INV_ACT","FQ4 2014","FQ4 2014","Currency=USD","Period=FQ","BEST_FPERIOD_OVERRIDE=FQ","FILING_STATUS=MR","SCALING_FORMAT=MLN","Sort=A","Dates=H","DateFormat=P","Fill=—","Direction=H","UseDPDF=Y")</f>
        <v>-2465</v>
      </c>
      <c r="AA38" s="17">
        <f>_xll.BDH("AMZN US Equity","CF_CASH_FROM_INV_ACT","FQ1 2015","FQ1 2015","Currency=USD","Period=FQ","BEST_FPERIOD_OVERRIDE=FQ","FILING_STATUS=MR","SCALING_FORMAT=MLN","Sort=A","Dates=H","DateFormat=P","Fill=—","Direction=H","UseDPDF=Y")</f>
        <v>-1847</v>
      </c>
      <c r="AB38" s="17">
        <f>_xll.BDH("AMZN US Equity","CF_CASH_FROM_INV_ACT","FQ2 2015","FQ2 2015","Currency=USD","Period=FQ","BEST_FPERIOD_OVERRIDE=FQ","FILING_STATUS=MR","SCALING_FORMAT=MLN","Sort=A","Dates=H","DateFormat=P","Fill=—","Direction=H","UseDPDF=Y")</f>
        <v>-1376</v>
      </c>
      <c r="AC38" s="17">
        <f>_xll.BDH("AMZN US Equity","CF_CASH_FROM_INV_ACT","FQ3 2015","FQ3 2015","Currency=USD","Period=FQ","BEST_FPERIOD_OVERRIDE=FQ","FILING_STATUS=MR","SCALING_FORMAT=MLN","Sort=A","Dates=H","DateFormat=P","Fill=—","Direction=H","UseDPDF=Y")</f>
        <v>-1377</v>
      </c>
      <c r="AD38" s="17">
        <f>_xll.BDH("AMZN US Equity","CF_CASH_FROM_INV_ACT","FQ4 2015","FQ4 2015","Currency=USD","Period=FQ","BEST_FPERIOD_OVERRIDE=FQ","FILING_STATUS=MR","SCALING_FORMAT=MLN","Sort=A","Dates=H","DateFormat=P","Fill=—","Direction=H","UseDPDF=Y")</f>
        <v>-1850</v>
      </c>
      <c r="AE38" s="17">
        <f>_xll.BDH("AMZN US Equity","CF_CASH_FROM_INV_ACT","FQ1 2016","FQ1 2016","Currency=USD","Period=FQ","BEST_FPERIOD_OVERRIDE=FQ","FILING_STATUS=MR","SCALING_FORMAT=MLN","Sort=A","Dates=H","DateFormat=P","Fill=—","Direction=H","UseDPDF=Y")</f>
        <v>-693</v>
      </c>
      <c r="AF38" s="17">
        <f>_xll.BDH("AMZN US Equity","CF_CASH_FROM_INV_ACT","FQ2 2016","FQ2 2016","Currency=USD","Period=FQ","BEST_FPERIOD_OVERRIDE=FQ","FILING_STATUS=MR","SCALING_FORMAT=MLN","Sort=A","Dates=H","DateFormat=P","Fill=—","Direction=H","UseDPDF=Y")</f>
        <v>-2439</v>
      </c>
      <c r="AG38" s="17">
        <f>_xll.BDH("AMZN US Equity","CF_CASH_FROM_INV_ACT","FQ3 2016","FQ3 2016","Currency=USD","Period=FQ","BEST_FPERIOD_OVERRIDE=FQ","FILING_STATUS=MR","SCALING_FORMAT=MLN","Sort=A","Dates=H","DateFormat=P","Fill=—","Direction=H","UseDPDF=Y")</f>
        <v>-2570</v>
      </c>
      <c r="AH38" s="17">
        <f>_xll.BDH("AMZN US Equity","CF_CASH_FROM_INV_ACT","FQ4 2016","FQ4 2016","Currency=USD","Period=FQ","BEST_FPERIOD_OVERRIDE=FQ","FILING_STATUS=MR","SCALING_FORMAT=MLN","Sort=A","Dates=H","DateFormat=P","Fill=—","Direction=H","UseDPDF=Y")</f>
        <v>-4174</v>
      </c>
      <c r="AI38" s="17">
        <f>_xll.BDH("AMZN US Equity","CF_CASH_FROM_INV_ACT","FQ1 2017","FQ1 2017","Currency=USD","Period=FQ","BEST_FPERIOD_OVERRIDE=FQ","FILING_STATUS=MR","SCALING_FORMAT=MLN","Sort=A","Dates=H","DateFormat=P","Fill=—","Direction=H","UseDPDF=Y")</f>
        <v>-1350</v>
      </c>
      <c r="AJ38" s="17">
        <f>_xll.BDH("AMZN US Equity","CF_CASH_FROM_INV_ACT","FQ2 2017","FQ2 2017","Currency=USD","Period=FQ","BEST_FPERIOD_OVERRIDE=FQ","FILING_STATUS=MR","SCALING_FORMAT=MLN","Sort=A","Dates=H","DateFormat=P","Fill=—","Direction=H","UseDPDF=Y")</f>
        <v>-5274</v>
      </c>
      <c r="AK38" s="17">
        <f>_xll.BDH("AMZN US Equity","CF_CASH_FROM_INV_ACT","FQ3 2017","FQ3 2017","Currency=USD","Period=FQ","BEST_FPERIOD_OVERRIDE=FQ","FILING_STATUS=MR","SCALING_FORMAT=MLN","Sort=A","Dates=H","DateFormat=P","Fill=—","Direction=H","UseDPDF=Y")</f>
        <v>-19120</v>
      </c>
      <c r="AL38" s="17">
        <f>_xll.BDH("AMZN US Equity","CF_CASH_FROM_INV_ACT","FQ4 2017","FQ4 2017","Currency=USD","Period=FQ","BEST_FPERIOD_OVERRIDE=FQ","FILING_STATUS=MR","SCALING_FORMAT=MLN","Sort=A","Dates=H","DateFormat=P","Fill=—","Direction=H","UseDPDF=Y")</f>
        <v>-2032</v>
      </c>
      <c r="AM38" s="17">
        <f>_xll.BDH("AMZN US Equity","CF_CASH_FROM_INV_ACT","FQ1 2018","FQ1 2018","Currency=USD","Period=FQ","BEST_FPERIOD_OVERRIDE=FQ","FILING_STATUS=MR","SCALING_FORMAT=MLN","Sort=A","Dates=H","DateFormat=P","Fill=—","Direction=H","UseDPDF=Y")</f>
        <v>-533</v>
      </c>
      <c r="AN38" s="17">
        <f>_xll.BDH("AMZN US Equity","CF_CASH_FROM_INV_ACT","FQ2 2018","FQ2 2018","Currency=USD","Period=FQ","BEST_FPERIOD_OVERRIDE=FQ","FILING_STATUS=MR","SCALING_FORMAT=MLN","Sort=A","Dates=H","DateFormat=P","Fill=—","Direction=H","UseDPDF=Y")</f>
        <v>-2692</v>
      </c>
    </row>
    <row r="39" spans="1:40" x14ac:dyDescent="0.25">
      <c r="A39" s="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x14ac:dyDescent="0.25">
      <c r="A40" s="6" t="s">
        <v>421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x14ac:dyDescent="0.25">
      <c r="A41" s="10" t="s">
        <v>422</v>
      </c>
      <c r="B41" s="10" t="s">
        <v>423</v>
      </c>
      <c r="C41" s="13">
        <f>_xll.BDH("AMZN US Equity","CF_DVD_PAID","FQ1 2009","FQ1 2009","Currency=USD","Period=FQ","BEST_FPERIOD_OVERRIDE=FQ","FILING_STATUS=MR","SCALING_FORMAT=MLN","Sort=A","Dates=H","DateFormat=P","Fill=—","Direction=H","UseDPDF=Y")</f>
        <v>0</v>
      </c>
      <c r="D41" s="13">
        <f>_xll.BDH("AMZN US Equity","CF_DVD_PAID","FQ2 2009","FQ2 2009","Currency=USD","Period=FQ","BEST_FPERIOD_OVERRIDE=FQ","FILING_STATUS=MR","SCALING_FORMAT=MLN","Sort=A","Dates=H","DateFormat=P","Fill=—","Direction=H","UseDPDF=Y")</f>
        <v>0</v>
      </c>
      <c r="E41" s="13">
        <f>_xll.BDH("AMZN US Equity","CF_DVD_PAID","FQ3 2009","FQ3 2009","Currency=USD","Period=FQ","BEST_FPERIOD_OVERRIDE=FQ","FILING_STATUS=MR","SCALING_FORMAT=MLN","Sort=A","Dates=H","DateFormat=P","Fill=—","Direction=H","UseDPDF=Y")</f>
        <v>0</v>
      </c>
      <c r="F41" s="13">
        <f>_xll.BDH("AMZN US Equity","CF_DVD_PAID","FQ4 2009","FQ4 2009","Currency=USD","Period=FQ","BEST_FPERIOD_OVERRIDE=FQ","FILING_STATUS=MR","SCALING_FORMAT=MLN","Sort=A","Dates=H","DateFormat=P","Fill=—","Direction=H","UseDPDF=Y")</f>
        <v>0</v>
      </c>
      <c r="G41" s="13">
        <f>_xll.BDH("AMZN US Equity","CF_DVD_PAID","FQ1 2010","FQ1 2010","Currency=USD","Period=FQ","BEST_FPERIOD_OVERRIDE=FQ","FILING_STATUS=MR","SCALING_FORMAT=MLN","Sort=A","Dates=H","DateFormat=P","Fill=—","Direction=H","UseDPDF=Y")</f>
        <v>0</v>
      </c>
      <c r="H41" s="13">
        <f>_xll.BDH("AMZN US Equity","CF_DVD_PAID","FQ2 2010","FQ2 2010","Currency=USD","Period=FQ","BEST_FPERIOD_OVERRIDE=FQ","FILING_STATUS=MR","SCALING_FORMAT=MLN","Sort=A","Dates=H","DateFormat=P","Fill=—","Direction=H","UseDPDF=Y")</f>
        <v>0</v>
      </c>
      <c r="I41" s="13">
        <f>_xll.BDH("AMZN US Equity","CF_DVD_PAID","FQ3 2010","FQ3 2010","Currency=USD","Period=FQ","BEST_FPERIOD_OVERRIDE=FQ","FILING_STATUS=MR","SCALING_FORMAT=MLN","Sort=A","Dates=H","DateFormat=P","Fill=—","Direction=H","UseDPDF=Y")</f>
        <v>0</v>
      </c>
      <c r="J41" s="13">
        <f>_xll.BDH("AMZN US Equity","CF_DVD_PAID","FQ4 2010","FQ4 2010","Currency=USD","Period=FQ","BEST_FPERIOD_OVERRIDE=FQ","FILING_STATUS=MR","SCALING_FORMAT=MLN","Sort=A","Dates=H","DateFormat=P","Fill=—","Direction=H","UseDPDF=Y")</f>
        <v>0</v>
      </c>
      <c r="K41" s="13">
        <f>_xll.BDH("AMZN US Equity","CF_DVD_PAID","FQ1 2011","FQ1 2011","Currency=USD","Period=FQ","BEST_FPERIOD_OVERRIDE=FQ","FILING_STATUS=MR","SCALING_FORMAT=MLN","Sort=A","Dates=H","DateFormat=P","Fill=—","Direction=H","UseDPDF=Y")</f>
        <v>0</v>
      </c>
      <c r="L41" s="13">
        <f>_xll.BDH("AMZN US Equity","CF_DVD_PAID","FQ2 2011","FQ2 2011","Currency=USD","Period=FQ","BEST_FPERIOD_OVERRIDE=FQ","FILING_STATUS=MR","SCALING_FORMAT=MLN","Sort=A","Dates=H","DateFormat=P","Fill=—","Direction=H","UseDPDF=Y")</f>
        <v>0</v>
      </c>
      <c r="M41" s="13">
        <f>_xll.BDH("AMZN US Equity","CF_DVD_PAID","FQ3 2011","FQ3 2011","Currency=USD","Period=FQ","BEST_FPERIOD_OVERRIDE=FQ","FILING_STATUS=MR","SCALING_FORMAT=MLN","Sort=A","Dates=H","DateFormat=P","Fill=—","Direction=H","UseDPDF=Y")</f>
        <v>0</v>
      </c>
      <c r="N41" s="13">
        <f>_xll.BDH("AMZN US Equity","CF_DVD_PAID","FQ4 2011","FQ4 2011","Currency=USD","Period=FQ","BEST_FPERIOD_OVERRIDE=FQ","FILING_STATUS=MR","SCALING_FORMAT=MLN","Sort=A","Dates=H","DateFormat=P","Fill=—","Direction=H","UseDPDF=Y")</f>
        <v>0</v>
      </c>
      <c r="O41" s="13">
        <f>_xll.BDH("AMZN US Equity","CF_DVD_PAID","FQ1 2012","FQ1 2012","Currency=USD","Period=FQ","BEST_FPERIOD_OVERRIDE=FQ","FILING_STATUS=MR","SCALING_FORMAT=MLN","Sort=A","Dates=H","DateFormat=P","Fill=—","Direction=H","UseDPDF=Y")</f>
        <v>0</v>
      </c>
      <c r="P41" s="13">
        <f>_xll.BDH("AMZN US Equity","CF_DVD_PAID","FQ2 2012","FQ2 2012","Currency=USD","Period=FQ","BEST_FPERIOD_OVERRIDE=FQ","FILING_STATUS=MR","SCALING_FORMAT=MLN","Sort=A","Dates=H","DateFormat=P","Fill=—","Direction=H","UseDPDF=Y")</f>
        <v>0</v>
      </c>
      <c r="Q41" s="13">
        <f>_xll.BDH("AMZN US Equity","CF_DVD_PAID","FQ3 2012","FQ3 2012","Currency=USD","Period=FQ","BEST_FPERIOD_OVERRIDE=FQ","FILING_STATUS=MR","SCALING_FORMAT=MLN","Sort=A","Dates=H","DateFormat=P","Fill=—","Direction=H","UseDPDF=Y")</f>
        <v>0</v>
      </c>
      <c r="R41" s="13">
        <f>_xll.BDH("AMZN US Equity","CF_DVD_PAID","FQ4 2012","FQ4 2012","Currency=USD","Period=FQ","BEST_FPERIOD_OVERRIDE=FQ","FILING_STATUS=MR","SCALING_FORMAT=MLN","Sort=A","Dates=H","DateFormat=P","Fill=—","Direction=H","UseDPDF=Y")</f>
        <v>0</v>
      </c>
      <c r="S41" s="13">
        <f>_xll.BDH("AMZN US Equity","CF_DVD_PAID","FQ1 2013","FQ1 2013","Currency=USD","Period=FQ","BEST_FPERIOD_OVERRIDE=FQ","FILING_STATUS=MR","SCALING_FORMAT=MLN","Sort=A","Dates=H","DateFormat=P","Fill=—","Direction=H","UseDPDF=Y")</f>
        <v>0</v>
      </c>
      <c r="T41" s="13">
        <f>_xll.BDH("AMZN US Equity","CF_DVD_PAID","FQ2 2013","FQ2 2013","Currency=USD","Period=FQ","BEST_FPERIOD_OVERRIDE=FQ","FILING_STATUS=MR","SCALING_FORMAT=MLN","Sort=A","Dates=H","DateFormat=P","Fill=—","Direction=H","UseDPDF=Y")</f>
        <v>0</v>
      </c>
      <c r="U41" s="13">
        <f>_xll.BDH("AMZN US Equity","CF_DVD_PAID","FQ3 2013","FQ3 2013","Currency=USD","Period=FQ","BEST_FPERIOD_OVERRIDE=FQ","FILING_STATUS=MR","SCALING_FORMAT=MLN","Sort=A","Dates=H","DateFormat=P","Fill=—","Direction=H","UseDPDF=Y")</f>
        <v>0</v>
      </c>
      <c r="V41" s="13">
        <f>_xll.BDH("AMZN US Equity","CF_DVD_PAID","FQ4 2013","FQ4 2013","Currency=USD","Period=FQ","BEST_FPERIOD_OVERRIDE=FQ","FILING_STATUS=MR","SCALING_FORMAT=MLN","Sort=A","Dates=H","DateFormat=P","Fill=—","Direction=H","UseDPDF=Y")</f>
        <v>0</v>
      </c>
      <c r="W41" s="13">
        <f>_xll.BDH("AMZN US Equity","CF_DVD_PAID","FQ1 2014","FQ1 2014","Currency=USD","Period=FQ","BEST_FPERIOD_OVERRIDE=FQ","FILING_STATUS=MR","SCALING_FORMAT=MLN","Sort=A","Dates=H","DateFormat=P","Fill=—","Direction=H","UseDPDF=Y")</f>
        <v>0</v>
      </c>
      <c r="X41" s="13">
        <f>_xll.BDH("AMZN US Equity","CF_DVD_PAID","FQ2 2014","FQ2 2014","Currency=USD","Period=FQ","BEST_FPERIOD_OVERRIDE=FQ","FILING_STATUS=MR","SCALING_FORMAT=MLN","Sort=A","Dates=H","DateFormat=P","Fill=—","Direction=H","UseDPDF=Y")</f>
        <v>0</v>
      </c>
      <c r="Y41" s="13">
        <f>_xll.BDH("AMZN US Equity","CF_DVD_PAID","FQ3 2014","FQ3 2014","Currency=USD","Period=FQ","BEST_FPERIOD_OVERRIDE=FQ","FILING_STATUS=MR","SCALING_FORMAT=MLN","Sort=A","Dates=H","DateFormat=P","Fill=—","Direction=H","UseDPDF=Y")</f>
        <v>0</v>
      </c>
      <c r="Z41" s="13">
        <f>_xll.BDH("AMZN US Equity","CF_DVD_PAID","FQ4 2014","FQ4 2014","Currency=USD","Period=FQ","BEST_FPERIOD_OVERRIDE=FQ","FILING_STATUS=MR","SCALING_FORMAT=MLN","Sort=A","Dates=H","DateFormat=P","Fill=—","Direction=H","UseDPDF=Y")</f>
        <v>0</v>
      </c>
      <c r="AA41" s="13">
        <f>_xll.BDH("AMZN US Equity","CF_DVD_PAID","FQ1 2015","FQ1 2015","Currency=USD","Period=FQ","BEST_FPERIOD_OVERRIDE=FQ","FILING_STATUS=MR","SCALING_FORMAT=MLN","Sort=A","Dates=H","DateFormat=P","Fill=—","Direction=H","UseDPDF=Y")</f>
        <v>0</v>
      </c>
      <c r="AB41" s="13">
        <f>_xll.BDH("AMZN US Equity","CF_DVD_PAID","FQ2 2015","FQ2 2015","Currency=USD","Period=FQ","BEST_FPERIOD_OVERRIDE=FQ","FILING_STATUS=MR","SCALING_FORMAT=MLN","Sort=A","Dates=H","DateFormat=P","Fill=—","Direction=H","UseDPDF=Y")</f>
        <v>0</v>
      </c>
      <c r="AC41" s="13">
        <f>_xll.BDH("AMZN US Equity","CF_DVD_PAID","FQ3 2015","FQ3 2015","Currency=USD","Period=FQ","BEST_FPERIOD_OVERRIDE=FQ","FILING_STATUS=MR","SCALING_FORMAT=MLN","Sort=A","Dates=H","DateFormat=P","Fill=—","Direction=H","UseDPDF=Y")</f>
        <v>0</v>
      </c>
      <c r="AD41" s="13">
        <f>_xll.BDH("AMZN US Equity","CF_DVD_PAID","FQ4 2015","FQ4 2015","Currency=USD","Period=FQ","BEST_FPERIOD_OVERRIDE=FQ","FILING_STATUS=MR","SCALING_FORMAT=MLN","Sort=A","Dates=H","DateFormat=P","Fill=—","Direction=H","UseDPDF=Y")</f>
        <v>0</v>
      </c>
      <c r="AE41" s="13">
        <f>_xll.BDH("AMZN US Equity","CF_DVD_PAID","FQ1 2016","FQ1 2016","Currency=USD","Period=FQ","BEST_FPERIOD_OVERRIDE=FQ","FILING_STATUS=MR","SCALING_FORMAT=MLN","Sort=A","Dates=H","DateFormat=P","Fill=—","Direction=H","UseDPDF=Y")</f>
        <v>0</v>
      </c>
      <c r="AF41" s="13">
        <f>_xll.BDH("AMZN US Equity","CF_DVD_PAID","FQ2 2016","FQ2 2016","Currency=USD","Period=FQ","BEST_FPERIOD_OVERRIDE=FQ","FILING_STATUS=MR","SCALING_FORMAT=MLN","Sort=A","Dates=H","DateFormat=P","Fill=—","Direction=H","UseDPDF=Y")</f>
        <v>0</v>
      </c>
      <c r="AG41" s="13">
        <f>_xll.BDH("AMZN US Equity","CF_DVD_PAID","FQ3 2016","FQ3 2016","Currency=USD","Period=FQ","BEST_FPERIOD_OVERRIDE=FQ","FILING_STATUS=MR","SCALING_FORMAT=MLN","Sort=A","Dates=H","DateFormat=P","Fill=—","Direction=H","UseDPDF=Y")</f>
        <v>0</v>
      </c>
      <c r="AH41" s="13">
        <f>_xll.BDH("AMZN US Equity","CF_DVD_PAID","FQ4 2016","FQ4 2016","Currency=USD","Period=FQ","BEST_FPERIOD_OVERRIDE=FQ","FILING_STATUS=MR","SCALING_FORMAT=MLN","Sort=A","Dates=H","DateFormat=P","Fill=—","Direction=H","UseDPDF=Y")</f>
        <v>0</v>
      </c>
      <c r="AI41" s="13">
        <f>_xll.BDH("AMZN US Equity","CF_DVD_PAID","FQ1 2017","FQ1 2017","Currency=USD","Period=FQ","BEST_FPERIOD_OVERRIDE=FQ","FILING_STATUS=MR","SCALING_FORMAT=MLN","Sort=A","Dates=H","DateFormat=P","Fill=—","Direction=H","UseDPDF=Y")</f>
        <v>0</v>
      </c>
      <c r="AJ41" s="13">
        <f>_xll.BDH("AMZN US Equity","CF_DVD_PAID","FQ2 2017","FQ2 2017","Currency=USD","Period=FQ","BEST_FPERIOD_OVERRIDE=FQ","FILING_STATUS=MR","SCALING_FORMAT=MLN","Sort=A","Dates=H","DateFormat=P","Fill=—","Direction=H","UseDPDF=Y")</f>
        <v>0</v>
      </c>
      <c r="AK41" s="13">
        <f>_xll.BDH("AMZN US Equity","CF_DVD_PAID","FQ3 2017","FQ3 2017","Currency=USD","Period=FQ","BEST_FPERIOD_OVERRIDE=FQ","FILING_STATUS=MR","SCALING_FORMAT=MLN","Sort=A","Dates=H","DateFormat=P","Fill=—","Direction=H","UseDPDF=Y")</f>
        <v>0</v>
      </c>
      <c r="AL41" s="13">
        <f>_xll.BDH("AMZN US Equity","CF_DVD_PAID","FQ4 2017","FQ4 2017","Currency=USD","Period=FQ","BEST_FPERIOD_OVERRIDE=FQ","FILING_STATUS=MR","SCALING_FORMAT=MLN","Sort=A","Dates=H","DateFormat=P","Fill=—","Direction=H","UseDPDF=Y")</f>
        <v>0</v>
      </c>
      <c r="AM41" s="13">
        <f>_xll.BDH("AMZN US Equity","CF_DVD_PAID","FQ1 2018","FQ1 2018","Currency=USD","Period=FQ","BEST_FPERIOD_OVERRIDE=FQ","FILING_STATUS=MR","SCALING_FORMAT=MLN","Sort=A","Dates=H","DateFormat=P","Fill=—","Direction=H","UseDPDF=Y")</f>
        <v>0</v>
      </c>
      <c r="AN41" s="13">
        <f>_xll.BDH("AMZN US Equity","CF_DVD_PAID","FQ2 2018","FQ2 2018","Currency=USD","Period=FQ","BEST_FPERIOD_OVERRIDE=FQ","FILING_STATUS=MR","SCALING_FORMAT=MLN","Sort=A","Dates=H","DateFormat=P","Fill=—","Direction=H","UseDPDF=Y")</f>
        <v>0</v>
      </c>
    </row>
    <row r="42" spans="1:40" x14ac:dyDescent="0.25">
      <c r="A42" s="10" t="s">
        <v>424</v>
      </c>
      <c r="B42" s="10" t="s">
        <v>425</v>
      </c>
      <c r="C42" s="13">
        <f>_xll.BDH("AMZN US Equity","PROC_FR_REPAYMNTS_BOR_DETAILED","FQ1 2009","FQ1 2009","Currency=USD","Period=FQ","BEST_FPERIOD_OVERRIDE=FQ","FILING_STATUS=MR","SCALING_FORMAT=MLN","Sort=A","Dates=H","DateFormat=P","Fill=—","Direction=H","UseDPDF=Y")</f>
        <v>-340</v>
      </c>
      <c r="D42" s="13">
        <f>_xll.BDH("AMZN US Equity","PROC_FR_REPAYMNTS_BOR_DETAILED","FQ2 2009","FQ2 2009","Currency=USD","Period=FQ","BEST_FPERIOD_OVERRIDE=FQ","FILING_STATUS=MR","SCALING_FORMAT=MLN","Sort=A","Dates=H","DateFormat=P","Fill=—","Direction=H","UseDPDF=Y")</f>
        <v>-23</v>
      </c>
      <c r="E42" s="13">
        <f>_xll.BDH("AMZN US Equity","PROC_FR_REPAYMNTS_BOR_DETAILED","FQ3 2009","FQ3 2009","Currency=USD","Period=FQ","BEST_FPERIOD_OVERRIDE=FQ","FILING_STATUS=MR","SCALING_FORMAT=MLN","Sort=A","Dates=H","DateFormat=P","Fill=—","Direction=H","UseDPDF=Y")</f>
        <v>81</v>
      </c>
      <c r="F42" s="13">
        <f>_xll.BDH("AMZN US Equity","PROC_FR_REPAYMNTS_BOR_DETAILED","FQ4 2009","FQ4 2009","Currency=USD","Period=FQ","BEST_FPERIOD_OVERRIDE=FQ","FILING_STATUS=MR","SCALING_FORMAT=MLN","Sort=A","Dates=H","DateFormat=P","Fill=—","Direction=H","UseDPDF=Y")</f>
        <v>-103</v>
      </c>
      <c r="G42" s="13">
        <f>_xll.BDH("AMZN US Equity","PROC_FR_REPAYMNTS_BOR_DETAILED","FQ1 2010","FQ1 2010","Currency=USD","Period=FQ","BEST_FPERIOD_OVERRIDE=FQ","FILING_STATUS=MR","SCALING_FORMAT=MLN","Sort=A","Dates=H","DateFormat=P","Fill=—","Direction=H","UseDPDF=Y")</f>
        <v>1</v>
      </c>
      <c r="H42" s="13">
        <f>_xll.BDH("AMZN US Equity","PROC_FR_REPAYMNTS_BOR_DETAILED","FQ2 2010","FQ2 2010","Currency=USD","Period=FQ","BEST_FPERIOD_OVERRIDE=FQ","FILING_STATUS=MR","SCALING_FORMAT=MLN","Sort=A","Dates=H","DateFormat=P","Fill=—","Direction=H","UseDPDF=Y")</f>
        <v>-32</v>
      </c>
      <c r="I42" s="13">
        <f>_xll.BDH("AMZN US Equity","PROC_FR_REPAYMNTS_BOR_DETAILED","FQ3 2010","FQ3 2010","Currency=USD","Period=FQ","BEST_FPERIOD_OVERRIDE=FQ","FILING_STATUS=MR","SCALING_FORMAT=MLN","Sort=A","Dates=H","DateFormat=P","Fill=—","Direction=H","UseDPDF=Y")</f>
        <v>18</v>
      </c>
      <c r="J42" s="13">
        <f>_xll.BDH("AMZN US Equity","PROC_FR_REPAYMNTS_BOR_DETAILED","FQ4 2010","FQ4 2010","Currency=USD","Period=FQ","BEST_FPERIOD_OVERRIDE=FQ","FILING_STATUS=MR","SCALING_FORMAT=MLN","Sort=A","Dates=H","DateFormat=P","Fill=—","Direction=H","UseDPDF=Y")</f>
        <v>-57</v>
      </c>
      <c r="K42" s="13">
        <f>_xll.BDH("AMZN US Equity","PROC_FR_REPAYMNTS_BOR_DETAILED","FQ1 2011","FQ1 2011","Currency=USD","Period=FQ","BEST_FPERIOD_OVERRIDE=FQ","FILING_STATUS=MR","SCALING_FORMAT=MLN","Sort=A","Dates=H","DateFormat=P","Fill=—","Direction=H","UseDPDF=Y")</f>
        <v>-22</v>
      </c>
      <c r="L42" s="13">
        <f>_xll.BDH("AMZN US Equity","PROC_FR_REPAYMNTS_BOR_DETAILED","FQ2 2011","FQ2 2011","Currency=USD","Period=FQ","BEST_FPERIOD_OVERRIDE=FQ","FILING_STATUS=MR","SCALING_FORMAT=MLN","Sort=A","Dates=H","DateFormat=P","Fill=—","Direction=H","UseDPDF=Y")</f>
        <v>-106</v>
      </c>
      <c r="M42" s="13">
        <f>_xll.BDH("AMZN US Equity","PROC_FR_REPAYMNTS_BOR_DETAILED","FQ3 2011","FQ3 2011","Currency=USD","Period=FQ","BEST_FPERIOD_OVERRIDE=FQ","FILING_STATUS=MR","SCALING_FORMAT=MLN","Sort=A","Dates=H","DateFormat=P","Fill=—","Direction=H","UseDPDF=Y")</f>
        <v>-82</v>
      </c>
      <c r="N42" s="13">
        <f>_xll.BDH("AMZN US Equity","PROC_FR_REPAYMNTS_BOR_DETAILED","FQ4 2011","FQ4 2011","Currency=USD","Period=FQ","BEST_FPERIOD_OVERRIDE=FQ","FILING_STATUS=MR","SCALING_FORMAT=MLN","Sort=A","Dates=H","DateFormat=P","Fill=—","Direction=H","UseDPDF=Y")</f>
        <v>-57</v>
      </c>
      <c r="O42" s="13">
        <f>_xll.BDH("AMZN US Equity","PROC_FR_REPAYMNTS_BOR_DETAILED","FQ1 2012","FQ1 2012","Currency=USD","Period=FQ","BEST_FPERIOD_OVERRIDE=FQ","FILING_STATUS=MR","SCALING_FORMAT=MLN","Sort=A","Dates=H","DateFormat=P","Fill=—","Direction=H","UseDPDF=Y")</f>
        <v>-85</v>
      </c>
      <c r="P42" s="13">
        <f>_xll.BDH("AMZN US Equity","PROC_FR_REPAYMNTS_BOR_DETAILED","FQ2 2012","FQ2 2012","Currency=USD","Period=FQ","BEST_FPERIOD_OVERRIDE=FQ","FILING_STATUS=MR","SCALING_FORMAT=MLN","Sort=A","Dates=H","DateFormat=P","Fill=—","Direction=H","UseDPDF=Y")</f>
        <v>-18</v>
      </c>
      <c r="Q42" s="13">
        <f>_xll.BDH("AMZN US Equity","PROC_FR_REPAYMNTS_BOR_DETAILED","FQ3 2012","FQ3 2012","Currency=USD","Period=FQ","BEST_FPERIOD_OVERRIDE=FQ","FILING_STATUS=MR","SCALING_FORMAT=MLN","Sort=A","Dates=H","DateFormat=P","Fill=—","Direction=H","UseDPDF=Y")</f>
        <v>-35</v>
      </c>
      <c r="R42" s="13">
        <f>_xll.BDH("AMZN US Equity","PROC_FR_REPAYMNTS_BOR_DETAILED","FQ4 2012","FQ4 2012","Currency=USD","Period=FQ","BEST_FPERIOD_OVERRIDE=FQ","FILING_STATUS=MR","SCALING_FORMAT=MLN","Sort=A","Dates=H","DateFormat=P","Fill=—","Direction=H","UseDPDF=Y")</f>
        <v>2927</v>
      </c>
      <c r="S42" s="13">
        <f>_xll.BDH("AMZN US Equity","PROC_FR_REPAYMNTS_BOR_DETAILED","FQ1 2013","FQ1 2013","Currency=USD","Period=FQ","BEST_FPERIOD_OVERRIDE=FQ","FILING_STATUS=MR","SCALING_FORMAT=MLN","Sort=A","Dates=H","DateFormat=P","Fill=—","Direction=H","UseDPDF=Y")</f>
        <v>-157</v>
      </c>
      <c r="T42" s="13">
        <f>_xll.BDH("AMZN US Equity","PROC_FR_REPAYMNTS_BOR_DETAILED","FQ2 2013","FQ2 2013","Currency=USD","Period=FQ","BEST_FPERIOD_OVERRIDE=FQ","FILING_STATUS=MR","SCALING_FORMAT=MLN","Sort=A","Dates=H","DateFormat=P","Fill=—","Direction=H","UseDPDF=Y")</f>
        <v>-209</v>
      </c>
      <c r="U42" s="13">
        <f>_xll.BDH("AMZN US Equity","PROC_FR_REPAYMNTS_BOR_DETAILED","FQ3 2013","FQ3 2013","Currency=USD","Period=FQ","BEST_FPERIOD_OVERRIDE=FQ","FILING_STATUS=MR","SCALING_FORMAT=MLN","Sort=A","Dates=H","DateFormat=P","Fill=—","Direction=H","UseDPDF=Y")</f>
        <v>-230</v>
      </c>
      <c r="V42" s="13">
        <f>_xll.BDH("AMZN US Equity","PROC_FR_REPAYMNTS_BOR_DETAILED","FQ4 2013","FQ4 2013","Currency=USD","Period=FQ","BEST_FPERIOD_OVERRIDE=FQ","FILING_STATUS=MR","SCALING_FORMAT=MLN","Sort=A","Dates=H","DateFormat=P","Fill=—","Direction=H","UseDPDF=Y")</f>
        <v>-21</v>
      </c>
      <c r="W42" s="13">
        <f>_xll.BDH("AMZN US Equity","PROC_FR_REPAYMNTS_BOR_DETAILED","FQ1 2014","FQ1 2014","Currency=USD","Period=FQ","BEST_FPERIOD_OVERRIDE=FQ","FILING_STATUS=MR","SCALING_FORMAT=MLN","Sort=A","Dates=H","DateFormat=P","Fill=—","Direction=H","UseDPDF=Y")</f>
        <v>-296</v>
      </c>
      <c r="X42" s="13">
        <f>_xll.BDH("AMZN US Equity","PROC_FR_REPAYMNTS_BOR_DETAILED","FQ2 2014","FQ2 2014","Currency=USD","Period=FQ","BEST_FPERIOD_OVERRIDE=FQ","FILING_STATUS=MR","SCALING_FORMAT=MLN","Sort=A","Dates=H","DateFormat=P","Fill=—","Direction=H","UseDPDF=Y")</f>
        <v>-189</v>
      </c>
      <c r="Y42" s="13">
        <f>_xll.BDH("AMZN US Equity","PROC_FR_REPAYMNTS_BOR_DETAILED","FQ3 2014","FQ3 2014","Currency=USD","Period=FQ","BEST_FPERIOD_OVERRIDE=FQ","FILING_STATUS=MR","SCALING_FORMAT=MLN","Sort=A","Dates=H","DateFormat=P","Fill=—","Direction=H","UseDPDF=Y")</f>
        <v>-412</v>
      </c>
      <c r="Z42" s="13">
        <f>_xll.BDH("AMZN US Equity","PROC_FR_REPAYMNTS_BOR_DETAILED","FQ4 2014","FQ4 2014","Currency=USD","Period=FQ","BEST_FPERIOD_OVERRIDE=FQ","FILING_STATUS=MR","SCALING_FORMAT=MLN","Sort=A","Dates=H","DateFormat=P","Fill=—","Direction=H","UseDPDF=Y")</f>
        <v>5324</v>
      </c>
      <c r="AA42" s="13">
        <f>_xll.BDH("AMZN US Equity","PROC_FR_REPAYMNTS_BOR_DETAILED","FQ1 2015","FQ1 2015","Currency=USD","Period=FQ","BEST_FPERIOD_OVERRIDE=FQ","FILING_STATUS=MR","SCALING_FORMAT=MLN","Sort=A","Dates=H","DateFormat=P","Fill=—","Direction=H","UseDPDF=Y")</f>
        <v>-674</v>
      </c>
      <c r="AB42" s="13">
        <f>_xll.BDH("AMZN US Equity","PROC_FR_REPAYMNTS_BOR_DETAILED","FQ2 2015","FQ2 2015","Currency=USD","Period=FQ","BEST_FPERIOD_OVERRIDE=FQ","FILING_STATUS=MR","SCALING_FORMAT=MLN","Sort=A","Dates=H","DateFormat=P","Fill=—","Direction=H","UseDPDF=Y")</f>
        <v>-786</v>
      </c>
      <c r="AC42" s="13">
        <f>_xll.BDH("AMZN US Equity","PROC_FR_REPAYMNTS_BOR_DETAILED","FQ3 2015","FQ3 2015","Currency=USD","Period=FQ","BEST_FPERIOD_OVERRIDE=FQ","FILING_STATUS=MR","SCALING_FORMAT=MLN","Sort=A","Dates=H","DateFormat=P","Fill=—","Direction=H","UseDPDF=Y")</f>
        <v>-825</v>
      </c>
      <c r="AD42" s="13">
        <f>_xll.BDH("AMZN US Equity","PROC_FR_REPAYMNTS_BOR_DETAILED","FQ4 2015","FQ4 2015","Currency=USD","Period=FQ","BEST_FPERIOD_OVERRIDE=FQ","FILING_STATUS=MR","SCALING_FORMAT=MLN","Sort=A","Dates=H","DateFormat=P","Fill=—","Direction=H","UseDPDF=Y")</f>
        <v>-1597</v>
      </c>
      <c r="AE42" s="13">
        <f>_xll.BDH("AMZN US Equity","PROC_FR_REPAYMNTS_BOR_DETAILED","FQ1 2016","FQ1 2016","Currency=USD","Period=FQ","BEST_FPERIOD_OVERRIDE=FQ","FILING_STATUS=MR","SCALING_FORMAT=MLN","Sort=A","Dates=H","DateFormat=P","Fill=—","Direction=H","UseDPDF=Y")</f>
        <v>-996</v>
      </c>
      <c r="AF42" s="13">
        <f>_xll.BDH("AMZN US Equity","PROC_FR_REPAYMNTS_BOR_DETAILED","FQ2 2016","FQ2 2016","Currency=USD","Period=FQ","BEST_FPERIOD_OVERRIDE=FQ","FILING_STATUS=MR","SCALING_FORMAT=MLN","Sort=A","Dates=H","DateFormat=P","Fill=—","Direction=H","UseDPDF=Y")</f>
        <v>-1152</v>
      </c>
      <c r="AG42" s="13">
        <f>_xll.BDH("AMZN US Equity","PROC_FR_REPAYMNTS_BOR_DETAILED","FQ3 2016","FQ3 2016","Currency=USD","Period=FQ","BEST_FPERIOD_OVERRIDE=FQ","FILING_STATUS=MR","SCALING_FORMAT=MLN","Sort=A","Dates=H","DateFormat=P","Fill=—","Direction=H","UseDPDF=Y")</f>
        <v>-1000</v>
      </c>
      <c r="AH42" s="13">
        <f>_xll.BDH("AMZN US Equity","PROC_FR_REPAYMNTS_BOR_DETAILED","FQ4 2016","FQ4 2016","Currency=USD","Period=FQ","BEST_FPERIOD_OVERRIDE=FQ","FILING_STATUS=MR","SCALING_FORMAT=MLN","Sort=A","Dates=H","DateFormat=P","Fill=—","Direction=H","UseDPDF=Y")</f>
        <v>-592</v>
      </c>
      <c r="AI42" s="13">
        <f>_xll.BDH("AMZN US Equity","PROC_FR_REPAYMNTS_BOR_DETAILED","FQ1 2017","FQ1 2017","Currency=USD","Period=FQ","BEST_FPERIOD_OVERRIDE=FQ","FILING_STATUS=MR","SCALING_FORMAT=MLN","Sort=A","Dates=H","DateFormat=P","Fill=—","Direction=H","UseDPDF=Y")</f>
        <v>-888</v>
      </c>
      <c r="AJ42" s="13">
        <f>_xll.BDH("AMZN US Equity","PROC_FR_REPAYMNTS_BOR_DETAILED","FQ2 2017","FQ2 2017","Currency=USD","Period=FQ","BEST_FPERIOD_OVERRIDE=FQ","FILING_STATUS=MR","SCALING_FORMAT=MLN","Sort=A","Dates=H","DateFormat=P","Fill=—","Direction=H","UseDPDF=Y")</f>
        <v>-1274</v>
      </c>
      <c r="AK42" s="13">
        <f>_xll.BDH("AMZN US Equity","PROC_FR_REPAYMNTS_BOR_DETAILED","FQ3 2017","FQ3 2017","Currency=USD","Period=FQ","BEST_FPERIOD_OVERRIDE=FQ","FILING_STATUS=MR","SCALING_FORMAT=MLN","Sort=A","Dates=H","DateFormat=P","Fill=—","Direction=H","UseDPDF=Y")</f>
        <v>14685</v>
      </c>
      <c r="AL42" s="13">
        <f>_xll.BDH("AMZN US Equity","PROC_FR_REPAYMNTS_BOR_DETAILED","FQ4 2017","FQ4 2017","Currency=USD","Period=FQ","BEST_FPERIOD_OVERRIDE=FQ","FILING_STATUS=MR","SCALING_FORMAT=MLN","Sort=A","Dates=H","DateFormat=P","Fill=—","Direction=H","UseDPDF=Y")</f>
        <v>-2647</v>
      </c>
      <c r="AM42" s="13">
        <f>_xll.BDH("AMZN US Equity","PROC_FR_REPAYMNTS_BOR_DETAILED","FQ1 2018","FQ1 2018","Currency=USD","Period=FQ","BEST_FPERIOD_OVERRIDE=FQ","FILING_STATUS=MR","SCALING_FORMAT=MLN","Sort=A","Dates=H","DateFormat=P","Fill=—","Direction=H","UseDPDF=Y")</f>
        <v>-2164</v>
      </c>
      <c r="AN42" s="13">
        <f>_xll.BDH("AMZN US Equity","PROC_FR_REPAYMNTS_BOR_DETAILED","FQ2 2018","FQ2 2018","Currency=USD","Period=FQ","BEST_FPERIOD_OVERRIDE=FQ","FILING_STATUS=MR","SCALING_FORMAT=MLN","Sort=A","Dates=H","DateFormat=P","Fill=—","Direction=H","UseDPDF=Y")</f>
        <v>-1394</v>
      </c>
    </row>
    <row r="43" spans="1:40" x14ac:dyDescent="0.25">
      <c r="A43" s="10" t="s">
        <v>426</v>
      </c>
      <c r="B43" s="10" t="s">
        <v>427</v>
      </c>
      <c r="C43" s="13">
        <f>_xll.BDH("AMZN US Equity","CF_NET_CHG_IN_ST_DBT_&amp;_CPTL_LEAS","FQ1 2009","FQ1 2009","Currency=USD","Period=FQ","BEST_FPERIOD_OVERRIDE=FQ","FILING_STATUS=MR","SCALING_FORMAT=MLN","Sort=A","Dates=H","DateFormat=P","Fill=—","Direction=H","UseDPDF=Y")</f>
        <v>0</v>
      </c>
      <c r="D43" s="13">
        <f>_xll.BDH("AMZN US Equity","CF_NET_CHG_IN_ST_DBT_&amp;_CPTL_LEAS","FQ2 2009","FQ2 2009","Currency=USD","Period=FQ","BEST_FPERIOD_OVERRIDE=FQ","FILING_STATUS=MR","SCALING_FORMAT=MLN","Sort=A","Dates=H","DateFormat=P","Fill=—","Direction=H","UseDPDF=Y")</f>
        <v>0</v>
      </c>
      <c r="E43" s="13">
        <f>_xll.BDH("AMZN US Equity","CF_NET_CHG_IN_ST_DBT_&amp;_CPTL_LEAS","FQ3 2009","FQ3 2009","Currency=USD","Period=FQ","BEST_FPERIOD_OVERRIDE=FQ","FILING_STATUS=MR","SCALING_FORMAT=MLN","Sort=A","Dates=H","DateFormat=P","Fill=—","Direction=H","UseDPDF=Y")</f>
        <v>0</v>
      </c>
      <c r="F43" s="13">
        <f>_xll.BDH("AMZN US Equity","CF_NET_CHG_IN_ST_DBT_&amp;_CPTL_LEAS","FQ4 2009","FQ4 2009","Currency=USD","Period=FQ","BEST_FPERIOD_OVERRIDE=FQ","FILING_STATUS=MR","SCALING_FORMAT=MLN","Sort=A","Dates=H","DateFormat=P","Fill=—","Direction=H","UseDPDF=Y")</f>
        <v>0</v>
      </c>
      <c r="G43" s="13">
        <f>_xll.BDH("AMZN US Equity","CF_NET_CHG_IN_ST_DBT_&amp;_CPTL_LEAS","FQ1 2010","FQ1 2010","Currency=USD","Period=FQ","BEST_FPERIOD_OVERRIDE=FQ","FILING_STATUS=MR","SCALING_FORMAT=MLN","Sort=A","Dates=H","DateFormat=P","Fill=—","Direction=H","UseDPDF=Y")</f>
        <v>0</v>
      </c>
      <c r="H43" s="13">
        <f>_xll.BDH("AMZN US Equity","CF_NET_CHG_IN_ST_DBT_&amp;_CPTL_LEAS","FQ2 2010","FQ2 2010","Currency=USD","Period=FQ","BEST_FPERIOD_OVERRIDE=FQ","FILING_STATUS=MR","SCALING_FORMAT=MLN","Sort=A","Dates=H","DateFormat=P","Fill=—","Direction=H","UseDPDF=Y")</f>
        <v>0</v>
      </c>
      <c r="I43" s="13">
        <f>_xll.BDH("AMZN US Equity","CF_NET_CHG_IN_ST_DBT_&amp;_CPTL_LEAS","FQ3 2010","FQ3 2010","Currency=USD","Period=FQ","BEST_FPERIOD_OVERRIDE=FQ","FILING_STATUS=MR","SCALING_FORMAT=MLN","Sort=A","Dates=H","DateFormat=P","Fill=—","Direction=H","UseDPDF=Y")</f>
        <v>0</v>
      </c>
      <c r="J43" s="13">
        <f>_xll.BDH("AMZN US Equity","CF_NET_CHG_IN_ST_DBT_&amp;_CPTL_LEAS","FQ4 2010","FQ4 2010","Currency=USD","Period=FQ","BEST_FPERIOD_OVERRIDE=FQ","FILING_STATUS=MR","SCALING_FORMAT=MLN","Sort=A","Dates=H","DateFormat=P","Fill=—","Direction=H","UseDPDF=Y")</f>
        <v>0</v>
      </c>
      <c r="K43" s="13">
        <f>_xll.BDH("AMZN US Equity","CF_NET_CHG_IN_ST_DBT_&amp;_CPTL_LEAS","FQ1 2011","FQ1 2011","Currency=USD","Period=FQ","BEST_FPERIOD_OVERRIDE=FQ","FILING_STATUS=MR","SCALING_FORMAT=MLN","Sort=A","Dates=H","DateFormat=P","Fill=—","Direction=H","UseDPDF=Y")</f>
        <v>0</v>
      </c>
      <c r="L43" s="13">
        <f>_xll.BDH("AMZN US Equity","CF_NET_CHG_IN_ST_DBT_&amp;_CPTL_LEAS","FQ2 2011","FQ2 2011","Currency=USD","Period=FQ","BEST_FPERIOD_OVERRIDE=FQ","FILING_STATUS=MR","SCALING_FORMAT=MLN","Sort=A","Dates=H","DateFormat=P","Fill=—","Direction=H","UseDPDF=Y")</f>
        <v>0</v>
      </c>
      <c r="M43" s="13">
        <f>_xll.BDH("AMZN US Equity","CF_NET_CHG_IN_ST_DBT_&amp;_CPTL_LEAS","FQ3 2011","FQ3 2011","Currency=USD","Period=FQ","BEST_FPERIOD_OVERRIDE=FQ","FILING_STATUS=MR","SCALING_FORMAT=MLN","Sort=A","Dates=H","DateFormat=P","Fill=—","Direction=H","UseDPDF=Y")</f>
        <v>0</v>
      </c>
      <c r="N43" s="13">
        <f>_xll.BDH("AMZN US Equity","CF_NET_CHG_IN_ST_DBT_&amp;_CPTL_LEAS","FQ4 2011","FQ4 2011","Currency=USD","Period=FQ","BEST_FPERIOD_OVERRIDE=FQ","FILING_STATUS=MR","SCALING_FORMAT=MLN","Sort=A","Dates=H","DateFormat=P","Fill=—","Direction=H","UseDPDF=Y")</f>
        <v>0</v>
      </c>
      <c r="O43" s="13">
        <f>_xll.BDH("AMZN US Equity","CF_NET_CHG_IN_ST_DBT_&amp;_CPTL_LEAS","FQ1 2012","FQ1 2012","Currency=USD","Period=FQ","BEST_FPERIOD_OVERRIDE=FQ","FILING_STATUS=MR","SCALING_FORMAT=MLN","Sort=A","Dates=H","DateFormat=P","Fill=—","Direction=H","UseDPDF=Y")</f>
        <v>0</v>
      </c>
      <c r="P43" s="13">
        <f>_xll.BDH("AMZN US Equity","CF_NET_CHG_IN_ST_DBT_&amp;_CPTL_LEAS","FQ2 2012","FQ2 2012","Currency=USD","Period=FQ","BEST_FPERIOD_OVERRIDE=FQ","FILING_STATUS=MR","SCALING_FORMAT=MLN","Sort=A","Dates=H","DateFormat=P","Fill=—","Direction=H","UseDPDF=Y")</f>
        <v>0</v>
      </c>
      <c r="Q43" s="13">
        <f>_xll.BDH("AMZN US Equity","CF_NET_CHG_IN_ST_DBT_&amp;_CPTL_LEAS","FQ3 2012","FQ3 2012","Currency=USD","Period=FQ","BEST_FPERIOD_OVERRIDE=FQ","FILING_STATUS=MR","SCALING_FORMAT=MLN","Sort=A","Dates=H","DateFormat=P","Fill=—","Direction=H","UseDPDF=Y")</f>
        <v>0</v>
      </c>
      <c r="R43" s="13">
        <f>_xll.BDH("AMZN US Equity","CF_NET_CHG_IN_ST_DBT_&amp;_CPTL_LEAS","FQ4 2012","FQ4 2012","Currency=USD","Period=FQ","BEST_FPERIOD_OVERRIDE=FQ","FILING_STATUS=MR","SCALING_FORMAT=MLN","Sort=A","Dates=H","DateFormat=P","Fill=—","Direction=H","UseDPDF=Y")</f>
        <v>0</v>
      </c>
      <c r="S43" s="13">
        <f>_xll.BDH("AMZN US Equity","CF_NET_CHG_IN_ST_DBT_&amp;_CPTL_LEAS","FQ1 2013","FQ1 2013","Currency=USD","Period=FQ","BEST_FPERIOD_OVERRIDE=FQ","FILING_STATUS=MR","SCALING_FORMAT=MLN","Sort=A","Dates=H","DateFormat=P","Fill=—","Direction=H","UseDPDF=Y")</f>
        <v>0</v>
      </c>
      <c r="T43" s="13">
        <f>_xll.BDH("AMZN US Equity","CF_NET_CHG_IN_ST_DBT_&amp;_CPTL_LEAS","FQ2 2013","FQ2 2013","Currency=USD","Period=FQ","BEST_FPERIOD_OVERRIDE=FQ","FILING_STATUS=MR","SCALING_FORMAT=MLN","Sort=A","Dates=H","DateFormat=P","Fill=—","Direction=H","UseDPDF=Y")</f>
        <v>0</v>
      </c>
      <c r="U43" s="13">
        <f>_xll.BDH("AMZN US Equity","CF_NET_CHG_IN_ST_DBT_&amp;_CPTL_LEAS","FQ3 2013","FQ3 2013","Currency=USD","Period=FQ","BEST_FPERIOD_OVERRIDE=FQ","FILING_STATUS=MR","SCALING_FORMAT=MLN","Sort=A","Dates=H","DateFormat=P","Fill=—","Direction=H","UseDPDF=Y")</f>
        <v>0</v>
      </c>
      <c r="V43" s="13">
        <f>_xll.BDH("AMZN US Equity","CF_NET_CHG_IN_ST_DBT_&amp;_CPTL_LEAS","FQ4 2013","FQ4 2013","Currency=USD","Period=FQ","BEST_FPERIOD_OVERRIDE=FQ","FILING_STATUS=MR","SCALING_FORMAT=MLN","Sort=A","Dates=H","DateFormat=P","Fill=—","Direction=H","UseDPDF=Y")</f>
        <v>0</v>
      </c>
      <c r="W43" s="13">
        <f>_xll.BDH("AMZN US Equity","CF_NET_CHG_IN_ST_DBT_&amp;_CPTL_LEAS","FQ1 2014","FQ1 2014","Currency=USD","Period=FQ","BEST_FPERIOD_OVERRIDE=FQ","FILING_STATUS=MR","SCALING_FORMAT=MLN","Sort=A","Dates=H","DateFormat=P","Fill=—","Direction=H","UseDPDF=Y")</f>
        <v>0</v>
      </c>
      <c r="X43" s="13">
        <f>_xll.BDH("AMZN US Equity","CF_NET_CHG_IN_ST_DBT_&amp;_CPTL_LEAS","FQ2 2014","FQ2 2014","Currency=USD","Period=FQ","BEST_FPERIOD_OVERRIDE=FQ","FILING_STATUS=MR","SCALING_FORMAT=MLN","Sort=A","Dates=H","DateFormat=P","Fill=—","Direction=H","UseDPDF=Y")</f>
        <v>0</v>
      </c>
      <c r="Y43" s="13">
        <f>_xll.BDH("AMZN US Equity","CF_NET_CHG_IN_ST_DBT_&amp;_CPTL_LEAS","FQ3 2014","FQ3 2014","Currency=USD","Period=FQ","BEST_FPERIOD_OVERRIDE=FQ","FILING_STATUS=MR","SCALING_FORMAT=MLN","Sort=A","Dates=H","DateFormat=P","Fill=—","Direction=H","UseDPDF=Y")</f>
        <v>0</v>
      </c>
      <c r="Z43" s="13">
        <f>_xll.BDH("AMZN US Equity","CF_NET_CHG_IN_ST_DBT_&amp;_CPTL_LEAS","FQ4 2014","FQ4 2014","Currency=USD","Period=FQ","BEST_FPERIOD_OVERRIDE=FQ","FILING_STATUS=MR","SCALING_FORMAT=MLN","Sort=A","Dates=H","DateFormat=P","Fill=—","Direction=H","UseDPDF=Y")</f>
        <v>0</v>
      </c>
      <c r="AA43" s="13">
        <f>_xll.BDH("AMZN US Equity","CF_NET_CHG_IN_ST_DBT_&amp;_CPTL_LEAS","FQ1 2015","FQ1 2015","Currency=USD","Period=FQ","BEST_FPERIOD_OVERRIDE=FQ","FILING_STATUS=MR","SCALING_FORMAT=MLN","Sort=A","Dates=H","DateFormat=P","Fill=—","Direction=H","UseDPDF=Y")</f>
        <v>0</v>
      </c>
      <c r="AB43" s="13">
        <f>_xll.BDH("AMZN US Equity","CF_NET_CHG_IN_ST_DBT_&amp;_CPTL_LEAS","FQ2 2015","FQ2 2015","Currency=USD","Period=FQ","BEST_FPERIOD_OVERRIDE=FQ","FILING_STATUS=MR","SCALING_FORMAT=MLN","Sort=A","Dates=H","DateFormat=P","Fill=—","Direction=H","UseDPDF=Y")</f>
        <v>0</v>
      </c>
      <c r="AC43" s="13">
        <f>_xll.BDH("AMZN US Equity","CF_NET_CHG_IN_ST_DBT_&amp;_CPTL_LEAS","FQ3 2015","FQ3 2015","Currency=USD","Period=FQ","BEST_FPERIOD_OVERRIDE=FQ","FILING_STATUS=MR","SCALING_FORMAT=MLN","Sort=A","Dates=H","DateFormat=P","Fill=—","Direction=H","UseDPDF=Y")</f>
        <v>0</v>
      </c>
      <c r="AD43" s="13" t="str">
        <f>_xll.BDH("AMZN US Equity","CF_NET_CHG_IN_ST_DBT_&amp;_CPTL_LEAS","FQ4 2015","FQ4 2015","Currency=USD","Period=FQ","BEST_FPERIOD_OVERRIDE=FQ","FILING_STATUS=MR","SCALING_FORMAT=MLN","Sort=A","Dates=H","DateFormat=P","Fill=—","Direction=H","UseDPDF=Y")</f>
        <v>—</v>
      </c>
      <c r="AE43" s="13">
        <f>_xll.BDH("AMZN US Equity","CF_NET_CHG_IN_ST_DBT_&amp;_CPTL_LEAS","FQ1 2016","FQ1 2016","Currency=USD","Period=FQ","BEST_FPERIOD_OVERRIDE=FQ","FILING_STATUS=MR","SCALING_FORMAT=MLN","Sort=A","Dates=H","DateFormat=P","Fill=—","Direction=H","UseDPDF=Y")</f>
        <v>0</v>
      </c>
      <c r="AF43" s="13">
        <f>_xll.BDH("AMZN US Equity","CF_NET_CHG_IN_ST_DBT_&amp;_CPTL_LEAS","FQ2 2016","FQ2 2016","Currency=USD","Period=FQ","BEST_FPERIOD_OVERRIDE=FQ","FILING_STATUS=MR","SCALING_FORMAT=MLN","Sort=A","Dates=H","DateFormat=P","Fill=—","Direction=H","UseDPDF=Y")</f>
        <v>0</v>
      </c>
      <c r="AG43" s="13">
        <f>_xll.BDH("AMZN US Equity","CF_NET_CHG_IN_ST_DBT_&amp;_CPTL_LEAS","FQ3 2016","FQ3 2016","Currency=USD","Period=FQ","BEST_FPERIOD_OVERRIDE=FQ","FILING_STATUS=MR","SCALING_FORMAT=MLN","Sort=A","Dates=H","DateFormat=P","Fill=—","Direction=H","UseDPDF=Y")</f>
        <v>0</v>
      </c>
      <c r="AH43" s="13">
        <f>_xll.BDH("AMZN US Equity","CF_NET_CHG_IN_ST_DBT_&amp;_CPTL_LEAS","FQ4 2016","FQ4 2016","Currency=USD","Period=FQ","BEST_FPERIOD_OVERRIDE=FQ","FILING_STATUS=MR","SCALING_FORMAT=MLN","Sort=A","Dates=H","DateFormat=P","Fill=—","Direction=H","UseDPDF=Y")</f>
        <v>0</v>
      </c>
      <c r="AI43" s="13">
        <f>_xll.BDH("AMZN US Equity","CF_NET_CHG_IN_ST_DBT_&amp;_CPTL_LEAS","FQ1 2017","FQ1 2017","Currency=USD","Period=FQ","BEST_FPERIOD_OVERRIDE=FQ","FILING_STATUS=MR","SCALING_FORMAT=MLN","Sort=A","Dates=H","DateFormat=P","Fill=—","Direction=H","UseDPDF=Y")</f>
        <v>0</v>
      </c>
      <c r="AJ43" s="13">
        <f>_xll.BDH("AMZN US Equity","CF_NET_CHG_IN_ST_DBT_&amp;_CPTL_LEAS","FQ2 2017","FQ2 2017","Currency=USD","Period=FQ","BEST_FPERIOD_OVERRIDE=FQ","FILING_STATUS=MR","SCALING_FORMAT=MLN","Sort=A","Dates=H","DateFormat=P","Fill=—","Direction=H","UseDPDF=Y")</f>
        <v>0</v>
      </c>
      <c r="AK43" s="13">
        <f>_xll.BDH("AMZN US Equity","CF_NET_CHG_IN_ST_DBT_&amp;_CPTL_LEAS","FQ3 2017","FQ3 2017","Currency=USD","Period=FQ","BEST_FPERIOD_OVERRIDE=FQ","FILING_STATUS=MR","SCALING_FORMAT=MLN","Sort=A","Dates=H","DateFormat=P","Fill=—","Direction=H","UseDPDF=Y")</f>
        <v>0</v>
      </c>
      <c r="AL43" s="13">
        <f>_xll.BDH("AMZN US Equity","CF_NET_CHG_IN_ST_DBT_&amp;_CPTL_LEAS","FQ4 2017","FQ4 2017","Currency=USD","Period=FQ","BEST_FPERIOD_OVERRIDE=FQ","FILING_STATUS=MR","SCALING_FORMAT=MLN","Sort=A","Dates=H","DateFormat=P","Fill=—","Direction=H","UseDPDF=Y")</f>
        <v>0</v>
      </c>
      <c r="AM43" s="13">
        <f>_xll.BDH("AMZN US Equity","CF_NET_CHG_IN_ST_DBT_&amp;_CPTL_LEAS","FQ1 2018","FQ1 2018","Currency=USD","Period=FQ","BEST_FPERIOD_OVERRIDE=FQ","FILING_STATUS=MR","SCALING_FORMAT=MLN","Sort=A","Dates=H","DateFormat=P","Fill=—","Direction=H","UseDPDF=Y")</f>
        <v>0</v>
      </c>
      <c r="AN43" s="13">
        <f>_xll.BDH("AMZN US Equity","CF_NET_CHG_IN_ST_DBT_&amp;_CPTL_LEAS","FQ2 2018","FQ2 2018","Currency=USD","Period=FQ","BEST_FPERIOD_OVERRIDE=FQ","FILING_STATUS=MR","SCALING_FORMAT=MLN","Sort=A","Dates=H","DateFormat=P","Fill=—","Direction=H","UseDPDF=Y")</f>
        <v>0</v>
      </c>
    </row>
    <row r="44" spans="1:40" x14ac:dyDescent="0.25">
      <c r="A44" s="10" t="s">
        <v>428</v>
      </c>
      <c r="B44" s="10" t="s">
        <v>429</v>
      </c>
      <c r="C44" s="13">
        <f>_xll.BDH("AMZN US Equity","CF_PROC_LT_DEBT_&amp;_CAPITAL_LEASE","FQ1 2009","FQ1 2009","Currency=USD","Period=FQ","BEST_FPERIOD_OVERRIDE=FQ","FILING_STATUS=MR","SCALING_FORMAT=MLN","Sort=A","Dates=H","DateFormat=P","Fill=—","Direction=H","UseDPDF=Y")</f>
        <v>3</v>
      </c>
      <c r="D44" s="13">
        <f>_xll.BDH("AMZN US Equity","CF_PROC_LT_DEBT_&amp;_CAPITAL_LEASE","FQ2 2009","FQ2 2009","Currency=USD","Period=FQ","BEST_FPERIOD_OVERRIDE=FQ","FILING_STATUS=MR","SCALING_FORMAT=MLN","Sort=A","Dates=H","DateFormat=P","Fill=—","Direction=H","UseDPDF=Y")</f>
        <v>2</v>
      </c>
      <c r="E44" s="13">
        <f>_xll.BDH("AMZN US Equity","CF_PROC_LT_DEBT_&amp;_CAPITAL_LEASE","FQ3 2009","FQ3 2009","Currency=USD","Period=FQ","BEST_FPERIOD_OVERRIDE=FQ","FILING_STATUS=MR","SCALING_FORMAT=MLN","Sort=A","Dates=H","DateFormat=P","Fill=—","Direction=H","UseDPDF=Y")</f>
        <v>101</v>
      </c>
      <c r="F44" s="13">
        <f>_xll.BDH("AMZN US Equity","CF_PROC_LT_DEBT_&amp;_CAPITAL_LEASE","FQ4 2009","FQ4 2009","Currency=USD","Period=FQ","BEST_FPERIOD_OVERRIDE=FQ","FILING_STATUS=MR","SCALING_FORMAT=MLN","Sort=A","Dates=H","DateFormat=P","Fill=—","Direction=H","UseDPDF=Y")</f>
        <v>25</v>
      </c>
      <c r="G44" s="13">
        <f>_xll.BDH("AMZN US Equity","CF_PROC_LT_DEBT_&amp;_CAPITAL_LEASE","FQ1 2010","FQ1 2010","Currency=USD","Period=FQ","BEST_FPERIOD_OVERRIDE=FQ","FILING_STATUS=MR","SCALING_FORMAT=MLN","Sort=A","Dates=H","DateFormat=P","Fill=—","Direction=H","UseDPDF=Y")</f>
        <v>62</v>
      </c>
      <c r="H44" s="13">
        <f>_xll.BDH("AMZN US Equity","CF_PROC_LT_DEBT_&amp;_CAPITAL_LEASE","FQ2 2010","FQ2 2010","Currency=USD","Period=FQ","BEST_FPERIOD_OVERRIDE=FQ","FILING_STATUS=MR","SCALING_FORMAT=MLN","Sort=A","Dates=H","DateFormat=P","Fill=—","Direction=H","UseDPDF=Y")</f>
        <v>5</v>
      </c>
      <c r="I44" s="13">
        <f>_xll.BDH("AMZN US Equity","CF_PROC_LT_DEBT_&amp;_CAPITAL_LEASE","FQ3 2010","FQ3 2010","Currency=USD","Period=FQ","BEST_FPERIOD_OVERRIDE=FQ","FILING_STATUS=MR","SCALING_FORMAT=MLN","Sort=A","Dates=H","DateFormat=P","Fill=—","Direction=H","UseDPDF=Y")</f>
        <v>67</v>
      </c>
      <c r="J44" s="13">
        <f>_xll.BDH("AMZN US Equity","CF_PROC_LT_DEBT_&amp;_CAPITAL_LEASE","FQ4 2010","FQ4 2010","Currency=USD","Period=FQ","BEST_FPERIOD_OVERRIDE=FQ","FILING_STATUS=MR","SCALING_FORMAT=MLN","Sort=A","Dates=H","DateFormat=P","Fill=—","Direction=H","UseDPDF=Y")</f>
        <v>43</v>
      </c>
      <c r="K44" s="13">
        <f>_xll.BDH("AMZN US Equity","CF_PROC_LT_DEBT_&amp;_CAPITAL_LEASE","FQ1 2011","FQ1 2011","Currency=USD","Period=FQ","BEST_FPERIOD_OVERRIDE=FQ","FILING_STATUS=MR","SCALING_FORMAT=MLN","Sort=A","Dates=H","DateFormat=P","Fill=—","Direction=H","UseDPDF=Y")</f>
        <v>89</v>
      </c>
      <c r="L44" s="13">
        <f>_xll.BDH("AMZN US Equity","CF_PROC_LT_DEBT_&amp;_CAPITAL_LEASE","FQ2 2011","FQ2 2011","Currency=USD","Period=FQ","BEST_FPERIOD_OVERRIDE=FQ","FILING_STATUS=MR","SCALING_FORMAT=MLN","Sort=A","Dates=H","DateFormat=P","Fill=—","Direction=H","UseDPDF=Y")</f>
        <v>34</v>
      </c>
      <c r="M44" s="13">
        <f>_xll.BDH("AMZN US Equity","CF_PROC_LT_DEBT_&amp;_CAPITAL_LEASE","FQ3 2011","FQ3 2011","Currency=USD","Period=FQ","BEST_FPERIOD_OVERRIDE=FQ","FILING_STATUS=MR","SCALING_FORMAT=MLN","Sort=A","Dates=H","DateFormat=P","Fill=—","Direction=H","UseDPDF=Y")</f>
        <v>9</v>
      </c>
      <c r="N44" s="13">
        <f>_xll.BDH("AMZN US Equity","CF_PROC_LT_DEBT_&amp;_CAPITAL_LEASE","FQ4 2011","FQ4 2011","Currency=USD","Period=FQ","BEST_FPERIOD_OVERRIDE=FQ","FILING_STATUS=MR","SCALING_FORMAT=MLN","Sort=A","Dates=H","DateFormat=P","Fill=—","Direction=H","UseDPDF=Y")</f>
        <v>47</v>
      </c>
      <c r="O44" s="13">
        <f>_xll.BDH("AMZN US Equity","CF_PROC_LT_DEBT_&amp;_CAPITAL_LEASE","FQ1 2012","FQ1 2012","Currency=USD","Period=FQ","BEST_FPERIOD_OVERRIDE=FQ","FILING_STATUS=MR","SCALING_FORMAT=MLN","Sort=A","Dates=H","DateFormat=P","Fill=—","Direction=H","UseDPDF=Y")</f>
        <v>68</v>
      </c>
      <c r="P44" s="13">
        <f>_xll.BDH("AMZN US Equity","CF_PROC_LT_DEBT_&amp;_CAPITAL_LEASE","FQ2 2012","FQ2 2012","Currency=USD","Period=FQ","BEST_FPERIOD_OVERRIDE=FQ","FILING_STATUS=MR","SCALING_FORMAT=MLN","Sort=A","Dates=H","DateFormat=P","Fill=—","Direction=H","UseDPDF=Y")</f>
        <v>123</v>
      </c>
      <c r="Q44" s="13">
        <f>_xll.BDH("AMZN US Equity","CF_PROC_LT_DEBT_&amp;_CAPITAL_LEASE","FQ3 2012","FQ3 2012","Currency=USD","Period=FQ","BEST_FPERIOD_OVERRIDE=FQ","FILING_STATUS=MR","SCALING_FORMAT=MLN","Sort=A","Dates=H","DateFormat=P","Fill=—","Direction=H","UseDPDF=Y")</f>
        <v>109</v>
      </c>
      <c r="R44" s="13">
        <f>_xll.BDH("AMZN US Equity","CF_PROC_LT_DEBT_&amp;_CAPITAL_LEASE","FQ4 2012","FQ4 2012","Currency=USD","Period=FQ","BEST_FPERIOD_OVERRIDE=FQ","FILING_STATUS=MR","SCALING_FORMAT=MLN","Sort=A","Dates=H","DateFormat=P","Fill=—","Direction=H","UseDPDF=Y")</f>
        <v>3083</v>
      </c>
      <c r="S44" s="13">
        <f>_xll.BDH("AMZN US Equity","CF_PROC_LT_DEBT_&amp;_CAPITAL_LEASE","FQ1 2013","FQ1 2013","Currency=USD","Period=FQ","BEST_FPERIOD_OVERRIDE=FQ","FILING_STATUS=MR","SCALING_FORMAT=MLN","Sort=A","Dates=H","DateFormat=P","Fill=—","Direction=H","UseDPDF=Y")</f>
        <v>25</v>
      </c>
      <c r="T44" s="13">
        <f>_xll.BDH("AMZN US Equity","CF_PROC_LT_DEBT_&amp;_CAPITAL_LEASE","FQ2 2013","FQ2 2013","Currency=USD","Period=FQ","BEST_FPERIOD_OVERRIDE=FQ","FILING_STATUS=MR","SCALING_FORMAT=MLN","Sort=A","Dates=H","DateFormat=P","Fill=—","Direction=H","UseDPDF=Y")</f>
        <v>81</v>
      </c>
      <c r="U44" s="13">
        <f>_xll.BDH("AMZN US Equity","CF_PROC_LT_DEBT_&amp;_CAPITAL_LEASE","FQ3 2013","FQ3 2013","Currency=USD","Period=FQ","BEST_FPERIOD_OVERRIDE=FQ","FILING_STATUS=MR","SCALING_FORMAT=MLN","Sort=A","Dates=H","DateFormat=P","Fill=—","Direction=H","UseDPDF=Y")</f>
        <v>25</v>
      </c>
      <c r="V44" s="13">
        <f>_xll.BDH("AMZN US Equity","CF_PROC_LT_DEBT_&amp;_CAPITAL_LEASE","FQ4 2013","FQ4 2013","Currency=USD","Period=FQ","BEST_FPERIOD_OVERRIDE=FQ","FILING_STATUS=MR","SCALING_FORMAT=MLN","Sort=A","Dates=H","DateFormat=P","Fill=—","Direction=H","UseDPDF=Y")</f>
        <v>249</v>
      </c>
      <c r="W44" s="13">
        <f>_xll.BDH("AMZN US Equity","CF_PROC_LT_DEBT_&amp;_CAPITAL_LEASE","FQ1 2014","FQ1 2014","Currency=USD","Period=FQ","BEST_FPERIOD_OVERRIDE=FQ","FILING_STATUS=MR","SCALING_FORMAT=MLN","Sort=A","Dates=H","DateFormat=P","Fill=—","Direction=H","UseDPDF=Y")</f>
        <v>65</v>
      </c>
      <c r="X44" s="13">
        <f>_xll.BDH("AMZN US Equity","CF_PROC_LT_DEBT_&amp;_CAPITAL_LEASE","FQ2 2014","FQ2 2014","Currency=USD","Period=FQ","BEST_FPERIOD_OVERRIDE=FQ","FILING_STATUS=MR","SCALING_FORMAT=MLN","Sort=A","Dates=H","DateFormat=P","Fill=—","Direction=H","UseDPDF=Y")</f>
        <v>286</v>
      </c>
      <c r="Y44" s="13">
        <f>_xll.BDH("AMZN US Equity","CF_PROC_LT_DEBT_&amp;_CAPITAL_LEASE","FQ3 2014","FQ3 2014","Currency=USD","Period=FQ","BEST_FPERIOD_OVERRIDE=FQ","FILING_STATUS=MR","SCALING_FORMAT=MLN","Sort=A","Dates=H","DateFormat=P","Fill=—","Direction=H","UseDPDF=Y")</f>
        <v>28</v>
      </c>
      <c r="Z44" s="13">
        <f>_xll.BDH("AMZN US Equity","CF_PROC_LT_DEBT_&amp;_CAPITAL_LEASE","FQ4 2014","FQ4 2014","Currency=USD","Period=FQ","BEST_FPERIOD_OVERRIDE=FQ","FILING_STATUS=MR","SCALING_FORMAT=MLN","Sort=A","Dates=H","DateFormat=P","Fill=—","Direction=H","UseDPDF=Y")</f>
        <v>5981</v>
      </c>
      <c r="AA44" s="13">
        <f>_xll.BDH("AMZN US Equity","CF_PROC_LT_DEBT_&amp;_CAPITAL_LEASE","FQ1 2015","FQ1 2015","Currency=USD","Period=FQ","BEST_FPERIOD_OVERRIDE=FQ","FILING_STATUS=MR","SCALING_FORMAT=MLN","Sort=A","Dates=H","DateFormat=P","Fill=—","Direction=H","UseDPDF=Y")</f>
        <v>183</v>
      </c>
      <c r="AB44" s="13">
        <f>_xll.BDH("AMZN US Equity","CF_PROC_LT_DEBT_&amp;_CAPITAL_LEASE","FQ2 2015","FQ2 2015","Currency=USD","Period=FQ","BEST_FPERIOD_OVERRIDE=FQ","FILING_STATUS=MR","SCALING_FORMAT=MLN","Sort=A","Dates=H","DateFormat=P","Fill=—","Direction=H","UseDPDF=Y")</f>
        <v>44</v>
      </c>
      <c r="AC44" s="13">
        <f>_xll.BDH("AMZN US Equity","CF_PROC_LT_DEBT_&amp;_CAPITAL_LEASE","FQ3 2015","FQ3 2015","Currency=USD","Period=FQ","BEST_FPERIOD_OVERRIDE=FQ","FILING_STATUS=MR","SCALING_FORMAT=MLN","Sort=A","Dates=H","DateFormat=P","Fill=—","Direction=H","UseDPDF=Y")</f>
        <v>33</v>
      </c>
      <c r="AD44" s="13">
        <f>_xll.BDH("AMZN US Equity","CF_PROC_LT_DEBT_&amp;_CAPITAL_LEASE","FQ4 2015","FQ4 2015","Currency=USD","Period=FQ","BEST_FPERIOD_OVERRIDE=FQ","FILING_STATUS=MR","SCALING_FORMAT=MLN","Sort=A","Dates=H","DateFormat=P","Fill=—","Direction=H","UseDPDF=Y")</f>
        <v>93</v>
      </c>
      <c r="AE44" s="13">
        <f>_xll.BDH("AMZN US Equity","CF_PROC_LT_DEBT_&amp;_CAPITAL_LEASE","FQ1 2016","FQ1 2016","Currency=USD","Period=FQ","BEST_FPERIOD_OVERRIDE=FQ","FILING_STATUS=MR","SCALING_FORMAT=MLN","Sort=A","Dates=H","DateFormat=P","Fill=—","Direction=H","UseDPDF=Y")</f>
        <v>9</v>
      </c>
      <c r="AF44" s="13">
        <f>_xll.BDH("AMZN US Equity","CF_PROC_LT_DEBT_&amp;_CAPITAL_LEASE","FQ2 2016","FQ2 2016","Currency=USD","Period=FQ","BEST_FPERIOD_OVERRIDE=FQ","FILING_STATUS=MR","SCALING_FORMAT=MLN","Sort=A","Dates=H","DateFormat=P","Fill=—","Direction=H","UseDPDF=Y")</f>
        <v>66</v>
      </c>
      <c r="AG44" s="13">
        <f>_xll.BDH("AMZN US Equity","CF_PROC_LT_DEBT_&amp;_CAPITAL_LEASE","FQ3 2016","FQ3 2016","Currency=USD","Period=FQ","BEST_FPERIOD_OVERRIDE=FQ","FILING_STATUS=MR","SCALING_FORMAT=MLN","Sort=A","Dates=H","DateFormat=P","Fill=—","Direction=H","UseDPDF=Y")</f>
        <v>8</v>
      </c>
      <c r="AH44" s="13">
        <f>_xll.BDH("AMZN US Equity","CF_PROC_LT_DEBT_&amp;_CAPITAL_LEASE","FQ4 2016","FQ4 2016","Currency=USD","Period=FQ","BEST_FPERIOD_OVERRIDE=FQ","FILING_STATUS=MR","SCALING_FORMAT=MLN","Sort=A","Dates=H","DateFormat=P","Fill=—","Direction=H","UseDPDF=Y")</f>
        <v>537</v>
      </c>
      <c r="AI44" s="13">
        <f>_xll.BDH("AMZN US Equity","CF_PROC_LT_DEBT_&amp;_CAPITAL_LEASE","FQ1 2017","FQ1 2017","Currency=USD","Period=FQ","BEST_FPERIOD_OVERRIDE=FQ","FILING_STATUS=MR","SCALING_FORMAT=MLN","Sort=A","Dates=H","DateFormat=P","Fill=—","Direction=H","UseDPDF=Y")</f>
        <v>21</v>
      </c>
      <c r="AJ44" s="13">
        <f>_xll.BDH("AMZN US Equity","CF_PROC_LT_DEBT_&amp;_CAPITAL_LEASE","FQ2 2017","FQ2 2017","Currency=USD","Period=FQ","BEST_FPERIOD_OVERRIDE=FQ","FILING_STATUS=MR","SCALING_FORMAT=MLN","Sort=A","Dates=H","DateFormat=P","Fill=—","Direction=H","UseDPDF=Y")</f>
        <v>49</v>
      </c>
      <c r="AK44" s="13">
        <f>_xll.BDH("AMZN US Equity","CF_PROC_LT_DEBT_&amp;_CAPITAL_LEASE","FQ3 2017","FQ3 2017","Currency=USD","Period=FQ","BEST_FPERIOD_OVERRIDE=FQ","FILING_STATUS=MR","SCALING_FORMAT=MLN","Sort=A","Dates=H","DateFormat=P","Fill=—","Direction=H","UseDPDF=Y")</f>
        <v>16080</v>
      </c>
      <c r="AL44" s="13">
        <f>_xll.BDH("AMZN US Equity","CF_PROC_LT_DEBT_&amp;_CAPITAL_LEASE","FQ4 2017","FQ4 2017","Currency=USD","Period=FQ","BEST_FPERIOD_OVERRIDE=FQ","FILING_STATUS=MR","SCALING_FORMAT=MLN","Sort=A","Dates=H","DateFormat=P","Fill=—","Direction=H","UseDPDF=Y")</f>
        <v>61</v>
      </c>
      <c r="AM44" s="13">
        <f>_xll.BDH("AMZN US Equity","CF_PROC_LT_DEBT_&amp;_CAPITAL_LEASE","FQ1 2018","FQ1 2018","Currency=USD","Period=FQ","BEST_FPERIOD_OVERRIDE=FQ","FILING_STATUS=MR","SCALING_FORMAT=MLN","Sort=A","Dates=H","DateFormat=P","Fill=—","Direction=H","UseDPDF=Y")</f>
        <v>125</v>
      </c>
      <c r="AN44" s="13">
        <f>_xll.BDH("AMZN US Equity","CF_PROC_LT_DEBT_&amp;_CAPITAL_LEASE","FQ2 2018","FQ2 2018","Currency=USD","Period=FQ","BEST_FPERIOD_OVERRIDE=FQ","FILING_STATUS=MR","SCALING_FORMAT=MLN","Sort=A","Dates=H","DateFormat=P","Fill=—","Direction=H","UseDPDF=Y")</f>
        <v>96</v>
      </c>
    </row>
    <row r="45" spans="1:40" x14ac:dyDescent="0.25">
      <c r="A45" s="10" t="s">
        <v>430</v>
      </c>
      <c r="B45" s="10" t="s">
        <v>431</v>
      </c>
      <c r="C45" s="13">
        <f>_xll.BDH("AMZN US Equity","CF_PYMT_LT_DEBT_&amp;_CAPITAL_LEASE","FQ1 2009","FQ1 2009","Currency=USD","Period=FQ","BEST_FPERIOD_OVERRIDE=FQ","FILING_STATUS=MR","SCALING_FORMAT=MLN","Sort=A","Dates=H","DateFormat=P","Fill=—","Direction=H","UseDPDF=Y")</f>
        <v>-343</v>
      </c>
      <c r="D45" s="13">
        <f>_xll.BDH("AMZN US Equity","CF_PYMT_LT_DEBT_&amp;_CAPITAL_LEASE","FQ2 2009","FQ2 2009","Currency=USD","Period=FQ","BEST_FPERIOD_OVERRIDE=FQ","FILING_STATUS=MR","SCALING_FORMAT=MLN","Sort=A","Dates=H","DateFormat=P","Fill=—","Direction=H","UseDPDF=Y")</f>
        <v>-25</v>
      </c>
      <c r="E45" s="13">
        <f>_xll.BDH("AMZN US Equity","CF_PYMT_LT_DEBT_&amp;_CAPITAL_LEASE","FQ3 2009","FQ3 2009","Currency=USD","Period=FQ","BEST_FPERIOD_OVERRIDE=FQ","FILING_STATUS=MR","SCALING_FORMAT=MLN","Sort=A","Dates=H","DateFormat=P","Fill=—","Direction=H","UseDPDF=Y")</f>
        <v>-20</v>
      </c>
      <c r="F45" s="13">
        <f>_xll.BDH("AMZN US Equity","CF_PYMT_LT_DEBT_&amp;_CAPITAL_LEASE","FQ4 2009","FQ4 2009","Currency=USD","Period=FQ","BEST_FPERIOD_OVERRIDE=FQ","FILING_STATUS=MR","SCALING_FORMAT=MLN","Sort=A","Dates=H","DateFormat=P","Fill=—","Direction=H","UseDPDF=Y")</f>
        <v>-128</v>
      </c>
      <c r="G45" s="13">
        <f>_xll.BDH("AMZN US Equity","CF_PYMT_LT_DEBT_&amp;_CAPITAL_LEASE","FQ1 2010","FQ1 2010","Currency=USD","Period=FQ","BEST_FPERIOD_OVERRIDE=FQ","FILING_STATUS=MR","SCALING_FORMAT=MLN","Sort=A","Dates=H","DateFormat=P","Fill=—","Direction=H","UseDPDF=Y")</f>
        <v>-61</v>
      </c>
      <c r="H45" s="13">
        <f>_xll.BDH("AMZN US Equity","CF_PYMT_LT_DEBT_&amp;_CAPITAL_LEASE","FQ2 2010","FQ2 2010","Currency=USD","Period=FQ","BEST_FPERIOD_OVERRIDE=FQ","FILING_STATUS=MR","SCALING_FORMAT=MLN","Sort=A","Dates=H","DateFormat=P","Fill=—","Direction=H","UseDPDF=Y")</f>
        <v>-37</v>
      </c>
      <c r="I45" s="13">
        <f>_xll.BDH("AMZN US Equity","CF_PYMT_LT_DEBT_&amp;_CAPITAL_LEASE","FQ3 2010","FQ3 2010","Currency=USD","Period=FQ","BEST_FPERIOD_OVERRIDE=FQ","FILING_STATUS=MR","SCALING_FORMAT=MLN","Sort=A","Dates=H","DateFormat=P","Fill=—","Direction=H","UseDPDF=Y")</f>
        <v>-49</v>
      </c>
      <c r="J45" s="13">
        <f>_xll.BDH("AMZN US Equity","CF_PYMT_LT_DEBT_&amp;_CAPITAL_LEASE","FQ4 2010","FQ4 2010","Currency=USD","Period=FQ","BEST_FPERIOD_OVERRIDE=FQ","FILING_STATUS=MR","SCALING_FORMAT=MLN","Sort=A","Dates=H","DateFormat=P","Fill=—","Direction=H","UseDPDF=Y")</f>
        <v>-100</v>
      </c>
      <c r="K45" s="13">
        <f>_xll.BDH("AMZN US Equity","CF_PYMT_LT_DEBT_&amp;_CAPITAL_LEASE","FQ1 2011","FQ1 2011","Currency=USD","Period=FQ","BEST_FPERIOD_OVERRIDE=FQ","FILING_STATUS=MR","SCALING_FORMAT=MLN","Sort=A","Dates=H","DateFormat=P","Fill=—","Direction=H","UseDPDF=Y")</f>
        <v>-111</v>
      </c>
      <c r="L45" s="13">
        <f>_xll.BDH("AMZN US Equity","CF_PYMT_LT_DEBT_&amp;_CAPITAL_LEASE","FQ2 2011","FQ2 2011","Currency=USD","Period=FQ","BEST_FPERIOD_OVERRIDE=FQ","FILING_STATUS=MR","SCALING_FORMAT=MLN","Sort=A","Dates=H","DateFormat=P","Fill=—","Direction=H","UseDPDF=Y")</f>
        <v>-140</v>
      </c>
      <c r="M45" s="13">
        <f>_xll.BDH("AMZN US Equity","CF_PYMT_LT_DEBT_&amp;_CAPITAL_LEASE","FQ3 2011","FQ3 2011","Currency=USD","Period=FQ","BEST_FPERIOD_OVERRIDE=FQ","FILING_STATUS=MR","SCALING_FORMAT=MLN","Sort=A","Dates=H","DateFormat=P","Fill=—","Direction=H","UseDPDF=Y")</f>
        <v>-91</v>
      </c>
      <c r="N45" s="13">
        <f>_xll.BDH("AMZN US Equity","CF_PYMT_LT_DEBT_&amp;_CAPITAL_LEASE","FQ4 2011","FQ4 2011","Currency=USD","Period=FQ","BEST_FPERIOD_OVERRIDE=FQ","FILING_STATUS=MR","SCALING_FORMAT=MLN","Sort=A","Dates=H","DateFormat=P","Fill=—","Direction=H","UseDPDF=Y")</f>
        <v>-104</v>
      </c>
      <c r="O45" s="13">
        <f>_xll.BDH("AMZN US Equity","CF_PYMT_LT_DEBT_&amp;_CAPITAL_LEASE","FQ1 2012","FQ1 2012","Currency=USD","Period=FQ","BEST_FPERIOD_OVERRIDE=FQ","FILING_STATUS=MR","SCALING_FORMAT=MLN","Sort=A","Dates=H","DateFormat=P","Fill=—","Direction=H","UseDPDF=Y")</f>
        <v>-153</v>
      </c>
      <c r="P45" s="13">
        <f>_xll.BDH("AMZN US Equity","CF_PYMT_LT_DEBT_&amp;_CAPITAL_LEASE","FQ2 2012","FQ2 2012","Currency=USD","Period=FQ","BEST_FPERIOD_OVERRIDE=FQ","FILING_STATUS=MR","SCALING_FORMAT=MLN","Sort=A","Dates=H","DateFormat=P","Fill=—","Direction=H","UseDPDF=Y")</f>
        <v>-141</v>
      </c>
      <c r="Q45" s="13">
        <f>_xll.BDH("AMZN US Equity","CF_PYMT_LT_DEBT_&amp;_CAPITAL_LEASE","FQ3 2012","FQ3 2012","Currency=USD","Period=FQ","BEST_FPERIOD_OVERRIDE=FQ","FILING_STATUS=MR","SCALING_FORMAT=MLN","Sort=A","Dates=H","DateFormat=P","Fill=—","Direction=H","UseDPDF=Y")</f>
        <v>-144</v>
      </c>
      <c r="R45" s="13">
        <f>_xll.BDH("AMZN US Equity","CF_PYMT_LT_DEBT_&amp;_CAPITAL_LEASE","FQ4 2012","FQ4 2012","Currency=USD","Period=FQ","BEST_FPERIOD_OVERRIDE=FQ","FILING_STATUS=MR","SCALING_FORMAT=MLN","Sort=A","Dates=H","DateFormat=P","Fill=—","Direction=H","UseDPDF=Y")</f>
        <v>-156</v>
      </c>
      <c r="S45" s="13">
        <f>_xll.BDH("AMZN US Equity","CF_PYMT_LT_DEBT_&amp;_CAPITAL_LEASE","FQ1 2013","FQ1 2013","Currency=USD","Period=FQ","BEST_FPERIOD_OVERRIDE=FQ","FILING_STATUS=MR","SCALING_FORMAT=MLN","Sort=A","Dates=H","DateFormat=P","Fill=—","Direction=H","UseDPDF=Y")</f>
        <v>-182</v>
      </c>
      <c r="T45" s="13">
        <f>_xll.BDH("AMZN US Equity","CF_PYMT_LT_DEBT_&amp;_CAPITAL_LEASE","FQ2 2013","FQ2 2013","Currency=USD","Period=FQ","BEST_FPERIOD_OVERRIDE=FQ","FILING_STATUS=MR","SCALING_FORMAT=MLN","Sort=A","Dates=H","DateFormat=P","Fill=—","Direction=H","UseDPDF=Y")</f>
        <v>-290</v>
      </c>
      <c r="U45" s="13">
        <f>_xll.BDH("AMZN US Equity","CF_PYMT_LT_DEBT_&amp;_CAPITAL_LEASE","FQ3 2013","FQ3 2013","Currency=USD","Period=FQ","BEST_FPERIOD_OVERRIDE=FQ","FILING_STATUS=MR","SCALING_FORMAT=MLN","Sort=A","Dates=H","DateFormat=P","Fill=—","Direction=H","UseDPDF=Y")</f>
        <v>-255</v>
      </c>
      <c r="V45" s="13">
        <f>_xll.BDH("AMZN US Equity","CF_PYMT_LT_DEBT_&amp;_CAPITAL_LEASE","FQ4 2013","FQ4 2013","Currency=USD","Period=FQ","BEST_FPERIOD_OVERRIDE=FQ","FILING_STATUS=MR","SCALING_FORMAT=MLN","Sort=A","Dates=H","DateFormat=P","Fill=—","Direction=H","UseDPDF=Y")</f>
        <v>-270</v>
      </c>
      <c r="W45" s="13">
        <f>_xll.BDH("AMZN US Equity","CF_PYMT_LT_DEBT_&amp;_CAPITAL_LEASE","FQ1 2014","FQ1 2014","Currency=USD","Period=FQ","BEST_FPERIOD_OVERRIDE=FQ","FILING_STATUS=MR","SCALING_FORMAT=MLN","Sort=A","Dates=H","DateFormat=P","Fill=—","Direction=H","UseDPDF=Y")</f>
        <v>-361</v>
      </c>
      <c r="X45" s="13">
        <f>_xll.BDH("AMZN US Equity","CF_PYMT_LT_DEBT_&amp;_CAPITAL_LEASE","FQ2 2014","FQ2 2014","Currency=USD","Period=FQ","BEST_FPERIOD_OVERRIDE=FQ","FILING_STATUS=MR","SCALING_FORMAT=MLN","Sort=A","Dates=H","DateFormat=P","Fill=—","Direction=H","UseDPDF=Y")</f>
        <v>-475</v>
      </c>
      <c r="Y45" s="13">
        <f>_xll.BDH("AMZN US Equity","CF_PYMT_LT_DEBT_&amp;_CAPITAL_LEASE","FQ3 2014","FQ3 2014","Currency=USD","Period=FQ","BEST_FPERIOD_OVERRIDE=FQ","FILING_STATUS=MR","SCALING_FORMAT=MLN","Sort=A","Dates=H","DateFormat=P","Fill=—","Direction=H","UseDPDF=Y")</f>
        <v>-440</v>
      </c>
      <c r="Z45" s="13">
        <f>_xll.BDH("AMZN US Equity","CF_PYMT_LT_DEBT_&amp;_CAPITAL_LEASE","FQ4 2014","FQ4 2014","Currency=USD","Period=FQ","BEST_FPERIOD_OVERRIDE=FQ","FILING_STATUS=MR","SCALING_FORMAT=MLN","Sort=A","Dates=H","DateFormat=P","Fill=—","Direction=H","UseDPDF=Y")</f>
        <v>-657</v>
      </c>
      <c r="AA45" s="13">
        <f>_xll.BDH("AMZN US Equity","CF_PYMT_LT_DEBT_&amp;_CAPITAL_LEASE","FQ1 2015","FQ1 2015","Currency=USD","Period=FQ","BEST_FPERIOD_OVERRIDE=FQ","FILING_STATUS=MR","SCALING_FORMAT=MLN","Sort=A","Dates=H","DateFormat=P","Fill=—","Direction=H","UseDPDF=Y")</f>
        <v>-857</v>
      </c>
      <c r="AB45" s="13">
        <f>_xll.BDH("AMZN US Equity","CF_PYMT_LT_DEBT_&amp;_CAPITAL_LEASE","FQ2 2015","FQ2 2015","Currency=USD","Period=FQ","BEST_FPERIOD_OVERRIDE=FQ","FILING_STATUS=MR","SCALING_FORMAT=MLN","Sort=A","Dates=H","DateFormat=P","Fill=—","Direction=H","UseDPDF=Y")</f>
        <v>-830</v>
      </c>
      <c r="AC45" s="13">
        <f>_xll.BDH("AMZN US Equity","CF_PYMT_LT_DEBT_&amp;_CAPITAL_LEASE","FQ3 2015","FQ3 2015","Currency=USD","Period=FQ","BEST_FPERIOD_OVERRIDE=FQ","FILING_STATUS=MR","SCALING_FORMAT=MLN","Sort=A","Dates=H","DateFormat=P","Fill=—","Direction=H","UseDPDF=Y")</f>
        <v>-858</v>
      </c>
      <c r="AD45" s="13">
        <f>_xll.BDH("AMZN US Equity","CF_PYMT_LT_DEBT_&amp;_CAPITAL_LEASE","FQ4 2015","FQ4 2015","Currency=USD","Period=FQ","BEST_FPERIOD_OVERRIDE=FQ","FILING_STATUS=MR","SCALING_FORMAT=MLN","Sort=A","Dates=H","DateFormat=P","Fill=—","Direction=H","UseDPDF=Y")</f>
        <v>-1690</v>
      </c>
      <c r="AE45" s="13">
        <f>_xll.BDH("AMZN US Equity","CF_PYMT_LT_DEBT_&amp;_CAPITAL_LEASE","FQ1 2016","FQ1 2016","Currency=USD","Period=FQ","BEST_FPERIOD_OVERRIDE=FQ","FILING_STATUS=MR","SCALING_FORMAT=MLN","Sort=A","Dates=H","DateFormat=P","Fill=—","Direction=H","UseDPDF=Y")</f>
        <v>-1005</v>
      </c>
      <c r="AF45" s="13">
        <f>_xll.BDH("AMZN US Equity","CF_PYMT_LT_DEBT_&amp;_CAPITAL_LEASE","FQ2 2016","FQ2 2016","Currency=USD","Period=FQ","BEST_FPERIOD_OVERRIDE=FQ","FILING_STATUS=MR","SCALING_FORMAT=MLN","Sort=A","Dates=H","DateFormat=P","Fill=—","Direction=H","UseDPDF=Y")</f>
        <v>-1218</v>
      </c>
      <c r="AG45" s="13">
        <f>_xll.BDH("AMZN US Equity","CF_PYMT_LT_DEBT_&amp;_CAPITAL_LEASE","FQ3 2016","FQ3 2016","Currency=USD","Period=FQ","BEST_FPERIOD_OVERRIDE=FQ","FILING_STATUS=MR","SCALING_FORMAT=MLN","Sort=A","Dates=H","DateFormat=P","Fill=—","Direction=H","UseDPDF=Y")</f>
        <v>-1008</v>
      </c>
      <c r="AH45" s="13">
        <f>_xll.BDH("AMZN US Equity","CF_PYMT_LT_DEBT_&amp;_CAPITAL_LEASE","FQ4 2016","FQ4 2016","Currency=USD","Period=FQ","BEST_FPERIOD_OVERRIDE=FQ","FILING_STATUS=MR","SCALING_FORMAT=MLN","Sort=A","Dates=H","DateFormat=P","Fill=—","Direction=H","UseDPDF=Y")</f>
        <v>-1129</v>
      </c>
      <c r="AI45" s="13">
        <f>_xll.BDH("AMZN US Equity","CF_PYMT_LT_DEBT_&amp;_CAPITAL_LEASE","FQ1 2017","FQ1 2017","Currency=USD","Period=FQ","BEST_FPERIOD_OVERRIDE=FQ","FILING_STATUS=MR","SCALING_FORMAT=MLN","Sort=A","Dates=H","DateFormat=P","Fill=—","Direction=H","UseDPDF=Y")</f>
        <v>-909</v>
      </c>
      <c r="AJ45" s="13">
        <f>_xll.BDH("AMZN US Equity","CF_PYMT_LT_DEBT_&amp;_CAPITAL_LEASE","FQ2 2017","FQ2 2017","Currency=USD","Period=FQ","BEST_FPERIOD_OVERRIDE=FQ","FILING_STATUS=MR","SCALING_FORMAT=MLN","Sort=A","Dates=H","DateFormat=P","Fill=—","Direction=H","UseDPDF=Y")</f>
        <v>-1323</v>
      </c>
      <c r="AK45" s="13">
        <f>_xll.BDH("AMZN US Equity","CF_PYMT_LT_DEBT_&amp;_CAPITAL_LEASE","FQ3 2017","FQ3 2017","Currency=USD","Period=FQ","BEST_FPERIOD_OVERRIDE=FQ","FILING_STATUS=MR","SCALING_FORMAT=MLN","Sort=A","Dates=H","DateFormat=P","Fill=—","Direction=H","UseDPDF=Y")</f>
        <v>-1395</v>
      </c>
      <c r="AL45" s="13">
        <f>_xll.BDH("AMZN US Equity","CF_PYMT_LT_DEBT_&amp;_CAPITAL_LEASE","FQ4 2017","FQ4 2017","Currency=USD","Period=FQ","BEST_FPERIOD_OVERRIDE=FQ","FILING_STATUS=MR","SCALING_FORMAT=MLN","Sort=A","Dates=H","DateFormat=P","Fill=—","Direction=H","UseDPDF=Y")</f>
        <v>-2708</v>
      </c>
      <c r="AM45" s="13">
        <f>_xll.BDH("AMZN US Equity","CF_PYMT_LT_DEBT_&amp;_CAPITAL_LEASE","FQ1 2018","FQ1 2018","Currency=USD","Period=FQ","BEST_FPERIOD_OVERRIDE=FQ","FILING_STATUS=MR","SCALING_FORMAT=MLN","Sort=A","Dates=H","DateFormat=P","Fill=—","Direction=H","UseDPDF=Y")</f>
        <v>-2289</v>
      </c>
      <c r="AN45" s="13">
        <f>_xll.BDH("AMZN US Equity","CF_PYMT_LT_DEBT_&amp;_CAPITAL_LEASE","FQ2 2018","FQ2 2018","Currency=USD","Period=FQ","BEST_FPERIOD_OVERRIDE=FQ","FILING_STATUS=MR","SCALING_FORMAT=MLN","Sort=A","Dates=H","DateFormat=P","Fill=—","Direction=H","UseDPDF=Y")</f>
        <v>-1490</v>
      </c>
    </row>
    <row r="46" spans="1:40" x14ac:dyDescent="0.25">
      <c r="A46" s="10" t="s">
        <v>432</v>
      </c>
      <c r="B46" s="10" t="s">
        <v>433</v>
      </c>
      <c r="C46" s="13">
        <f>_xll.BDH("AMZN US Equity","PROC_FR_REPURCH_EQTY_DETAILED","FQ1 2009","FQ1 2009","Currency=USD","Period=FQ","BEST_FPERIOD_OVERRIDE=FQ","FILING_STATUS=MR","SCALING_FORMAT=MLN","Sort=A","Dates=H","DateFormat=P","Fill=—","Direction=H","UseDPDF=Y")</f>
        <v>49</v>
      </c>
      <c r="D46" s="13">
        <f>_xll.BDH("AMZN US Equity","PROC_FR_REPURCH_EQTY_DETAILED","FQ2 2009","FQ2 2009","Currency=USD","Period=FQ","BEST_FPERIOD_OVERRIDE=FQ","FILING_STATUS=MR","SCALING_FORMAT=MLN","Sort=A","Dates=H","DateFormat=P","Fill=—","Direction=H","UseDPDF=Y")</f>
        <v>20</v>
      </c>
      <c r="E46" s="13">
        <f>_xll.BDH("AMZN US Equity","PROC_FR_REPURCH_EQTY_DETAILED","FQ3 2009","FQ3 2009","Currency=USD","Period=FQ","BEST_FPERIOD_OVERRIDE=FQ","FILING_STATUS=MR","SCALING_FORMAT=MLN","Sort=A","Dates=H","DateFormat=P","Fill=—","Direction=H","UseDPDF=Y")</f>
        <v>0</v>
      </c>
      <c r="F46" s="13">
        <f>_xll.BDH("AMZN US Equity","PROC_FR_REPURCH_EQTY_DETAILED","FQ4 2009","FQ4 2009","Currency=USD","Period=FQ","BEST_FPERIOD_OVERRIDE=FQ","FILING_STATUS=MR","SCALING_FORMAT=MLN","Sort=A","Dates=H","DateFormat=P","Fill=—","Direction=H","UseDPDF=Y")</f>
        <v>52</v>
      </c>
      <c r="G46" s="13">
        <f>_xll.BDH("AMZN US Equity","PROC_FR_REPURCH_EQTY_DETAILED","FQ1 2010","FQ1 2010","Currency=USD","Period=FQ","BEST_FPERIOD_OVERRIDE=FQ","FILING_STATUS=MR","SCALING_FORMAT=MLN","Sort=A","Dates=H","DateFormat=P","Fill=—","Direction=H","UseDPDF=Y")</f>
        <v>86</v>
      </c>
      <c r="H46" s="13">
        <f>_xll.BDH("AMZN US Equity","PROC_FR_REPURCH_EQTY_DETAILED","FQ2 2010","FQ2 2010","Currency=USD","Period=FQ","BEST_FPERIOD_OVERRIDE=FQ","FILING_STATUS=MR","SCALING_FORMAT=MLN","Sort=A","Dates=H","DateFormat=P","Fill=—","Direction=H","UseDPDF=Y")</f>
        <v>75</v>
      </c>
      <c r="I46" s="13">
        <f>_xll.BDH("AMZN US Equity","PROC_FR_REPURCH_EQTY_DETAILED","FQ3 2010","FQ3 2010","Currency=USD","Period=FQ","BEST_FPERIOD_OVERRIDE=FQ","FILING_STATUS=MR","SCALING_FORMAT=MLN","Sort=A","Dates=H","DateFormat=P","Fill=—","Direction=H","UseDPDF=Y")</f>
        <v>75</v>
      </c>
      <c r="J46" s="13">
        <f>_xll.BDH("AMZN US Equity","PROC_FR_REPURCH_EQTY_DETAILED","FQ4 2010","FQ4 2010","Currency=USD","Period=FQ","BEST_FPERIOD_OVERRIDE=FQ","FILING_STATUS=MR","SCALING_FORMAT=MLN","Sort=A","Dates=H","DateFormat=P","Fill=—","Direction=H","UseDPDF=Y")</f>
        <v>23</v>
      </c>
      <c r="K46" s="13">
        <f>_xll.BDH("AMZN US Equity","PROC_FR_REPURCH_EQTY_DETAILED","FQ1 2011","FQ1 2011","Currency=USD","Period=FQ","BEST_FPERIOD_OVERRIDE=FQ","FILING_STATUS=MR","SCALING_FORMAT=MLN","Sort=A","Dates=H","DateFormat=P","Fill=—","Direction=H","UseDPDF=Y")</f>
        <v>46</v>
      </c>
      <c r="L46" s="13">
        <f>_xll.BDH("AMZN US Equity","PROC_FR_REPURCH_EQTY_DETAILED","FQ2 2011","FQ2 2011","Currency=USD","Period=FQ","BEST_FPERIOD_OVERRIDE=FQ","FILING_STATUS=MR","SCALING_FORMAT=MLN","Sort=A","Dates=H","DateFormat=P","Fill=—","Direction=H","UseDPDF=Y")</f>
        <v>15</v>
      </c>
      <c r="M46" s="13">
        <f>_xll.BDH("AMZN US Equity","PROC_FR_REPURCH_EQTY_DETAILED","FQ3 2011","FQ3 2011","Currency=USD","Period=FQ","BEST_FPERIOD_OVERRIDE=FQ","FILING_STATUS=MR","SCALING_FORMAT=MLN","Sort=A","Dates=H","DateFormat=P","Fill=—","Direction=H","UseDPDF=Y")</f>
        <v>0</v>
      </c>
      <c r="N46" s="13">
        <f>_xll.BDH("AMZN US Equity","PROC_FR_REPURCH_EQTY_DETAILED","FQ4 2011","FQ4 2011","Currency=USD","Period=FQ","BEST_FPERIOD_OVERRIDE=FQ","FILING_STATUS=MR","SCALING_FORMAT=MLN","Sort=A","Dates=H","DateFormat=P","Fill=—","Direction=H","UseDPDF=Y")</f>
        <v>-276</v>
      </c>
      <c r="O46" s="13">
        <f>_xll.BDH("AMZN US Equity","PROC_FR_REPURCH_EQTY_DETAILED","FQ1 2012","FQ1 2012","Currency=USD","Period=FQ","BEST_FPERIOD_OVERRIDE=FQ","FILING_STATUS=MR","SCALING_FORMAT=MLN","Sort=A","Dates=H","DateFormat=P","Fill=—","Direction=H","UseDPDF=Y")</f>
        <v>-920</v>
      </c>
      <c r="P46" s="13">
        <f>_xll.BDH("AMZN US Equity","PROC_FR_REPURCH_EQTY_DETAILED","FQ2 2012","FQ2 2012","Currency=USD","Period=FQ","BEST_FPERIOD_OVERRIDE=FQ","FILING_STATUS=MR","SCALING_FORMAT=MLN","Sort=A","Dates=H","DateFormat=P","Fill=—","Direction=H","UseDPDF=Y")</f>
        <v>85</v>
      </c>
      <c r="Q46" s="13">
        <f>_xll.BDH("AMZN US Equity","PROC_FR_REPURCH_EQTY_DETAILED","FQ3 2012","FQ3 2012","Currency=USD","Period=FQ","BEST_FPERIOD_OVERRIDE=FQ","FILING_STATUS=MR","SCALING_FORMAT=MLN","Sort=A","Dates=H","DateFormat=P","Fill=—","Direction=H","UseDPDF=Y")</f>
        <v>66</v>
      </c>
      <c r="R46" s="13">
        <f>_xll.BDH("AMZN US Equity","PROC_FR_REPURCH_EQTY_DETAILED","FQ4 2012","FQ4 2012","Currency=USD","Period=FQ","BEST_FPERIOD_OVERRIDE=FQ","FILING_STATUS=MR","SCALING_FORMAT=MLN","Sort=A","Dates=H","DateFormat=P","Fill=—","Direction=H","UseDPDF=Y")</f>
        <v>239</v>
      </c>
      <c r="S46" s="13">
        <f>_xll.BDH("AMZN US Equity","PROC_FR_REPURCH_EQTY_DETAILED","FQ1 2013","FQ1 2013","Currency=USD","Period=FQ","BEST_FPERIOD_OVERRIDE=FQ","FILING_STATUS=MR","SCALING_FORMAT=MLN","Sort=A","Dates=H","DateFormat=P","Fill=—","Direction=H","UseDPDF=Y")</f>
        <v>0</v>
      </c>
      <c r="T46" s="13">
        <f>_xll.BDH("AMZN US Equity","PROC_FR_REPURCH_EQTY_DETAILED","FQ2 2013","FQ2 2013","Currency=USD","Period=FQ","BEST_FPERIOD_OVERRIDE=FQ","FILING_STATUS=MR","SCALING_FORMAT=MLN","Sort=A","Dates=H","DateFormat=P","Fill=—","Direction=H","UseDPDF=Y")</f>
        <v>0</v>
      </c>
      <c r="U46" s="13">
        <f>_xll.BDH("AMZN US Equity","PROC_FR_REPURCH_EQTY_DETAILED","FQ3 2013","FQ3 2013","Currency=USD","Period=FQ","BEST_FPERIOD_OVERRIDE=FQ","FILING_STATUS=MR","SCALING_FORMAT=MLN","Sort=A","Dates=H","DateFormat=P","Fill=—","Direction=H","UseDPDF=Y")</f>
        <v>0</v>
      </c>
      <c r="V46" s="13">
        <f>_xll.BDH("AMZN US Equity","PROC_FR_REPURCH_EQTY_DETAILED","FQ4 2013","FQ4 2013","Currency=USD","Period=FQ","BEST_FPERIOD_OVERRIDE=FQ","FILING_STATUS=MR","SCALING_FORMAT=MLN","Sort=A","Dates=H","DateFormat=P","Fill=—","Direction=H","UseDPDF=Y")</f>
        <v>78</v>
      </c>
      <c r="W46" s="13">
        <f>_xll.BDH("AMZN US Equity","PROC_FR_REPURCH_EQTY_DETAILED","FQ1 2014","FQ1 2014","Currency=USD","Period=FQ","BEST_FPERIOD_OVERRIDE=FQ","FILING_STATUS=MR","SCALING_FORMAT=MLN","Sort=A","Dates=H","DateFormat=P","Fill=—","Direction=H","UseDPDF=Y")</f>
        <v>121</v>
      </c>
      <c r="X46" s="13">
        <f>_xll.BDH("AMZN US Equity","PROC_FR_REPURCH_EQTY_DETAILED","FQ2 2014","FQ2 2014","Currency=USD","Period=FQ","BEST_FPERIOD_OVERRIDE=FQ","FILING_STATUS=MR","SCALING_FORMAT=MLN","Sort=A","Dates=H","DateFormat=P","Fill=—","Direction=H","UseDPDF=Y")</f>
        <v>0</v>
      </c>
      <c r="Y46" s="13">
        <f>_xll.BDH("AMZN US Equity","PROC_FR_REPURCH_EQTY_DETAILED","FQ3 2014","FQ3 2014","Currency=USD","Period=FQ","BEST_FPERIOD_OVERRIDE=FQ","FILING_STATUS=MR","SCALING_FORMAT=MLN","Sort=A","Dates=H","DateFormat=P","Fill=—","Direction=H","UseDPDF=Y")</f>
        <v>0</v>
      </c>
      <c r="Z46" s="13">
        <f>_xll.BDH("AMZN US Equity","PROC_FR_REPURCH_EQTY_DETAILED","FQ4 2014","FQ4 2014","Currency=USD","Period=FQ","BEST_FPERIOD_OVERRIDE=FQ","FILING_STATUS=MR","SCALING_FORMAT=MLN","Sort=A","Dates=H","DateFormat=P","Fill=—","Direction=H","UseDPDF=Y")</f>
        <v>-115</v>
      </c>
      <c r="AA46" s="13">
        <f>_xll.BDH("AMZN US Equity","PROC_FR_REPURCH_EQTY_DETAILED","FQ1 2015","FQ1 2015","Currency=USD","Period=FQ","BEST_FPERIOD_OVERRIDE=FQ","FILING_STATUS=MR","SCALING_FORMAT=MLN","Sort=A","Dates=H","DateFormat=P","Fill=—","Direction=H","UseDPDF=Y")</f>
        <v>22</v>
      </c>
      <c r="AB46" s="13">
        <f>_xll.BDH("AMZN US Equity","PROC_FR_REPURCH_EQTY_DETAILED","FQ2 2015","FQ2 2015","Currency=USD","Period=FQ","BEST_FPERIOD_OVERRIDE=FQ","FILING_STATUS=MR","SCALING_FORMAT=MLN","Sort=A","Dates=H","DateFormat=P","Fill=—","Direction=H","UseDPDF=Y")</f>
        <v>95</v>
      </c>
      <c r="AC46" s="13">
        <f>_xll.BDH("AMZN US Equity","PROC_FR_REPURCH_EQTY_DETAILED","FQ3 2015","FQ3 2015","Currency=USD","Period=FQ","BEST_FPERIOD_OVERRIDE=FQ","FILING_STATUS=MR","SCALING_FORMAT=MLN","Sort=A","Dates=H","DateFormat=P","Fill=—","Direction=H","UseDPDF=Y")</f>
        <v>95</v>
      </c>
      <c r="AD46" s="13">
        <f>_xll.BDH("AMZN US Equity","PROC_FR_REPURCH_EQTY_DETAILED","FQ4 2015","FQ4 2015","Currency=USD","Period=FQ","BEST_FPERIOD_OVERRIDE=FQ","FILING_STATUS=MR","SCALING_FORMAT=MLN","Sort=A","Dates=H","DateFormat=P","Fill=—","Direction=H","UseDPDF=Y")</f>
        <v>0</v>
      </c>
      <c r="AE46" s="13">
        <f>_xll.BDH("AMZN US Equity","PROC_FR_REPURCH_EQTY_DETAILED","FQ1 2016","FQ1 2016","Currency=USD","Period=FQ","BEST_FPERIOD_OVERRIDE=FQ","FILING_STATUS=MR","SCALING_FORMAT=MLN","Sort=A","Dates=H","DateFormat=P","Fill=—","Direction=H","UseDPDF=Y")</f>
        <v>0</v>
      </c>
      <c r="AF46" s="13">
        <f>_xll.BDH("AMZN US Equity","PROC_FR_REPURCH_EQTY_DETAILED","FQ2 2016","FQ2 2016","Currency=USD","Period=FQ","BEST_FPERIOD_OVERRIDE=FQ","FILING_STATUS=MR","SCALING_FORMAT=MLN","Sort=A","Dates=H","DateFormat=P","Fill=—","Direction=H","UseDPDF=Y")</f>
        <v>0</v>
      </c>
      <c r="AG46" s="13">
        <f>_xll.BDH("AMZN US Equity","PROC_FR_REPURCH_EQTY_DETAILED","FQ3 2016","FQ3 2016","Currency=USD","Period=FQ","BEST_FPERIOD_OVERRIDE=FQ","FILING_STATUS=MR","SCALING_FORMAT=MLN","Sort=A","Dates=H","DateFormat=P","Fill=—","Direction=H","UseDPDF=Y")</f>
        <v>0</v>
      </c>
      <c r="AH46" s="13">
        <f>_xll.BDH("AMZN US Equity","PROC_FR_REPURCH_EQTY_DETAILED","FQ4 2016","FQ4 2016","Currency=USD","Period=FQ","BEST_FPERIOD_OVERRIDE=FQ","FILING_STATUS=MR","SCALING_FORMAT=MLN","Sort=A","Dates=H","DateFormat=P","Fill=—","Direction=H","UseDPDF=Y")</f>
        <v>0</v>
      </c>
      <c r="AI46" s="13">
        <f>_xll.BDH("AMZN US Equity","PROC_FR_REPURCH_EQTY_DETAILED","FQ1 2017","FQ1 2017","Currency=USD","Period=FQ","BEST_FPERIOD_OVERRIDE=FQ","FILING_STATUS=MR","SCALING_FORMAT=MLN","Sort=A","Dates=H","DateFormat=P","Fill=—","Direction=H","UseDPDF=Y")</f>
        <v>0</v>
      </c>
      <c r="AJ46" s="13">
        <f>_xll.BDH("AMZN US Equity","PROC_FR_REPURCH_EQTY_DETAILED","FQ2 2017","FQ2 2017","Currency=USD","Period=FQ","BEST_FPERIOD_OVERRIDE=FQ","FILING_STATUS=MR","SCALING_FORMAT=MLN","Sort=A","Dates=H","DateFormat=P","Fill=—","Direction=H","UseDPDF=Y")</f>
        <v>0</v>
      </c>
      <c r="AK46" s="13">
        <f>_xll.BDH("AMZN US Equity","PROC_FR_REPURCH_EQTY_DETAILED","FQ3 2017","FQ3 2017","Currency=USD","Period=FQ","BEST_FPERIOD_OVERRIDE=FQ","FILING_STATUS=MR","SCALING_FORMAT=MLN","Sort=A","Dates=H","DateFormat=P","Fill=—","Direction=H","UseDPDF=Y")</f>
        <v>0</v>
      </c>
      <c r="AL46" s="13">
        <f>_xll.BDH("AMZN US Equity","PROC_FR_REPURCH_EQTY_DETAILED","FQ4 2017","FQ4 2017","Currency=USD","Period=FQ","BEST_FPERIOD_OVERRIDE=FQ","FILING_STATUS=MR","SCALING_FORMAT=MLN","Sort=A","Dates=H","DateFormat=P","Fill=—","Direction=H","UseDPDF=Y")</f>
        <v>0</v>
      </c>
      <c r="AM46" s="13">
        <f>_xll.BDH("AMZN US Equity","PROC_FR_REPURCH_EQTY_DETAILED","FQ1 2018","FQ1 2018","Currency=USD","Period=FQ","BEST_FPERIOD_OVERRIDE=FQ","FILING_STATUS=MR","SCALING_FORMAT=MLN","Sort=A","Dates=H","DateFormat=P","Fill=—","Direction=H","UseDPDF=Y")</f>
        <v>0</v>
      </c>
      <c r="AN46" s="13">
        <f>_xll.BDH("AMZN US Equity","PROC_FR_REPURCH_EQTY_DETAILED","FQ2 2018","FQ2 2018","Currency=USD","Period=FQ","BEST_FPERIOD_OVERRIDE=FQ","FILING_STATUS=MR","SCALING_FORMAT=MLN","Sort=A","Dates=H","DateFormat=P","Fill=—","Direction=H","UseDPDF=Y")</f>
        <v>0</v>
      </c>
    </row>
    <row r="47" spans="1:40" x14ac:dyDescent="0.25">
      <c r="A47" s="10" t="s">
        <v>434</v>
      </c>
      <c r="B47" s="10" t="s">
        <v>435</v>
      </c>
      <c r="C47" s="13">
        <f>_xll.BDH("AMZN US Equity","CF_INCR_CAP_STOCK","FQ1 2009","FQ1 2009","Currency=USD","Period=FQ","BEST_FPERIOD_OVERRIDE=FQ","FILING_STATUS=MR","SCALING_FORMAT=MLN","Sort=A","Dates=H","DateFormat=P","Fill=—","Direction=H","UseDPDF=Y")</f>
        <v>49</v>
      </c>
      <c r="D47" s="13">
        <f>_xll.BDH("AMZN US Equity","CF_INCR_CAP_STOCK","FQ2 2009","FQ2 2009","Currency=USD","Period=FQ","BEST_FPERIOD_OVERRIDE=FQ","FILING_STATUS=MR","SCALING_FORMAT=MLN","Sort=A","Dates=H","DateFormat=P","Fill=—","Direction=H","UseDPDF=Y")</f>
        <v>20</v>
      </c>
      <c r="E47" s="13">
        <f>_xll.BDH("AMZN US Equity","CF_INCR_CAP_STOCK","FQ3 2009","FQ3 2009","Currency=USD","Period=FQ","BEST_FPERIOD_OVERRIDE=FQ","FILING_STATUS=MR","SCALING_FORMAT=MLN","Sort=A","Dates=H","DateFormat=P","Fill=—","Direction=H","UseDPDF=Y")</f>
        <v>0</v>
      </c>
      <c r="F47" s="13">
        <f>_xll.BDH("AMZN US Equity","CF_INCR_CAP_STOCK","FQ4 2009","FQ4 2009","Currency=USD","Period=FQ","BEST_FPERIOD_OVERRIDE=FQ","FILING_STATUS=MR","SCALING_FORMAT=MLN","Sort=A","Dates=H","DateFormat=P","Fill=—","Direction=H","UseDPDF=Y")</f>
        <v>52</v>
      </c>
      <c r="G47" s="13">
        <f>_xll.BDH("AMZN US Equity","CF_INCR_CAP_STOCK","FQ1 2010","FQ1 2010","Currency=USD","Period=FQ","BEST_FPERIOD_OVERRIDE=FQ","FILING_STATUS=MR","SCALING_FORMAT=MLN","Sort=A","Dates=H","DateFormat=P","Fill=—","Direction=H","UseDPDF=Y")</f>
        <v>86</v>
      </c>
      <c r="H47" s="13">
        <f>_xll.BDH("AMZN US Equity","CF_INCR_CAP_STOCK","FQ2 2010","FQ2 2010","Currency=USD","Period=FQ","BEST_FPERIOD_OVERRIDE=FQ","FILING_STATUS=MR","SCALING_FORMAT=MLN","Sort=A","Dates=H","DateFormat=P","Fill=—","Direction=H","UseDPDF=Y")</f>
        <v>75</v>
      </c>
      <c r="I47" s="13">
        <f>_xll.BDH("AMZN US Equity","CF_INCR_CAP_STOCK","FQ3 2010","FQ3 2010","Currency=USD","Period=FQ","BEST_FPERIOD_OVERRIDE=FQ","FILING_STATUS=MR","SCALING_FORMAT=MLN","Sort=A","Dates=H","DateFormat=P","Fill=—","Direction=H","UseDPDF=Y")</f>
        <v>75</v>
      </c>
      <c r="J47" s="13">
        <f>_xll.BDH("AMZN US Equity","CF_INCR_CAP_STOCK","FQ4 2010","FQ4 2010","Currency=USD","Period=FQ","BEST_FPERIOD_OVERRIDE=FQ","FILING_STATUS=MR","SCALING_FORMAT=MLN","Sort=A","Dates=H","DateFormat=P","Fill=—","Direction=H","UseDPDF=Y")</f>
        <v>23</v>
      </c>
      <c r="K47" s="13">
        <f>_xll.BDH("AMZN US Equity","CF_INCR_CAP_STOCK","FQ1 2011","FQ1 2011","Currency=USD","Period=FQ","BEST_FPERIOD_OVERRIDE=FQ","FILING_STATUS=MR","SCALING_FORMAT=MLN","Sort=A","Dates=H","DateFormat=P","Fill=—","Direction=H","UseDPDF=Y")</f>
        <v>46</v>
      </c>
      <c r="L47" s="13">
        <f>_xll.BDH("AMZN US Equity","CF_INCR_CAP_STOCK","FQ2 2011","FQ2 2011","Currency=USD","Period=FQ","BEST_FPERIOD_OVERRIDE=FQ","FILING_STATUS=MR","SCALING_FORMAT=MLN","Sort=A","Dates=H","DateFormat=P","Fill=—","Direction=H","UseDPDF=Y")</f>
        <v>15</v>
      </c>
      <c r="M47" s="13">
        <f>_xll.BDH("AMZN US Equity","CF_INCR_CAP_STOCK","FQ3 2011","FQ3 2011","Currency=USD","Period=FQ","BEST_FPERIOD_OVERRIDE=FQ","FILING_STATUS=MR","SCALING_FORMAT=MLN","Sort=A","Dates=H","DateFormat=P","Fill=—","Direction=H","UseDPDF=Y")</f>
        <v>0</v>
      </c>
      <c r="N47" s="13">
        <f>_xll.BDH("AMZN US Equity","CF_INCR_CAP_STOCK","FQ4 2011","FQ4 2011","Currency=USD","Period=FQ","BEST_FPERIOD_OVERRIDE=FQ","FILING_STATUS=MR","SCALING_FORMAT=MLN","Sort=A","Dates=H","DateFormat=P","Fill=—","Direction=H","UseDPDF=Y")</f>
        <v>1</v>
      </c>
      <c r="O47" s="13">
        <f>_xll.BDH("AMZN US Equity","CF_INCR_CAP_STOCK","FQ1 2012","FQ1 2012","Currency=USD","Period=FQ","BEST_FPERIOD_OVERRIDE=FQ","FILING_STATUS=MR","SCALING_FORMAT=MLN","Sort=A","Dates=H","DateFormat=P","Fill=—","Direction=H","UseDPDF=Y")</f>
        <v>40</v>
      </c>
      <c r="P47" s="13">
        <f>_xll.BDH("AMZN US Equity","CF_INCR_CAP_STOCK","FQ2 2012","FQ2 2012","Currency=USD","Period=FQ","BEST_FPERIOD_OVERRIDE=FQ","FILING_STATUS=MR","SCALING_FORMAT=MLN","Sort=A","Dates=H","DateFormat=P","Fill=—","Direction=H","UseDPDF=Y")</f>
        <v>85</v>
      </c>
      <c r="Q47" s="13">
        <f>_xll.BDH("AMZN US Equity","CF_INCR_CAP_STOCK","FQ3 2012","FQ3 2012","Currency=USD","Period=FQ","BEST_FPERIOD_OVERRIDE=FQ","FILING_STATUS=MR","SCALING_FORMAT=MLN","Sort=A","Dates=H","DateFormat=P","Fill=—","Direction=H","UseDPDF=Y")</f>
        <v>66</v>
      </c>
      <c r="R47" s="13">
        <f>_xll.BDH("AMZN US Equity","CF_INCR_CAP_STOCK","FQ4 2012","FQ4 2012","Currency=USD","Period=FQ","BEST_FPERIOD_OVERRIDE=FQ","FILING_STATUS=MR","SCALING_FORMAT=MLN","Sort=A","Dates=H","DateFormat=P","Fill=—","Direction=H","UseDPDF=Y")</f>
        <v>239</v>
      </c>
      <c r="S47" s="13">
        <f>_xll.BDH("AMZN US Equity","CF_INCR_CAP_STOCK","FQ1 2013","FQ1 2013","Currency=USD","Period=FQ","BEST_FPERIOD_OVERRIDE=FQ","FILING_STATUS=MR","SCALING_FORMAT=MLN","Sort=A","Dates=H","DateFormat=P","Fill=—","Direction=H","UseDPDF=Y")</f>
        <v>0</v>
      </c>
      <c r="T47" s="13">
        <f>_xll.BDH("AMZN US Equity","CF_INCR_CAP_STOCK","FQ2 2013","FQ2 2013","Currency=USD","Period=FQ","BEST_FPERIOD_OVERRIDE=FQ","FILING_STATUS=MR","SCALING_FORMAT=MLN","Sort=A","Dates=H","DateFormat=P","Fill=—","Direction=H","UseDPDF=Y")</f>
        <v>0</v>
      </c>
      <c r="U47" s="13">
        <f>_xll.BDH("AMZN US Equity","CF_INCR_CAP_STOCK","FQ3 2013","FQ3 2013","Currency=USD","Period=FQ","BEST_FPERIOD_OVERRIDE=FQ","FILING_STATUS=MR","SCALING_FORMAT=MLN","Sort=A","Dates=H","DateFormat=P","Fill=—","Direction=H","UseDPDF=Y")</f>
        <v>0</v>
      </c>
      <c r="V47" s="13">
        <f>_xll.BDH("AMZN US Equity","CF_INCR_CAP_STOCK","FQ4 2013","FQ4 2013","Currency=USD","Period=FQ","BEST_FPERIOD_OVERRIDE=FQ","FILING_STATUS=MR","SCALING_FORMAT=MLN","Sort=A","Dates=H","DateFormat=P","Fill=—","Direction=H","UseDPDF=Y")</f>
        <v>78</v>
      </c>
      <c r="W47" s="13">
        <f>_xll.BDH("AMZN US Equity","CF_INCR_CAP_STOCK","FQ1 2014","FQ1 2014","Currency=USD","Period=FQ","BEST_FPERIOD_OVERRIDE=FQ","FILING_STATUS=MR","SCALING_FORMAT=MLN","Sort=A","Dates=H","DateFormat=P","Fill=—","Direction=H","UseDPDF=Y")</f>
        <v>121</v>
      </c>
      <c r="X47" s="13">
        <f>_xll.BDH("AMZN US Equity","CF_INCR_CAP_STOCK","FQ2 2014","FQ2 2014","Currency=USD","Period=FQ","BEST_FPERIOD_OVERRIDE=FQ","FILING_STATUS=MR","SCALING_FORMAT=MLN","Sort=A","Dates=H","DateFormat=P","Fill=—","Direction=H","UseDPDF=Y")</f>
        <v>0</v>
      </c>
      <c r="Y47" s="13">
        <f>_xll.BDH("AMZN US Equity","CF_INCR_CAP_STOCK","FQ3 2014","FQ3 2014","Currency=USD","Period=FQ","BEST_FPERIOD_OVERRIDE=FQ","FILING_STATUS=MR","SCALING_FORMAT=MLN","Sort=A","Dates=H","DateFormat=P","Fill=—","Direction=H","UseDPDF=Y")</f>
        <v>0</v>
      </c>
      <c r="Z47" s="13">
        <f>_xll.BDH("AMZN US Equity","CF_INCR_CAP_STOCK","FQ4 2014","FQ4 2014","Currency=USD","Period=FQ","BEST_FPERIOD_OVERRIDE=FQ","FILING_STATUS=MR","SCALING_FORMAT=MLN","Sort=A","Dates=H","DateFormat=P","Fill=—","Direction=H","UseDPDF=Y")</f>
        <v>0</v>
      </c>
      <c r="AA47" s="13">
        <f>_xll.BDH("AMZN US Equity","CF_INCR_CAP_STOCK","FQ1 2015","FQ1 2015","Currency=USD","Period=FQ","BEST_FPERIOD_OVERRIDE=FQ","FILING_STATUS=MR","SCALING_FORMAT=MLN","Sort=A","Dates=H","DateFormat=P","Fill=—","Direction=H","UseDPDF=Y")</f>
        <v>22</v>
      </c>
      <c r="AB47" s="13">
        <f>_xll.BDH("AMZN US Equity","CF_INCR_CAP_STOCK","FQ2 2015","FQ2 2015","Currency=USD","Period=FQ","BEST_FPERIOD_OVERRIDE=FQ","FILING_STATUS=MR","SCALING_FORMAT=MLN","Sort=A","Dates=H","DateFormat=P","Fill=—","Direction=H","UseDPDF=Y")</f>
        <v>95</v>
      </c>
      <c r="AC47" s="13">
        <f>_xll.BDH("AMZN US Equity","CF_INCR_CAP_STOCK","FQ3 2015","FQ3 2015","Currency=USD","Period=FQ","BEST_FPERIOD_OVERRIDE=FQ","FILING_STATUS=MR","SCALING_FORMAT=MLN","Sort=A","Dates=H","DateFormat=P","Fill=—","Direction=H","UseDPDF=Y")</f>
        <v>95</v>
      </c>
      <c r="AD47" s="13">
        <f>_xll.BDH("AMZN US Equity","CF_INCR_CAP_STOCK","FQ4 2015","FQ4 2015","Currency=USD","Period=FQ","BEST_FPERIOD_OVERRIDE=FQ","FILING_STATUS=MR","SCALING_FORMAT=MLN","Sort=A","Dates=H","DateFormat=P","Fill=—","Direction=H","UseDPDF=Y")</f>
        <v>0</v>
      </c>
      <c r="AE47" s="13">
        <f>_xll.BDH("AMZN US Equity","CF_INCR_CAP_STOCK","FQ1 2016","FQ1 2016","Currency=USD","Period=FQ","BEST_FPERIOD_OVERRIDE=FQ","FILING_STATUS=MR","SCALING_FORMAT=MLN","Sort=A","Dates=H","DateFormat=P","Fill=—","Direction=H","UseDPDF=Y")</f>
        <v>0</v>
      </c>
      <c r="AF47" s="13">
        <f>_xll.BDH("AMZN US Equity","CF_INCR_CAP_STOCK","FQ2 2016","FQ2 2016","Currency=USD","Period=FQ","BEST_FPERIOD_OVERRIDE=FQ","FILING_STATUS=MR","SCALING_FORMAT=MLN","Sort=A","Dates=H","DateFormat=P","Fill=—","Direction=H","UseDPDF=Y")</f>
        <v>0</v>
      </c>
      <c r="AG47" s="13">
        <f>_xll.BDH("AMZN US Equity","CF_INCR_CAP_STOCK","FQ3 2016","FQ3 2016","Currency=USD","Period=FQ","BEST_FPERIOD_OVERRIDE=FQ","FILING_STATUS=MR","SCALING_FORMAT=MLN","Sort=A","Dates=H","DateFormat=P","Fill=—","Direction=H","UseDPDF=Y")</f>
        <v>0</v>
      </c>
      <c r="AH47" s="13">
        <f>_xll.BDH("AMZN US Equity","CF_INCR_CAP_STOCK","FQ4 2016","FQ4 2016","Currency=USD","Period=FQ","BEST_FPERIOD_OVERRIDE=FQ","FILING_STATUS=MR","SCALING_FORMAT=MLN","Sort=A","Dates=H","DateFormat=P","Fill=—","Direction=H","UseDPDF=Y")</f>
        <v>0</v>
      </c>
      <c r="AI47" s="13">
        <f>_xll.BDH("AMZN US Equity","CF_INCR_CAP_STOCK","FQ1 2017","FQ1 2017","Currency=USD","Period=FQ","BEST_FPERIOD_OVERRIDE=FQ","FILING_STATUS=MR","SCALING_FORMAT=MLN","Sort=A","Dates=H","DateFormat=P","Fill=—","Direction=H","UseDPDF=Y")</f>
        <v>0</v>
      </c>
      <c r="AJ47" s="13">
        <f>_xll.BDH("AMZN US Equity","CF_INCR_CAP_STOCK","FQ2 2017","FQ2 2017","Currency=USD","Period=FQ","BEST_FPERIOD_OVERRIDE=FQ","FILING_STATUS=MR","SCALING_FORMAT=MLN","Sort=A","Dates=H","DateFormat=P","Fill=—","Direction=H","UseDPDF=Y")</f>
        <v>0</v>
      </c>
      <c r="AK47" s="13">
        <f>_xll.BDH("AMZN US Equity","CF_INCR_CAP_STOCK","FQ3 2017","FQ3 2017","Currency=USD","Period=FQ","BEST_FPERIOD_OVERRIDE=FQ","FILING_STATUS=MR","SCALING_FORMAT=MLN","Sort=A","Dates=H","DateFormat=P","Fill=—","Direction=H","UseDPDF=Y")</f>
        <v>0</v>
      </c>
      <c r="AL47" s="13">
        <f>_xll.BDH("AMZN US Equity","CF_INCR_CAP_STOCK","FQ4 2017","FQ4 2017","Currency=USD","Period=FQ","BEST_FPERIOD_OVERRIDE=FQ","FILING_STATUS=MR","SCALING_FORMAT=MLN","Sort=A","Dates=H","DateFormat=P","Fill=—","Direction=H","UseDPDF=Y")</f>
        <v>0</v>
      </c>
      <c r="AM47" s="13">
        <f>_xll.BDH("AMZN US Equity","CF_INCR_CAP_STOCK","FQ1 2018","FQ1 2018","Currency=USD","Period=FQ","BEST_FPERIOD_OVERRIDE=FQ","FILING_STATUS=MR","SCALING_FORMAT=MLN","Sort=A","Dates=H","DateFormat=P","Fill=—","Direction=H","UseDPDF=Y")</f>
        <v>0</v>
      </c>
      <c r="AN47" s="13">
        <f>_xll.BDH("AMZN US Equity","CF_INCR_CAP_STOCK","FQ2 2018","FQ2 2018","Currency=USD","Period=FQ","BEST_FPERIOD_OVERRIDE=FQ","FILING_STATUS=MR","SCALING_FORMAT=MLN","Sort=A","Dates=H","DateFormat=P","Fill=—","Direction=H","UseDPDF=Y")</f>
        <v>0</v>
      </c>
    </row>
    <row r="48" spans="1:40" x14ac:dyDescent="0.25">
      <c r="A48" s="10" t="s">
        <v>436</v>
      </c>
      <c r="B48" s="10" t="s">
        <v>437</v>
      </c>
      <c r="C48" s="13">
        <f>_xll.BDH("AMZN US Equity","CF_DECR_CAP_STOCK","FQ1 2009","FQ1 2009","Currency=USD","Period=FQ","BEST_FPERIOD_OVERRIDE=FQ","FILING_STATUS=MR","SCALING_FORMAT=MLN","Sort=A","Dates=H","DateFormat=P","Fill=—","Direction=H","UseDPDF=Y")</f>
        <v>0</v>
      </c>
      <c r="D48" s="13">
        <f>_xll.BDH("AMZN US Equity","CF_DECR_CAP_STOCK","FQ2 2009","FQ2 2009","Currency=USD","Period=FQ","BEST_FPERIOD_OVERRIDE=FQ","FILING_STATUS=MR","SCALING_FORMAT=MLN","Sort=A","Dates=H","DateFormat=P","Fill=—","Direction=H","UseDPDF=Y")</f>
        <v>0</v>
      </c>
      <c r="E48" s="13">
        <f>_xll.BDH("AMZN US Equity","CF_DECR_CAP_STOCK","FQ3 2009","FQ3 2009","Currency=USD","Period=FQ","BEST_FPERIOD_OVERRIDE=FQ","FILING_STATUS=MR","SCALING_FORMAT=MLN","Sort=A","Dates=H","DateFormat=P","Fill=—","Direction=H","UseDPDF=Y")</f>
        <v>0</v>
      </c>
      <c r="F48" s="13">
        <f>_xll.BDH("AMZN US Equity","CF_DECR_CAP_STOCK","FQ4 2009","FQ4 2009","Currency=USD","Period=FQ","BEST_FPERIOD_OVERRIDE=FQ","FILING_STATUS=MR","SCALING_FORMAT=MLN","Sort=A","Dates=H","DateFormat=P","Fill=—","Direction=H","UseDPDF=Y")</f>
        <v>0</v>
      </c>
      <c r="G48" s="13">
        <f>_xll.BDH("AMZN US Equity","CF_DECR_CAP_STOCK","FQ1 2010","FQ1 2010","Currency=USD","Period=FQ","BEST_FPERIOD_OVERRIDE=FQ","FILING_STATUS=MR","SCALING_FORMAT=MLN","Sort=A","Dates=H","DateFormat=P","Fill=—","Direction=H","UseDPDF=Y")</f>
        <v>0</v>
      </c>
      <c r="H48" s="13">
        <f>_xll.BDH("AMZN US Equity","CF_DECR_CAP_STOCK","FQ2 2010","FQ2 2010","Currency=USD","Period=FQ","BEST_FPERIOD_OVERRIDE=FQ","FILING_STATUS=MR","SCALING_FORMAT=MLN","Sort=A","Dates=H","DateFormat=P","Fill=—","Direction=H","UseDPDF=Y")</f>
        <v>0</v>
      </c>
      <c r="I48" s="13">
        <f>_xll.BDH("AMZN US Equity","CF_DECR_CAP_STOCK","FQ3 2010","FQ3 2010","Currency=USD","Period=FQ","BEST_FPERIOD_OVERRIDE=FQ","FILING_STATUS=MR","SCALING_FORMAT=MLN","Sort=A","Dates=H","DateFormat=P","Fill=—","Direction=H","UseDPDF=Y")</f>
        <v>0</v>
      </c>
      <c r="J48" s="13">
        <f>_xll.BDH("AMZN US Equity","CF_DECR_CAP_STOCK","FQ4 2010","FQ4 2010","Currency=USD","Period=FQ","BEST_FPERIOD_OVERRIDE=FQ","FILING_STATUS=MR","SCALING_FORMAT=MLN","Sort=A","Dates=H","DateFormat=P","Fill=—","Direction=H","UseDPDF=Y")</f>
        <v>0</v>
      </c>
      <c r="K48" s="13">
        <f>_xll.BDH("AMZN US Equity","CF_DECR_CAP_STOCK","FQ1 2011","FQ1 2011","Currency=USD","Period=FQ","BEST_FPERIOD_OVERRIDE=FQ","FILING_STATUS=MR","SCALING_FORMAT=MLN","Sort=A","Dates=H","DateFormat=P","Fill=—","Direction=H","UseDPDF=Y")</f>
        <v>0</v>
      </c>
      <c r="L48" s="13">
        <f>_xll.BDH("AMZN US Equity","CF_DECR_CAP_STOCK","FQ2 2011","FQ2 2011","Currency=USD","Period=FQ","BEST_FPERIOD_OVERRIDE=FQ","FILING_STATUS=MR","SCALING_FORMAT=MLN","Sort=A","Dates=H","DateFormat=P","Fill=—","Direction=H","UseDPDF=Y")</f>
        <v>0</v>
      </c>
      <c r="M48" s="13">
        <f>_xll.BDH("AMZN US Equity","CF_DECR_CAP_STOCK","FQ3 2011","FQ3 2011","Currency=USD","Period=FQ","BEST_FPERIOD_OVERRIDE=FQ","FILING_STATUS=MR","SCALING_FORMAT=MLN","Sort=A","Dates=H","DateFormat=P","Fill=—","Direction=H","UseDPDF=Y")</f>
        <v>0</v>
      </c>
      <c r="N48" s="13">
        <f>_xll.BDH("AMZN US Equity","CF_DECR_CAP_STOCK","FQ4 2011","FQ4 2011","Currency=USD","Period=FQ","BEST_FPERIOD_OVERRIDE=FQ","FILING_STATUS=MR","SCALING_FORMAT=MLN","Sort=A","Dates=H","DateFormat=P","Fill=—","Direction=H","UseDPDF=Y")</f>
        <v>-277</v>
      </c>
      <c r="O48" s="13">
        <f>_xll.BDH("AMZN US Equity","CF_DECR_CAP_STOCK","FQ1 2012","FQ1 2012","Currency=USD","Period=FQ","BEST_FPERIOD_OVERRIDE=FQ","FILING_STATUS=MR","SCALING_FORMAT=MLN","Sort=A","Dates=H","DateFormat=P","Fill=—","Direction=H","UseDPDF=Y")</f>
        <v>-960</v>
      </c>
      <c r="P48" s="13">
        <f>_xll.BDH("AMZN US Equity","CF_DECR_CAP_STOCK","FQ2 2012","FQ2 2012","Currency=USD","Period=FQ","BEST_FPERIOD_OVERRIDE=FQ","FILING_STATUS=MR","SCALING_FORMAT=MLN","Sort=A","Dates=H","DateFormat=P","Fill=—","Direction=H","UseDPDF=Y")</f>
        <v>0</v>
      </c>
      <c r="Q48" s="13">
        <f>_xll.BDH("AMZN US Equity","CF_DECR_CAP_STOCK","FQ3 2012","FQ3 2012","Currency=USD","Period=FQ","BEST_FPERIOD_OVERRIDE=FQ","FILING_STATUS=MR","SCALING_FORMAT=MLN","Sort=A","Dates=H","DateFormat=P","Fill=—","Direction=H","UseDPDF=Y")</f>
        <v>0</v>
      </c>
      <c r="R48" s="13">
        <f>_xll.BDH("AMZN US Equity","CF_DECR_CAP_STOCK","FQ4 2012","FQ4 2012","Currency=USD","Period=FQ","BEST_FPERIOD_OVERRIDE=FQ","FILING_STATUS=MR","SCALING_FORMAT=MLN","Sort=A","Dates=H","DateFormat=P","Fill=—","Direction=H","UseDPDF=Y")</f>
        <v>0</v>
      </c>
      <c r="S48" s="13">
        <f>_xll.BDH("AMZN US Equity","CF_DECR_CAP_STOCK","FQ1 2013","FQ1 2013","Currency=USD","Period=FQ","BEST_FPERIOD_OVERRIDE=FQ","FILING_STATUS=MR","SCALING_FORMAT=MLN","Sort=A","Dates=H","DateFormat=P","Fill=—","Direction=H","UseDPDF=Y")</f>
        <v>0</v>
      </c>
      <c r="T48" s="13">
        <f>_xll.BDH("AMZN US Equity","CF_DECR_CAP_STOCK","FQ2 2013","FQ2 2013","Currency=USD","Period=FQ","BEST_FPERIOD_OVERRIDE=FQ","FILING_STATUS=MR","SCALING_FORMAT=MLN","Sort=A","Dates=H","DateFormat=P","Fill=—","Direction=H","UseDPDF=Y")</f>
        <v>0</v>
      </c>
      <c r="U48" s="13">
        <f>_xll.BDH("AMZN US Equity","CF_DECR_CAP_STOCK","FQ3 2013","FQ3 2013","Currency=USD","Period=FQ","BEST_FPERIOD_OVERRIDE=FQ","FILING_STATUS=MR","SCALING_FORMAT=MLN","Sort=A","Dates=H","DateFormat=P","Fill=—","Direction=H","UseDPDF=Y")</f>
        <v>0</v>
      </c>
      <c r="V48" s="13">
        <f>_xll.BDH("AMZN US Equity","CF_DECR_CAP_STOCK","FQ4 2013","FQ4 2013","Currency=USD","Period=FQ","BEST_FPERIOD_OVERRIDE=FQ","FILING_STATUS=MR","SCALING_FORMAT=MLN","Sort=A","Dates=H","DateFormat=P","Fill=—","Direction=H","UseDPDF=Y")</f>
        <v>0</v>
      </c>
      <c r="W48" s="13">
        <f>_xll.BDH("AMZN US Equity","CF_DECR_CAP_STOCK","FQ1 2014","FQ1 2014","Currency=USD","Period=FQ","BEST_FPERIOD_OVERRIDE=FQ","FILING_STATUS=MR","SCALING_FORMAT=MLN","Sort=A","Dates=H","DateFormat=P","Fill=—","Direction=H","UseDPDF=Y")</f>
        <v>0</v>
      </c>
      <c r="X48" s="13">
        <f>_xll.BDH("AMZN US Equity","CF_DECR_CAP_STOCK","FQ2 2014","FQ2 2014","Currency=USD","Period=FQ","BEST_FPERIOD_OVERRIDE=FQ","FILING_STATUS=MR","SCALING_FORMAT=MLN","Sort=A","Dates=H","DateFormat=P","Fill=—","Direction=H","UseDPDF=Y")</f>
        <v>0</v>
      </c>
      <c r="Y48" s="13">
        <f>_xll.BDH("AMZN US Equity","CF_DECR_CAP_STOCK","FQ3 2014","FQ3 2014","Currency=USD","Period=FQ","BEST_FPERIOD_OVERRIDE=FQ","FILING_STATUS=MR","SCALING_FORMAT=MLN","Sort=A","Dates=H","DateFormat=P","Fill=—","Direction=H","UseDPDF=Y")</f>
        <v>0</v>
      </c>
      <c r="Z48" s="13">
        <f>_xll.BDH("AMZN US Equity","CF_DECR_CAP_STOCK","FQ4 2014","FQ4 2014","Currency=USD","Period=FQ","BEST_FPERIOD_OVERRIDE=FQ","FILING_STATUS=MR","SCALING_FORMAT=MLN","Sort=A","Dates=H","DateFormat=P","Fill=—","Direction=H","UseDPDF=Y")</f>
        <v>-115</v>
      </c>
      <c r="AA48" s="13">
        <f>_xll.BDH("AMZN US Equity","CF_DECR_CAP_STOCK","FQ1 2015","FQ1 2015","Currency=USD","Period=FQ","BEST_FPERIOD_OVERRIDE=FQ","FILING_STATUS=MR","SCALING_FORMAT=MLN","Sort=A","Dates=H","DateFormat=P","Fill=—","Direction=H","UseDPDF=Y")</f>
        <v>0</v>
      </c>
      <c r="AB48" s="13">
        <f>_xll.BDH("AMZN US Equity","CF_DECR_CAP_STOCK","FQ2 2015","FQ2 2015","Currency=USD","Period=FQ","BEST_FPERIOD_OVERRIDE=FQ","FILING_STATUS=MR","SCALING_FORMAT=MLN","Sort=A","Dates=H","DateFormat=P","Fill=—","Direction=H","UseDPDF=Y")</f>
        <v>0</v>
      </c>
      <c r="AC48" s="13">
        <f>_xll.BDH("AMZN US Equity","CF_DECR_CAP_STOCK","FQ3 2015","FQ3 2015","Currency=USD","Period=FQ","BEST_FPERIOD_OVERRIDE=FQ","FILING_STATUS=MR","SCALING_FORMAT=MLN","Sort=A","Dates=H","DateFormat=P","Fill=—","Direction=H","UseDPDF=Y")</f>
        <v>0</v>
      </c>
      <c r="AD48" s="13">
        <f>_xll.BDH("AMZN US Equity","CF_DECR_CAP_STOCK","FQ4 2015","FQ4 2015","Currency=USD","Period=FQ","BEST_FPERIOD_OVERRIDE=FQ","FILING_STATUS=MR","SCALING_FORMAT=MLN","Sort=A","Dates=H","DateFormat=P","Fill=—","Direction=H","UseDPDF=Y")</f>
        <v>0</v>
      </c>
      <c r="AE48" s="13">
        <f>_xll.BDH("AMZN US Equity","CF_DECR_CAP_STOCK","FQ1 2016","FQ1 2016","Currency=USD","Period=FQ","BEST_FPERIOD_OVERRIDE=FQ","FILING_STATUS=MR","SCALING_FORMAT=MLN","Sort=A","Dates=H","DateFormat=P","Fill=—","Direction=H","UseDPDF=Y")</f>
        <v>0</v>
      </c>
      <c r="AF48" s="13">
        <f>_xll.BDH("AMZN US Equity","CF_DECR_CAP_STOCK","FQ2 2016","FQ2 2016","Currency=USD","Period=FQ","BEST_FPERIOD_OVERRIDE=FQ","FILING_STATUS=MR","SCALING_FORMAT=MLN","Sort=A","Dates=H","DateFormat=P","Fill=—","Direction=H","UseDPDF=Y")</f>
        <v>0</v>
      </c>
      <c r="AG48" s="13">
        <f>_xll.BDH("AMZN US Equity","CF_DECR_CAP_STOCK","FQ3 2016","FQ3 2016","Currency=USD","Period=FQ","BEST_FPERIOD_OVERRIDE=FQ","FILING_STATUS=MR","SCALING_FORMAT=MLN","Sort=A","Dates=H","DateFormat=P","Fill=—","Direction=H","UseDPDF=Y")</f>
        <v>0</v>
      </c>
      <c r="AH48" s="13">
        <f>_xll.BDH("AMZN US Equity","CF_DECR_CAP_STOCK","FQ4 2016","FQ4 2016","Currency=USD","Period=FQ","BEST_FPERIOD_OVERRIDE=FQ","FILING_STATUS=MR","SCALING_FORMAT=MLN","Sort=A","Dates=H","DateFormat=P","Fill=—","Direction=H","UseDPDF=Y")</f>
        <v>0</v>
      </c>
      <c r="AI48" s="13">
        <f>_xll.BDH("AMZN US Equity","CF_DECR_CAP_STOCK","FQ1 2017","FQ1 2017","Currency=USD","Period=FQ","BEST_FPERIOD_OVERRIDE=FQ","FILING_STATUS=MR","SCALING_FORMAT=MLN","Sort=A","Dates=H","DateFormat=P","Fill=—","Direction=H","UseDPDF=Y")</f>
        <v>0</v>
      </c>
      <c r="AJ48" s="13">
        <f>_xll.BDH("AMZN US Equity","CF_DECR_CAP_STOCK","FQ2 2017","FQ2 2017","Currency=USD","Period=FQ","BEST_FPERIOD_OVERRIDE=FQ","FILING_STATUS=MR","SCALING_FORMAT=MLN","Sort=A","Dates=H","DateFormat=P","Fill=—","Direction=H","UseDPDF=Y")</f>
        <v>0</v>
      </c>
      <c r="AK48" s="13">
        <f>_xll.BDH("AMZN US Equity","CF_DECR_CAP_STOCK","FQ3 2017","FQ3 2017","Currency=USD","Period=FQ","BEST_FPERIOD_OVERRIDE=FQ","FILING_STATUS=MR","SCALING_FORMAT=MLN","Sort=A","Dates=H","DateFormat=P","Fill=—","Direction=H","UseDPDF=Y")</f>
        <v>0</v>
      </c>
      <c r="AL48" s="13">
        <f>_xll.BDH("AMZN US Equity","CF_DECR_CAP_STOCK","FQ4 2017","FQ4 2017","Currency=USD","Period=FQ","BEST_FPERIOD_OVERRIDE=FQ","FILING_STATUS=MR","SCALING_FORMAT=MLN","Sort=A","Dates=H","DateFormat=P","Fill=—","Direction=H","UseDPDF=Y")</f>
        <v>0</v>
      </c>
      <c r="AM48" s="13">
        <f>_xll.BDH("AMZN US Equity","CF_DECR_CAP_STOCK","FQ1 2018","FQ1 2018","Currency=USD","Period=FQ","BEST_FPERIOD_OVERRIDE=FQ","FILING_STATUS=MR","SCALING_FORMAT=MLN","Sort=A","Dates=H","DateFormat=P","Fill=—","Direction=H","UseDPDF=Y")</f>
        <v>0</v>
      </c>
      <c r="AN48" s="13">
        <f>_xll.BDH("AMZN US Equity","CF_DECR_CAP_STOCK","FQ2 2018","FQ2 2018","Currency=USD","Period=FQ","BEST_FPERIOD_OVERRIDE=FQ","FILING_STATUS=MR","SCALING_FORMAT=MLN","Sort=A","Dates=H","DateFormat=P","Fill=—","Direction=H","UseDPDF=Y")</f>
        <v>0</v>
      </c>
    </row>
    <row r="49" spans="1:40" x14ac:dyDescent="0.25">
      <c r="A49" s="10" t="s">
        <v>438</v>
      </c>
      <c r="B49" s="10" t="s">
        <v>439</v>
      </c>
      <c r="C49" s="13">
        <f>_xll.BDH("AMZN US Equity","CF_OTHER_FINANCING_ACT_EXCL_FX","FQ1 2009","FQ1 2009","Currency=USD","Period=FQ","BEST_FPERIOD_OVERRIDE=FQ","FILING_STATUS=MR","SCALING_FORMAT=MLN","Sort=A","Dates=H","DateFormat=P","Fill=—","Direction=H","UseDPDF=Y")</f>
        <v>0</v>
      </c>
      <c r="D49" s="13">
        <f>_xll.BDH("AMZN US Equity","CF_OTHER_FINANCING_ACT_EXCL_FX","FQ2 2009","FQ2 2009","Currency=USD","Period=FQ","BEST_FPERIOD_OVERRIDE=FQ","FILING_STATUS=MR","SCALING_FORMAT=MLN","Sort=A","Dates=H","DateFormat=P","Fill=—","Direction=H","UseDPDF=Y")</f>
        <v>0</v>
      </c>
      <c r="E49" s="13">
        <f>_xll.BDH("AMZN US Equity","CF_OTHER_FINANCING_ACT_EXCL_FX","FQ3 2009","FQ3 2009","Currency=USD","Period=FQ","BEST_FPERIOD_OVERRIDE=FQ","FILING_STATUS=MR","SCALING_FORMAT=MLN","Sort=A","Dates=H","DateFormat=P","Fill=—","Direction=H","UseDPDF=Y")</f>
        <v>-17</v>
      </c>
      <c r="F49" s="13">
        <f>_xll.BDH("AMZN US Equity","CF_OTHER_FINANCING_ACT_EXCL_FX","FQ4 2009","FQ4 2009","Currency=USD","Period=FQ","BEST_FPERIOD_OVERRIDE=FQ","FILING_STATUS=MR","SCALING_FORMAT=MLN","Sort=A","Dates=H","DateFormat=P","Fill=—","Direction=H","UseDPDF=Y")</f>
        <v>0</v>
      </c>
      <c r="G49" s="13">
        <f>_xll.BDH("AMZN US Equity","CF_OTHER_FINANCING_ACT_EXCL_FX","FQ1 2010","FQ1 2010","Currency=USD","Period=FQ","BEST_FPERIOD_OVERRIDE=FQ","FILING_STATUS=MR","SCALING_FORMAT=MLN","Sort=A","Dates=H","DateFormat=P","Fill=—","Direction=H","UseDPDF=Y")</f>
        <v>0</v>
      </c>
      <c r="H49" s="13">
        <f>_xll.BDH("AMZN US Equity","CF_OTHER_FINANCING_ACT_EXCL_FX","FQ2 2010","FQ2 2010","Currency=USD","Period=FQ","BEST_FPERIOD_OVERRIDE=FQ","FILING_STATUS=MR","SCALING_FORMAT=MLN","Sort=A","Dates=H","DateFormat=P","Fill=—","Direction=H","UseDPDF=Y")</f>
        <v>0</v>
      </c>
      <c r="I49" s="13">
        <f>_xll.BDH("AMZN US Equity","CF_OTHER_FINANCING_ACT_EXCL_FX","FQ3 2010","FQ3 2010","Currency=USD","Period=FQ","BEST_FPERIOD_OVERRIDE=FQ","FILING_STATUS=MR","SCALING_FORMAT=MLN","Sort=A","Dates=H","DateFormat=P","Fill=—","Direction=H","UseDPDF=Y")</f>
        <v>0</v>
      </c>
      <c r="J49" s="13">
        <f>_xll.BDH("AMZN US Equity","CF_OTHER_FINANCING_ACT_EXCL_FX","FQ4 2010","FQ4 2010","Currency=USD","Period=FQ","BEST_FPERIOD_OVERRIDE=FQ","FILING_STATUS=MR","SCALING_FORMAT=MLN","Sort=A","Dates=H","DateFormat=P","Fill=—","Direction=H","UseDPDF=Y")</f>
        <v>0</v>
      </c>
      <c r="K49" s="13">
        <f>_xll.BDH("AMZN US Equity","CF_OTHER_FINANCING_ACT_EXCL_FX","FQ1 2011","FQ1 2011","Currency=USD","Period=FQ","BEST_FPERIOD_OVERRIDE=FQ","FILING_STATUS=MR","SCALING_FORMAT=MLN","Sort=A","Dates=H","DateFormat=P","Fill=—","Direction=H","UseDPDF=Y")</f>
        <v>0</v>
      </c>
      <c r="L49" s="13">
        <f>_xll.BDH("AMZN US Equity","CF_OTHER_FINANCING_ACT_EXCL_FX","FQ2 2011","FQ2 2011","Currency=USD","Period=FQ","BEST_FPERIOD_OVERRIDE=FQ","FILING_STATUS=MR","SCALING_FORMAT=MLN","Sort=A","Dates=H","DateFormat=P","Fill=—","Direction=H","UseDPDF=Y")</f>
        <v>0</v>
      </c>
      <c r="M49" s="13">
        <f>_xll.BDH("AMZN US Equity","CF_OTHER_FINANCING_ACT_EXCL_FX","FQ3 2011","FQ3 2011","Currency=USD","Period=FQ","BEST_FPERIOD_OVERRIDE=FQ","FILING_STATUS=MR","SCALING_FORMAT=MLN","Sort=A","Dates=H","DateFormat=P","Fill=—","Direction=H","UseDPDF=Y")</f>
        <v>0</v>
      </c>
      <c r="N49" s="13">
        <f>_xll.BDH("AMZN US Equity","CF_OTHER_FINANCING_ACT_EXCL_FX","FQ4 2011","FQ4 2011","Currency=USD","Period=FQ","BEST_FPERIOD_OVERRIDE=FQ","FILING_STATUS=MR","SCALING_FORMAT=MLN","Sort=A","Dates=H","DateFormat=P","Fill=—","Direction=H","UseDPDF=Y")</f>
        <v>0</v>
      </c>
      <c r="O49" s="13">
        <f>_xll.BDH("AMZN US Equity","CF_OTHER_FINANCING_ACT_EXCL_FX","FQ1 2012","FQ1 2012","Currency=USD","Period=FQ","BEST_FPERIOD_OVERRIDE=FQ","FILING_STATUS=MR","SCALING_FORMAT=MLN","Sort=A","Dates=H","DateFormat=P","Fill=—","Direction=H","UseDPDF=Y")</f>
        <v>0</v>
      </c>
      <c r="P49" s="13">
        <f>_xll.BDH("AMZN US Equity","CF_OTHER_FINANCING_ACT_EXCL_FX","FQ2 2012","FQ2 2012","Currency=USD","Period=FQ","BEST_FPERIOD_OVERRIDE=FQ","FILING_STATUS=MR","SCALING_FORMAT=MLN","Sort=A","Dates=H","DateFormat=P","Fill=—","Direction=H","UseDPDF=Y")</f>
        <v>0</v>
      </c>
      <c r="Q49" s="13">
        <f>_xll.BDH("AMZN US Equity","CF_OTHER_FINANCING_ACT_EXCL_FX","FQ3 2012","FQ3 2012","Currency=USD","Period=FQ","BEST_FPERIOD_OVERRIDE=FQ","FILING_STATUS=MR","SCALING_FORMAT=MLN","Sort=A","Dates=H","DateFormat=P","Fill=—","Direction=H","UseDPDF=Y")</f>
        <v>0</v>
      </c>
      <c r="R49" s="13">
        <f>_xll.BDH("AMZN US Equity","CF_OTHER_FINANCING_ACT_EXCL_FX","FQ4 2012","FQ4 2012","Currency=USD","Period=FQ","BEST_FPERIOD_OVERRIDE=FQ","FILING_STATUS=MR","SCALING_FORMAT=MLN","Sort=A","Dates=H","DateFormat=P","Fill=—","Direction=H","UseDPDF=Y")</f>
        <v>0</v>
      </c>
      <c r="S49" s="13">
        <f>_xll.BDH("AMZN US Equity","CF_OTHER_FINANCING_ACT_EXCL_FX","FQ1 2013","FQ1 2013","Currency=USD","Period=FQ","BEST_FPERIOD_OVERRIDE=FQ","FILING_STATUS=MR","SCALING_FORMAT=MLN","Sort=A","Dates=H","DateFormat=P","Fill=—","Direction=H","UseDPDF=Y")</f>
        <v>0</v>
      </c>
      <c r="T49" s="13">
        <f>_xll.BDH("AMZN US Equity","CF_OTHER_FINANCING_ACT_EXCL_FX","FQ2 2013","FQ2 2013","Currency=USD","Period=FQ","BEST_FPERIOD_OVERRIDE=FQ","FILING_STATUS=MR","SCALING_FORMAT=MLN","Sort=A","Dates=H","DateFormat=P","Fill=—","Direction=H","UseDPDF=Y")</f>
        <v>0</v>
      </c>
      <c r="U49" s="13">
        <f>_xll.BDH("AMZN US Equity","CF_OTHER_FINANCING_ACT_EXCL_FX","FQ3 2013","FQ3 2013","Currency=USD","Period=FQ","BEST_FPERIOD_OVERRIDE=FQ","FILING_STATUS=MR","SCALING_FORMAT=MLN","Sort=A","Dates=H","DateFormat=P","Fill=—","Direction=H","UseDPDF=Y")</f>
        <v>0</v>
      </c>
      <c r="V49" s="13">
        <f>_xll.BDH("AMZN US Equity","CF_OTHER_FINANCING_ACT_EXCL_FX","FQ4 2013","FQ4 2013","Currency=USD","Period=FQ","BEST_FPERIOD_OVERRIDE=FQ","FILING_STATUS=MR","SCALING_FORMAT=MLN","Sort=A","Dates=H","DateFormat=P","Fill=—","Direction=H","UseDPDF=Y")</f>
        <v>0</v>
      </c>
      <c r="W49" s="13">
        <f>_xll.BDH("AMZN US Equity","CF_OTHER_FINANCING_ACT_EXCL_FX","FQ1 2014","FQ1 2014","Currency=USD","Period=FQ","BEST_FPERIOD_OVERRIDE=FQ","FILING_STATUS=MR","SCALING_FORMAT=MLN","Sort=A","Dates=H","DateFormat=P","Fill=—","Direction=H","UseDPDF=Y")</f>
        <v>0</v>
      </c>
      <c r="X49" s="13">
        <f>_xll.BDH("AMZN US Equity","CF_OTHER_FINANCING_ACT_EXCL_FX","FQ2 2014","FQ2 2014","Currency=USD","Period=FQ","BEST_FPERIOD_OVERRIDE=FQ","FILING_STATUS=MR","SCALING_FORMAT=MLN","Sort=A","Dates=H","DateFormat=P","Fill=—","Direction=H","UseDPDF=Y")</f>
        <v>0</v>
      </c>
      <c r="Y49" s="13">
        <f>_xll.BDH("AMZN US Equity","CF_OTHER_FINANCING_ACT_EXCL_FX","FQ3 2014","FQ3 2014","Currency=USD","Period=FQ","BEST_FPERIOD_OVERRIDE=FQ","FILING_STATUS=MR","SCALING_FORMAT=MLN","Sort=A","Dates=H","DateFormat=P","Fill=—","Direction=H","UseDPDF=Y")</f>
        <v>0</v>
      </c>
      <c r="Z49" s="13">
        <f>_xll.BDH("AMZN US Equity","CF_OTHER_FINANCING_ACT_EXCL_FX","FQ4 2014","FQ4 2014","Currency=USD","Period=FQ","BEST_FPERIOD_OVERRIDE=FQ","FILING_STATUS=MR","SCALING_FORMAT=MLN","Sort=A","Dates=H","DateFormat=P","Fill=—","Direction=H","UseDPDF=Y")</f>
        <v>0</v>
      </c>
      <c r="AA49" s="13">
        <f>_xll.BDH("AMZN US Equity","CF_OTHER_FINANCING_ACT_EXCL_FX","FQ1 2015","FQ1 2015","Currency=USD","Period=FQ","BEST_FPERIOD_OVERRIDE=FQ","FILING_STATUS=MR","SCALING_FORMAT=MLN","Sort=A","Dates=H","DateFormat=P","Fill=—","Direction=H","UseDPDF=Y")</f>
        <v>0</v>
      </c>
      <c r="AB49" s="13">
        <f>_xll.BDH("AMZN US Equity","CF_OTHER_FINANCING_ACT_EXCL_FX","FQ2 2015","FQ2 2015","Currency=USD","Period=FQ","BEST_FPERIOD_OVERRIDE=FQ","FILING_STATUS=MR","SCALING_FORMAT=MLN","Sort=A","Dates=H","DateFormat=P","Fill=—","Direction=H","UseDPDF=Y")</f>
        <v>0</v>
      </c>
      <c r="AC49" s="13">
        <f>_xll.BDH("AMZN US Equity","CF_OTHER_FINANCING_ACT_EXCL_FX","FQ3 2015","FQ3 2015","Currency=USD","Period=FQ","BEST_FPERIOD_OVERRIDE=FQ","FILING_STATUS=MR","SCALING_FORMAT=MLN","Sort=A","Dates=H","DateFormat=P","Fill=—","Direction=H","UseDPDF=Y")</f>
        <v>0</v>
      </c>
      <c r="AD49" s="13">
        <f>_xll.BDH("AMZN US Equity","CF_OTHER_FINANCING_ACT_EXCL_FX","FQ4 2015","FQ4 2015","Currency=USD","Period=FQ","BEST_FPERIOD_OVERRIDE=FQ","FILING_STATUS=MR","SCALING_FORMAT=MLN","Sort=A","Dates=H","DateFormat=P","Fill=—","Direction=H","UseDPDF=Y")</f>
        <v>-93</v>
      </c>
      <c r="AE49" s="13">
        <f>_xll.BDH("AMZN US Equity","CF_OTHER_FINANCING_ACT_EXCL_FX","FQ1 2016","FQ1 2016","Currency=USD","Period=FQ","BEST_FPERIOD_OVERRIDE=FQ","FILING_STATUS=MR","SCALING_FORMAT=MLN","Sort=A","Dates=H","DateFormat=P","Fill=—","Direction=H","UseDPDF=Y")</f>
        <v>0</v>
      </c>
      <c r="AF49" s="13">
        <f>_xll.BDH("AMZN US Equity","CF_OTHER_FINANCING_ACT_EXCL_FX","FQ2 2016","FQ2 2016","Currency=USD","Period=FQ","BEST_FPERIOD_OVERRIDE=FQ","FILING_STATUS=MR","SCALING_FORMAT=MLN","Sort=A","Dates=H","DateFormat=P","Fill=—","Direction=H","UseDPDF=Y")</f>
        <v>0</v>
      </c>
      <c r="AG49" s="13">
        <f>_xll.BDH("AMZN US Equity","CF_OTHER_FINANCING_ACT_EXCL_FX","FQ3 2016","FQ3 2016","Currency=USD","Period=FQ","BEST_FPERIOD_OVERRIDE=FQ","FILING_STATUS=MR","SCALING_FORMAT=MLN","Sort=A","Dates=H","DateFormat=P","Fill=—","Direction=H","UseDPDF=Y")</f>
        <v>0</v>
      </c>
      <c r="AH49" s="13">
        <f>_xll.BDH("AMZN US Equity","CF_OTHER_FINANCING_ACT_EXCL_FX","FQ4 2016","FQ4 2016","Currency=USD","Period=FQ","BEST_FPERIOD_OVERRIDE=FQ","FILING_STATUS=MR","SCALING_FORMAT=MLN","Sort=A","Dates=H","DateFormat=P","Fill=—","Direction=H","UseDPDF=Y")</f>
        <v>0</v>
      </c>
      <c r="AI49" s="13">
        <f>_xll.BDH("AMZN US Equity","CF_OTHER_FINANCING_ACT_EXCL_FX","FQ1 2017","FQ1 2017","Currency=USD","Period=FQ","BEST_FPERIOD_OVERRIDE=FQ","FILING_STATUS=MR","SCALING_FORMAT=MLN","Sort=A","Dates=H","DateFormat=P","Fill=—","Direction=H","UseDPDF=Y")</f>
        <v>0</v>
      </c>
      <c r="AJ49" s="13">
        <f>_xll.BDH("AMZN US Equity","CF_OTHER_FINANCING_ACT_EXCL_FX","FQ2 2017","FQ2 2017","Currency=USD","Period=FQ","BEST_FPERIOD_OVERRIDE=FQ","FILING_STATUS=MR","SCALING_FORMAT=MLN","Sort=A","Dates=H","DateFormat=P","Fill=—","Direction=H","UseDPDF=Y")</f>
        <v>0</v>
      </c>
      <c r="AK49" s="13">
        <f>_xll.BDH("AMZN US Equity","CF_OTHER_FINANCING_ACT_EXCL_FX","FQ3 2017","FQ3 2017","Currency=USD","Period=FQ","BEST_FPERIOD_OVERRIDE=FQ","FILING_STATUS=MR","SCALING_FORMAT=MLN","Sort=A","Dates=H","DateFormat=P","Fill=—","Direction=H","UseDPDF=Y")</f>
        <v>0</v>
      </c>
      <c r="AL49" s="13">
        <f>_xll.BDH("AMZN US Equity","CF_OTHER_FINANCING_ACT_EXCL_FX","FQ4 2017","FQ4 2017","Currency=USD","Period=FQ","BEST_FPERIOD_OVERRIDE=FQ","FILING_STATUS=MR","SCALING_FORMAT=MLN","Sort=A","Dates=H","DateFormat=P","Fill=—","Direction=H","UseDPDF=Y")</f>
        <v>0</v>
      </c>
      <c r="AM49" s="13">
        <f>_xll.BDH("AMZN US Equity","CF_OTHER_FINANCING_ACT_EXCL_FX","FQ1 2018","FQ1 2018","Currency=USD","Period=FQ","BEST_FPERIOD_OVERRIDE=FQ","FILING_STATUS=MR","SCALING_FORMAT=MLN","Sort=A","Dates=H","DateFormat=P","Fill=—","Direction=H","UseDPDF=Y")</f>
        <v>0</v>
      </c>
      <c r="AN49" s="13">
        <f>_xll.BDH("AMZN US Equity","CF_OTHER_FINANCING_ACT_EXCL_FX","FQ2 2018","FQ2 2018","Currency=USD","Period=FQ","BEST_FPERIOD_OVERRIDE=FQ","FILING_STATUS=MR","SCALING_FORMAT=MLN","Sort=A","Dates=H","DateFormat=P","Fill=—","Direction=H","UseDPDF=Y")</f>
        <v>0</v>
      </c>
    </row>
    <row r="50" spans="1:40" x14ac:dyDescent="0.25">
      <c r="A50" s="10" t="s">
        <v>385</v>
      </c>
      <c r="B50" s="10" t="s">
        <v>440</v>
      </c>
      <c r="C50" s="13">
        <f>_xll.BDH("AMZN US Equity","CF_NET_CASH_DISCONTINUED_OPS_FIN","FQ1 2009","FQ1 2009","Currency=USD","Period=FQ","BEST_FPERIOD_OVERRIDE=FQ","FILING_STATUS=MR","SCALING_FORMAT=MLN","Sort=A","Dates=H","DateFormat=P","Fill=—","Direction=H","UseDPDF=Y")</f>
        <v>0</v>
      </c>
      <c r="D50" s="13">
        <f>_xll.BDH("AMZN US Equity","CF_NET_CASH_DISCONTINUED_OPS_FIN","FQ2 2009","FQ2 2009","Currency=USD","Period=FQ","BEST_FPERIOD_OVERRIDE=FQ","FILING_STATUS=MR","SCALING_FORMAT=MLN","Sort=A","Dates=H","DateFormat=P","Fill=—","Direction=H","UseDPDF=Y")</f>
        <v>0</v>
      </c>
      <c r="E50" s="13">
        <f>_xll.BDH("AMZN US Equity","CF_NET_CASH_DISCONTINUED_OPS_FIN","FQ3 2009","FQ3 2009","Currency=USD","Period=FQ","BEST_FPERIOD_OVERRIDE=FQ","FILING_STATUS=MR","SCALING_FORMAT=MLN","Sort=A","Dates=H","DateFormat=P","Fill=—","Direction=H","UseDPDF=Y")</f>
        <v>0</v>
      </c>
      <c r="F50" s="13">
        <f>_xll.BDH("AMZN US Equity","CF_NET_CASH_DISCONTINUED_OPS_FIN","FQ4 2009","FQ4 2009","Currency=USD","Period=FQ","BEST_FPERIOD_OVERRIDE=FQ","FILING_STATUS=MR","SCALING_FORMAT=MLN","Sort=A","Dates=H","DateFormat=P","Fill=—","Direction=H","UseDPDF=Y")</f>
        <v>0</v>
      </c>
      <c r="G50" s="13">
        <f>_xll.BDH("AMZN US Equity","CF_NET_CASH_DISCONTINUED_OPS_FIN","FQ1 2010","FQ1 2010","Currency=USD","Period=FQ","BEST_FPERIOD_OVERRIDE=FQ","FILING_STATUS=MR","SCALING_FORMAT=MLN","Sort=A","Dates=H","DateFormat=P","Fill=—","Direction=H","UseDPDF=Y")</f>
        <v>0</v>
      </c>
      <c r="H50" s="13">
        <f>_xll.BDH("AMZN US Equity","CF_NET_CASH_DISCONTINUED_OPS_FIN","FQ2 2010","FQ2 2010","Currency=USD","Period=FQ","BEST_FPERIOD_OVERRIDE=FQ","FILING_STATUS=MR","SCALING_FORMAT=MLN","Sort=A","Dates=H","DateFormat=P","Fill=—","Direction=H","UseDPDF=Y")</f>
        <v>0</v>
      </c>
      <c r="I50" s="13">
        <f>_xll.BDH("AMZN US Equity","CF_NET_CASH_DISCONTINUED_OPS_FIN","FQ3 2010","FQ3 2010","Currency=USD","Period=FQ","BEST_FPERIOD_OVERRIDE=FQ","FILING_STATUS=MR","SCALING_FORMAT=MLN","Sort=A","Dates=H","DateFormat=P","Fill=—","Direction=H","UseDPDF=Y")</f>
        <v>0</v>
      </c>
      <c r="J50" s="13">
        <f>_xll.BDH("AMZN US Equity","CF_NET_CASH_DISCONTINUED_OPS_FIN","FQ4 2010","FQ4 2010","Currency=USD","Period=FQ","BEST_FPERIOD_OVERRIDE=FQ","FILING_STATUS=MR","SCALING_FORMAT=MLN","Sort=A","Dates=H","DateFormat=P","Fill=—","Direction=H","UseDPDF=Y")</f>
        <v>0</v>
      </c>
      <c r="K50" s="13">
        <f>_xll.BDH("AMZN US Equity","CF_NET_CASH_DISCONTINUED_OPS_FIN","FQ1 2011","FQ1 2011","Currency=USD","Period=FQ","BEST_FPERIOD_OVERRIDE=FQ","FILING_STATUS=MR","SCALING_FORMAT=MLN","Sort=A","Dates=H","DateFormat=P","Fill=—","Direction=H","UseDPDF=Y")</f>
        <v>0</v>
      </c>
      <c r="L50" s="13">
        <f>_xll.BDH("AMZN US Equity","CF_NET_CASH_DISCONTINUED_OPS_FIN","FQ2 2011","FQ2 2011","Currency=USD","Period=FQ","BEST_FPERIOD_OVERRIDE=FQ","FILING_STATUS=MR","SCALING_FORMAT=MLN","Sort=A","Dates=H","DateFormat=P","Fill=—","Direction=H","UseDPDF=Y")</f>
        <v>0</v>
      </c>
      <c r="M50" s="13">
        <f>_xll.BDH("AMZN US Equity","CF_NET_CASH_DISCONTINUED_OPS_FIN","FQ3 2011","FQ3 2011","Currency=USD","Period=FQ","BEST_FPERIOD_OVERRIDE=FQ","FILING_STATUS=MR","SCALING_FORMAT=MLN","Sort=A","Dates=H","DateFormat=P","Fill=—","Direction=H","UseDPDF=Y")</f>
        <v>0</v>
      </c>
      <c r="N50" s="13">
        <f>_xll.BDH("AMZN US Equity","CF_NET_CASH_DISCONTINUED_OPS_FIN","FQ4 2011","FQ4 2011","Currency=USD","Period=FQ","BEST_FPERIOD_OVERRIDE=FQ","FILING_STATUS=MR","SCALING_FORMAT=MLN","Sort=A","Dates=H","DateFormat=P","Fill=—","Direction=H","UseDPDF=Y")</f>
        <v>0</v>
      </c>
      <c r="O50" s="13">
        <f>_xll.BDH("AMZN US Equity","CF_NET_CASH_DISCONTINUED_OPS_FIN","FQ1 2012","FQ1 2012","Currency=USD","Period=FQ","BEST_FPERIOD_OVERRIDE=FQ","FILING_STATUS=MR","SCALING_FORMAT=MLN","Sort=A","Dates=H","DateFormat=P","Fill=—","Direction=H","UseDPDF=Y")</f>
        <v>0</v>
      </c>
      <c r="P50" s="13">
        <f>_xll.BDH("AMZN US Equity","CF_NET_CASH_DISCONTINUED_OPS_FIN","FQ2 2012","FQ2 2012","Currency=USD","Period=FQ","BEST_FPERIOD_OVERRIDE=FQ","FILING_STATUS=MR","SCALING_FORMAT=MLN","Sort=A","Dates=H","DateFormat=P","Fill=—","Direction=H","UseDPDF=Y")</f>
        <v>0</v>
      </c>
      <c r="Q50" s="13">
        <f>_xll.BDH("AMZN US Equity","CF_NET_CASH_DISCONTINUED_OPS_FIN","FQ3 2012","FQ3 2012","Currency=USD","Period=FQ","BEST_FPERIOD_OVERRIDE=FQ","FILING_STATUS=MR","SCALING_FORMAT=MLN","Sort=A","Dates=H","DateFormat=P","Fill=—","Direction=H","UseDPDF=Y")</f>
        <v>0</v>
      </c>
      <c r="R50" s="13">
        <f>_xll.BDH("AMZN US Equity","CF_NET_CASH_DISCONTINUED_OPS_FIN","FQ4 2012","FQ4 2012","Currency=USD","Period=FQ","BEST_FPERIOD_OVERRIDE=FQ","FILING_STATUS=MR","SCALING_FORMAT=MLN","Sort=A","Dates=H","DateFormat=P","Fill=—","Direction=H","UseDPDF=Y")</f>
        <v>0</v>
      </c>
      <c r="S50" s="13">
        <f>_xll.BDH("AMZN US Equity","CF_NET_CASH_DISCONTINUED_OPS_FIN","FQ1 2013","FQ1 2013","Currency=USD","Period=FQ","BEST_FPERIOD_OVERRIDE=FQ","FILING_STATUS=MR","SCALING_FORMAT=MLN","Sort=A","Dates=H","DateFormat=P","Fill=—","Direction=H","UseDPDF=Y")</f>
        <v>0</v>
      </c>
      <c r="T50" s="13">
        <f>_xll.BDH("AMZN US Equity","CF_NET_CASH_DISCONTINUED_OPS_FIN","FQ2 2013","FQ2 2013","Currency=USD","Period=FQ","BEST_FPERIOD_OVERRIDE=FQ","FILING_STATUS=MR","SCALING_FORMAT=MLN","Sort=A","Dates=H","DateFormat=P","Fill=—","Direction=H","UseDPDF=Y")</f>
        <v>0</v>
      </c>
      <c r="U50" s="13">
        <f>_xll.BDH("AMZN US Equity","CF_NET_CASH_DISCONTINUED_OPS_FIN","FQ3 2013","FQ3 2013","Currency=USD","Period=FQ","BEST_FPERIOD_OVERRIDE=FQ","FILING_STATUS=MR","SCALING_FORMAT=MLN","Sort=A","Dates=H","DateFormat=P","Fill=—","Direction=H","UseDPDF=Y")</f>
        <v>0</v>
      </c>
      <c r="V50" s="13">
        <f>_xll.BDH("AMZN US Equity","CF_NET_CASH_DISCONTINUED_OPS_FIN","FQ4 2013","FQ4 2013","Currency=USD","Period=FQ","BEST_FPERIOD_OVERRIDE=FQ","FILING_STATUS=MR","SCALING_FORMAT=MLN","Sort=A","Dates=H","DateFormat=P","Fill=—","Direction=H","UseDPDF=Y")</f>
        <v>0</v>
      </c>
      <c r="W50" s="13">
        <f>_xll.BDH("AMZN US Equity","CF_NET_CASH_DISCONTINUED_OPS_FIN","FQ1 2014","FQ1 2014","Currency=USD","Period=FQ","BEST_FPERIOD_OVERRIDE=FQ","FILING_STATUS=MR","SCALING_FORMAT=MLN","Sort=A","Dates=H","DateFormat=P","Fill=—","Direction=H","UseDPDF=Y")</f>
        <v>0</v>
      </c>
      <c r="X50" s="13">
        <f>_xll.BDH("AMZN US Equity","CF_NET_CASH_DISCONTINUED_OPS_FIN","FQ2 2014","FQ2 2014","Currency=USD","Period=FQ","BEST_FPERIOD_OVERRIDE=FQ","FILING_STATUS=MR","SCALING_FORMAT=MLN","Sort=A","Dates=H","DateFormat=P","Fill=—","Direction=H","UseDPDF=Y")</f>
        <v>0</v>
      </c>
      <c r="Y50" s="13">
        <f>_xll.BDH("AMZN US Equity","CF_NET_CASH_DISCONTINUED_OPS_FIN","FQ3 2014","FQ3 2014","Currency=USD","Period=FQ","BEST_FPERIOD_OVERRIDE=FQ","FILING_STATUS=MR","SCALING_FORMAT=MLN","Sort=A","Dates=H","DateFormat=P","Fill=—","Direction=H","UseDPDF=Y")</f>
        <v>0</v>
      </c>
      <c r="Z50" s="13">
        <f>_xll.BDH("AMZN US Equity","CF_NET_CASH_DISCONTINUED_OPS_FIN","FQ4 2014","FQ4 2014","Currency=USD","Period=FQ","BEST_FPERIOD_OVERRIDE=FQ","FILING_STATUS=MR","SCALING_FORMAT=MLN","Sort=A","Dates=H","DateFormat=P","Fill=—","Direction=H","UseDPDF=Y")</f>
        <v>0</v>
      </c>
      <c r="AA50" s="13">
        <f>_xll.BDH("AMZN US Equity","CF_NET_CASH_DISCONTINUED_OPS_FIN","FQ1 2015","FQ1 2015","Currency=USD","Period=FQ","BEST_FPERIOD_OVERRIDE=FQ","FILING_STATUS=MR","SCALING_FORMAT=MLN","Sort=A","Dates=H","DateFormat=P","Fill=—","Direction=H","UseDPDF=Y")</f>
        <v>0</v>
      </c>
      <c r="AB50" s="13">
        <f>_xll.BDH("AMZN US Equity","CF_NET_CASH_DISCONTINUED_OPS_FIN","FQ2 2015","FQ2 2015","Currency=USD","Period=FQ","BEST_FPERIOD_OVERRIDE=FQ","FILING_STATUS=MR","SCALING_FORMAT=MLN","Sort=A","Dates=H","DateFormat=P","Fill=—","Direction=H","UseDPDF=Y")</f>
        <v>0</v>
      </c>
      <c r="AC50" s="13">
        <f>_xll.BDH("AMZN US Equity","CF_NET_CASH_DISCONTINUED_OPS_FIN","FQ3 2015","FQ3 2015","Currency=USD","Period=FQ","BEST_FPERIOD_OVERRIDE=FQ","FILING_STATUS=MR","SCALING_FORMAT=MLN","Sort=A","Dates=H","DateFormat=P","Fill=—","Direction=H","UseDPDF=Y")</f>
        <v>0</v>
      </c>
      <c r="AD50" s="13">
        <f>_xll.BDH("AMZN US Equity","CF_NET_CASH_DISCONTINUED_OPS_FIN","FQ4 2015","FQ4 2015","Currency=USD","Period=FQ","BEST_FPERIOD_OVERRIDE=FQ","FILING_STATUS=MR","SCALING_FORMAT=MLN","Sort=A","Dates=H","DateFormat=P","Fill=—","Direction=H","UseDPDF=Y")</f>
        <v>0</v>
      </c>
      <c r="AE50" s="13">
        <f>_xll.BDH("AMZN US Equity","CF_NET_CASH_DISCONTINUED_OPS_FIN","FQ1 2016","FQ1 2016","Currency=USD","Period=FQ","BEST_FPERIOD_OVERRIDE=FQ","FILING_STATUS=MR","SCALING_FORMAT=MLN","Sort=A","Dates=H","DateFormat=P","Fill=—","Direction=H","UseDPDF=Y")</f>
        <v>0</v>
      </c>
      <c r="AF50" s="13">
        <f>_xll.BDH("AMZN US Equity","CF_NET_CASH_DISCONTINUED_OPS_FIN","FQ2 2016","FQ2 2016","Currency=USD","Period=FQ","BEST_FPERIOD_OVERRIDE=FQ","FILING_STATUS=MR","SCALING_FORMAT=MLN","Sort=A","Dates=H","DateFormat=P","Fill=—","Direction=H","UseDPDF=Y")</f>
        <v>0</v>
      </c>
      <c r="AG50" s="13">
        <f>_xll.BDH("AMZN US Equity","CF_NET_CASH_DISCONTINUED_OPS_FIN","FQ3 2016","FQ3 2016","Currency=USD","Period=FQ","BEST_FPERIOD_OVERRIDE=FQ","FILING_STATUS=MR","SCALING_FORMAT=MLN","Sort=A","Dates=H","DateFormat=P","Fill=—","Direction=H","UseDPDF=Y")</f>
        <v>0</v>
      </c>
      <c r="AH50" s="13">
        <f>_xll.BDH("AMZN US Equity","CF_NET_CASH_DISCONTINUED_OPS_FIN","FQ4 2016","FQ4 2016","Currency=USD","Period=FQ","BEST_FPERIOD_OVERRIDE=FQ","FILING_STATUS=MR","SCALING_FORMAT=MLN","Sort=A","Dates=H","DateFormat=P","Fill=—","Direction=H","UseDPDF=Y")</f>
        <v>0</v>
      </c>
      <c r="AI50" s="13">
        <f>_xll.BDH("AMZN US Equity","CF_NET_CASH_DISCONTINUED_OPS_FIN","FQ1 2017","FQ1 2017","Currency=USD","Period=FQ","BEST_FPERIOD_OVERRIDE=FQ","FILING_STATUS=MR","SCALING_FORMAT=MLN","Sort=A","Dates=H","DateFormat=P","Fill=—","Direction=H","UseDPDF=Y")</f>
        <v>0</v>
      </c>
      <c r="AJ50" s="13">
        <f>_xll.BDH("AMZN US Equity","CF_NET_CASH_DISCONTINUED_OPS_FIN","FQ2 2017","FQ2 2017","Currency=USD","Period=FQ","BEST_FPERIOD_OVERRIDE=FQ","FILING_STATUS=MR","SCALING_FORMAT=MLN","Sort=A","Dates=H","DateFormat=P","Fill=—","Direction=H","UseDPDF=Y")</f>
        <v>0</v>
      </c>
      <c r="AK50" s="13">
        <f>_xll.BDH("AMZN US Equity","CF_NET_CASH_DISCONTINUED_OPS_FIN","FQ3 2017","FQ3 2017","Currency=USD","Period=FQ","BEST_FPERIOD_OVERRIDE=FQ","FILING_STATUS=MR","SCALING_FORMAT=MLN","Sort=A","Dates=H","DateFormat=P","Fill=—","Direction=H","UseDPDF=Y")</f>
        <v>0</v>
      </c>
      <c r="AL50" s="13">
        <f>_xll.BDH("AMZN US Equity","CF_NET_CASH_DISCONTINUED_OPS_FIN","FQ4 2017","FQ4 2017","Currency=USD","Period=FQ","BEST_FPERIOD_OVERRIDE=FQ","FILING_STATUS=MR","SCALING_FORMAT=MLN","Sort=A","Dates=H","DateFormat=P","Fill=—","Direction=H","UseDPDF=Y")</f>
        <v>0</v>
      </c>
      <c r="AM50" s="13">
        <f>_xll.BDH("AMZN US Equity","CF_NET_CASH_DISCONTINUED_OPS_FIN","FQ1 2018","FQ1 2018","Currency=USD","Period=FQ","BEST_FPERIOD_OVERRIDE=FQ","FILING_STATUS=MR","SCALING_FORMAT=MLN","Sort=A","Dates=H","DateFormat=P","Fill=—","Direction=H","UseDPDF=Y")</f>
        <v>0</v>
      </c>
      <c r="AN50" s="13">
        <f>_xll.BDH("AMZN US Equity","CF_NET_CASH_DISCONTINUED_OPS_FIN","FQ2 2018","FQ2 2018","Currency=USD","Period=FQ","BEST_FPERIOD_OVERRIDE=FQ","FILING_STATUS=MR","SCALING_FORMAT=MLN","Sort=A","Dates=H","DateFormat=P","Fill=—","Direction=H","UseDPDF=Y")</f>
        <v>0</v>
      </c>
    </row>
    <row r="51" spans="1:40" x14ac:dyDescent="0.25">
      <c r="A51" s="6" t="s">
        <v>421</v>
      </c>
      <c r="B51" s="6" t="s">
        <v>441</v>
      </c>
      <c r="C51" s="17">
        <f>_xll.BDH("AMZN US Equity","CFF_ACTIVITIES_DETAILED","FQ1 2009","FQ1 2009","Currency=USD","Period=FQ","BEST_FPERIOD_OVERRIDE=FQ","FILING_STATUS=MR","SCALING_FORMAT=MLN","Sort=A","Dates=H","DateFormat=P","Fill=—","Direction=H","UseDPDF=Y")</f>
        <v>-291</v>
      </c>
      <c r="D51" s="17">
        <f>_xll.BDH("AMZN US Equity","CFF_ACTIVITIES_DETAILED","FQ2 2009","FQ2 2009","Currency=USD","Period=FQ","BEST_FPERIOD_OVERRIDE=FQ","FILING_STATUS=MR","SCALING_FORMAT=MLN","Sort=A","Dates=H","DateFormat=P","Fill=—","Direction=H","UseDPDF=Y")</f>
        <v>-3</v>
      </c>
      <c r="E51" s="17">
        <f>_xll.BDH("AMZN US Equity","CFF_ACTIVITIES_DETAILED","FQ3 2009","FQ3 2009","Currency=USD","Period=FQ","BEST_FPERIOD_OVERRIDE=FQ","FILING_STATUS=MR","SCALING_FORMAT=MLN","Sort=A","Dates=H","DateFormat=P","Fill=—","Direction=H","UseDPDF=Y")</f>
        <v>64</v>
      </c>
      <c r="F51" s="17">
        <f>_xll.BDH("AMZN US Equity","CFF_ACTIVITIES_DETAILED","FQ4 2009","FQ4 2009","Currency=USD","Period=FQ","BEST_FPERIOD_OVERRIDE=FQ","FILING_STATUS=MR","SCALING_FORMAT=MLN","Sort=A","Dates=H","DateFormat=P","Fill=—","Direction=H","UseDPDF=Y")</f>
        <v>-51</v>
      </c>
      <c r="G51" s="17">
        <f>_xll.BDH("AMZN US Equity","CFF_ACTIVITIES_DETAILED","FQ1 2010","FQ1 2010","Currency=USD","Period=FQ","BEST_FPERIOD_OVERRIDE=FQ","FILING_STATUS=MR","SCALING_FORMAT=MLN","Sort=A","Dates=H","DateFormat=P","Fill=—","Direction=H","UseDPDF=Y")</f>
        <v>87</v>
      </c>
      <c r="H51" s="17">
        <f>_xll.BDH("AMZN US Equity","CFF_ACTIVITIES_DETAILED","FQ2 2010","FQ2 2010","Currency=USD","Period=FQ","BEST_FPERIOD_OVERRIDE=FQ","FILING_STATUS=MR","SCALING_FORMAT=MLN","Sort=A","Dates=H","DateFormat=P","Fill=—","Direction=H","UseDPDF=Y")</f>
        <v>43</v>
      </c>
      <c r="I51" s="17">
        <f>_xll.BDH("AMZN US Equity","CFF_ACTIVITIES_DETAILED","FQ3 2010","FQ3 2010","Currency=USD","Period=FQ","BEST_FPERIOD_OVERRIDE=FQ","FILING_STATUS=MR","SCALING_FORMAT=MLN","Sort=A","Dates=H","DateFormat=P","Fill=—","Direction=H","UseDPDF=Y")</f>
        <v>93</v>
      </c>
      <c r="J51" s="17">
        <f>_xll.BDH("AMZN US Equity","CFF_ACTIVITIES_DETAILED","FQ4 2010","FQ4 2010","Currency=USD","Period=FQ","BEST_FPERIOD_OVERRIDE=FQ","FILING_STATUS=MR","SCALING_FORMAT=MLN","Sort=A","Dates=H","DateFormat=P","Fill=—","Direction=H","UseDPDF=Y")</f>
        <v>-34</v>
      </c>
      <c r="K51" s="17">
        <f>_xll.BDH("AMZN US Equity","CFF_ACTIVITIES_DETAILED","FQ1 2011","FQ1 2011","Currency=USD","Period=FQ","BEST_FPERIOD_OVERRIDE=FQ","FILING_STATUS=MR","SCALING_FORMAT=MLN","Sort=A","Dates=H","DateFormat=P","Fill=—","Direction=H","UseDPDF=Y")</f>
        <v>24</v>
      </c>
      <c r="L51" s="17">
        <f>_xll.BDH("AMZN US Equity","CFF_ACTIVITIES_DETAILED","FQ2 2011","FQ2 2011","Currency=USD","Period=FQ","BEST_FPERIOD_OVERRIDE=FQ","FILING_STATUS=MR","SCALING_FORMAT=MLN","Sort=A","Dates=H","DateFormat=P","Fill=—","Direction=H","UseDPDF=Y")</f>
        <v>-91</v>
      </c>
      <c r="M51" s="17">
        <f>_xll.BDH("AMZN US Equity","CFF_ACTIVITIES_DETAILED","FQ3 2011","FQ3 2011","Currency=USD","Period=FQ","BEST_FPERIOD_OVERRIDE=FQ","FILING_STATUS=MR","SCALING_FORMAT=MLN","Sort=A","Dates=H","DateFormat=P","Fill=—","Direction=H","UseDPDF=Y")</f>
        <v>-82</v>
      </c>
      <c r="N51" s="17">
        <f>_xll.BDH("AMZN US Equity","CFF_ACTIVITIES_DETAILED","FQ4 2011","FQ4 2011","Currency=USD","Period=FQ","BEST_FPERIOD_OVERRIDE=FQ","FILING_STATUS=MR","SCALING_FORMAT=MLN","Sort=A","Dates=H","DateFormat=P","Fill=—","Direction=H","UseDPDF=Y")</f>
        <v>-333</v>
      </c>
      <c r="O51" s="17">
        <f>_xll.BDH("AMZN US Equity","CFF_ACTIVITIES_DETAILED","FQ1 2012","FQ1 2012","Currency=USD","Period=FQ","BEST_FPERIOD_OVERRIDE=FQ","FILING_STATUS=MR","SCALING_FORMAT=MLN","Sort=A","Dates=H","DateFormat=P","Fill=—","Direction=H","UseDPDF=Y")</f>
        <v>-1005</v>
      </c>
      <c r="P51" s="17">
        <f>_xll.BDH("AMZN US Equity","CFF_ACTIVITIES_DETAILED","FQ2 2012","FQ2 2012","Currency=USD","Period=FQ","BEST_FPERIOD_OVERRIDE=FQ","FILING_STATUS=MR","SCALING_FORMAT=MLN","Sort=A","Dates=H","DateFormat=P","Fill=—","Direction=H","UseDPDF=Y")</f>
        <v>67</v>
      </c>
      <c r="Q51" s="17">
        <f>_xll.BDH("AMZN US Equity","CFF_ACTIVITIES_DETAILED","FQ3 2012","FQ3 2012","Currency=USD","Period=FQ","BEST_FPERIOD_OVERRIDE=FQ","FILING_STATUS=MR","SCALING_FORMAT=MLN","Sort=A","Dates=H","DateFormat=P","Fill=—","Direction=H","UseDPDF=Y")</f>
        <v>31</v>
      </c>
      <c r="R51" s="17">
        <f>_xll.BDH("AMZN US Equity","CFF_ACTIVITIES_DETAILED","FQ4 2012","FQ4 2012","Currency=USD","Period=FQ","BEST_FPERIOD_OVERRIDE=FQ","FILING_STATUS=MR","SCALING_FORMAT=MLN","Sort=A","Dates=H","DateFormat=P","Fill=—","Direction=H","UseDPDF=Y")</f>
        <v>3166</v>
      </c>
      <c r="S51" s="17">
        <f>_xll.BDH("AMZN US Equity","CFF_ACTIVITIES_DETAILED","FQ1 2013","FQ1 2013","Currency=USD","Period=FQ","BEST_FPERIOD_OVERRIDE=FQ","FILING_STATUS=MR","SCALING_FORMAT=MLN","Sort=A","Dates=H","DateFormat=P","Fill=—","Direction=H","UseDPDF=Y")</f>
        <v>-157</v>
      </c>
      <c r="T51" s="17">
        <f>_xll.BDH("AMZN US Equity","CFF_ACTIVITIES_DETAILED","FQ2 2013","FQ2 2013","Currency=USD","Period=FQ","BEST_FPERIOD_OVERRIDE=FQ","FILING_STATUS=MR","SCALING_FORMAT=MLN","Sort=A","Dates=H","DateFormat=P","Fill=—","Direction=H","UseDPDF=Y")</f>
        <v>-209</v>
      </c>
      <c r="U51" s="17">
        <f>_xll.BDH("AMZN US Equity","CFF_ACTIVITIES_DETAILED","FQ3 2013","FQ3 2013","Currency=USD","Period=FQ","BEST_FPERIOD_OVERRIDE=FQ","FILING_STATUS=MR","SCALING_FORMAT=MLN","Sort=A","Dates=H","DateFormat=P","Fill=—","Direction=H","UseDPDF=Y")</f>
        <v>-230</v>
      </c>
      <c r="V51" s="17">
        <f>_xll.BDH("AMZN US Equity","CFF_ACTIVITIES_DETAILED","FQ4 2013","FQ4 2013","Currency=USD","Period=FQ","BEST_FPERIOD_OVERRIDE=FQ","FILING_STATUS=MR","SCALING_FORMAT=MLN","Sort=A","Dates=H","DateFormat=P","Fill=—","Direction=H","UseDPDF=Y")</f>
        <v>57</v>
      </c>
      <c r="W51" s="17">
        <f>_xll.BDH("AMZN US Equity","CFF_ACTIVITIES_DETAILED","FQ1 2014","FQ1 2014","Currency=USD","Period=FQ","BEST_FPERIOD_OVERRIDE=FQ","FILING_STATUS=MR","SCALING_FORMAT=MLN","Sort=A","Dates=H","DateFormat=P","Fill=—","Direction=H","UseDPDF=Y")</f>
        <v>-175</v>
      </c>
      <c r="X51" s="17">
        <f>_xll.BDH("AMZN US Equity","CFF_ACTIVITIES_DETAILED","FQ2 2014","FQ2 2014","Currency=USD","Period=FQ","BEST_FPERIOD_OVERRIDE=FQ","FILING_STATUS=MR","SCALING_FORMAT=MLN","Sort=A","Dates=H","DateFormat=P","Fill=—","Direction=H","UseDPDF=Y")</f>
        <v>-189</v>
      </c>
      <c r="Y51" s="17">
        <f>_xll.BDH("AMZN US Equity","CFF_ACTIVITIES_DETAILED","FQ3 2014","FQ3 2014","Currency=USD","Period=FQ","BEST_FPERIOD_OVERRIDE=FQ","FILING_STATUS=MR","SCALING_FORMAT=MLN","Sort=A","Dates=H","DateFormat=P","Fill=—","Direction=H","UseDPDF=Y")</f>
        <v>-412</v>
      </c>
      <c r="Z51" s="17">
        <f>_xll.BDH("AMZN US Equity","CFF_ACTIVITIES_DETAILED","FQ4 2014","FQ4 2014","Currency=USD","Period=FQ","BEST_FPERIOD_OVERRIDE=FQ","FILING_STATUS=MR","SCALING_FORMAT=MLN","Sort=A","Dates=H","DateFormat=P","Fill=—","Direction=H","UseDPDF=Y")</f>
        <v>5209</v>
      </c>
      <c r="AA51" s="17">
        <f>_xll.BDH("AMZN US Equity","CFF_ACTIVITIES_DETAILED","FQ1 2015","FQ1 2015","Currency=USD","Period=FQ","BEST_FPERIOD_OVERRIDE=FQ","FILING_STATUS=MR","SCALING_FORMAT=MLN","Sort=A","Dates=H","DateFormat=P","Fill=—","Direction=H","UseDPDF=Y")</f>
        <v>-652</v>
      </c>
      <c r="AB51" s="17">
        <f>_xll.BDH("AMZN US Equity","CFF_ACTIVITIES_DETAILED","FQ2 2015","FQ2 2015","Currency=USD","Period=FQ","BEST_FPERIOD_OVERRIDE=FQ","FILING_STATUS=MR","SCALING_FORMAT=MLN","Sort=A","Dates=H","DateFormat=P","Fill=—","Direction=H","UseDPDF=Y")</f>
        <v>-691</v>
      </c>
      <c r="AC51" s="17">
        <f>_xll.BDH("AMZN US Equity","CFF_ACTIVITIES_DETAILED","FQ3 2015","FQ3 2015","Currency=USD","Period=FQ","BEST_FPERIOD_OVERRIDE=FQ","FILING_STATUS=MR","SCALING_FORMAT=MLN","Sort=A","Dates=H","DateFormat=P","Fill=—","Direction=H","UseDPDF=Y")</f>
        <v>-730</v>
      </c>
      <c r="AD51" s="17">
        <f>_xll.BDH("AMZN US Equity","CFF_ACTIVITIES_DETAILED","FQ4 2015","FQ4 2015","Currency=USD","Period=FQ","BEST_FPERIOD_OVERRIDE=FQ","FILING_STATUS=MR","SCALING_FORMAT=MLN","Sort=A","Dates=H","DateFormat=P","Fill=—","Direction=H","UseDPDF=Y")</f>
        <v>-1690</v>
      </c>
      <c r="AE51" s="17">
        <f>_xll.BDH("AMZN US Equity","CFF_ACTIVITIES_DETAILED","FQ1 2016","FQ1 2016","Currency=USD","Period=FQ","BEST_FPERIOD_OVERRIDE=FQ","FILING_STATUS=MR","SCALING_FORMAT=MLN","Sort=A","Dates=H","DateFormat=P","Fill=—","Direction=H","UseDPDF=Y")</f>
        <v>-996</v>
      </c>
      <c r="AF51" s="17">
        <f>_xll.BDH("AMZN US Equity","CFF_ACTIVITIES_DETAILED","FQ2 2016","FQ2 2016","Currency=USD","Period=FQ","BEST_FPERIOD_OVERRIDE=FQ","FILING_STATUS=MR","SCALING_FORMAT=MLN","Sort=A","Dates=H","DateFormat=P","Fill=—","Direction=H","UseDPDF=Y")</f>
        <v>-1152</v>
      </c>
      <c r="AG51" s="17">
        <f>_xll.BDH("AMZN US Equity","CFF_ACTIVITIES_DETAILED","FQ3 2016","FQ3 2016","Currency=USD","Period=FQ","BEST_FPERIOD_OVERRIDE=FQ","FILING_STATUS=MR","SCALING_FORMAT=MLN","Sort=A","Dates=H","DateFormat=P","Fill=—","Direction=H","UseDPDF=Y")</f>
        <v>-1000</v>
      </c>
      <c r="AH51" s="17">
        <f>_xll.BDH("AMZN US Equity","CFF_ACTIVITIES_DETAILED","FQ4 2016","FQ4 2016","Currency=USD","Period=FQ","BEST_FPERIOD_OVERRIDE=FQ","FILING_STATUS=MR","SCALING_FORMAT=MLN","Sort=A","Dates=H","DateFormat=P","Fill=—","Direction=H","UseDPDF=Y")</f>
        <v>-592</v>
      </c>
      <c r="AI51" s="17">
        <f>_xll.BDH("AMZN US Equity","CFF_ACTIVITIES_DETAILED","FQ1 2017","FQ1 2017","Currency=USD","Period=FQ","BEST_FPERIOD_OVERRIDE=FQ","FILING_STATUS=MR","SCALING_FORMAT=MLN","Sort=A","Dates=H","DateFormat=P","Fill=—","Direction=H","UseDPDF=Y")</f>
        <v>-888</v>
      </c>
      <c r="AJ51" s="17">
        <f>_xll.BDH("AMZN US Equity","CFF_ACTIVITIES_DETAILED","FQ2 2017","FQ2 2017","Currency=USD","Period=FQ","BEST_FPERIOD_OVERRIDE=FQ","FILING_STATUS=MR","SCALING_FORMAT=MLN","Sort=A","Dates=H","DateFormat=P","Fill=—","Direction=H","UseDPDF=Y")</f>
        <v>-1274</v>
      </c>
      <c r="AK51" s="17">
        <f>_xll.BDH("AMZN US Equity","CFF_ACTIVITIES_DETAILED","FQ3 2017","FQ3 2017","Currency=USD","Period=FQ","BEST_FPERIOD_OVERRIDE=FQ","FILING_STATUS=MR","SCALING_FORMAT=MLN","Sort=A","Dates=H","DateFormat=P","Fill=—","Direction=H","UseDPDF=Y")</f>
        <v>14685</v>
      </c>
      <c r="AL51" s="17">
        <f>_xll.BDH("AMZN US Equity","CFF_ACTIVITIES_DETAILED","FQ4 2017","FQ4 2017","Currency=USD","Period=FQ","BEST_FPERIOD_OVERRIDE=FQ","FILING_STATUS=MR","SCALING_FORMAT=MLN","Sort=A","Dates=H","DateFormat=P","Fill=—","Direction=H","UseDPDF=Y")</f>
        <v>-2647</v>
      </c>
      <c r="AM51" s="17">
        <f>_xll.BDH("AMZN US Equity","CFF_ACTIVITIES_DETAILED","FQ1 2018","FQ1 2018","Currency=USD","Period=FQ","BEST_FPERIOD_OVERRIDE=FQ","FILING_STATUS=MR","SCALING_FORMAT=MLN","Sort=A","Dates=H","DateFormat=P","Fill=—","Direction=H","UseDPDF=Y")</f>
        <v>-2164</v>
      </c>
      <c r="AN51" s="17">
        <f>_xll.BDH("AMZN US Equity","CFF_ACTIVITIES_DETAILED","FQ2 2018","FQ2 2018","Currency=USD","Period=FQ","BEST_FPERIOD_OVERRIDE=FQ","FILING_STATUS=MR","SCALING_FORMAT=MLN","Sort=A","Dates=H","DateFormat=P","Fill=—","Direction=H","UseDPDF=Y")</f>
        <v>-1394</v>
      </c>
    </row>
    <row r="52" spans="1:40" x14ac:dyDescent="0.25">
      <c r="A52" s="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x14ac:dyDescent="0.25">
      <c r="A53" s="10" t="s">
        <v>442</v>
      </c>
      <c r="B53" s="10" t="s">
        <v>443</v>
      </c>
      <c r="C53" s="13">
        <f>_xll.BDH("AMZN US Equity","CF_EFFECT_FOREIGN_EXCHANGES","FQ1 2009","FQ1 2009","Currency=USD","Period=FQ","BEST_FPERIOD_OVERRIDE=FQ","FILING_STATUS=MR","SCALING_FORMAT=MLN","Sort=A","Dates=H","DateFormat=P","Fill=—","Direction=H","UseDPDF=Y")</f>
        <v>-45</v>
      </c>
      <c r="D53" s="13">
        <f>_xll.BDH("AMZN US Equity","CF_EFFECT_FOREIGN_EXCHANGES","FQ2 2009","FQ2 2009","Currency=USD","Period=FQ","BEST_FPERIOD_OVERRIDE=FQ","FILING_STATUS=MR","SCALING_FORMAT=MLN","Sort=A","Dates=H","DateFormat=P","Fill=—","Direction=H","UseDPDF=Y")</f>
        <v>49</v>
      </c>
      <c r="E53" s="13">
        <f>_xll.BDH("AMZN US Equity","CF_EFFECT_FOREIGN_EXCHANGES","FQ3 2009","FQ3 2009","Currency=USD","Period=FQ","BEST_FPERIOD_OVERRIDE=FQ","FILING_STATUS=MR","SCALING_FORMAT=MLN","Sort=A","Dates=H","DateFormat=P","Fill=—","Direction=H","UseDPDF=Y")</f>
        <v>17</v>
      </c>
      <c r="F53" s="13">
        <f>_xll.BDH("AMZN US Equity","CF_EFFECT_FOREIGN_EXCHANGES","FQ4 2009","FQ4 2009","Currency=USD","Period=FQ","BEST_FPERIOD_OVERRIDE=FQ","FILING_STATUS=MR","SCALING_FORMAT=MLN","Sort=A","Dates=H","DateFormat=P","Fill=—","Direction=H","UseDPDF=Y")</f>
        <v>-21</v>
      </c>
      <c r="G53" s="13">
        <f>_xll.BDH("AMZN US Equity","CF_EFFECT_FOREIGN_EXCHANGES","FQ1 2010","FQ1 2010","Currency=USD","Period=FQ","BEST_FPERIOD_OVERRIDE=FQ","FILING_STATUS=MR","SCALING_FORMAT=MLN","Sort=A","Dates=H","DateFormat=P","Fill=—","Direction=H","UseDPDF=Y")</f>
        <v>-47</v>
      </c>
      <c r="H53" s="13">
        <f>_xll.BDH("AMZN US Equity","CF_EFFECT_FOREIGN_EXCHANGES","FQ2 2010","FQ2 2010","Currency=USD","Period=FQ","BEST_FPERIOD_OVERRIDE=FQ","FILING_STATUS=MR","SCALING_FORMAT=MLN","Sort=A","Dates=H","DateFormat=P","Fill=—","Direction=H","UseDPDF=Y")</f>
        <v>-33</v>
      </c>
      <c r="I53" s="13">
        <f>_xll.BDH("AMZN US Equity","CF_EFFECT_FOREIGN_EXCHANGES","FQ3 2010","FQ3 2010","Currency=USD","Period=FQ","BEST_FPERIOD_OVERRIDE=FQ","FILING_STATUS=MR","SCALING_FORMAT=MLN","Sort=A","Dates=H","DateFormat=P","Fill=—","Direction=H","UseDPDF=Y")</f>
        <v>90</v>
      </c>
      <c r="J53" s="13">
        <f>_xll.BDH("AMZN US Equity","CF_EFFECT_FOREIGN_EXCHANGES","FQ4 2010","FQ4 2010","Currency=USD","Period=FQ","BEST_FPERIOD_OVERRIDE=FQ","FILING_STATUS=MR","SCALING_FORMAT=MLN","Sort=A","Dates=H","DateFormat=P","Fill=—","Direction=H","UseDPDF=Y")</f>
        <v>7</v>
      </c>
      <c r="K53" s="13">
        <f>_xll.BDH("AMZN US Equity","CF_EFFECT_FOREIGN_EXCHANGES","FQ1 2011","FQ1 2011","Currency=USD","Period=FQ","BEST_FPERIOD_OVERRIDE=FQ","FILING_STATUS=MR","SCALING_FORMAT=MLN","Sort=A","Dates=H","DateFormat=P","Fill=—","Direction=H","UseDPDF=Y")</f>
        <v>36</v>
      </c>
      <c r="L53" s="13">
        <f>_xll.BDH("AMZN US Equity","CF_EFFECT_FOREIGN_EXCHANGES","FQ2 2011","FQ2 2011","Currency=USD","Period=FQ","BEST_FPERIOD_OVERRIDE=FQ","FILING_STATUS=MR","SCALING_FORMAT=MLN","Sort=A","Dates=H","DateFormat=P","Fill=—","Direction=H","UseDPDF=Y")</f>
        <v>25</v>
      </c>
      <c r="M53" s="13">
        <f>_xll.BDH("AMZN US Equity","CF_EFFECT_FOREIGN_EXCHANGES","FQ3 2011","FQ3 2011","Currency=USD","Period=FQ","BEST_FPERIOD_OVERRIDE=FQ","FILING_STATUS=MR","SCALING_FORMAT=MLN","Sort=A","Dates=H","DateFormat=P","Fill=—","Direction=H","UseDPDF=Y")</f>
        <v>-39</v>
      </c>
      <c r="N53" s="13">
        <f>_xll.BDH("AMZN US Equity","CF_EFFECT_FOREIGN_EXCHANGES","FQ4 2011","FQ4 2011","Currency=USD","Period=FQ","BEST_FPERIOD_OVERRIDE=FQ","FILING_STATUS=MR","SCALING_FORMAT=MLN","Sort=A","Dates=H","DateFormat=P","Fill=—","Direction=H","UseDPDF=Y")</f>
        <v>-21</v>
      </c>
      <c r="O53" s="13">
        <f>_xll.BDH("AMZN US Equity","CF_EFFECT_FOREIGN_EXCHANGES","FQ1 2012","FQ1 2012","Currency=USD","Period=FQ","BEST_FPERIOD_OVERRIDE=FQ","FILING_STATUS=MR","SCALING_FORMAT=MLN","Sort=A","Dates=H","DateFormat=P","Fill=—","Direction=H","UseDPDF=Y")</f>
        <v>12</v>
      </c>
      <c r="P53" s="13">
        <f>_xll.BDH("AMZN US Equity","CF_EFFECT_FOREIGN_EXCHANGES","FQ2 2012","FQ2 2012","Currency=USD","Period=FQ","BEST_FPERIOD_OVERRIDE=FQ","FILING_STATUS=MR","SCALING_FORMAT=MLN","Sort=A","Dates=H","DateFormat=P","Fill=—","Direction=H","UseDPDF=Y")</f>
        <v>-19</v>
      </c>
      <c r="Q53" s="13">
        <f>_xll.BDH("AMZN US Equity","CF_EFFECT_FOREIGN_EXCHANGES","FQ3 2012","FQ3 2012","Currency=USD","Period=FQ","BEST_FPERIOD_OVERRIDE=FQ","FILING_STATUS=MR","SCALING_FORMAT=MLN","Sort=A","Dates=H","DateFormat=P","Fill=—","Direction=H","UseDPDF=Y")</f>
        <v>40</v>
      </c>
      <c r="R53" s="13">
        <f>_xll.BDH("AMZN US Equity","CF_EFFECT_FOREIGN_EXCHANGES","FQ4 2012","FQ4 2012","Currency=USD","Period=FQ","BEST_FPERIOD_OVERRIDE=FQ","FILING_STATUS=MR","SCALING_FORMAT=MLN","Sort=A","Dates=H","DateFormat=P","Fill=—","Direction=H","UseDPDF=Y")</f>
        <v>-61</v>
      </c>
      <c r="S53" s="13">
        <f>_xll.BDH("AMZN US Equity","CF_EFFECT_FOREIGN_EXCHANGES","FQ1 2013","FQ1 2013","Currency=USD","Period=FQ","BEST_FPERIOD_OVERRIDE=FQ","FILING_STATUS=MR","SCALING_FORMAT=MLN","Sort=A","Dates=H","DateFormat=P","Fill=—","Direction=H","UseDPDF=Y")</f>
        <v>-124</v>
      </c>
      <c r="T53" s="13">
        <f>_xll.BDH("AMZN US Equity","CF_EFFECT_FOREIGN_EXCHANGES","FQ2 2013","FQ2 2013","Currency=USD","Period=FQ","BEST_FPERIOD_OVERRIDE=FQ","FILING_STATUS=MR","SCALING_FORMAT=MLN","Sort=A","Dates=H","DateFormat=P","Fill=—","Direction=H","UseDPDF=Y")</f>
        <v>-28</v>
      </c>
      <c r="U53" s="13">
        <f>_xll.BDH("AMZN US Equity","CF_EFFECT_FOREIGN_EXCHANGES","FQ3 2013","FQ3 2013","Currency=USD","Period=FQ","BEST_FPERIOD_OVERRIDE=FQ","FILING_STATUS=MR","SCALING_FORMAT=MLN","Sort=A","Dates=H","DateFormat=P","Fill=—","Direction=H","UseDPDF=Y")</f>
        <v>73</v>
      </c>
      <c r="V53" s="13">
        <f>_xll.BDH("AMZN US Equity","CF_EFFECT_FOREIGN_EXCHANGES","FQ4 2013","FQ4 2013","Currency=USD","Period=FQ","BEST_FPERIOD_OVERRIDE=FQ","FILING_STATUS=MR","SCALING_FORMAT=MLN","Sort=A","Dates=H","DateFormat=P","Fill=—","Direction=H","UseDPDF=Y")</f>
        <v>-6</v>
      </c>
      <c r="W53" s="13">
        <f>_xll.BDH("AMZN US Equity","CF_EFFECT_FOREIGN_EXCHANGES","FQ1 2014","FQ1 2014","Currency=USD","Period=FQ","BEST_FPERIOD_OVERRIDE=FQ","FILING_STATUS=MR","SCALING_FORMAT=MLN","Sort=A","Dates=H","DateFormat=P","Fill=—","Direction=H","UseDPDF=Y")</f>
        <v>17</v>
      </c>
      <c r="X53" s="13">
        <f>_xll.BDH("AMZN US Equity","CF_EFFECT_FOREIGN_EXCHANGES","FQ2 2014","FQ2 2014","Currency=USD","Period=FQ","BEST_FPERIOD_OVERRIDE=FQ","FILING_STATUS=MR","SCALING_FORMAT=MLN","Sort=A","Dates=H","DateFormat=P","Fill=—","Direction=H","UseDPDF=Y")</f>
        <v>41</v>
      </c>
      <c r="Y53" s="13">
        <f>_xll.BDH("AMZN US Equity","CF_EFFECT_FOREIGN_EXCHANGES","FQ3 2014","FQ3 2014","Currency=USD","Period=FQ","BEST_FPERIOD_OVERRIDE=FQ","FILING_STATUS=MR","SCALING_FORMAT=MLN","Sort=A","Dates=H","DateFormat=P","Fill=—","Direction=H","UseDPDF=Y")</f>
        <v>-207</v>
      </c>
      <c r="Z53" s="13">
        <f>_xll.BDH("AMZN US Equity","CF_EFFECT_FOREIGN_EXCHANGES","FQ4 2014","FQ4 2014","Currency=USD","Period=FQ","BEST_FPERIOD_OVERRIDE=FQ","FILING_STATUS=MR","SCALING_FORMAT=MLN","Sort=A","Dates=H","DateFormat=P","Fill=—","Direction=H","UseDPDF=Y")</f>
        <v>-160</v>
      </c>
      <c r="AA53" s="13">
        <f>_xll.BDH("AMZN US Equity","CF_EFFECT_FOREIGN_EXCHANGES","FQ1 2015","FQ1 2015","Currency=USD","Period=FQ","BEST_FPERIOD_OVERRIDE=FQ","FILING_STATUS=MR","SCALING_FORMAT=MLN","Sort=A","Dates=H","DateFormat=P","Fill=—","Direction=H","UseDPDF=Y")</f>
        <v>-322</v>
      </c>
      <c r="AB53" s="13">
        <f>_xll.BDH("AMZN US Equity","CF_EFFECT_FOREIGN_EXCHANGES","FQ2 2015","FQ2 2015","Currency=USD","Period=FQ","BEST_FPERIOD_OVERRIDE=FQ","FILING_STATUS=MR","SCALING_FORMAT=MLN","Sort=A","Dates=H","DateFormat=P","Fill=—","Direction=H","UseDPDF=Y")</f>
        <v>102</v>
      </c>
      <c r="AC53" s="13">
        <f>_xll.BDH("AMZN US Equity","CF_EFFECT_FOREIGN_EXCHANGES","FQ3 2015","FQ3 2015","Currency=USD","Period=FQ","BEST_FPERIOD_OVERRIDE=FQ","FILING_STATUS=MR","SCALING_FORMAT=MLN","Sort=A","Dates=H","DateFormat=P","Fill=—","Direction=H","UseDPDF=Y")</f>
        <v>-63</v>
      </c>
      <c r="AD53" s="13">
        <f>_xll.BDH("AMZN US Equity","CF_EFFECT_FOREIGN_EXCHANGES","FQ4 2015","FQ4 2015","Currency=USD","Period=FQ","BEST_FPERIOD_OVERRIDE=FQ","FILING_STATUS=MR","SCALING_FORMAT=MLN","Sort=A","Dates=H","DateFormat=P","Fill=—","Direction=H","UseDPDF=Y")</f>
        <v>-91</v>
      </c>
      <c r="AE53" s="13">
        <f>_xll.BDH("AMZN US Equity","CF_EFFECT_FOREIGN_EXCHANGES","FQ1 2016","FQ1 2016","Currency=USD","Period=FQ","BEST_FPERIOD_OVERRIDE=FQ","FILING_STATUS=MR","SCALING_FORMAT=MLN","Sort=A","Dates=H","DateFormat=P","Fill=—","Direction=H","UseDPDF=Y")</f>
        <v>222</v>
      </c>
      <c r="AF53" s="13">
        <f>_xll.BDH("AMZN US Equity","CF_EFFECT_FOREIGN_EXCHANGES","FQ2 2016","FQ2 2016","Currency=USD","Period=FQ","BEST_FPERIOD_OVERRIDE=FQ","FILING_STATUS=MR","SCALING_FORMAT=MLN","Sort=A","Dates=H","DateFormat=P","Fill=—","Direction=H","UseDPDF=Y")</f>
        <v>64</v>
      </c>
      <c r="AG53" s="13">
        <f>_xll.BDH("AMZN US Equity","CF_EFFECT_FOREIGN_EXCHANGES","FQ3 2016","FQ3 2016","Currency=USD","Period=FQ","BEST_FPERIOD_OVERRIDE=FQ","FILING_STATUS=MR","SCALING_FORMAT=MLN","Sort=A","Dates=H","DateFormat=P","Fill=—","Direction=H","UseDPDF=Y")</f>
        <v>46</v>
      </c>
      <c r="AH53" s="13">
        <f>_xll.BDH("AMZN US Equity","CF_EFFECT_FOREIGN_EXCHANGES","FQ4 2016","FQ4 2016","Currency=USD","Period=FQ","BEST_FPERIOD_OVERRIDE=FQ","FILING_STATUS=MR","SCALING_FORMAT=MLN","Sort=A","Dates=H","DateFormat=P","Fill=—","Direction=H","UseDPDF=Y")</f>
        <v>-543</v>
      </c>
      <c r="AI53" s="13">
        <f>_xll.BDH("AMZN US Equity","CF_EFFECT_FOREIGN_EXCHANGES","FQ1 2017","FQ1 2017","Currency=USD","Period=FQ","BEST_FPERIOD_OVERRIDE=FQ","FILING_STATUS=MR","SCALING_FORMAT=MLN","Sort=A","Dates=H","DateFormat=P","Fill=—","Direction=H","UseDPDF=Y")</f>
        <v>224</v>
      </c>
      <c r="AJ53" s="13">
        <f>_xll.BDH("AMZN US Equity","CF_EFFECT_FOREIGN_EXCHANGES","FQ2 2017","FQ2 2017","Currency=USD","Period=FQ","BEST_FPERIOD_OVERRIDE=FQ","FILING_STATUS=MR","SCALING_FORMAT=MLN","Sort=A","Dates=H","DateFormat=P","Fill=—","Direction=H","UseDPDF=Y")</f>
        <v>248</v>
      </c>
      <c r="AK53" s="13">
        <f>_xll.BDH("AMZN US Equity","CF_EFFECT_FOREIGN_EXCHANGES","FQ3 2017","FQ3 2017","Currency=USD","Period=FQ","BEST_FPERIOD_OVERRIDE=FQ","FILING_STATUS=MR","SCALING_FORMAT=MLN","Sort=A","Dates=H","DateFormat=P","Fill=—","Direction=H","UseDPDF=Y")</f>
        <v>148</v>
      </c>
      <c r="AL53" s="13">
        <f>_xll.BDH("AMZN US Equity","CF_EFFECT_FOREIGN_EXCHANGES","FQ4 2017","FQ4 2017","Currency=USD","Period=FQ","BEST_FPERIOD_OVERRIDE=FQ","FILING_STATUS=MR","SCALING_FORMAT=MLN","Sort=A","Dates=H","DateFormat=P","Fill=—","Direction=H","UseDPDF=Y")</f>
        <v>90</v>
      </c>
      <c r="AM53" s="13">
        <f>_xll.BDH("AMZN US Equity","CF_EFFECT_FOREIGN_EXCHANGES","FQ1 2018","FQ1 2018","Currency=USD","Period=FQ","BEST_FPERIOD_OVERRIDE=FQ","FILING_STATUS=MR","SCALING_FORMAT=MLN","Sort=A","Dates=H","DateFormat=P","Fill=—","Direction=H","UseDPDF=Y")</f>
        <v>248</v>
      </c>
      <c r="AN53" s="13">
        <f>_xll.BDH("AMZN US Equity","CF_EFFECT_FOREIGN_EXCHANGES","FQ2 2018","FQ2 2018","Currency=USD","Period=FQ","BEST_FPERIOD_OVERRIDE=FQ","FILING_STATUS=MR","SCALING_FORMAT=MLN","Sort=A","Dates=H","DateFormat=P","Fill=—","Direction=H","UseDPDF=Y")</f>
        <v>-443</v>
      </c>
    </row>
    <row r="54" spans="1:40" x14ac:dyDescent="0.25">
      <c r="A54" s="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x14ac:dyDescent="0.25">
      <c r="A55" s="6" t="s">
        <v>444</v>
      </c>
      <c r="B55" s="6" t="s">
        <v>445</v>
      </c>
      <c r="C55" s="17">
        <f>_xll.BDH("AMZN US Equity","CF_NET_CHNG_CASH","FQ1 2009","FQ1 2009","Currency=USD","Period=FQ","BEST_FPERIOD_OVERRIDE=FQ","FILING_STATUS=MR","SCALING_FORMAT=MLN","Sort=A","Dates=H","DateFormat=P","Fill=—","Direction=H","UseDPDF=Y")</f>
        <v>-1068</v>
      </c>
      <c r="D55" s="17">
        <f>_xll.BDH("AMZN US Equity","CF_NET_CHNG_CASH","FQ2 2009","FQ2 2009","Currency=USD","Period=FQ","BEST_FPERIOD_OVERRIDE=FQ","FILING_STATUS=MR","SCALING_FORMAT=MLN","Sort=A","Dates=H","DateFormat=P","Fill=—","Direction=H","UseDPDF=Y")</f>
        <v>235</v>
      </c>
      <c r="E55" s="17">
        <f>_xll.BDH("AMZN US Equity","CF_NET_CHNG_CASH","FQ3 2009","FQ3 2009","Currency=USD","Period=FQ","BEST_FPERIOD_OVERRIDE=FQ","FILING_STATUS=MR","SCALING_FORMAT=MLN","Sort=A","Dates=H","DateFormat=P","Fill=—","Direction=H","UseDPDF=Y")</f>
        <v>578</v>
      </c>
      <c r="F55" s="17">
        <f>_xll.BDH("AMZN US Equity","CF_NET_CHNG_CASH","FQ4 2009","FQ4 2009","Currency=USD","Period=FQ","BEST_FPERIOD_OVERRIDE=FQ","FILING_STATUS=MR","SCALING_FORMAT=MLN","Sort=A","Dates=H","DateFormat=P","Fill=—","Direction=H","UseDPDF=Y")</f>
        <v>930</v>
      </c>
      <c r="G55" s="17">
        <f>_xll.BDH("AMZN US Equity","CF_NET_CHNG_CASH","FQ1 2010","FQ1 2010","Currency=USD","Period=FQ","BEST_FPERIOD_OVERRIDE=FQ","FILING_STATUS=MR","SCALING_FORMAT=MLN","Sort=A","Dates=H","DateFormat=P","Fill=—","Direction=H","UseDPDF=Y")</f>
        <v>-1600</v>
      </c>
      <c r="H55" s="17">
        <f>_xll.BDH("AMZN US Equity","CF_NET_CHNG_CASH","FQ2 2010","FQ2 2010","Currency=USD","Period=FQ","BEST_FPERIOD_OVERRIDE=FQ","FILING_STATUS=MR","SCALING_FORMAT=MLN","Sort=A","Dates=H","DateFormat=P","Fill=—","Direction=H","UseDPDF=Y")</f>
        <v>-215</v>
      </c>
      <c r="I55" s="17">
        <f>_xll.BDH("AMZN US Equity","CF_NET_CHNG_CASH","FQ3 2010","FQ3 2010","Currency=USD","Period=FQ","BEST_FPERIOD_OVERRIDE=FQ","FILING_STATUS=MR","SCALING_FORMAT=MLN","Sort=A","Dates=H","DateFormat=P","Fill=—","Direction=H","UseDPDF=Y")</f>
        <v>-90</v>
      </c>
      <c r="J55" s="17">
        <f>_xll.BDH("AMZN US Equity","CF_NET_CHNG_CASH","FQ4 2010","FQ4 2010","Currency=USD","Period=FQ","BEST_FPERIOD_OVERRIDE=FQ","FILING_STATUS=MR","SCALING_FORMAT=MLN","Sort=A","Dates=H","DateFormat=P","Fill=—","Direction=H","UseDPDF=Y")</f>
        <v>2238</v>
      </c>
      <c r="K55" s="17">
        <f>_xll.BDH("AMZN US Equity","CF_NET_CHNG_CASH","FQ1 2011","FQ1 2011","Currency=USD","Period=FQ","BEST_FPERIOD_OVERRIDE=FQ","FILING_STATUS=MR","SCALING_FORMAT=MLN","Sort=A","Dates=H","DateFormat=P","Fill=—","Direction=H","UseDPDF=Y")</f>
        <v>-1136</v>
      </c>
      <c r="L55" s="17">
        <f>_xll.BDH("AMZN US Equity","CF_NET_CHNG_CASH","FQ2 2011","FQ2 2011","Currency=USD","Period=FQ","BEST_FPERIOD_OVERRIDE=FQ","FILING_STATUS=MR","SCALING_FORMAT=MLN","Sort=A","Dates=H","DateFormat=P","Fill=—","Direction=H","UseDPDF=Y")</f>
        <v>-594</v>
      </c>
      <c r="M55" s="17">
        <f>_xll.BDH("AMZN US Equity","CF_NET_CHNG_CASH","FQ3 2011","FQ3 2011","Currency=USD","Period=FQ","BEST_FPERIOD_OVERRIDE=FQ","FILING_STATUS=MR","SCALING_FORMAT=MLN","Sort=A","Dates=H","DateFormat=P","Fill=—","Direction=H","UseDPDF=Y")</f>
        <v>776</v>
      </c>
      <c r="N55" s="17">
        <f>_xll.BDH("AMZN US Equity","CF_NET_CHNG_CASH","FQ4 2011","FQ4 2011","Currency=USD","Period=FQ","BEST_FPERIOD_OVERRIDE=FQ","FILING_STATUS=MR","SCALING_FORMAT=MLN","Sort=A","Dates=H","DateFormat=P","Fill=—","Direction=H","UseDPDF=Y")</f>
        <v>2446</v>
      </c>
      <c r="O55" s="17">
        <f>_xll.BDH("AMZN US Equity","CF_NET_CHNG_CASH","FQ1 2012","FQ1 2012","Currency=USD","Period=FQ","BEST_FPERIOD_OVERRIDE=FQ","FILING_STATUS=MR","SCALING_FORMAT=MLN","Sort=A","Dates=H","DateFormat=P","Fill=—","Direction=H","UseDPDF=Y")</f>
        <v>-2981</v>
      </c>
      <c r="P55" s="17">
        <f>_xll.BDH("AMZN US Equity","CF_NET_CHNG_CASH","FQ2 2012","FQ2 2012","Currency=USD","Period=FQ","BEST_FPERIOD_OVERRIDE=FQ","FILING_STATUS=MR","SCALING_FORMAT=MLN","Sort=A","Dates=H","DateFormat=P","Fill=—","Direction=H","UseDPDF=Y")</f>
        <v>47</v>
      </c>
      <c r="Q55" s="17">
        <f>_xll.BDH("AMZN US Equity","CF_NET_CHNG_CASH","FQ3 2012","FQ3 2012","Currency=USD","Period=FQ","BEST_FPERIOD_OVERRIDE=FQ","FILING_STATUS=MR","SCALING_FORMAT=MLN","Sort=A","Dates=H","DateFormat=P","Fill=—","Direction=H","UseDPDF=Y")</f>
        <v>645</v>
      </c>
      <c r="R55" s="17">
        <f>_xll.BDH("AMZN US Equity","CF_NET_CHNG_CASH","FQ4 2012","FQ4 2012","Currency=USD","Period=FQ","BEST_FPERIOD_OVERRIDE=FQ","FILING_STATUS=MR","SCALING_FORMAT=MLN","Sort=A","Dates=H","DateFormat=P","Fill=—","Direction=H","UseDPDF=Y")</f>
        <v>5104</v>
      </c>
      <c r="S55" s="17">
        <f>_xll.BDH("AMZN US Equity","CF_NET_CHNG_CASH","FQ1 2013","FQ1 2013","Currency=USD","Period=FQ","BEST_FPERIOD_OVERRIDE=FQ","FILING_STATUS=MR","SCALING_FORMAT=MLN","Sort=A","Dates=H","DateFormat=P","Fill=—","Direction=H","UseDPDF=Y")</f>
        <v>-3603</v>
      </c>
      <c r="T55" s="17">
        <f>_xll.BDH("AMZN US Equity","CF_NET_CHNG_CASH","FQ2 2013","FQ2 2013","Currency=USD","Period=FQ","BEST_FPERIOD_OVERRIDE=FQ","FILING_STATUS=MR","SCALING_FORMAT=MLN","Sort=A","Dates=H","DateFormat=P","Fill=—","Direction=H","UseDPDF=Y")</f>
        <v>-777</v>
      </c>
      <c r="U55" s="17">
        <f>_xll.BDH("AMZN US Equity","CF_NET_CHNG_CASH","FQ3 2013","FQ3 2013","Currency=USD","Period=FQ","BEST_FPERIOD_OVERRIDE=FQ","FILING_STATUS=MR","SCALING_FORMAT=MLN","Sort=A","Dates=H","DateFormat=P","Fill=—","Direction=H","UseDPDF=Y")</f>
        <v>168</v>
      </c>
      <c r="V55" s="17">
        <f>_xll.BDH("AMZN US Equity","CF_NET_CHNG_CASH","FQ4 2013","FQ4 2013","Currency=USD","Period=FQ","BEST_FPERIOD_OVERRIDE=FQ","FILING_STATUS=MR","SCALING_FORMAT=MLN","Sort=A","Dates=H","DateFormat=P","Fill=—","Direction=H","UseDPDF=Y")</f>
        <v>4786</v>
      </c>
      <c r="W55" s="17">
        <f>_xll.BDH("AMZN US Equity","CF_NET_CHNG_CASH","FQ1 2014","FQ1 2014","Currency=USD","Period=FQ","BEST_FPERIOD_OVERRIDE=FQ","FILING_STATUS=MR","SCALING_FORMAT=MLN","Sort=A","Dates=H","DateFormat=P","Fill=—","Direction=H","UseDPDF=Y")</f>
        <v>-3584</v>
      </c>
      <c r="X55" s="17">
        <f>_xll.BDH("AMZN US Equity","CF_NET_CHNG_CASH","FQ2 2014","FQ2 2014","Currency=USD","Period=FQ","BEST_FPERIOD_OVERRIDE=FQ","FILING_STATUS=MR","SCALING_FORMAT=MLN","Sort=A","Dates=H","DateFormat=P","Fill=—","Direction=H","UseDPDF=Y")</f>
        <v>-17</v>
      </c>
      <c r="Y55" s="17">
        <f>_xll.BDH("AMZN US Equity","CF_NET_CHNG_CASH","FQ3 2014","FQ3 2014","Currency=USD","Period=FQ","BEST_FPERIOD_OVERRIDE=FQ","FILING_STATUS=MR","SCALING_FORMAT=MLN","Sort=A","Dates=H","DateFormat=P","Fill=—","Direction=H","UseDPDF=Y")</f>
        <v>201</v>
      </c>
      <c r="Z55" s="17">
        <f>_xll.BDH("AMZN US Equity","CF_NET_CHNG_CASH","FQ4 2014","FQ4 2014","Currency=USD","Period=FQ","BEST_FPERIOD_OVERRIDE=FQ","FILING_STATUS=MR","SCALING_FORMAT=MLN","Sort=A","Dates=H","DateFormat=P","Fill=—","Direction=H","UseDPDF=Y")</f>
        <v>9299</v>
      </c>
      <c r="AA55" s="17">
        <f>_xll.BDH("AMZN US Equity","CF_NET_CHNG_CASH","FQ1 2015","FQ1 2015","Currency=USD","Period=FQ","BEST_FPERIOD_OVERRIDE=FQ","FILING_STATUS=MR","SCALING_FORMAT=MLN","Sort=A","Dates=H","DateFormat=P","Fill=—","Direction=H","UseDPDF=Y")</f>
        <v>-4320</v>
      </c>
      <c r="AB55" s="17">
        <f>_xll.BDH("AMZN US Equity","CF_NET_CHNG_CASH","FQ2 2015","FQ2 2015","Currency=USD","Period=FQ","BEST_FPERIOD_OVERRIDE=FQ","FILING_STATUS=MR","SCALING_FORMAT=MLN","Sort=A","Dates=H","DateFormat=P","Fill=—","Direction=H","UseDPDF=Y")</f>
        <v>32</v>
      </c>
      <c r="AC55" s="17">
        <f>_xll.BDH("AMZN US Equity","CF_NET_CHNG_CASH","FQ3 2015","FQ3 2015","Currency=USD","Period=FQ","BEST_FPERIOD_OVERRIDE=FQ","FILING_STATUS=MR","SCALING_FORMAT=MLN","Sort=A","Dates=H","DateFormat=P","Fill=—","Direction=H","UseDPDF=Y")</f>
        <v>440</v>
      </c>
      <c r="AD55" s="17">
        <f>_xll.BDH("AMZN US Equity","CF_NET_CHNG_CASH","FQ4 2015","FQ4 2015","Currency=USD","Period=FQ","BEST_FPERIOD_OVERRIDE=FQ","FILING_STATUS=MR","SCALING_FORMAT=MLN","Sort=A","Dates=H","DateFormat=P","Fill=—","Direction=H","UseDPDF=Y")</f>
        <v>5181</v>
      </c>
      <c r="AE55" s="17">
        <f>_xll.BDH("AMZN US Equity","CF_NET_CHNG_CASH","FQ1 2016","FQ1 2016","Currency=USD","Period=FQ","BEST_FPERIOD_OVERRIDE=FQ","FILING_STATUS=MR","SCALING_FORMAT=MLN","Sort=A","Dates=H","DateFormat=P","Fill=—","Direction=H","UseDPDF=Y")</f>
        <v>-3420</v>
      </c>
      <c r="AF55" s="17">
        <f>_xll.BDH("AMZN US Equity","CF_NET_CHNG_CASH","FQ2 2016","FQ2 2016","Currency=USD","Period=FQ","BEST_FPERIOD_OVERRIDE=FQ","FILING_STATUS=MR","SCALING_FORMAT=MLN","Sort=A","Dates=H","DateFormat=P","Fill=—","Direction=H","UseDPDF=Y")</f>
        <v>51</v>
      </c>
      <c r="AG55" s="17">
        <f>_xll.BDH("AMZN US Equity","CF_NET_CHNG_CASH","FQ3 2016","FQ3 2016","Currency=USD","Period=FQ","BEST_FPERIOD_OVERRIDE=FQ","FILING_STATUS=MR","SCALING_FORMAT=MLN","Sort=A","Dates=H","DateFormat=P","Fill=—","Direction=H","UseDPDF=Y")</f>
        <v>1135</v>
      </c>
      <c r="AH55" s="17">
        <f>_xll.BDH("AMZN US Equity","CF_NET_CHNG_CASH","FQ4 2016","FQ4 2016","Currency=USD","Period=FQ","BEST_FPERIOD_OVERRIDE=FQ","FILING_STATUS=MR","SCALING_FORMAT=MLN","Sort=A","Dates=H","DateFormat=P","Fill=—","Direction=H","UseDPDF=Y")</f>
        <v>5678</v>
      </c>
      <c r="AI55" s="17">
        <f>_xll.BDH("AMZN US Equity","CF_NET_CHNG_CASH","FQ1 2017","FQ1 2017","Currency=USD","Period=FQ","BEST_FPERIOD_OVERRIDE=FQ","FILING_STATUS=MR","SCALING_FORMAT=MLN","Sort=A","Dates=H","DateFormat=P","Fill=—","Direction=H","UseDPDF=Y")</f>
        <v>-3633</v>
      </c>
      <c r="AJ55" s="17">
        <f>_xll.BDH("AMZN US Equity","CF_NET_CHNG_CASH","FQ2 2017","FQ2 2017","Currency=USD","Period=FQ","BEST_FPERIOD_OVERRIDE=FQ","FILING_STATUS=MR","SCALING_FORMAT=MLN","Sort=A","Dates=H","DateFormat=P","Fill=—","Direction=H","UseDPDF=Y")</f>
        <v>-2450</v>
      </c>
      <c r="AK55" s="17">
        <f>_xll.BDH("AMZN US Equity","CF_NET_CHNG_CASH","FQ3 2017","FQ3 2017","Currency=USD","Period=FQ","BEST_FPERIOD_OVERRIDE=FQ","FILING_STATUS=MR","SCALING_FORMAT=MLN","Sort=A","Dates=H","DateFormat=P","Fill=—","Direction=H","UseDPDF=Y")</f>
        <v>-436</v>
      </c>
      <c r="AL55" s="17">
        <f>_xll.BDH("AMZN US Equity","CF_NET_CHNG_CASH","FQ4 2017","FQ4 2017","Currency=USD","Period=FQ","BEST_FPERIOD_OVERRIDE=FQ","FILING_STATUS=MR","SCALING_FORMAT=MLN","Sort=A","Dates=H","DateFormat=P","Fill=—","Direction=H","UseDPDF=Y")</f>
        <v>7755</v>
      </c>
      <c r="AM55" s="17">
        <f>_xll.BDH("AMZN US Equity","CF_NET_CHNG_CASH","FQ1 2018","FQ1 2018","Currency=USD","Period=FQ","BEST_FPERIOD_OVERRIDE=FQ","FILING_STATUS=MR","SCALING_FORMAT=MLN","Sort=A","Dates=H","DateFormat=P","Fill=—","Direction=H","UseDPDF=Y")</f>
        <v>-4240</v>
      </c>
      <c r="AN55" s="17">
        <f>_xll.BDH("AMZN US Equity","CF_NET_CHNG_CASH","FQ2 2018","FQ2 2018","Currency=USD","Period=FQ","BEST_FPERIOD_OVERRIDE=FQ","FILING_STATUS=MR","SCALING_FORMAT=MLN","Sort=A","Dates=H","DateFormat=P","Fill=—","Direction=H","UseDPDF=Y")</f>
        <v>2920</v>
      </c>
    </row>
    <row r="56" spans="1:40" x14ac:dyDescent="0.25">
      <c r="A56" s="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x14ac:dyDescent="0.25">
      <c r="A57" s="6" t="s">
        <v>446</v>
      </c>
      <c r="B57" s="6" t="s">
        <v>447</v>
      </c>
      <c r="C57" s="17">
        <f>_xll.BDH("AMZN US Equity","CF_CASH_PAID_FOR_TAX","FQ1 2009","FQ1 2009","Currency=USD","Period=FQ","BEST_FPERIOD_OVERRIDE=FQ","FILING_STATUS=MR","SCALING_FORMAT=MLN","Sort=A","Dates=H","DateFormat=P","Fill=—","Direction=H","UseDPDF=Y")</f>
        <v>11</v>
      </c>
      <c r="D57" s="17">
        <f>_xll.BDH("AMZN US Equity","CF_CASH_PAID_FOR_TAX","FQ2 2009","FQ2 2009","Currency=USD","Period=FQ","BEST_FPERIOD_OVERRIDE=FQ","FILING_STATUS=MR","SCALING_FORMAT=MLN","Sort=A","Dates=H","DateFormat=P","Fill=—","Direction=H","UseDPDF=Y")</f>
        <v>23</v>
      </c>
      <c r="E57" s="17">
        <f>_xll.BDH("AMZN US Equity","CF_CASH_PAID_FOR_TAX","FQ3 2009","FQ3 2009","Currency=USD","Period=FQ","BEST_FPERIOD_OVERRIDE=FQ","FILING_STATUS=MR","SCALING_FORMAT=MLN","Sort=A","Dates=H","DateFormat=P","Fill=—","Direction=H","UseDPDF=Y")</f>
        <v>10</v>
      </c>
      <c r="F57" s="17">
        <f>_xll.BDH("AMZN US Equity","CF_CASH_PAID_FOR_TAX","FQ4 2009","FQ4 2009","Currency=USD","Period=FQ","BEST_FPERIOD_OVERRIDE=FQ","FILING_STATUS=MR","SCALING_FORMAT=MLN","Sort=A","Dates=H","DateFormat=P","Fill=—","Direction=H","UseDPDF=Y")</f>
        <v>4</v>
      </c>
      <c r="G57" s="17">
        <f>_xll.BDH("AMZN US Equity","CF_CASH_PAID_FOR_TAX","FQ1 2010","FQ1 2010","Currency=USD","Period=FQ","BEST_FPERIOD_OVERRIDE=FQ","FILING_STATUS=MR","SCALING_FORMAT=MLN","Sort=A","Dates=H","DateFormat=P","Fill=—","Direction=H","UseDPDF=Y")</f>
        <v>4</v>
      </c>
      <c r="H57" s="17">
        <f>_xll.BDH("AMZN US Equity","CF_CASH_PAID_FOR_TAX","FQ2 2010","FQ2 2010","Currency=USD","Period=FQ","BEST_FPERIOD_OVERRIDE=FQ","FILING_STATUS=MR","SCALING_FORMAT=MLN","Sort=A","Dates=H","DateFormat=P","Fill=—","Direction=H","UseDPDF=Y")</f>
        <v>43</v>
      </c>
      <c r="I57" s="17">
        <f>_xll.BDH("AMZN US Equity","CF_CASH_PAID_FOR_TAX","FQ3 2010","FQ3 2010","Currency=USD","Period=FQ","BEST_FPERIOD_OVERRIDE=FQ","FILING_STATUS=MR","SCALING_FORMAT=MLN","Sort=A","Dates=H","DateFormat=P","Fill=—","Direction=H","UseDPDF=Y")</f>
        <v>16</v>
      </c>
      <c r="J57" s="17">
        <f>_xll.BDH("AMZN US Equity","CF_CASH_PAID_FOR_TAX","FQ4 2010","FQ4 2010","Currency=USD","Period=FQ","BEST_FPERIOD_OVERRIDE=FQ","FILING_STATUS=MR","SCALING_FORMAT=MLN","Sort=A","Dates=H","DateFormat=P","Fill=—","Direction=H","UseDPDF=Y")</f>
        <v>13</v>
      </c>
      <c r="K57" s="17">
        <f>_xll.BDH("AMZN US Equity","CF_CASH_PAID_FOR_TAX","FQ1 2011","FQ1 2011","Currency=USD","Period=FQ","BEST_FPERIOD_OVERRIDE=FQ","FILING_STATUS=MR","SCALING_FORMAT=MLN","Sort=A","Dates=H","DateFormat=P","Fill=—","Direction=H","UseDPDF=Y")</f>
        <v>7</v>
      </c>
      <c r="L57" s="17">
        <f>_xll.BDH("AMZN US Equity","CF_CASH_PAID_FOR_TAX","FQ2 2011","FQ2 2011","Currency=USD","Period=FQ","BEST_FPERIOD_OVERRIDE=FQ","FILING_STATUS=MR","SCALING_FORMAT=MLN","Sort=A","Dates=H","DateFormat=P","Fill=—","Direction=H","UseDPDF=Y")</f>
        <v>-1</v>
      </c>
      <c r="M57" s="17">
        <f>_xll.BDH("AMZN US Equity","CF_CASH_PAID_FOR_TAX","FQ3 2011","FQ3 2011","Currency=USD","Period=FQ","BEST_FPERIOD_OVERRIDE=FQ","FILING_STATUS=MR","SCALING_FORMAT=MLN","Sort=A","Dates=H","DateFormat=P","Fill=—","Direction=H","UseDPDF=Y")</f>
        <v>12</v>
      </c>
      <c r="N57" s="17">
        <f>_xll.BDH("AMZN US Equity","CF_CASH_PAID_FOR_TAX","FQ4 2011","FQ4 2011","Currency=USD","Period=FQ","BEST_FPERIOD_OVERRIDE=FQ","FILING_STATUS=MR","SCALING_FORMAT=MLN","Sort=A","Dates=H","DateFormat=P","Fill=—","Direction=H","UseDPDF=Y")</f>
        <v>15</v>
      </c>
      <c r="O57" s="17">
        <f>_xll.BDH("AMZN US Equity","CF_CASH_PAID_FOR_TAX","FQ1 2012","FQ1 2012","Currency=USD","Period=FQ","BEST_FPERIOD_OVERRIDE=FQ","FILING_STATUS=MR","SCALING_FORMAT=MLN","Sort=A","Dates=H","DateFormat=P","Fill=—","Direction=H","UseDPDF=Y")</f>
        <v>19</v>
      </c>
      <c r="P57" s="17">
        <f>_xll.BDH("AMZN US Equity","CF_CASH_PAID_FOR_TAX","FQ2 2012","FQ2 2012","Currency=USD","Period=FQ","BEST_FPERIOD_OVERRIDE=FQ","FILING_STATUS=MR","SCALING_FORMAT=MLN","Sort=A","Dates=H","DateFormat=P","Fill=—","Direction=H","UseDPDF=Y")</f>
        <v>20</v>
      </c>
      <c r="Q57" s="17">
        <f>_xll.BDH("AMZN US Equity","CF_CASH_PAID_FOR_TAX","FQ3 2012","FQ3 2012","Currency=USD","Period=FQ","BEST_FPERIOD_OVERRIDE=FQ","FILING_STATUS=MR","SCALING_FORMAT=MLN","Sort=A","Dates=H","DateFormat=P","Fill=—","Direction=H","UseDPDF=Y")</f>
        <v>21</v>
      </c>
      <c r="R57" s="17">
        <f>_xll.BDH("AMZN US Equity","CF_CASH_PAID_FOR_TAX","FQ4 2012","FQ4 2012","Currency=USD","Period=FQ","BEST_FPERIOD_OVERRIDE=FQ","FILING_STATUS=MR","SCALING_FORMAT=MLN","Sort=A","Dates=H","DateFormat=P","Fill=—","Direction=H","UseDPDF=Y")</f>
        <v>52</v>
      </c>
      <c r="S57" s="17">
        <f>_xll.BDH("AMZN US Equity","CF_CASH_PAID_FOR_TAX","FQ1 2013","FQ1 2013","Currency=USD","Period=FQ","BEST_FPERIOD_OVERRIDE=FQ","FILING_STATUS=MR","SCALING_FORMAT=MLN","Sort=A","Dates=H","DateFormat=P","Fill=—","Direction=H","UseDPDF=Y")</f>
        <v>86</v>
      </c>
      <c r="T57" s="17">
        <f>_xll.BDH("AMZN US Equity","CF_CASH_PAID_FOR_TAX","FQ2 2013","FQ2 2013","Currency=USD","Period=FQ","BEST_FPERIOD_OVERRIDE=FQ","FILING_STATUS=MR","SCALING_FORMAT=MLN","Sort=A","Dates=H","DateFormat=P","Fill=—","Direction=H","UseDPDF=Y")</f>
        <v>34</v>
      </c>
      <c r="U57" s="17">
        <f>_xll.BDH("AMZN US Equity","CF_CASH_PAID_FOR_TAX","FQ3 2013","FQ3 2013","Currency=USD","Period=FQ","BEST_FPERIOD_OVERRIDE=FQ","FILING_STATUS=MR","SCALING_FORMAT=MLN","Sort=A","Dates=H","DateFormat=P","Fill=—","Direction=H","UseDPDF=Y")</f>
        <v>23</v>
      </c>
      <c r="V57" s="17">
        <f>_xll.BDH("AMZN US Equity","CF_CASH_PAID_FOR_TAX","FQ4 2013","FQ4 2013","Currency=USD","Period=FQ","BEST_FPERIOD_OVERRIDE=FQ","FILING_STATUS=MR","SCALING_FORMAT=MLN","Sort=A","Dates=H","DateFormat=P","Fill=—","Direction=H","UseDPDF=Y")</f>
        <v>25</v>
      </c>
      <c r="W57" s="17">
        <f>_xll.BDH("AMZN US Equity","CF_CASH_PAID_FOR_TAX","FQ1 2014","FQ1 2014","Currency=USD","Period=FQ","BEST_FPERIOD_OVERRIDE=FQ","FILING_STATUS=MR","SCALING_FORMAT=MLN","Sort=A","Dates=H","DateFormat=P","Fill=—","Direction=H","UseDPDF=Y")</f>
        <v>38</v>
      </c>
      <c r="X57" s="17">
        <f>_xll.BDH("AMZN US Equity","CF_CASH_PAID_FOR_TAX","FQ2 2014","FQ2 2014","Currency=USD","Period=FQ","BEST_FPERIOD_OVERRIDE=FQ","FILING_STATUS=MR","SCALING_FORMAT=MLN","Sort=A","Dates=H","DateFormat=P","Fill=—","Direction=H","UseDPDF=Y")</f>
        <v>71</v>
      </c>
      <c r="Y57" s="17">
        <f>_xll.BDH("AMZN US Equity","CF_CASH_PAID_FOR_TAX","FQ3 2014","FQ3 2014","Currency=USD","Period=FQ","BEST_FPERIOD_OVERRIDE=FQ","FILING_STATUS=MR","SCALING_FORMAT=MLN","Sort=A","Dates=H","DateFormat=P","Fill=—","Direction=H","UseDPDF=Y")</f>
        <v>38</v>
      </c>
      <c r="Z57" s="17">
        <f>_xll.BDH("AMZN US Equity","CF_CASH_PAID_FOR_TAX","FQ4 2014","FQ4 2014","Currency=USD","Period=FQ","BEST_FPERIOD_OVERRIDE=FQ","FILING_STATUS=MR","SCALING_FORMAT=MLN","Sort=A","Dates=H","DateFormat=P","Fill=—","Direction=H","UseDPDF=Y")</f>
        <v>30</v>
      </c>
      <c r="AA57" s="17">
        <f>_xll.BDH("AMZN US Equity","CF_CASH_PAID_FOR_TAX","FQ1 2015","FQ1 2015","Currency=USD","Period=FQ","BEST_FPERIOD_OVERRIDE=FQ","FILING_STATUS=MR","SCALING_FORMAT=MLN","Sort=A","Dates=H","DateFormat=P","Fill=—","Direction=H","UseDPDF=Y")</f>
        <v>55</v>
      </c>
      <c r="AB57" s="17">
        <f>_xll.BDH("AMZN US Equity","CF_CASH_PAID_FOR_TAX","FQ2 2015","FQ2 2015","Currency=USD","Period=FQ","BEST_FPERIOD_OVERRIDE=FQ","FILING_STATUS=MR","SCALING_FORMAT=MLN","Sort=A","Dates=H","DateFormat=P","Fill=—","Direction=H","UseDPDF=Y")</f>
        <v>65</v>
      </c>
      <c r="AC57" s="17">
        <f>_xll.BDH("AMZN US Equity","CF_CASH_PAID_FOR_TAX","FQ3 2015","FQ3 2015","Currency=USD","Period=FQ","BEST_FPERIOD_OVERRIDE=FQ","FILING_STATUS=MR","SCALING_FORMAT=MLN","Sort=A","Dates=H","DateFormat=P","Fill=—","Direction=H","UseDPDF=Y")</f>
        <v>80</v>
      </c>
      <c r="AD57" s="17">
        <f>_xll.BDH("AMZN US Equity","CF_CASH_PAID_FOR_TAX","FQ4 2015","FQ4 2015","Currency=USD","Period=FQ","BEST_FPERIOD_OVERRIDE=FQ","FILING_STATUS=MR","SCALING_FORMAT=MLN","Sort=A","Dates=H","DateFormat=P","Fill=—","Direction=H","UseDPDF=Y")</f>
        <v>73</v>
      </c>
      <c r="AE57" s="17">
        <f>_xll.BDH("AMZN US Equity","CF_CASH_PAID_FOR_TAX","FQ1 2016","FQ1 2016","Currency=USD","Period=FQ","BEST_FPERIOD_OVERRIDE=FQ","FILING_STATUS=MR","SCALING_FORMAT=MLN","Sort=A","Dates=H","DateFormat=P","Fill=—","Direction=H","UseDPDF=Y")</f>
        <v>139</v>
      </c>
      <c r="AF57" s="17">
        <f>_xll.BDH("AMZN US Equity","CF_CASH_PAID_FOR_TAX","FQ2 2016","FQ2 2016","Currency=USD","Period=FQ","BEST_FPERIOD_OVERRIDE=FQ","FILING_STATUS=MR","SCALING_FORMAT=MLN","Sort=A","Dates=H","DateFormat=P","Fill=—","Direction=H","UseDPDF=Y")</f>
        <v>88</v>
      </c>
      <c r="AG57" s="17">
        <f>_xll.BDH("AMZN US Equity","CF_CASH_PAID_FOR_TAX","FQ3 2016","FQ3 2016","Currency=USD","Period=FQ","BEST_FPERIOD_OVERRIDE=FQ","FILING_STATUS=MR","SCALING_FORMAT=MLN","Sort=A","Dates=H","DateFormat=P","Fill=—","Direction=H","UseDPDF=Y")</f>
        <v>91</v>
      </c>
      <c r="AH57" s="17">
        <f>_xll.BDH("AMZN US Equity","CF_CASH_PAID_FOR_TAX","FQ4 2016","FQ4 2016","Currency=USD","Period=FQ","BEST_FPERIOD_OVERRIDE=FQ","FILING_STATUS=MR","SCALING_FORMAT=MLN","Sort=A","Dates=H","DateFormat=P","Fill=—","Direction=H","UseDPDF=Y")</f>
        <v>95</v>
      </c>
      <c r="AI57" s="17">
        <f>_xll.BDH("AMZN US Equity","CF_CASH_PAID_FOR_TAX","FQ1 2017","FQ1 2017","Currency=USD","Period=FQ","BEST_FPERIOD_OVERRIDE=FQ","FILING_STATUS=MR","SCALING_FORMAT=MLN","Sort=A","Dates=H","DateFormat=P","Fill=—","Direction=H","UseDPDF=Y")</f>
        <v>246</v>
      </c>
      <c r="AJ57" s="17">
        <f>_xll.BDH("AMZN US Equity","CF_CASH_PAID_FOR_TAX","FQ2 2017","FQ2 2017","Currency=USD","Period=FQ","BEST_FPERIOD_OVERRIDE=FQ","FILING_STATUS=MR","SCALING_FORMAT=MLN","Sort=A","Dates=H","DateFormat=P","Fill=—","Direction=H","UseDPDF=Y")</f>
        <v>447</v>
      </c>
      <c r="AK57" s="17">
        <f>_xll.BDH("AMZN US Equity","CF_CASH_PAID_FOR_TAX","FQ3 2017","FQ3 2017","Currency=USD","Period=FQ","BEST_FPERIOD_OVERRIDE=FQ","FILING_STATUS=MR","SCALING_FORMAT=MLN","Sort=A","Dates=H","DateFormat=P","Fill=—","Direction=H","UseDPDF=Y")</f>
        <v>172</v>
      </c>
      <c r="AL57" s="17">
        <f>_xll.BDH("AMZN US Equity","CF_CASH_PAID_FOR_TAX","FQ4 2017","FQ4 2017","Currency=USD","Period=FQ","BEST_FPERIOD_OVERRIDE=FQ","FILING_STATUS=MR","SCALING_FORMAT=MLN","Sort=A","Dates=H","DateFormat=P","Fill=—","Direction=H","UseDPDF=Y")</f>
        <v>92</v>
      </c>
      <c r="AM57" s="17">
        <f>_xll.BDH("AMZN US Equity","CF_CASH_PAID_FOR_TAX","FQ1 2018","FQ1 2018","Currency=USD","Period=FQ","BEST_FPERIOD_OVERRIDE=FQ","FILING_STATUS=MR","SCALING_FORMAT=MLN","Sort=A","Dates=H","DateFormat=P","Fill=—","Direction=H","UseDPDF=Y")</f>
        <v>513</v>
      </c>
      <c r="AN57" s="17">
        <f>_xll.BDH("AMZN US Equity","CF_CASH_PAID_FOR_TAX","FQ2 2018","FQ2 2018","Currency=USD","Period=FQ","BEST_FPERIOD_OVERRIDE=FQ","FILING_STATUS=MR","SCALING_FORMAT=MLN","Sort=A","Dates=H","DateFormat=P","Fill=—","Direction=H","UseDPDF=Y")</f>
        <v>300</v>
      </c>
    </row>
    <row r="58" spans="1:40" x14ac:dyDescent="0.25">
      <c r="A58" s="6" t="s">
        <v>448</v>
      </c>
      <c r="B58" s="6" t="s">
        <v>449</v>
      </c>
      <c r="C58" s="17">
        <f>_xll.BDH("AMZN US Equity","CF_ACT_CASH_PAID_FOR_INT_DEBT","FQ1 2009","FQ1 2009","Currency=USD","Period=FQ","BEST_FPERIOD_OVERRIDE=FQ","FILING_STATUS=MR","SCALING_FORMAT=MLN","Sort=A","Dates=H","DateFormat=P","Fill=—","Direction=H","UseDPDF=Y")</f>
        <v>26</v>
      </c>
      <c r="D58" s="17">
        <f>_xll.BDH("AMZN US Equity","CF_ACT_CASH_PAID_FOR_INT_DEBT","FQ2 2009","FQ2 2009","Currency=USD","Period=FQ","BEST_FPERIOD_OVERRIDE=FQ","FILING_STATUS=MR","SCALING_FORMAT=MLN","Sort=A","Dates=H","DateFormat=P","Fill=—","Direction=H","UseDPDF=Y")</f>
        <v>2</v>
      </c>
      <c r="E58" s="17">
        <f>_xll.BDH("AMZN US Equity","CF_ACT_CASH_PAID_FOR_INT_DEBT","FQ3 2009","FQ3 2009","Currency=USD","Period=FQ","BEST_FPERIOD_OVERRIDE=FQ","FILING_STATUS=MR","SCALING_FORMAT=MLN","Sort=A","Dates=H","DateFormat=P","Fill=—","Direction=H","UseDPDF=Y")</f>
        <v>2</v>
      </c>
      <c r="F58" s="17">
        <f>_xll.BDH("AMZN US Equity","CF_ACT_CASH_PAID_FOR_INT_DEBT","FQ4 2009","FQ4 2009","Currency=USD","Period=FQ","BEST_FPERIOD_OVERRIDE=FQ","FILING_STATUS=MR","SCALING_FORMAT=MLN","Sort=A","Dates=H","DateFormat=P","Fill=—","Direction=H","UseDPDF=Y")</f>
        <v>2</v>
      </c>
      <c r="G58" s="17">
        <f>_xll.BDH("AMZN US Equity","CF_ACT_CASH_PAID_FOR_INT_DEBT","FQ1 2010","FQ1 2010","Currency=USD","Period=FQ","BEST_FPERIOD_OVERRIDE=FQ","FILING_STATUS=MR","SCALING_FORMAT=MLN","Sort=A","Dates=H","DateFormat=P","Fill=—","Direction=H","UseDPDF=Y")</f>
        <v>2</v>
      </c>
      <c r="H58" s="17">
        <f>_xll.BDH("AMZN US Equity","CF_ACT_CASH_PAID_FOR_INT_DEBT","FQ2 2010","FQ2 2010","Currency=USD","Period=FQ","BEST_FPERIOD_OVERRIDE=FQ","FILING_STATUS=MR","SCALING_FORMAT=MLN","Sort=A","Dates=H","DateFormat=P","Fill=—","Direction=H","UseDPDF=Y")</f>
        <v>3</v>
      </c>
      <c r="I58" s="17">
        <f>_xll.BDH("AMZN US Equity","CF_ACT_CASH_PAID_FOR_INT_DEBT","FQ3 2010","FQ3 2010","Currency=USD","Period=FQ","BEST_FPERIOD_OVERRIDE=FQ","FILING_STATUS=MR","SCALING_FORMAT=MLN","Sort=A","Dates=H","DateFormat=P","Fill=—","Direction=H","UseDPDF=Y")</f>
        <v>3</v>
      </c>
      <c r="J58" s="17">
        <f>_xll.BDH("AMZN US Equity","CF_ACT_CASH_PAID_FOR_INT_DEBT","FQ4 2010","FQ4 2010","Currency=USD","Period=FQ","BEST_FPERIOD_OVERRIDE=FQ","FILING_STATUS=MR","SCALING_FORMAT=MLN","Sort=A","Dates=H","DateFormat=P","Fill=—","Direction=H","UseDPDF=Y")</f>
        <v>3</v>
      </c>
      <c r="K58" s="17">
        <f>_xll.BDH("AMZN US Equity","CF_ACT_CASH_PAID_FOR_INT_DEBT","FQ1 2011","FQ1 2011","Currency=USD","Period=FQ","BEST_FPERIOD_OVERRIDE=FQ","FILING_STATUS=MR","SCALING_FORMAT=MLN","Sort=A","Dates=H","DateFormat=P","Fill=—","Direction=H","UseDPDF=Y")</f>
        <v>3</v>
      </c>
      <c r="L58" s="17">
        <f>_xll.BDH("AMZN US Equity","CF_ACT_CASH_PAID_FOR_INT_DEBT","FQ2 2011","FQ2 2011","Currency=USD","Period=FQ","BEST_FPERIOD_OVERRIDE=FQ","FILING_STATUS=MR","SCALING_FORMAT=MLN","Sort=A","Dates=H","DateFormat=P","Fill=—","Direction=H","UseDPDF=Y")</f>
        <v>3</v>
      </c>
      <c r="M58" s="17">
        <f>_xll.BDH("AMZN US Equity","CF_ACT_CASH_PAID_FOR_INT_DEBT","FQ3 2011","FQ3 2011","Currency=USD","Period=FQ","BEST_FPERIOD_OVERRIDE=FQ","FILING_STATUS=MR","SCALING_FORMAT=MLN","Sort=A","Dates=H","DateFormat=P","Fill=—","Direction=H","UseDPDF=Y")</f>
        <v>4</v>
      </c>
      <c r="N58" s="17">
        <f>_xll.BDH("AMZN US Equity","CF_ACT_CASH_PAID_FOR_INT_DEBT","FQ4 2011","FQ4 2011","Currency=USD","Period=FQ","BEST_FPERIOD_OVERRIDE=FQ","FILING_STATUS=MR","SCALING_FORMAT=MLN","Sort=A","Dates=H","DateFormat=P","Fill=—","Direction=H","UseDPDF=Y")</f>
        <v>4</v>
      </c>
      <c r="O58" s="17">
        <f>_xll.BDH("AMZN US Equity","CF_ACT_CASH_PAID_FOR_INT_DEBT","FQ1 2012","FQ1 2012","Currency=USD","Period=FQ","BEST_FPERIOD_OVERRIDE=FQ","FILING_STATUS=MR","SCALING_FORMAT=MLN","Sort=A","Dates=H","DateFormat=P","Fill=—","Direction=H","UseDPDF=Y")</f>
        <v>6</v>
      </c>
      <c r="P58" s="17">
        <f>_xll.BDH("AMZN US Equity","CF_ACT_CASH_PAID_FOR_INT_DEBT","FQ2 2012","FQ2 2012","Currency=USD","Period=FQ","BEST_FPERIOD_OVERRIDE=FQ","FILING_STATUS=MR","SCALING_FORMAT=MLN","Sort=A","Dates=H","DateFormat=P","Fill=—","Direction=H","UseDPDF=Y")</f>
        <v>8</v>
      </c>
      <c r="Q58" s="17">
        <f>_xll.BDH("AMZN US Equity","CF_ACT_CASH_PAID_FOR_INT_DEBT","FQ3 2012","FQ3 2012","Currency=USD","Period=FQ","BEST_FPERIOD_OVERRIDE=FQ","FILING_STATUS=MR","SCALING_FORMAT=MLN","Sort=A","Dates=H","DateFormat=P","Fill=—","Direction=H","UseDPDF=Y")</f>
        <v>7</v>
      </c>
      <c r="R58" s="17">
        <f>_xll.BDH("AMZN US Equity","CF_ACT_CASH_PAID_FOR_INT_DEBT","FQ4 2012","FQ4 2012","Currency=USD","Period=FQ","BEST_FPERIOD_OVERRIDE=FQ","FILING_STATUS=MR","SCALING_FORMAT=MLN","Sort=A","Dates=H","DateFormat=P","Fill=—","Direction=H","UseDPDF=Y")</f>
        <v>10</v>
      </c>
      <c r="S58" s="17">
        <f>_xll.BDH("AMZN US Equity","CF_ACT_CASH_PAID_FOR_INT_DEBT","FQ1 2013","FQ1 2013","Currency=USD","Period=FQ","BEST_FPERIOD_OVERRIDE=FQ","FILING_STATUS=MR","SCALING_FORMAT=MLN","Sort=A","Dates=H","DateFormat=P","Fill=—","Direction=H","UseDPDF=Y")</f>
        <v>13</v>
      </c>
      <c r="T58" s="17">
        <f>_xll.BDH("AMZN US Equity","CF_ACT_CASH_PAID_FOR_INT_DEBT","FQ2 2013","FQ2 2013","Currency=USD","Period=FQ","BEST_FPERIOD_OVERRIDE=FQ","FILING_STATUS=MR","SCALING_FORMAT=MLN","Sort=A","Dates=H","DateFormat=P","Fill=—","Direction=H","UseDPDF=Y")</f>
        <v>39</v>
      </c>
      <c r="U58" s="17">
        <f>_xll.BDH("AMZN US Equity","CF_ACT_CASH_PAID_FOR_INT_DEBT","FQ3 2013","FQ3 2013","Currency=USD","Period=FQ","BEST_FPERIOD_OVERRIDE=FQ","FILING_STATUS=MR","SCALING_FORMAT=MLN","Sort=A","Dates=H","DateFormat=P","Fill=—","Direction=H","UseDPDF=Y")</f>
        <v>8</v>
      </c>
      <c r="V58" s="17">
        <f>_xll.BDH("AMZN US Equity","CF_ACT_CASH_PAID_FOR_INT_DEBT","FQ4 2013","FQ4 2013","Currency=USD","Period=FQ","BEST_FPERIOD_OVERRIDE=FQ","FILING_STATUS=MR","SCALING_FORMAT=MLN","Sort=A","Dates=H","DateFormat=P","Fill=—","Direction=H","UseDPDF=Y")</f>
        <v>37</v>
      </c>
      <c r="W58" s="17">
        <f>_xll.BDH("AMZN US Equity","CF_ACT_CASH_PAID_FOR_INT_DEBT","FQ1 2014","FQ1 2014","Currency=USD","Period=FQ","BEST_FPERIOD_OVERRIDE=FQ","FILING_STATUS=MR","SCALING_FORMAT=MLN","Sort=A","Dates=H","DateFormat=P","Fill=—","Direction=H","UseDPDF=Y")</f>
        <v>18</v>
      </c>
      <c r="X58" s="17">
        <f>_xll.BDH("AMZN US Equity","CF_ACT_CASH_PAID_FOR_INT_DEBT","FQ2 2014","FQ2 2014","Currency=USD","Period=FQ","BEST_FPERIOD_OVERRIDE=FQ","FILING_STATUS=MR","SCALING_FORMAT=MLN","Sort=A","Dates=H","DateFormat=P","Fill=—","Direction=H","UseDPDF=Y")</f>
        <v>31</v>
      </c>
      <c r="Y58" s="17">
        <f>_xll.BDH("AMZN US Equity","CF_ACT_CASH_PAID_FOR_INT_DEBT","FQ3 2014","FQ3 2014","Currency=USD","Period=FQ","BEST_FPERIOD_OVERRIDE=FQ","FILING_STATUS=MR","SCALING_FORMAT=MLN","Sort=A","Dates=H","DateFormat=P","Fill=—","Direction=H","UseDPDF=Y")</f>
        <v>7</v>
      </c>
      <c r="Z58" s="17">
        <f>_xll.BDH("AMZN US Equity","CF_ACT_CASH_PAID_FOR_INT_DEBT","FQ4 2014","FQ4 2014","Currency=USD","Period=FQ","BEST_FPERIOD_OVERRIDE=FQ","FILING_STATUS=MR","SCALING_FORMAT=MLN","Sort=A","Dates=H","DateFormat=P","Fill=—","Direction=H","UseDPDF=Y")</f>
        <v>36</v>
      </c>
      <c r="AA58" s="17">
        <f>_xll.BDH("AMZN US Equity","CF_ACT_CASH_PAID_FOR_INT_DEBT","FQ1 2015","FQ1 2015","Currency=USD","Period=FQ","BEST_FPERIOD_OVERRIDE=FQ","FILING_STATUS=MR","SCALING_FORMAT=MLN","Sort=A","Dates=H","DateFormat=P","Fill=—","Direction=H","UseDPDF=Y")</f>
        <v>49</v>
      </c>
      <c r="AB58" s="17">
        <f>_xll.BDH("AMZN US Equity","CF_ACT_CASH_PAID_FOR_INT_DEBT","FQ2 2015","FQ2 2015","Currency=USD","Period=FQ","BEST_FPERIOD_OVERRIDE=FQ","FILING_STATUS=MR","SCALING_FORMAT=MLN","Sort=A","Dates=H","DateFormat=P","Fill=—","Direction=H","UseDPDF=Y")</f>
        <v>187</v>
      </c>
      <c r="AC58" s="17">
        <f>_xll.BDH("AMZN US Equity","CF_ACT_CASH_PAID_FOR_INT_DEBT","FQ3 2015","FQ3 2015","Currency=USD","Period=FQ","BEST_FPERIOD_OVERRIDE=FQ","FILING_STATUS=MR","SCALING_FORMAT=MLN","Sort=A","Dates=H","DateFormat=P","Fill=—","Direction=H","UseDPDF=Y")</f>
        <v>48</v>
      </c>
      <c r="AD58" s="17">
        <f>_xll.BDH("AMZN US Equity","CF_ACT_CASH_PAID_FOR_INT_DEBT","FQ4 2015","FQ4 2015","Currency=USD","Period=FQ","BEST_FPERIOD_OVERRIDE=FQ","FILING_STATUS=MR","SCALING_FORMAT=MLN","Sort=A","Dates=H","DateFormat=P","Fill=—","Direction=H","UseDPDF=Y")</f>
        <v>192</v>
      </c>
      <c r="AE58" s="17">
        <f>_xll.BDH("AMZN US Equity","CF_ACT_CASH_PAID_FOR_INT_DEBT","FQ1 2016","FQ1 2016","Currency=USD","Period=FQ","BEST_FPERIOD_OVERRIDE=FQ","FILING_STATUS=MR","SCALING_FORMAT=MLN","Sort=A","Dates=H","DateFormat=P","Fill=—","Direction=H","UseDPDF=Y")</f>
        <v>49</v>
      </c>
      <c r="AF58" s="17">
        <f>_xll.BDH("AMZN US Equity","CF_ACT_CASH_PAID_FOR_INT_DEBT","FQ2 2016","FQ2 2016","Currency=USD","Period=FQ","BEST_FPERIOD_OVERRIDE=FQ","FILING_STATUS=MR","SCALING_FORMAT=MLN","Sort=A","Dates=H","DateFormat=P","Fill=—","Direction=H","UseDPDF=Y")</f>
        <v>191</v>
      </c>
      <c r="AG58" s="17">
        <f>_xll.BDH("AMZN US Equity","CF_ACT_CASH_PAID_FOR_INT_DEBT","FQ3 2016","FQ3 2016","Currency=USD","Period=FQ","BEST_FPERIOD_OVERRIDE=FQ","FILING_STATUS=MR","SCALING_FORMAT=MLN","Sort=A","Dates=H","DateFormat=P","Fill=—","Direction=H","UseDPDF=Y")</f>
        <v>51</v>
      </c>
      <c r="AH58" s="17">
        <f>_xll.BDH("AMZN US Equity","CF_ACT_CASH_PAID_FOR_INT_DEBT","FQ4 2016","FQ4 2016","Currency=USD","Period=FQ","BEST_FPERIOD_OVERRIDE=FQ","FILING_STATUS=MR","SCALING_FORMAT=MLN","Sort=A","Dates=H","DateFormat=P","Fill=—","Direction=H","UseDPDF=Y")</f>
        <v>205</v>
      </c>
      <c r="AI58" s="17">
        <f>_xll.BDH("AMZN US Equity","CF_ACT_CASH_PAID_FOR_INT_DEBT","FQ1 2017","FQ1 2017","Currency=USD","Period=FQ","BEST_FPERIOD_OVERRIDE=FQ","FILING_STATUS=MR","SCALING_FORMAT=MLN","Sort=A","Dates=H","DateFormat=P","Fill=—","Direction=H","UseDPDF=Y")</f>
        <v>65</v>
      </c>
      <c r="AJ58" s="17">
        <f>_xll.BDH("AMZN US Equity","CF_ACT_CASH_PAID_FOR_INT_DEBT","FQ2 2017","FQ2 2017","Currency=USD","Period=FQ","BEST_FPERIOD_OVERRIDE=FQ","FILING_STATUS=MR","SCALING_FORMAT=MLN","Sort=A","Dates=H","DateFormat=P","Fill=—","Direction=H","UseDPDF=Y")</f>
        <v>208</v>
      </c>
      <c r="AK58" s="17">
        <f>_xll.BDH("AMZN US Equity","CF_ACT_CASH_PAID_FOR_INT_DEBT","FQ3 2017","FQ3 2017","Currency=USD","Period=FQ","BEST_FPERIOD_OVERRIDE=FQ","FILING_STATUS=MR","SCALING_FORMAT=MLN","Sort=A","Dates=H","DateFormat=P","Fill=—","Direction=H","UseDPDF=Y")</f>
        <v>117</v>
      </c>
      <c r="AL58" s="17">
        <f>_xll.BDH("AMZN US Equity","CF_ACT_CASH_PAID_FOR_INT_DEBT","FQ4 2017","FQ4 2017","Currency=USD","Period=FQ","BEST_FPERIOD_OVERRIDE=FQ","FILING_STATUS=MR","SCALING_FORMAT=MLN","Sort=A","Dates=H","DateFormat=P","Fill=—","Direction=H","UseDPDF=Y")</f>
        <v>258</v>
      </c>
      <c r="AM58" s="17">
        <f>_xll.BDH("AMZN US Equity","CF_ACT_CASH_PAID_FOR_INT_DEBT","FQ1 2018","FQ1 2018","Currency=USD","Period=FQ","BEST_FPERIOD_OVERRIDE=FQ","FILING_STATUS=MR","SCALING_FORMAT=MLN","Sort=A","Dates=H","DateFormat=P","Fill=—","Direction=H","UseDPDF=Y")</f>
        <v>411</v>
      </c>
      <c r="AN58" s="17">
        <f>_xll.BDH("AMZN US Equity","CF_ACT_CASH_PAID_FOR_INT_DEBT","FQ2 2018","FQ2 2018","Currency=USD","Period=FQ","BEST_FPERIOD_OVERRIDE=FQ","FILING_STATUS=MR","SCALING_FORMAT=MLN","Sort=A","Dates=H","DateFormat=P","Fill=—","Direction=H","UseDPDF=Y")</f>
        <v>293</v>
      </c>
    </row>
    <row r="59" spans="1:40" x14ac:dyDescent="0.25">
      <c r="A59" s="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x14ac:dyDescent="0.25">
      <c r="A60" s="6" t="s">
        <v>3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x14ac:dyDescent="0.25">
      <c r="A61" s="10" t="s">
        <v>184</v>
      </c>
      <c r="B61" s="10" t="s">
        <v>184</v>
      </c>
      <c r="C61" s="13">
        <f>_xll.BDH("AMZN US Equity","EBITDA","FQ1 2009","FQ1 2009","Currency=USD","Period=FQ","BEST_FPERIOD_OVERRIDE=FQ","FILING_STATUS=MR","SCALING_FORMAT=MLN","FA_ADJUSTED=GAAP","Sort=A","Dates=H","DateFormat=P","Fill=—","Direction=H","UseDPDF=Y")</f>
        <v>333</v>
      </c>
      <c r="D61" s="13">
        <f>_xll.BDH("AMZN US Equity","EBITDA","FQ2 2009","FQ2 2009","Currency=USD","Period=FQ","BEST_FPERIOD_OVERRIDE=FQ","FILING_STATUS=MR","SCALING_FORMAT=MLN","FA_ADJUSTED=GAAP","Sort=A","Dates=H","DateFormat=P","Fill=—","Direction=H","UseDPDF=Y")</f>
        <v>250</v>
      </c>
      <c r="E61" s="13">
        <f>_xll.BDH("AMZN US Equity","EBITDA","FQ3 2009","FQ3 2009","Currency=USD","Period=FQ","BEST_FPERIOD_OVERRIDE=FQ","FILING_STATUS=MR","SCALING_FORMAT=MLN","FA_ADJUSTED=GAAP","Sort=A","Dates=H","DateFormat=P","Fill=—","Direction=H","UseDPDF=Y")</f>
        <v>347</v>
      </c>
      <c r="F61" s="13">
        <f>_xll.BDH("AMZN US Equity","EBITDA","FQ4 2009","FQ4 2009","Currency=USD","Period=FQ","BEST_FPERIOD_OVERRIDE=FQ","FILING_STATUS=MR","SCALING_FORMAT=MLN","FA_ADJUSTED=GAAP","Sort=A","Dates=H","DateFormat=P","Fill=—","Direction=H","UseDPDF=Y")</f>
        <v>588</v>
      </c>
      <c r="G61" s="13">
        <f>_xll.BDH("AMZN US Equity","EBITDA","FQ1 2010","FQ1 2010","Currency=USD","Period=FQ","BEST_FPERIOD_OVERRIDE=FQ","FILING_STATUS=MR","SCALING_FORMAT=MLN","FA_ADJUSTED=GAAP","Sort=A","Dates=H","DateFormat=P","Fill=—","Direction=H","UseDPDF=Y")</f>
        <v>513</v>
      </c>
      <c r="H61" s="13">
        <f>_xll.BDH("AMZN US Equity","EBITDA","FQ2 2010","FQ2 2010","Currency=USD","Period=FQ","BEST_FPERIOD_OVERRIDE=FQ","FILING_STATUS=MR","SCALING_FORMAT=MLN","FA_ADJUSTED=GAAP","Sort=A","Dates=H","DateFormat=P","Fill=—","Direction=H","UseDPDF=Y")</f>
        <v>399</v>
      </c>
      <c r="I61" s="13">
        <f>_xll.BDH("AMZN US Equity","EBITDA","FQ3 2010","FQ3 2010","Currency=USD","Period=FQ","BEST_FPERIOD_OVERRIDE=FQ","FILING_STATUS=MR","SCALING_FORMAT=MLN","FA_ADJUSTED=GAAP","Sort=A","Dates=H","DateFormat=P","Fill=—","Direction=H","UseDPDF=Y")</f>
        <v>418</v>
      </c>
      <c r="J61" s="13">
        <f>_xll.BDH("AMZN US Equity","EBITDA","FQ4 2010","FQ4 2010","Currency=USD","Period=FQ","BEST_FPERIOD_OVERRIDE=FQ","FILING_STATUS=MR","SCALING_FORMAT=MLN","FA_ADJUSTED=GAAP","Sort=A","Dates=H","DateFormat=P","Fill=—","Direction=H","UseDPDF=Y")</f>
        <v>644</v>
      </c>
      <c r="K61" s="13">
        <f>_xll.BDH("AMZN US Equity","EBITDA","FQ1 2011","FQ1 2011","Currency=USD","Period=FQ","BEST_FPERIOD_OVERRIDE=FQ","FILING_STATUS=MR","SCALING_FORMAT=MLN","FA_ADJUSTED=GAAP","Sort=A","Dates=H","DateFormat=P","Fill=—","Direction=H","UseDPDF=Y")</f>
        <v>524</v>
      </c>
      <c r="L61" s="13">
        <f>_xll.BDH("AMZN US Equity","EBITDA","FQ2 2011","FQ2 2011","Currency=USD","Period=FQ","BEST_FPERIOD_OVERRIDE=FQ","FILING_STATUS=MR","SCALING_FORMAT=MLN","FA_ADJUSTED=GAAP","Sort=A","Dates=H","DateFormat=P","Fill=—","Direction=H","UseDPDF=Y")</f>
        <v>445</v>
      </c>
      <c r="M61" s="13">
        <f>_xll.BDH("AMZN US Equity","EBITDA","FQ3 2011","FQ3 2011","Currency=USD","Period=FQ","BEST_FPERIOD_OVERRIDE=FQ","FILING_STATUS=MR","SCALING_FORMAT=MLN","FA_ADJUSTED=GAAP","Sort=A","Dates=H","DateFormat=P","Fill=—","Direction=H","UseDPDF=Y")</f>
        <v>357</v>
      </c>
      <c r="N61" s="13">
        <f>_xll.BDH("AMZN US Equity","EBITDA","FQ4 2011","FQ4 2011","Currency=USD","Period=FQ","BEST_FPERIOD_OVERRIDE=FQ","FILING_STATUS=MR","SCALING_FORMAT=MLN","FA_ADJUSTED=GAAP","Sort=A","Dates=H","DateFormat=P","Fill=—","Direction=H","UseDPDF=Y")</f>
        <v>619</v>
      </c>
      <c r="O61" s="13">
        <f>_xll.BDH("AMZN US Equity","EBITDA","FQ1 2012","FQ1 2012","Currency=USD","Period=FQ","BEST_FPERIOD_OVERRIDE=FQ","FILING_STATUS=MR","SCALING_FORMAT=MLN","FA_ADJUSTED=GAAP","Sort=A","Dates=H","DateFormat=P","Fill=—","Direction=H","UseDPDF=Y")</f>
        <v>649</v>
      </c>
      <c r="P61" s="13">
        <f>_xll.BDH("AMZN US Equity","EBITDA","FQ2 2012","FQ2 2012","Currency=USD","Period=FQ","BEST_FPERIOD_OVERRIDE=FQ","FILING_STATUS=MR","SCALING_FORMAT=MLN","FA_ADJUSTED=GAAP","Sort=A","Dates=H","DateFormat=P","Fill=—","Direction=H","UseDPDF=Y")</f>
        <v>592</v>
      </c>
      <c r="Q61" s="13">
        <f>_xll.BDH("AMZN US Equity","EBITDA","FQ3 2012","FQ3 2012","Currency=USD","Period=FQ","BEST_FPERIOD_OVERRIDE=FQ","FILING_STATUS=MR","SCALING_FORMAT=MLN","FA_ADJUSTED=GAAP","Sort=A","Dates=H","DateFormat=P","Fill=—","Direction=H","UseDPDF=Y")</f>
        <v>526</v>
      </c>
      <c r="R61" s="13">
        <f>_xll.BDH("AMZN US Equity","EBITDA","FQ4 2012","FQ4 2012","Currency=USD","Period=FQ","BEST_FPERIOD_OVERRIDE=FQ","FILING_STATUS=MR","SCALING_FORMAT=MLN","FA_ADJUSTED=GAAP","Sort=A","Dates=H","DateFormat=P","Fill=—","Direction=H","UseDPDF=Y")</f>
        <v>1067</v>
      </c>
      <c r="S61" s="13">
        <f>_xll.BDH("AMZN US Equity","EBITDA","FQ1 2013","FQ1 2013","Currency=USD","Period=FQ","BEST_FPERIOD_OVERRIDE=FQ","FILING_STATUS=MR","SCALING_FORMAT=MLN","FA_ADJUSTED=GAAP","Sort=A","Dates=H","DateFormat=P","Fill=—","Direction=H","UseDPDF=Y")</f>
        <v>881</v>
      </c>
      <c r="T61" s="13">
        <f>_xll.BDH("AMZN US Equity","EBITDA","FQ2 2013","FQ2 2013","Currency=USD","Period=FQ","BEST_FPERIOD_OVERRIDE=FQ","FILING_STATUS=MR","SCALING_FORMAT=MLN","FA_ADJUSTED=GAAP","Sort=A","Dates=H","DateFormat=P","Fill=—","Direction=H","UseDPDF=Y")</f>
        <v>835</v>
      </c>
      <c r="U61" s="13">
        <f>_xll.BDH("AMZN US Equity","EBITDA","FQ3 2013","FQ3 2013","Currency=USD","Period=FQ","BEST_FPERIOD_OVERRIDE=FQ","FILING_STATUS=MR","SCALING_FORMAT=MLN","FA_ADJUSTED=GAAP","Sort=A","Dates=H","DateFormat=P","Fill=—","Direction=H","UseDPDF=Y")</f>
        <v>809</v>
      </c>
      <c r="V61" s="13">
        <f>_xll.BDH("AMZN US Equity","EBITDA","FQ4 2013","FQ4 2013","Currency=USD","Period=FQ","BEST_FPERIOD_OVERRIDE=FQ","FILING_STATUS=MR","SCALING_FORMAT=MLN","FA_ADJUSTED=GAAP","Sort=A","Dates=H","DateFormat=P","Fill=—","Direction=H","UseDPDF=Y")</f>
        <v>1473</v>
      </c>
      <c r="W61" s="13">
        <f>_xll.BDH("AMZN US Equity","EBITDA","FQ1 2014","FQ1 2014","Currency=USD","Period=FQ","BEST_FPERIOD_OVERRIDE=FQ","FILING_STATUS=MR","SCALING_FORMAT=MLN","FA_ADJUSTED=GAAP","Sort=A","Dates=H","DateFormat=P","Fill=—","Direction=H","UseDPDF=Y")</f>
        <v>1156</v>
      </c>
      <c r="X61" s="13">
        <f>_xll.BDH("AMZN US Equity","EBITDA","FQ2 2014","FQ2 2014","Currency=USD","Period=FQ","BEST_FPERIOD_OVERRIDE=FQ","FILING_STATUS=MR","SCALING_FORMAT=MLN","FA_ADJUSTED=GAAP","Sort=A","Dates=H","DateFormat=P","Fill=—","Direction=H","UseDPDF=Y")</f>
        <v>1094</v>
      </c>
      <c r="Y61" s="13">
        <f>_xll.BDH("AMZN US Equity","EBITDA","FQ3 2014","FQ3 2014","Currency=USD","Period=FQ","BEST_FPERIOD_OVERRIDE=FQ","FILING_STATUS=MR","SCALING_FORMAT=MLN","FA_ADJUSTED=GAAP","Sort=A","Dates=H","DateFormat=P","Fill=—","Direction=H","UseDPDF=Y")</f>
        <v>703</v>
      </c>
      <c r="Z61" s="13">
        <f>_xll.BDH("AMZN US Equity","EBITDA","FQ4 2014","FQ4 2014","Currency=USD","Period=FQ","BEST_FPERIOD_OVERRIDE=FQ","FILING_STATUS=MR","SCALING_FORMAT=MLN","FA_ADJUSTED=GAAP","Sort=A","Dates=H","DateFormat=P","Fill=—","Direction=H","UseDPDF=Y")</f>
        <v>1970</v>
      </c>
      <c r="AA61" s="13">
        <f>_xll.BDH("AMZN US Equity","EBITDA","FQ1 2015","FQ1 2015","Currency=USD","Period=FQ","BEST_FPERIOD_OVERRIDE=FQ","FILING_STATUS=MR","SCALING_FORMAT=MLN","FA_ADJUSTED=GAAP","Sort=A","Dates=H","DateFormat=P","Fill=—","Direction=H","UseDPDF=Y")</f>
        <v>1681</v>
      </c>
      <c r="AB61" s="13">
        <f>_xll.BDH("AMZN US Equity","EBITDA","FQ2 2015","FQ2 2015","Currency=USD","Period=FQ","BEST_FPERIOD_OVERRIDE=FQ","FILING_STATUS=MR","SCALING_FORMAT=MLN","FA_ADJUSTED=GAAP","Sort=A","Dates=H","DateFormat=P","Fill=—","Direction=H","UseDPDF=Y")</f>
        <v>1968</v>
      </c>
      <c r="AC61" s="13">
        <f>_xll.BDH("AMZN US Equity","EBITDA","FQ3 2015","FQ3 2015","Currency=USD","Period=FQ","BEST_FPERIOD_OVERRIDE=FQ","FILING_STATUS=MR","SCALING_FORMAT=MLN","FA_ADJUSTED=GAAP","Sort=A","Dates=H","DateFormat=P","Fill=—","Direction=H","UseDPDF=Y")</f>
        <v>2005</v>
      </c>
      <c r="AD61" s="13">
        <f>_xll.BDH("AMZN US Equity","EBITDA","FQ4 2015","FQ4 2015","Currency=USD","Period=FQ","BEST_FPERIOD_OVERRIDE=FQ","FILING_STATUS=MR","SCALING_FORMAT=MLN","FA_ADJUSTED=GAAP","Sort=A","Dates=H","DateFormat=P","Fill=—","Direction=H","UseDPDF=Y")</f>
        <v>2860</v>
      </c>
      <c r="AE61" s="13">
        <f>_xll.BDH("AMZN US Equity","EBITDA","FQ1 2016","FQ1 2016","Currency=USD","Period=FQ","BEST_FPERIOD_OVERRIDE=FQ","FILING_STATUS=MR","SCALING_FORMAT=MLN","FA_ADJUSTED=GAAP","Sort=A","Dates=H","DateFormat=P","Fill=—","Direction=H","UseDPDF=Y")</f>
        <v>2898</v>
      </c>
      <c r="AF61" s="13">
        <f>_xll.BDH("AMZN US Equity","EBITDA","FQ2 2016","FQ2 2016","Currency=USD","Period=FQ","BEST_FPERIOD_OVERRIDE=FQ","FILING_STATUS=MR","SCALING_FORMAT=MLN","FA_ADJUSTED=GAAP","Sort=A","Dates=H","DateFormat=P","Fill=—","Direction=H","UseDPDF=Y")</f>
        <v>3194</v>
      </c>
      <c r="AG61" s="13">
        <f>_xll.BDH("AMZN US Equity","EBITDA","FQ3 2016","FQ3 2016","Currency=USD","Period=FQ","BEST_FPERIOD_OVERRIDE=FQ","FILING_STATUS=MR","SCALING_FORMAT=MLN","FA_ADJUSTED=GAAP","Sort=A","Dates=H","DateFormat=P","Fill=—","Direction=H","UseDPDF=Y")</f>
        <v>2659</v>
      </c>
      <c r="AH61" s="13">
        <f>_xll.BDH("AMZN US Equity","EBITDA","FQ4 2016","FQ4 2016","Currency=USD","Period=FQ","BEST_FPERIOD_OVERRIDE=FQ","FILING_STATUS=MR","SCALING_FORMAT=MLN","FA_ADJUSTED=GAAP","Sort=A","Dates=H","DateFormat=P","Fill=—","Direction=H","UseDPDF=Y")</f>
        <v>3552</v>
      </c>
      <c r="AI61" s="13">
        <f>_xll.BDH("AMZN US Equity","EBITDA","FQ1 2017","FQ1 2017","Currency=USD","Period=FQ","BEST_FPERIOD_OVERRIDE=FQ","FILING_STATUS=MR","SCALING_FORMAT=MLN","FA_ADJUSTED=GAAP","Sort=A","Dates=H","DateFormat=P","Fill=—","Direction=H","UseDPDF=Y")</f>
        <v>3440</v>
      </c>
      <c r="AJ61" s="13">
        <f>_xll.BDH("AMZN US Equity","EBITDA","FQ2 2017","FQ2 2017","Currency=USD","Period=FQ","BEST_FPERIOD_OVERRIDE=FQ","FILING_STATUS=MR","SCALING_FORMAT=MLN","FA_ADJUSTED=GAAP","Sort=A","Dates=H","DateFormat=P","Fill=—","Direction=H","UseDPDF=Y")</f>
        <v>3261</v>
      </c>
      <c r="AK61" s="13">
        <f>_xll.BDH("AMZN US Equity","EBITDA","FQ3 2017","FQ3 2017","Currency=USD","Period=FQ","BEST_FPERIOD_OVERRIDE=FQ","FILING_STATUS=MR","SCALING_FORMAT=MLN","FA_ADJUSTED=GAAP","Sort=A","Dates=H","DateFormat=P","Fill=—","Direction=H","UseDPDF=Y")</f>
        <v>3259</v>
      </c>
      <c r="AL61" s="13">
        <f>_xll.BDH("AMZN US Equity","EBITDA","FQ4 2017","FQ4 2017","Currency=USD","Period=FQ","BEST_FPERIOD_OVERRIDE=FQ","FILING_STATUS=MR","SCALING_FORMAT=MLN","FA_ADJUSTED=GAAP","Sort=A","Dates=H","DateFormat=P","Fill=—","Direction=H","UseDPDF=Y")</f>
        <v>5625</v>
      </c>
      <c r="AM61" s="13">
        <f>_xll.BDH("AMZN US Equity","EBITDA","FQ1 2018","FQ1 2018","Currency=USD","Period=FQ","BEST_FPERIOD_OVERRIDE=FQ","FILING_STATUS=MR","SCALING_FORMAT=MLN","FA_ADJUSTED=GAAP","Sort=A","Dates=H","DateFormat=P","Fill=—","Direction=H","UseDPDF=Y")</f>
        <v>5598</v>
      </c>
      <c r="AN61" s="13">
        <f>_xll.BDH("AMZN US Equity","EBITDA","FQ2 2018","FQ2 2018","Currency=USD","Period=FQ","BEST_FPERIOD_OVERRIDE=FQ","FILING_STATUS=MR","SCALING_FORMAT=MLN","FA_ADJUSTED=GAAP","Sort=A","Dates=H","DateFormat=P","Fill=—","Direction=H","UseDPDF=Y")</f>
        <v>6613</v>
      </c>
    </row>
    <row r="62" spans="1:40" x14ac:dyDescent="0.25">
      <c r="A62" s="10" t="s">
        <v>450</v>
      </c>
      <c r="B62" s="10" t="s">
        <v>186</v>
      </c>
      <c r="C62" s="14">
        <f>_xll.BDH("AMZN US Equity","EBITDA_MARGIN","FQ1 2009","FQ1 2009","Currency=USD","Period=FQ","BEST_FPERIOD_OVERRIDE=FQ","FILING_STATUS=MR","FA_ADJUSTED=GAAP","Sort=A","Dates=H","DateFormat=P","Fill=—","Direction=H","UseDPDF=Y")</f>
        <v>6.0190999999999999</v>
      </c>
      <c r="D62" s="14">
        <f>_xll.BDH("AMZN US Equity","EBITDA_MARGIN","FQ2 2009","FQ2 2009","Currency=USD","Period=FQ","BEST_FPERIOD_OVERRIDE=FQ","FILING_STATUS=MR","FA_ADJUSTED=GAAP","Sort=A","Dates=H","DateFormat=P","Fill=—","Direction=H","UseDPDF=Y")</f>
        <v>5.6661000000000001</v>
      </c>
      <c r="E62" s="14">
        <f>_xll.BDH("AMZN US Equity","EBITDA_MARGIN","FQ3 2009","FQ3 2009","Currency=USD","Period=FQ","BEST_FPERIOD_OVERRIDE=FQ","FILING_STATUS=MR","FA_ADJUSTED=GAAP","Sort=A","Dates=H","DateFormat=P","Fill=—","Direction=H","UseDPDF=Y")</f>
        <v>5.8959000000000001</v>
      </c>
      <c r="F62" s="14">
        <f>_xll.BDH("AMZN US Equity","EBITDA_MARGIN","FQ4 2009","FQ4 2009","Currency=USD","Period=FQ","BEST_FPERIOD_OVERRIDE=FQ","FILING_STATUS=MR","FA_ADJUSTED=GAAP","Sort=A","Dates=H","DateFormat=P","Fill=—","Direction=H","UseDPDF=Y")</f>
        <v>6.1939000000000002</v>
      </c>
      <c r="G62" s="14">
        <f>_xll.BDH("AMZN US Equity","EBITDA_MARGIN","FQ1 2010","FQ1 2010","Currency=USD","Period=FQ","BEST_FPERIOD_OVERRIDE=FQ","FILING_STATUS=MR","FA_ADJUSTED=GAAP","Sort=A","Dates=H","DateFormat=P","Fill=—","Direction=H","UseDPDF=Y")</f>
        <v>6.3476999999999997</v>
      </c>
      <c r="H62" s="14">
        <f>_xll.BDH("AMZN US Equity","EBITDA_MARGIN","FQ2 2010","FQ2 2010","Currency=USD","Period=FQ","BEST_FPERIOD_OVERRIDE=FQ","FILING_STATUS=MR","FA_ADJUSTED=GAAP","Sort=A","Dates=H","DateFormat=P","Fill=—","Direction=H","UseDPDF=Y")</f>
        <v>6.4434000000000005</v>
      </c>
      <c r="I62" s="14">
        <f>_xll.BDH("AMZN US Equity","EBITDA_MARGIN","FQ3 2010","FQ3 2010","Currency=USD","Period=FQ","BEST_FPERIOD_OVERRIDE=FQ","FILING_STATUS=MR","FA_ADJUSTED=GAAP","Sort=A","Dates=H","DateFormat=P","Fill=—","Direction=H","UseDPDF=Y")</f>
        <v>6.2321</v>
      </c>
      <c r="J62" s="14">
        <f>_xll.BDH("AMZN US Equity","EBITDA_MARGIN","FQ4 2010","FQ4 2010","Currency=USD","Period=FQ","BEST_FPERIOD_OVERRIDE=FQ","FILING_STATUS=MR","FA_ADJUSTED=GAAP","Sort=A","Dates=H","DateFormat=P","Fill=—","Direction=H","UseDPDF=Y")</f>
        <v>5.7710999999999997</v>
      </c>
      <c r="K62" s="14">
        <f>_xll.BDH("AMZN US Equity","EBITDA_MARGIN","FQ1 2011","FQ1 2011","Currency=USD","Period=FQ","BEST_FPERIOD_OVERRIDE=FQ","FILING_STATUS=MR","FA_ADJUSTED=GAAP","Sort=A","Dates=H","DateFormat=P","Fill=—","Direction=H","UseDPDF=Y")</f>
        <v>5.3749000000000002</v>
      </c>
      <c r="L62" s="14">
        <f>_xll.BDH("AMZN US Equity","EBITDA_MARGIN","FQ2 2011","FQ2 2011","Currency=USD","Period=FQ","BEST_FPERIOD_OVERRIDE=FQ","FILING_STATUS=MR","FA_ADJUSTED=GAAP","Sort=A","Dates=H","DateFormat=P","Fill=—","Direction=H","UseDPDF=Y")</f>
        <v>5.0425000000000004</v>
      </c>
      <c r="M62" s="14">
        <f>_xll.BDH("AMZN US Equity","EBITDA_MARGIN","FQ3 2011","FQ3 2011","Currency=USD","Period=FQ","BEST_FPERIOD_OVERRIDE=FQ","FILING_STATUS=MR","FA_ADJUSTED=GAAP","Sort=A","Dates=H","DateFormat=P","Fill=—","Direction=H","UseDPDF=Y")</f>
        <v>4.5190000000000001</v>
      </c>
      <c r="N62" s="14">
        <f>_xll.BDH("AMZN US Equity","EBITDA_MARGIN","FQ4 2011","FQ4 2011","Currency=USD","Period=FQ","BEST_FPERIOD_OVERRIDE=FQ","FILING_STATUS=MR","FA_ADJUSTED=GAAP","Sort=A","Dates=H","DateFormat=P","Fill=—","Direction=H","UseDPDF=Y")</f>
        <v>4.0456000000000003</v>
      </c>
      <c r="O62" s="14">
        <f>_xll.BDH("AMZN US Equity","EBITDA_MARGIN","FQ1 2012","FQ1 2012","Currency=USD","Period=FQ","BEST_FPERIOD_OVERRIDE=FQ","FILING_STATUS=MR","FA_ADJUSTED=GAAP","Sort=A","Dates=H","DateFormat=P","Fill=—","Direction=H","UseDPDF=Y")</f>
        <v>4.0267999999999997</v>
      </c>
      <c r="P62" s="14">
        <f>_xll.BDH("AMZN US Equity","EBITDA_MARGIN","FQ2 2012","FQ2 2012","Currency=USD","Period=FQ","BEST_FPERIOD_OVERRIDE=FQ","FILING_STATUS=MR","FA_ADJUSTED=GAAP","Sort=A","Dates=H","DateFormat=P","Fill=—","Direction=H","UseDPDF=Y")</f>
        <v>4.0808999999999997</v>
      </c>
      <c r="Q62" s="14">
        <f>_xll.BDH("AMZN US Equity","EBITDA_MARGIN","FQ3 2012","FQ3 2012","Currency=USD","Period=FQ","BEST_FPERIOD_OVERRIDE=FQ","FILING_STATUS=MR","FA_ADJUSTED=GAAP","Sort=A","Dates=H","DateFormat=P","Fill=—","Direction=H","UseDPDF=Y")</f>
        <v>4.1672000000000002</v>
      </c>
      <c r="R62" s="14">
        <f>_xll.BDH("AMZN US Equity","EBITDA_MARGIN","FQ4 2012","FQ4 2012","Currency=USD","Period=FQ","BEST_FPERIOD_OVERRIDE=FQ","FILING_STATUS=MR","FA_ADJUSTED=GAAP","Sort=A","Dates=H","DateFormat=P","Fill=—","Direction=H","UseDPDF=Y")</f>
        <v>4.6387999999999998</v>
      </c>
      <c r="S62" s="14">
        <f>_xll.BDH("AMZN US Equity","EBITDA_MARGIN","FQ1 2013","FQ1 2013","Currency=USD","Period=FQ","BEST_FPERIOD_OVERRIDE=FQ","FILING_STATUS=MR","FA_ADJUSTED=GAAP","Sort=A","Dates=H","DateFormat=P","Fill=—","Direction=H","UseDPDF=Y")</f>
        <v>4.7923</v>
      </c>
      <c r="T62" s="14">
        <f>_xll.BDH("AMZN US Equity","EBITDA_MARGIN","FQ2 2013","FQ2 2013","Currency=USD","Period=FQ","BEST_FPERIOD_OVERRIDE=FQ","FILING_STATUS=MR","FA_ADJUSTED=GAAP","Sort=A","Dates=H","DateFormat=P","Fill=—","Direction=H","UseDPDF=Y")</f>
        <v>4.95</v>
      </c>
      <c r="U62" s="14">
        <f>_xll.BDH("AMZN US Equity","EBITDA_MARGIN","FQ3 2013","FQ3 2013","Currency=USD","Period=FQ","BEST_FPERIOD_OVERRIDE=FQ","FILING_STATUS=MR","FA_ADJUSTED=GAAP","Sort=A","Dates=H","DateFormat=P","Fill=—","Direction=H","UseDPDF=Y")</f>
        <v>5.1215999999999999</v>
      </c>
      <c r="V62" s="14">
        <f>_xll.BDH("AMZN US Equity","EBITDA_MARGIN","FQ4 2013","FQ4 2013","Currency=USD","Period=FQ","BEST_FPERIOD_OVERRIDE=FQ","FILING_STATUS=MR","FA_ADJUSTED=GAAP","Sort=A","Dates=H","DateFormat=P","Fill=—","Direction=H","UseDPDF=Y")</f>
        <v>5.3697999999999997</v>
      </c>
      <c r="W62" s="14">
        <f>_xll.BDH("AMZN US Equity","EBITDA_MARGIN","FQ1 2014","FQ1 2014","Currency=USD","Period=FQ","BEST_FPERIOD_OVERRIDE=FQ","FILING_STATUS=MR","FA_ADJUSTED=GAAP","Sort=A","Dates=H","DateFormat=P","Fill=—","Direction=H","UseDPDF=Y")</f>
        <v>5.4695</v>
      </c>
      <c r="X62" s="14">
        <f>_xll.BDH("AMZN US Equity","EBITDA_MARGIN","FQ2 2014","FQ2 2014","Currency=USD","Period=FQ","BEST_FPERIOD_OVERRIDE=FQ","FILING_STATUS=MR","FA_ADJUSTED=GAAP","Sort=A","Dates=H","DateFormat=P","Fill=—","Direction=H","UseDPDF=Y")</f>
        <v>5.5430999999999999</v>
      </c>
      <c r="Y62" s="14">
        <f>_xll.BDH("AMZN US Equity","EBITDA_MARGIN","FQ3 2014","FQ3 2014","Currency=USD","Period=FQ","BEST_FPERIOD_OVERRIDE=FQ","FILING_STATUS=MR","FA_ADJUSTED=GAAP","Sort=A","Dates=H","DateFormat=P","Fill=—","Direction=H","UseDPDF=Y")</f>
        <v>5.1920000000000002</v>
      </c>
      <c r="Z62" s="14">
        <f>_xll.BDH("AMZN US Equity","EBITDA_MARGIN","FQ4 2014","FQ4 2014","Currency=USD","Period=FQ","BEST_FPERIOD_OVERRIDE=FQ","FILING_STATUS=MR","FA_ADJUSTED=GAAP","Sort=A","Dates=H","DateFormat=P","Fill=—","Direction=H","UseDPDF=Y")</f>
        <v>5.5321999999999996</v>
      </c>
      <c r="AA62" s="14">
        <f>_xll.BDH("AMZN US Equity","EBITDA_MARGIN","FQ1 2015","FQ1 2015","Currency=USD","Period=FQ","BEST_FPERIOD_OVERRIDE=FQ","FILING_STATUS=MR","FA_ADJUSTED=GAAP","Sort=A","Dates=H","DateFormat=P","Fill=—","Direction=H","UseDPDF=Y")</f>
        <v>5.9241000000000001</v>
      </c>
      <c r="AB62" s="14">
        <f>_xll.BDH("AMZN US Equity","EBITDA_MARGIN","FQ2 2015","FQ2 2015","Currency=USD","Period=FQ","BEST_FPERIOD_OVERRIDE=FQ","FILING_STATUS=MR","FA_ADJUSTED=GAAP","Sort=A","Dates=H","DateFormat=P","Fill=—","Direction=H","UseDPDF=Y")</f>
        <v>6.5984999999999996</v>
      </c>
      <c r="AC62" s="14">
        <f>_xll.BDH("AMZN US Equity","EBITDA_MARGIN","FQ3 2015","FQ3 2015","Currency=USD","Period=FQ","BEST_FPERIOD_OVERRIDE=FQ","FILING_STATUS=MR","FA_ADJUSTED=GAAP","Sort=A","Dates=H","DateFormat=P","Fill=—","Direction=H","UseDPDF=Y")</f>
        <v>7.5793999999999997</v>
      </c>
      <c r="AD62" s="14">
        <f>_xll.BDH("AMZN US Equity","EBITDA_MARGIN","FQ4 2015","FQ4 2015","Currency=USD","Period=FQ","BEST_FPERIOD_OVERRIDE=FQ","FILING_STATUS=MR","FA_ADJUSTED=GAAP","Sort=A","Dates=H","DateFormat=P","Fill=—","Direction=H","UseDPDF=Y")</f>
        <v>7.9565000000000001</v>
      </c>
      <c r="AE62" s="14">
        <f>_xll.BDH("AMZN US Equity","EBITDA_MARGIN","FQ1 2016","FQ1 2016","Currency=USD","Period=FQ","BEST_FPERIOD_OVERRIDE=FQ","FILING_STATUS=MR","FA_ADJUSTED=GAAP","Sort=A","Dates=H","DateFormat=P","Fill=—","Direction=H","UseDPDF=Y")</f>
        <v>8.5798000000000005</v>
      </c>
      <c r="AF62" s="14">
        <f>_xll.BDH("AMZN US Equity","EBITDA_MARGIN","FQ2 2016","FQ2 2016","Currency=USD","Period=FQ","BEST_FPERIOD_OVERRIDE=FQ","FILING_STATUS=MR","FA_ADJUSTED=GAAP","Sort=A","Dates=H","DateFormat=P","Fill=—","Direction=H","UseDPDF=Y")</f>
        <v>9.0825999999999993</v>
      </c>
      <c r="AG62" s="14">
        <f>_xll.BDH("AMZN US Equity","EBITDA_MARGIN","FQ3 2016","FQ3 2016","Currency=USD","Period=FQ","BEST_FPERIOD_OVERRIDE=FQ","FILING_STATUS=MR","FA_ADJUSTED=GAAP","Sort=A","Dates=H","DateFormat=P","Fill=—","Direction=H","UseDPDF=Y")</f>
        <v>9.0716000000000001</v>
      </c>
      <c r="AH62" s="14">
        <f>_xll.BDH("AMZN US Equity","EBITDA_MARGIN","FQ4 2016","FQ4 2016","Currency=USD","Period=FQ","BEST_FPERIOD_OVERRIDE=FQ","FILING_STATUS=MR","FA_ADJUSTED=GAAP","Sort=A","Dates=H","DateFormat=P","Fill=—","Direction=H","UseDPDF=Y")</f>
        <v>9.0472000000000001</v>
      </c>
      <c r="AI62" s="14">
        <f>_xll.BDH("AMZN US Equity","EBITDA_MARGIN","FQ1 2017","FQ1 2017","Currency=USD","Period=FQ","BEST_FPERIOD_OVERRIDE=FQ","FILING_STATUS=MR","FA_ADJUSTED=GAAP","Sort=A","Dates=H","DateFormat=P","Fill=—","Direction=H","UseDPDF=Y")</f>
        <v>9.0093999999999994</v>
      </c>
      <c r="AJ62" s="14">
        <f>_xll.BDH("AMZN US Equity","EBITDA_MARGIN","FQ2 2017","FQ2 2017","Currency=USD","Period=FQ","BEST_FPERIOD_OVERRIDE=FQ","FILING_STATUS=MR","FA_ADJUSTED=GAAP","Sort=A","Dates=H","DateFormat=P","Fill=—","Direction=H","UseDPDF=Y")</f>
        <v>8.6008999999999993</v>
      </c>
      <c r="AK62" s="14">
        <f>_xll.BDH("AMZN US Equity","EBITDA_MARGIN","FQ3 2017","FQ3 2017","Currency=USD","Period=FQ","BEST_FPERIOD_OVERRIDE=FQ","FILING_STATUS=MR","FA_ADJUSTED=GAAP","Sort=A","Dates=H","DateFormat=P","Fill=—","Direction=H","UseDPDF=Y")</f>
        <v>8.3844999999999992</v>
      </c>
      <c r="AL62" s="14">
        <f>_xll.BDH("AMZN US Equity","EBITDA_MARGIN","FQ4 2017","FQ4 2017","Currency=USD","Period=FQ","BEST_FPERIOD_OVERRIDE=FQ","FILING_STATUS=MR","FA_ADJUSTED=GAAP","Sort=A","Dates=H","DateFormat=P","Fill=—","Direction=H","UseDPDF=Y")</f>
        <v>8.7622</v>
      </c>
      <c r="AM62" s="14">
        <f>_xll.BDH("AMZN US Equity","EBITDA_MARGIN","FQ1 2018","FQ1 2018","Currency=USD","Period=FQ","BEST_FPERIOD_OVERRIDE=FQ","FILING_STATUS=MR","FA_ADJUSTED=GAAP","Sort=A","Dates=H","DateFormat=P","Fill=—","Direction=H","UseDPDF=Y")</f>
        <v>9.1839999999999993</v>
      </c>
      <c r="AN62" s="14">
        <f>_xll.BDH("AMZN US Equity","EBITDA_MARGIN","FQ2 2018","FQ2 2018","Currency=USD","Period=FQ","BEST_FPERIOD_OVERRIDE=FQ","FILING_STATUS=MR","FA_ADJUSTED=GAAP","Sort=A","Dates=H","DateFormat=P","Fill=—","Direction=H","UseDPDF=Y")</f>
        <v>10.1357</v>
      </c>
    </row>
    <row r="63" spans="1:40" x14ac:dyDescent="0.25">
      <c r="A63" s="10" t="s">
        <v>451</v>
      </c>
      <c r="B63" s="10" t="s">
        <v>452</v>
      </c>
      <c r="C63" s="13">
        <f>_xll.BDH("AMZN US Equity","CF_NET_CASH_PAID_FOR_AQUIS","FQ1 2009","FQ1 2009","Currency=USD","Period=FQ","BEST_FPERIOD_OVERRIDE=FQ","FILING_STATUS=MR","SCALING_FORMAT=MLN","Sort=A","Dates=H","DateFormat=P","Fill=—","Direction=H","UseDPDF=Y")</f>
        <v>15</v>
      </c>
      <c r="D63" s="13">
        <f>_xll.BDH("AMZN US Equity","CF_NET_CASH_PAID_FOR_AQUIS","FQ2 2009","FQ2 2009","Currency=USD","Period=FQ","BEST_FPERIOD_OVERRIDE=FQ","FILING_STATUS=MR","SCALING_FORMAT=MLN","Sort=A","Dates=H","DateFormat=P","Fill=—","Direction=H","UseDPDF=Y")</f>
        <v>19</v>
      </c>
      <c r="E63" s="13">
        <f>_xll.BDH("AMZN US Equity","CF_NET_CASH_PAID_FOR_AQUIS","FQ3 2009","FQ3 2009","Currency=USD","Period=FQ","BEST_FPERIOD_OVERRIDE=FQ","FILING_STATUS=MR","SCALING_FORMAT=MLN","Sort=A","Dates=H","DateFormat=P","Fill=—","Direction=H","UseDPDF=Y")</f>
        <v>5</v>
      </c>
      <c r="F63" s="13" t="str">
        <f>_xll.BDH("AMZN US Equity","CF_NET_CASH_PAID_FOR_AQUIS","FQ4 2009","FQ4 2009","Currency=USD","Period=FQ","BEST_FPERIOD_OVERRIDE=FQ","FILING_STATUS=MR","SCALING_FORMAT=MLN","Sort=A","Dates=H","DateFormat=P","Fill=—","Direction=H","UseDPDF=Y")</f>
        <v>—</v>
      </c>
      <c r="G63" s="13">
        <f>_xll.BDH("AMZN US Equity","CF_NET_CASH_PAID_FOR_AQUIS","FQ1 2010","FQ1 2010","Currency=USD","Period=FQ","BEST_FPERIOD_OVERRIDE=FQ","FILING_STATUS=MR","SCALING_FORMAT=MLN","Sort=A","Dates=H","DateFormat=P","Fill=—","Direction=H","UseDPDF=Y")</f>
        <v>19</v>
      </c>
      <c r="H63" s="13">
        <f>_xll.BDH("AMZN US Equity","CF_NET_CASH_PAID_FOR_AQUIS","FQ2 2010","FQ2 2010","Currency=USD","Period=FQ","BEST_FPERIOD_OVERRIDE=FQ","FILING_STATUS=MR","SCALING_FORMAT=MLN","Sort=A","Dates=H","DateFormat=P","Fill=—","Direction=H","UseDPDF=Y")</f>
        <v>21</v>
      </c>
      <c r="I63" s="13">
        <f>_xll.BDH("AMZN US Equity","CF_NET_CASH_PAID_FOR_AQUIS","FQ3 2010","FQ3 2010","Currency=USD","Period=FQ","BEST_FPERIOD_OVERRIDE=FQ","FILING_STATUS=MR","SCALING_FORMAT=MLN","Sort=A","Dates=H","DateFormat=P","Fill=—","Direction=H","UseDPDF=Y")</f>
        <v>42</v>
      </c>
      <c r="J63" s="13">
        <f>_xll.BDH("AMZN US Equity","CF_NET_CASH_PAID_FOR_AQUIS","FQ4 2010","FQ4 2010","Currency=USD","Period=FQ","BEST_FPERIOD_OVERRIDE=FQ","FILING_STATUS=MR","SCALING_FORMAT=MLN","Sort=A","Dates=H","DateFormat=P","Fill=—","Direction=H","UseDPDF=Y")</f>
        <v>271</v>
      </c>
      <c r="K63" s="13">
        <f>_xll.BDH("AMZN US Equity","CF_NET_CASH_PAID_FOR_AQUIS","FQ1 2011","FQ1 2011","Currency=USD","Period=FQ","BEST_FPERIOD_OVERRIDE=FQ","FILING_STATUS=MR","SCALING_FORMAT=MLN","Sort=A","Dates=H","DateFormat=P","Fill=—","Direction=H","UseDPDF=Y")</f>
        <v>139</v>
      </c>
      <c r="L63" s="13">
        <f>_xll.BDH("AMZN US Equity","CF_NET_CASH_PAID_FOR_AQUIS","FQ2 2011","FQ2 2011","Currency=USD","Period=FQ","BEST_FPERIOD_OVERRIDE=FQ","FILING_STATUS=MR","SCALING_FORMAT=MLN","Sort=A","Dates=H","DateFormat=P","Fill=—","Direction=H","UseDPDF=Y")</f>
        <v>469</v>
      </c>
      <c r="M63" s="13">
        <f>_xll.BDH("AMZN US Equity","CF_NET_CASH_PAID_FOR_AQUIS","FQ3 2011","FQ3 2011","Currency=USD","Period=FQ","BEST_FPERIOD_OVERRIDE=FQ","FILING_STATUS=MR","SCALING_FORMAT=MLN","Sort=A","Dates=H","DateFormat=P","Fill=—","Direction=H","UseDPDF=Y")</f>
        <v>48</v>
      </c>
      <c r="N63" s="13">
        <f>_xll.BDH("AMZN US Equity","CF_NET_CASH_PAID_FOR_AQUIS","FQ4 2011","FQ4 2011","Currency=USD","Period=FQ","BEST_FPERIOD_OVERRIDE=FQ","FILING_STATUS=MR","SCALING_FORMAT=MLN","Sort=A","Dates=H","DateFormat=P","Fill=—","Direction=H","UseDPDF=Y")</f>
        <v>49</v>
      </c>
      <c r="O63" s="13">
        <f>_xll.BDH("AMZN US Equity","CF_NET_CASH_PAID_FOR_AQUIS","FQ1 2012","FQ1 2012","Currency=USD","Period=FQ","BEST_FPERIOD_OVERRIDE=FQ","FILING_STATUS=MR","SCALING_FORMAT=MLN","Sort=A","Dates=H","DateFormat=P","Fill=—","Direction=H","UseDPDF=Y")</f>
        <v>50</v>
      </c>
      <c r="P63" s="13">
        <f>_xll.BDH("AMZN US Equity","CF_NET_CASH_PAID_FOR_AQUIS","FQ2 2012","FQ2 2012","Currency=USD","Period=FQ","BEST_FPERIOD_OVERRIDE=FQ","FILING_STATUS=MR","SCALING_FORMAT=MLN","Sort=A","Dates=H","DateFormat=P","Fill=—","Direction=H","UseDPDF=Y")</f>
        <v>624</v>
      </c>
      <c r="Q63" s="13">
        <f>_xll.BDH("AMZN US Equity","CF_NET_CASH_PAID_FOR_AQUIS","FQ3 2012","FQ3 2012","Currency=USD","Period=FQ","BEST_FPERIOD_OVERRIDE=FQ","FILING_STATUS=MR","SCALING_FORMAT=MLN","Sort=A","Dates=H","DateFormat=P","Fill=—","Direction=H","UseDPDF=Y")</f>
        <v>37</v>
      </c>
      <c r="R63" s="13">
        <f>_xll.BDH("AMZN US Equity","CF_NET_CASH_PAID_FOR_AQUIS","FQ4 2012","FQ4 2012","Currency=USD","Period=FQ","BEST_FPERIOD_OVERRIDE=FQ","FILING_STATUS=MR","SCALING_FORMAT=MLN","Sort=A","Dates=H","DateFormat=P","Fill=—","Direction=H","UseDPDF=Y")</f>
        <v>35</v>
      </c>
      <c r="S63" s="13">
        <f>_xll.BDH("AMZN US Equity","CF_NET_CASH_PAID_FOR_AQUIS","FQ1 2013","FQ1 2013","Currency=USD","Period=FQ","BEST_FPERIOD_OVERRIDE=FQ","FILING_STATUS=MR","SCALING_FORMAT=MLN","Sort=A","Dates=H","DateFormat=P","Fill=—","Direction=H","UseDPDF=Y")</f>
        <v>103</v>
      </c>
      <c r="T63" s="13">
        <f>_xll.BDH("AMZN US Equity","CF_NET_CASH_PAID_FOR_AQUIS","FQ2 2013","FQ2 2013","Currency=USD","Period=FQ","BEST_FPERIOD_OVERRIDE=FQ","FILING_STATUS=MR","SCALING_FORMAT=MLN","Sort=A","Dates=H","DateFormat=P","Fill=—","Direction=H","UseDPDF=Y")</f>
        <v>148</v>
      </c>
      <c r="U63" s="13">
        <f>_xll.BDH("AMZN US Equity","CF_NET_CASH_PAID_FOR_AQUIS","FQ3 2013","FQ3 2013","Currency=USD","Period=FQ","BEST_FPERIOD_OVERRIDE=FQ","FILING_STATUS=MR","SCALING_FORMAT=MLN","Sort=A","Dates=H","DateFormat=P","Fill=—","Direction=H","UseDPDF=Y")</f>
        <v>1</v>
      </c>
      <c r="V63" s="13">
        <f>_xll.BDH("AMZN US Equity","CF_NET_CASH_PAID_FOR_AQUIS","FQ4 2013","FQ4 2013","Currency=USD","Period=FQ","BEST_FPERIOD_OVERRIDE=FQ","FILING_STATUS=MR","SCALING_FORMAT=MLN","Sort=A","Dates=H","DateFormat=P","Fill=—","Direction=H","UseDPDF=Y")</f>
        <v>59</v>
      </c>
      <c r="W63" s="13">
        <f>_xll.BDH("AMZN US Equity","CF_NET_CASH_PAID_FOR_AQUIS","FQ1 2014","FQ1 2014","Currency=USD","Period=FQ","BEST_FPERIOD_OVERRIDE=FQ","FILING_STATUS=MR","SCALING_FORMAT=MLN","Sort=A","Dates=H","DateFormat=P","Fill=—","Direction=H","UseDPDF=Y")</f>
        <v>0</v>
      </c>
      <c r="X63" s="13">
        <f>_xll.BDH("AMZN US Equity","CF_NET_CASH_PAID_FOR_AQUIS","FQ2 2014","FQ2 2014","Currency=USD","Period=FQ","BEST_FPERIOD_OVERRIDE=FQ","FILING_STATUS=MR","SCALING_FORMAT=MLN","Sort=A","Dates=H","DateFormat=P","Fill=—","Direction=H","UseDPDF=Y")</f>
        <v>67</v>
      </c>
      <c r="Y63" s="13">
        <f>_xll.BDH("AMZN US Equity","CF_NET_CASH_PAID_FOR_AQUIS","FQ3 2014","FQ3 2014","Currency=USD","Period=FQ","BEST_FPERIOD_OVERRIDE=FQ","FILING_STATUS=MR","SCALING_FORMAT=MLN","Sort=A","Dates=H","DateFormat=P","Fill=—","Direction=H","UseDPDF=Y")</f>
        <v>860</v>
      </c>
      <c r="Z63" s="13">
        <f>_xll.BDH("AMZN US Equity","CF_NET_CASH_PAID_FOR_AQUIS","FQ4 2014","FQ4 2014","Currency=USD","Period=FQ","BEST_FPERIOD_OVERRIDE=FQ","FILING_STATUS=MR","SCALING_FORMAT=MLN","Sort=A","Dates=H","DateFormat=P","Fill=—","Direction=H","UseDPDF=Y")</f>
        <v>53</v>
      </c>
      <c r="AA63" s="13">
        <f>_xll.BDH("AMZN US Equity","CF_NET_CASH_PAID_FOR_AQUIS","FQ1 2015","FQ1 2015","Currency=USD","Period=FQ","BEST_FPERIOD_OVERRIDE=FQ","FILING_STATUS=MR","SCALING_FORMAT=MLN","Sort=A","Dates=H","DateFormat=P","Fill=—","Direction=H","UseDPDF=Y")</f>
        <v>365</v>
      </c>
      <c r="AB63" s="13">
        <f>_xll.BDH("AMZN US Equity","CF_NET_CASH_PAID_FOR_AQUIS","FQ2 2015","FQ2 2015","Currency=USD","Period=FQ","BEST_FPERIOD_OVERRIDE=FQ","FILING_STATUS=MR","SCALING_FORMAT=MLN","Sort=A","Dates=H","DateFormat=P","Fill=—","Direction=H","UseDPDF=Y")</f>
        <v>8</v>
      </c>
      <c r="AC63" s="13">
        <f>_xll.BDH("AMZN US Equity","CF_NET_CASH_PAID_FOR_AQUIS","FQ3 2015","FQ3 2015","Currency=USD","Period=FQ","BEST_FPERIOD_OVERRIDE=FQ","FILING_STATUS=MR","SCALING_FORMAT=MLN","Sort=A","Dates=H","DateFormat=P","Fill=—","Direction=H","UseDPDF=Y")</f>
        <v>105</v>
      </c>
      <c r="AD63" s="13">
        <f>_xll.BDH("AMZN US Equity","CF_NET_CASH_PAID_FOR_AQUIS","FQ4 2015","FQ4 2015","Currency=USD","Period=FQ","BEST_FPERIOD_OVERRIDE=FQ","FILING_STATUS=MR","SCALING_FORMAT=MLN","Sort=A","Dates=H","DateFormat=P","Fill=—","Direction=H","UseDPDF=Y")</f>
        <v>317</v>
      </c>
      <c r="AE63" s="13">
        <f>_xll.BDH("AMZN US Equity","CF_NET_CASH_PAID_FOR_AQUIS","FQ1 2016","FQ1 2016","Currency=USD","Period=FQ","BEST_FPERIOD_OVERRIDE=FQ","FILING_STATUS=MR","SCALING_FORMAT=MLN","Sort=A","Dates=H","DateFormat=P","Fill=—","Direction=H","UseDPDF=Y")</f>
        <v>16</v>
      </c>
      <c r="AF63" s="13">
        <f>_xll.BDH("AMZN US Equity","CF_NET_CASH_PAID_FOR_AQUIS","FQ2 2016","FQ2 2016","Currency=USD","Period=FQ","BEST_FPERIOD_OVERRIDE=FQ","FILING_STATUS=MR","SCALING_FORMAT=MLN","Sort=A","Dates=H","DateFormat=P","Fill=—","Direction=H","UseDPDF=Y")</f>
        <v>14</v>
      </c>
      <c r="AG63" s="13">
        <f>_xll.BDH("AMZN US Equity","CF_NET_CASH_PAID_FOR_AQUIS","FQ3 2016","FQ3 2016","Currency=USD","Period=FQ","BEST_FPERIOD_OVERRIDE=FQ","FILING_STATUS=MR","SCALING_FORMAT=MLN","Sort=A","Dates=H","DateFormat=P","Fill=—","Direction=H","UseDPDF=Y")</f>
        <v>84</v>
      </c>
      <c r="AH63" s="13">
        <f>_xll.BDH("AMZN US Equity","CF_NET_CASH_PAID_FOR_AQUIS","FQ4 2016","FQ4 2016","Currency=USD","Period=FQ","BEST_FPERIOD_OVERRIDE=FQ","FILING_STATUS=MR","SCALING_FORMAT=MLN","Sort=A","Dates=H","DateFormat=P","Fill=—","Direction=H","UseDPDF=Y")</f>
        <v>3</v>
      </c>
      <c r="AI63" s="13">
        <f>_xll.BDH("AMZN US Equity","CF_NET_CASH_PAID_FOR_AQUIS","FQ1 2017","FQ1 2017","Currency=USD","Period=FQ","BEST_FPERIOD_OVERRIDE=FQ","FILING_STATUS=MR","SCALING_FORMAT=MLN","Sort=A","Dates=H","DateFormat=P","Fill=—","Direction=H","UseDPDF=Y")</f>
        <v>45</v>
      </c>
      <c r="AJ63" s="13">
        <f>_xll.BDH("AMZN US Equity","CF_NET_CASH_PAID_FOR_AQUIS","FQ2 2017","FQ2 2017","Currency=USD","Period=FQ","BEST_FPERIOD_OVERRIDE=FQ","FILING_STATUS=MR","SCALING_FORMAT=MLN","Sort=A","Dates=H","DateFormat=P","Fill=—","Direction=H","UseDPDF=Y")</f>
        <v>633</v>
      </c>
      <c r="AK63" s="13">
        <f>_xll.BDH("AMZN US Equity","CF_NET_CASH_PAID_FOR_AQUIS","FQ3 2017","FQ3 2017","Currency=USD","Period=FQ","BEST_FPERIOD_OVERRIDE=FQ","FILING_STATUS=MR","SCALING_FORMAT=MLN","Sort=A","Dates=H","DateFormat=P","Fill=—","Direction=H","UseDPDF=Y")</f>
        <v>13213</v>
      </c>
      <c r="AL63" s="13">
        <f>_xll.BDH("AMZN US Equity","CF_NET_CASH_PAID_FOR_AQUIS","FQ4 2017","FQ4 2017","Currency=USD","Period=FQ","BEST_FPERIOD_OVERRIDE=FQ","FILING_STATUS=MR","SCALING_FORMAT=MLN","Sort=A","Dates=H","DateFormat=P","Fill=—","Direction=H","UseDPDF=Y")</f>
        <v>81</v>
      </c>
      <c r="AM63" s="13">
        <f>_xll.BDH("AMZN US Equity","CF_NET_CASH_PAID_FOR_AQUIS","FQ1 2018","FQ1 2018","Currency=USD","Period=FQ","BEST_FPERIOD_OVERRIDE=FQ","FILING_STATUS=MR","SCALING_FORMAT=MLN","Sort=A","Dates=H","DateFormat=P","Fill=—","Direction=H","UseDPDF=Y")</f>
        <v>13</v>
      </c>
      <c r="AN63" s="13">
        <f>_xll.BDH("AMZN US Equity","CF_NET_CASH_PAID_FOR_AQUIS","FQ2 2018","FQ2 2018","Currency=USD","Period=FQ","BEST_FPERIOD_OVERRIDE=FQ","FILING_STATUS=MR","SCALING_FORMAT=MLN","Sort=A","Dates=H","DateFormat=P","Fill=—","Direction=H","UseDPDF=Y")</f>
        <v>866</v>
      </c>
    </row>
    <row r="64" spans="1:40" x14ac:dyDescent="0.25">
      <c r="A64" s="10" t="s">
        <v>453</v>
      </c>
      <c r="B64" s="10" t="s">
        <v>454</v>
      </c>
      <c r="C64" s="13">
        <f>_xll.BDH("AMZN US Equity","CF_TAX_BENEFIT_FRM_STOCK_OPTIONS","FQ1 2009","FQ1 2009","Currency=USD","Period=FQ","BEST_FPERIOD_OVERRIDE=FQ","FILING_STATUS=MR","SCALING_FORMAT=MLN","Sort=A","Dates=H","DateFormat=P","Fill=—","Direction=H","UseDPDF=Y")</f>
        <v>49</v>
      </c>
      <c r="D64" s="13">
        <f>_xll.BDH("AMZN US Equity","CF_TAX_BENEFIT_FRM_STOCK_OPTIONS","FQ2 2009","FQ2 2009","Currency=USD","Period=FQ","BEST_FPERIOD_OVERRIDE=FQ","FILING_STATUS=MR","SCALING_FORMAT=MLN","Sort=A","Dates=H","DateFormat=P","Fill=—","Direction=H","UseDPDF=Y")</f>
        <v>20</v>
      </c>
      <c r="E64" s="13">
        <f>_xll.BDH("AMZN US Equity","CF_TAX_BENEFIT_FRM_STOCK_OPTIONS","FQ3 2009","FQ3 2009","Currency=USD","Period=FQ","BEST_FPERIOD_OVERRIDE=FQ","FILING_STATUS=MR","SCALING_FORMAT=MLN","Sort=A","Dates=H","DateFormat=P","Fill=—","Direction=H","UseDPDF=Y")</f>
        <v>17</v>
      </c>
      <c r="F64" s="13">
        <f>_xll.BDH("AMZN US Equity","CF_TAX_BENEFIT_FRM_STOCK_OPTIONS","FQ4 2009","FQ4 2009","Currency=USD","Period=FQ","BEST_FPERIOD_OVERRIDE=FQ","FILING_STATUS=MR","SCALING_FORMAT=MLN","Sort=A","Dates=H","DateFormat=P","Fill=—","Direction=H","UseDPDF=Y")</f>
        <v>52</v>
      </c>
      <c r="G64" s="13">
        <f>_xll.BDH("AMZN US Equity","CF_TAX_BENEFIT_FRM_STOCK_OPTIONS","FQ1 2010","FQ1 2010","Currency=USD","Period=FQ","BEST_FPERIOD_OVERRIDE=FQ","FILING_STATUS=MR","SCALING_FORMAT=MLN","Sort=A","Dates=H","DateFormat=P","Fill=—","Direction=H","UseDPDF=Y")</f>
        <v>86</v>
      </c>
      <c r="H64" s="13">
        <f>_xll.BDH("AMZN US Equity","CF_TAX_BENEFIT_FRM_STOCK_OPTIONS","FQ2 2010","FQ2 2010","Currency=USD","Period=FQ","BEST_FPERIOD_OVERRIDE=FQ","FILING_STATUS=MR","SCALING_FORMAT=MLN","Sort=A","Dates=H","DateFormat=P","Fill=—","Direction=H","UseDPDF=Y")</f>
        <v>75</v>
      </c>
      <c r="I64" s="13">
        <f>_xll.BDH("AMZN US Equity","CF_TAX_BENEFIT_FRM_STOCK_OPTIONS","FQ3 2010","FQ3 2010","Currency=USD","Period=FQ","BEST_FPERIOD_OVERRIDE=FQ","FILING_STATUS=MR","SCALING_FORMAT=MLN","Sort=A","Dates=H","DateFormat=P","Fill=—","Direction=H","UseDPDF=Y")</f>
        <v>75</v>
      </c>
      <c r="J64" s="13">
        <f>_xll.BDH("AMZN US Equity","CF_TAX_BENEFIT_FRM_STOCK_OPTIONS","FQ4 2010","FQ4 2010","Currency=USD","Period=FQ","BEST_FPERIOD_OVERRIDE=FQ","FILING_STATUS=MR","SCALING_FORMAT=MLN","Sort=A","Dates=H","DateFormat=P","Fill=—","Direction=H","UseDPDF=Y")</f>
        <v>23</v>
      </c>
      <c r="K64" s="13">
        <f>_xll.BDH("AMZN US Equity","CF_TAX_BENEFIT_FRM_STOCK_OPTIONS","FQ1 2011","FQ1 2011","Currency=USD","Period=FQ","BEST_FPERIOD_OVERRIDE=FQ","FILING_STATUS=MR","SCALING_FORMAT=MLN","Sort=A","Dates=H","DateFormat=P","Fill=—","Direction=H","UseDPDF=Y")</f>
        <v>46</v>
      </c>
      <c r="L64" s="13">
        <f>_xll.BDH("AMZN US Equity","CF_TAX_BENEFIT_FRM_STOCK_OPTIONS","FQ2 2011","FQ2 2011","Currency=USD","Period=FQ","BEST_FPERIOD_OVERRIDE=FQ","FILING_STATUS=MR","SCALING_FORMAT=MLN","Sort=A","Dates=H","DateFormat=P","Fill=—","Direction=H","UseDPDF=Y")</f>
        <v>15</v>
      </c>
      <c r="M64" s="13">
        <f>_xll.BDH("AMZN US Equity","CF_TAX_BENEFIT_FRM_STOCK_OPTIONS","FQ3 2011","FQ3 2011","Currency=USD","Period=FQ","BEST_FPERIOD_OVERRIDE=FQ","FILING_STATUS=MR","SCALING_FORMAT=MLN","Sort=A","Dates=H","DateFormat=P","Fill=—","Direction=H","UseDPDF=Y")</f>
        <v>0</v>
      </c>
      <c r="N64" s="13">
        <f>_xll.BDH("AMZN US Equity","CF_TAX_BENEFIT_FRM_STOCK_OPTIONS","FQ4 2011","FQ4 2011","Currency=USD","Period=FQ","BEST_FPERIOD_OVERRIDE=FQ","FILING_STATUS=MR","SCALING_FORMAT=MLN","Sort=A","Dates=H","DateFormat=P","Fill=—","Direction=H","UseDPDF=Y")</f>
        <v>1</v>
      </c>
      <c r="O64" s="13">
        <f>_xll.BDH("AMZN US Equity","CF_TAX_BENEFIT_FRM_STOCK_OPTIONS","FQ1 2012","FQ1 2012","Currency=USD","Period=FQ","BEST_FPERIOD_OVERRIDE=FQ","FILING_STATUS=MR","SCALING_FORMAT=MLN","Sort=A","Dates=H","DateFormat=P","Fill=—","Direction=H","UseDPDF=Y")</f>
        <v>40</v>
      </c>
      <c r="P64" s="13">
        <f>_xll.BDH("AMZN US Equity","CF_TAX_BENEFIT_FRM_STOCK_OPTIONS","FQ2 2012","FQ2 2012","Currency=USD","Period=FQ","BEST_FPERIOD_OVERRIDE=FQ","FILING_STATUS=MR","SCALING_FORMAT=MLN","Sort=A","Dates=H","DateFormat=P","Fill=—","Direction=H","UseDPDF=Y")</f>
        <v>85</v>
      </c>
      <c r="Q64" s="13">
        <f>_xll.BDH("AMZN US Equity","CF_TAX_BENEFIT_FRM_STOCK_OPTIONS","FQ3 2012","FQ3 2012","Currency=USD","Period=FQ","BEST_FPERIOD_OVERRIDE=FQ","FILING_STATUS=MR","SCALING_FORMAT=MLN","Sort=A","Dates=H","DateFormat=P","Fill=—","Direction=H","UseDPDF=Y")</f>
        <v>66</v>
      </c>
      <c r="R64" s="13">
        <f>_xll.BDH("AMZN US Equity","CF_TAX_BENEFIT_FRM_STOCK_OPTIONS","FQ4 2012","FQ4 2012","Currency=USD","Period=FQ","BEST_FPERIOD_OVERRIDE=FQ","FILING_STATUS=MR","SCALING_FORMAT=MLN","Sort=A","Dates=H","DateFormat=P","Fill=—","Direction=H","UseDPDF=Y")</f>
        <v>239</v>
      </c>
      <c r="S64" s="13">
        <f>_xll.BDH("AMZN US Equity","CF_TAX_BENEFIT_FRM_STOCK_OPTIONS","FQ1 2013","FQ1 2013","Currency=USD","Period=FQ","BEST_FPERIOD_OVERRIDE=FQ","FILING_STATUS=MR","SCALING_FORMAT=MLN","Sort=A","Dates=H","DateFormat=P","Fill=—","Direction=H","UseDPDF=Y")</f>
        <v>0</v>
      </c>
      <c r="T64" s="13">
        <f>_xll.BDH("AMZN US Equity","CF_TAX_BENEFIT_FRM_STOCK_OPTIONS","FQ2 2013","FQ2 2013","Currency=USD","Period=FQ","BEST_FPERIOD_OVERRIDE=FQ","FILING_STATUS=MR","SCALING_FORMAT=MLN","Sort=A","Dates=H","DateFormat=P","Fill=—","Direction=H","UseDPDF=Y")</f>
        <v>0</v>
      </c>
      <c r="U64" s="13">
        <f>_xll.BDH("AMZN US Equity","CF_TAX_BENEFIT_FRM_STOCK_OPTIONS","FQ3 2013","FQ3 2013","Currency=USD","Period=FQ","BEST_FPERIOD_OVERRIDE=FQ","FILING_STATUS=MR","SCALING_FORMAT=MLN","Sort=A","Dates=H","DateFormat=P","Fill=—","Direction=H","UseDPDF=Y")</f>
        <v>0</v>
      </c>
      <c r="V64" s="13">
        <f>_xll.BDH("AMZN US Equity","CF_TAX_BENEFIT_FRM_STOCK_OPTIONS","FQ4 2013","FQ4 2013","Currency=USD","Period=FQ","BEST_FPERIOD_OVERRIDE=FQ","FILING_STATUS=MR","SCALING_FORMAT=MLN","Sort=A","Dates=H","DateFormat=P","Fill=—","Direction=H","UseDPDF=Y")</f>
        <v>78</v>
      </c>
      <c r="W64" s="13">
        <f>_xll.BDH("AMZN US Equity","CF_TAX_BENEFIT_FRM_STOCK_OPTIONS","FQ1 2014","FQ1 2014","Currency=USD","Period=FQ","BEST_FPERIOD_OVERRIDE=FQ","FILING_STATUS=MR","SCALING_FORMAT=MLN","Sort=A","Dates=H","DateFormat=P","Fill=—","Direction=H","UseDPDF=Y")</f>
        <v>121</v>
      </c>
      <c r="X64" s="13">
        <f>_xll.BDH("AMZN US Equity","CF_TAX_BENEFIT_FRM_STOCK_OPTIONS","FQ2 2014","FQ2 2014","Currency=USD","Period=FQ","BEST_FPERIOD_OVERRIDE=FQ","FILING_STATUS=MR","SCALING_FORMAT=MLN","Sort=A","Dates=H","DateFormat=P","Fill=—","Direction=H","UseDPDF=Y")</f>
        <v>0</v>
      </c>
      <c r="Y64" s="13">
        <f>_xll.BDH("AMZN US Equity","CF_TAX_BENEFIT_FRM_STOCK_OPTIONS","FQ3 2014","FQ3 2014","Currency=USD","Period=FQ","BEST_FPERIOD_OVERRIDE=FQ","FILING_STATUS=MR","SCALING_FORMAT=MLN","Sort=A","Dates=H","DateFormat=P","Fill=—","Direction=H","UseDPDF=Y")</f>
        <v>0</v>
      </c>
      <c r="Z64" s="13">
        <f>_xll.BDH("AMZN US Equity","CF_TAX_BENEFIT_FRM_STOCK_OPTIONS","FQ4 2014","FQ4 2014","Currency=USD","Period=FQ","BEST_FPERIOD_OVERRIDE=FQ","FILING_STATUS=MR","SCALING_FORMAT=MLN","Sort=A","Dates=H","DateFormat=P","Fill=—","Direction=H","UseDPDF=Y")</f>
        <v>115</v>
      </c>
      <c r="AA64" s="13">
        <f>_xll.BDH("AMZN US Equity","CF_TAX_BENEFIT_FRM_STOCK_OPTIONS","FQ1 2015","FQ1 2015","Currency=USD","Period=FQ","BEST_FPERIOD_OVERRIDE=FQ","FILING_STATUS=MR","SCALING_FORMAT=MLN","Sort=A","Dates=H","DateFormat=P","Fill=—","Direction=H","UseDPDF=Y")</f>
        <v>22</v>
      </c>
      <c r="AB64" s="13">
        <f>_xll.BDH("AMZN US Equity","CF_TAX_BENEFIT_FRM_STOCK_OPTIONS","FQ2 2015","FQ2 2015","Currency=USD","Period=FQ","BEST_FPERIOD_OVERRIDE=FQ","FILING_STATUS=MR","SCALING_FORMAT=MLN","Sort=A","Dates=H","DateFormat=P","Fill=—","Direction=H","UseDPDF=Y")</f>
        <v>95</v>
      </c>
      <c r="AC64" s="13">
        <f>_xll.BDH("AMZN US Equity","CF_TAX_BENEFIT_FRM_STOCK_OPTIONS","FQ3 2015","FQ3 2015","Currency=USD","Period=FQ","BEST_FPERIOD_OVERRIDE=FQ","FILING_STATUS=MR","SCALING_FORMAT=MLN","Sort=A","Dates=H","DateFormat=P","Fill=—","Direction=H","UseDPDF=Y")</f>
        <v>95</v>
      </c>
      <c r="AD64" s="13">
        <f>_xll.BDH("AMZN US Equity","CF_TAX_BENEFIT_FRM_STOCK_OPTIONS","FQ4 2015","FQ4 2015","Currency=USD","Period=FQ","BEST_FPERIOD_OVERRIDE=FQ","FILING_STATUS=MR","SCALING_FORMAT=MLN","Sort=A","Dates=H","DateFormat=P","Fill=—","Direction=H","UseDPDF=Y")</f>
        <v>93</v>
      </c>
      <c r="AE64" s="13" t="str">
        <f>_xll.BDH("AMZN US Equity","CF_TAX_BENEFIT_FRM_STOCK_OPTIONS","FQ1 2016","FQ1 2016","Currency=USD","Period=FQ","BEST_FPERIOD_OVERRIDE=FQ","FILING_STATUS=MR","SCALING_FORMAT=MLN","Sort=A","Dates=H","DateFormat=P","Fill=—","Direction=H","UseDPDF=Y")</f>
        <v>—</v>
      </c>
      <c r="AF64" s="13" t="str">
        <f>_xll.BDH("AMZN US Equity","CF_TAX_BENEFIT_FRM_STOCK_OPTIONS","FQ2 2016","FQ2 2016","Currency=USD","Period=FQ","BEST_FPERIOD_OVERRIDE=FQ","FILING_STATUS=MR","SCALING_FORMAT=MLN","Sort=A","Dates=H","DateFormat=P","Fill=—","Direction=H","UseDPDF=Y")</f>
        <v>—</v>
      </c>
      <c r="AG64" s="13" t="str">
        <f>_xll.BDH("AMZN US Equity","CF_TAX_BENEFIT_FRM_STOCK_OPTIONS","FQ3 2016","FQ3 2016","Currency=USD","Period=FQ","BEST_FPERIOD_OVERRIDE=FQ","FILING_STATUS=MR","SCALING_FORMAT=MLN","Sort=A","Dates=H","DateFormat=P","Fill=—","Direction=H","UseDPDF=Y")</f>
        <v>—</v>
      </c>
      <c r="AH64" s="13" t="str">
        <f>_xll.BDH("AMZN US Equity","CF_TAX_BENEFIT_FRM_STOCK_OPTIONS","FQ4 2016","FQ4 2016","Currency=USD","Period=FQ","BEST_FPERIOD_OVERRIDE=FQ","FILING_STATUS=MR","SCALING_FORMAT=MLN","Sort=A","Dates=H","DateFormat=P","Fill=—","Direction=H","UseDPDF=Y")</f>
        <v>—</v>
      </c>
      <c r="AI64" s="13" t="str">
        <f>_xll.BDH("AMZN US Equity","CF_TAX_BENEFIT_FRM_STOCK_OPTIONS","FQ1 2017","FQ1 2017","Currency=USD","Period=FQ","BEST_FPERIOD_OVERRIDE=FQ","FILING_STATUS=MR","SCALING_FORMAT=MLN","Sort=A","Dates=H","DateFormat=P","Fill=—","Direction=H","UseDPDF=Y")</f>
        <v>—</v>
      </c>
      <c r="AJ64" s="13" t="str">
        <f>_xll.BDH("AMZN US Equity","CF_TAX_BENEFIT_FRM_STOCK_OPTIONS","FQ2 2017","FQ2 2017","Currency=USD","Period=FQ","BEST_FPERIOD_OVERRIDE=FQ","FILING_STATUS=MR","SCALING_FORMAT=MLN","Sort=A","Dates=H","DateFormat=P","Fill=—","Direction=H","UseDPDF=Y")</f>
        <v>—</v>
      </c>
      <c r="AK64" s="13" t="str">
        <f>_xll.BDH("AMZN US Equity","CF_TAX_BENEFIT_FRM_STOCK_OPTIONS","FQ3 2017","FQ3 2017","Currency=USD","Period=FQ","BEST_FPERIOD_OVERRIDE=FQ","FILING_STATUS=MR","SCALING_FORMAT=MLN","Sort=A","Dates=H","DateFormat=P","Fill=—","Direction=H","UseDPDF=Y")</f>
        <v>—</v>
      </c>
      <c r="AL64" s="13" t="str">
        <f>_xll.BDH("AMZN US Equity","CF_TAX_BENEFIT_FRM_STOCK_OPTIONS","FQ4 2017","FQ4 2017","Currency=USD","Period=FQ","BEST_FPERIOD_OVERRIDE=FQ","FILING_STATUS=MR","SCALING_FORMAT=MLN","Sort=A","Dates=H","DateFormat=P","Fill=—","Direction=H","UseDPDF=Y")</f>
        <v>—</v>
      </c>
      <c r="AM64" s="13" t="str">
        <f>_xll.BDH("AMZN US Equity","CF_TAX_BENEFIT_FRM_STOCK_OPTIONS","FQ1 2018","FQ1 2018","Currency=USD","Period=FQ","BEST_FPERIOD_OVERRIDE=FQ","FILING_STATUS=MR","SCALING_FORMAT=MLN","Sort=A","Dates=H","DateFormat=P","Fill=—","Direction=H","UseDPDF=Y")</f>
        <v>—</v>
      </c>
      <c r="AN64" s="13" t="str">
        <f>_xll.BDH("AMZN US Equity","CF_TAX_BENEFIT_FRM_STOCK_OPTIONS","FQ2 2018","FQ2 2018","Currency=USD","Period=FQ","BEST_FPERIOD_OVERRIDE=FQ","FILING_STATUS=MR","SCALING_FORMAT=MLN","Sort=A","Dates=H","DateFormat=P","Fill=—","Direction=H","UseDPDF=Y")</f>
        <v>—</v>
      </c>
    </row>
    <row r="65" spans="1:40" x14ac:dyDescent="0.25">
      <c r="A65" s="10" t="s">
        <v>455</v>
      </c>
      <c r="B65" s="10" t="s">
        <v>456</v>
      </c>
      <c r="C65" s="13">
        <f>_xll.BDH("AMZN US Equity","CF_FREE_CASH_FLOW","FQ1 2009","FQ1 2009","Currency=USD","Period=FQ","BEST_FPERIOD_OVERRIDE=FQ","FILING_STATUS=MR","SCALING_FORMAT=MLN","Sort=A","Dates=H","DateFormat=P","Fill=—","Direction=H","UseDPDF=Y")</f>
        <v>-640</v>
      </c>
      <c r="D65" s="13">
        <f>_xll.BDH("AMZN US Equity","CF_FREE_CASH_FLOW","FQ2 2009","FQ2 2009","Currency=USD","Period=FQ","BEST_FPERIOD_OVERRIDE=FQ","FILING_STATUS=MR","SCALING_FORMAT=MLN","Sort=A","Dates=H","DateFormat=P","Fill=—","Direction=H","UseDPDF=Y")</f>
        <v>390</v>
      </c>
      <c r="E65" s="13">
        <f>_xll.BDH("AMZN US Equity","CF_FREE_CASH_FLOW","FQ3 2009","FQ3 2009","Currency=USD","Period=FQ","BEST_FPERIOD_OVERRIDE=FQ","FILING_STATUS=MR","SCALING_FORMAT=MLN","Sort=A","Dates=H","DateFormat=P","Fill=—","Direction=H","UseDPDF=Y")</f>
        <v>696</v>
      </c>
      <c r="F65" s="13">
        <f>_xll.BDH("AMZN US Equity","CF_FREE_CASH_FLOW","FQ4 2009","FQ4 2009","Currency=USD","Period=FQ","BEST_FPERIOD_OVERRIDE=FQ","FILING_STATUS=MR","SCALING_FORMAT=MLN","Sort=A","Dates=H","DateFormat=P","Fill=—","Direction=H","UseDPDF=Y")</f>
        <v>2473</v>
      </c>
      <c r="G65" s="13">
        <f>_xll.BDH("AMZN US Equity","CF_FREE_CASH_FLOW","FQ1 2010","FQ1 2010","Currency=USD","Period=FQ","BEST_FPERIOD_OVERRIDE=FQ","FILING_STATUS=MR","SCALING_FORMAT=MLN","Sort=A","Dates=H","DateFormat=P","Fill=—","Direction=H","UseDPDF=Y")</f>
        <v>-1238</v>
      </c>
      <c r="H65" s="13">
        <f>_xll.BDH("AMZN US Equity","CF_FREE_CASH_FLOW","FQ2 2010","FQ2 2010","Currency=USD","Period=FQ","BEST_FPERIOD_OVERRIDE=FQ","FILING_STATUS=MR","SCALING_FORMAT=MLN","Sort=A","Dates=H","DateFormat=P","Fill=—","Direction=H","UseDPDF=Y")</f>
        <v>54</v>
      </c>
      <c r="I65" s="13">
        <f>_xll.BDH("AMZN US Equity","CF_FREE_CASH_FLOW","FQ3 2010","FQ3 2010","Currency=USD","Period=FQ","BEST_FPERIOD_OVERRIDE=FQ","FILING_STATUS=MR","SCALING_FORMAT=MLN","Sort=A","Dates=H","DateFormat=P","Fill=—","Direction=H","UseDPDF=Y")</f>
        <v>540</v>
      </c>
      <c r="J65" s="13">
        <f>_xll.BDH("AMZN US Equity","CF_FREE_CASH_FLOW","FQ4 2010","FQ4 2010","Currency=USD","Period=FQ","BEST_FPERIOD_OVERRIDE=FQ","FILING_STATUS=MR","SCALING_FORMAT=MLN","Sort=A","Dates=H","DateFormat=P","Fill=—","Direction=H","UseDPDF=Y")</f>
        <v>3152</v>
      </c>
      <c r="K65" s="13">
        <f>_xll.BDH("AMZN US Equity","CF_FREE_CASH_FLOW","FQ1 2011","FQ1 2011","Currency=USD","Period=FQ","BEST_FPERIOD_OVERRIDE=FQ","FILING_STATUS=MR","SCALING_FORMAT=MLN","Sort=A","Dates=H","DateFormat=P","Fill=—","Direction=H","UseDPDF=Y")</f>
        <v>-1884</v>
      </c>
      <c r="L65" s="13">
        <f>_xll.BDH("AMZN US Equity","CF_FREE_CASH_FLOW","FQ2 2011","FQ2 2011","Currency=USD","Period=FQ","BEST_FPERIOD_OVERRIDE=FQ","FILING_STATUS=MR","SCALING_FORMAT=MLN","Sort=A","Dates=H","DateFormat=P","Fill=—","Direction=H","UseDPDF=Y")</f>
        <v>-10</v>
      </c>
      <c r="M65" s="13">
        <f>_xll.BDH("AMZN US Equity","CF_FREE_CASH_FLOW","FQ3 2011","FQ3 2011","Currency=USD","Period=FQ","BEST_FPERIOD_OVERRIDE=FQ","FILING_STATUS=MR","SCALING_FORMAT=MLN","Sort=A","Dates=H","DateFormat=P","Fill=—","Direction=H","UseDPDF=Y")</f>
        <v>268</v>
      </c>
      <c r="N65" s="13">
        <f>_xll.BDH("AMZN US Equity","CF_FREE_CASH_FLOW","FQ4 2011","FQ4 2011","Currency=USD","Period=FQ","BEST_FPERIOD_OVERRIDE=FQ","FILING_STATUS=MR","SCALING_FORMAT=MLN","Sort=A","Dates=H","DateFormat=P","Fill=—","Direction=H","UseDPDF=Y")</f>
        <v>3719</v>
      </c>
      <c r="O65" s="13">
        <f>_xll.BDH("AMZN US Equity","CF_FREE_CASH_FLOW","FQ1 2012","FQ1 2012","Currency=USD","Period=FQ","BEST_FPERIOD_OVERRIDE=FQ","FILING_STATUS=MR","SCALING_FORMAT=MLN","Sort=A","Dates=H","DateFormat=P","Fill=—","Direction=H","UseDPDF=Y")</f>
        <v>-2824</v>
      </c>
      <c r="P65" s="13">
        <f>_xll.BDH("AMZN US Equity","CF_FREE_CASH_FLOW","FQ2 2012","FQ2 2012","Currency=USD","Period=FQ","BEST_FPERIOD_OVERRIDE=FQ","FILING_STATUS=MR","SCALING_FORMAT=MLN","Sort=A","Dates=H","DateFormat=P","Fill=—","Direction=H","UseDPDF=Y")</f>
        <v>-63</v>
      </c>
      <c r="Q65" s="13">
        <f>_xll.BDH("AMZN US Equity","CF_FREE_CASH_FLOW","FQ3 2012","FQ3 2012","Currency=USD","Period=FQ","BEST_FPERIOD_OVERRIDE=FQ","FILING_STATUS=MR","SCALING_FORMAT=MLN","Sort=A","Dates=H","DateFormat=P","Fill=—","Direction=H","UseDPDF=Y")</f>
        <v>227</v>
      </c>
      <c r="R65" s="13">
        <f>_xll.BDH("AMZN US Equity","CF_FREE_CASH_FLOW","FQ4 2012","FQ4 2012","Currency=USD","Period=FQ","BEST_FPERIOD_OVERRIDE=FQ","FILING_STATUS=MR","SCALING_FORMAT=MLN","Sort=A","Dates=H","DateFormat=P","Fill=—","Direction=H","UseDPDF=Y")</f>
        <v>3056</v>
      </c>
      <c r="S65" s="13">
        <f>_xll.BDH("AMZN US Equity","CF_FREE_CASH_FLOW","FQ1 2013","FQ1 2013","Currency=USD","Period=FQ","BEST_FPERIOD_OVERRIDE=FQ","FILING_STATUS=MR","SCALING_FORMAT=MLN","Sort=A","Dates=H","DateFormat=P","Fill=—","Direction=H","UseDPDF=Y")</f>
        <v>-3042</v>
      </c>
      <c r="T65" s="13">
        <f>_xll.BDH("AMZN US Equity","CF_FREE_CASH_FLOW","FQ2 2013","FQ2 2013","Currency=USD","Period=FQ","BEST_FPERIOD_OVERRIDE=FQ","FILING_STATUS=MR","SCALING_FORMAT=MLN","Sort=A","Dates=H","DateFormat=P","Fill=—","Direction=H","UseDPDF=Y")</f>
        <v>25</v>
      </c>
      <c r="U65" s="13">
        <f>_xll.BDH("AMZN US Equity","CF_FREE_CASH_FLOW","FQ3 2013","FQ3 2013","Currency=USD","Period=FQ","BEST_FPERIOD_OVERRIDE=FQ","FILING_STATUS=MR","SCALING_FORMAT=MLN","Sort=A","Dates=H","DateFormat=P","Fill=—","Direction=H","UseDPDF=Y")</f>
        <v>350</v>
      </c>
      <c r="V65" s="13">
        <f>_xll.BDH("AMZN US Equity","CF_FREE_CASH_FLOW","FQ4 2013","FQ4 2013","Currency=USD","Period=FQ","BEST_FPERIOD_OVERRIDE=FQ","FILING_STATUS=MR","SCALING_FORMAT=MLN","Sort=A","Dates=H","DateFormat=P","Fill=—","Direction=H","UseDPDF=Y")</f>
        <v>4698</v>
      </c>
      <c r="W65" s="13">
        <f>_xll.BDH("AMZN US Equity","CF_FREE_CASH_FLOW","FQ1 2014","FQ1 2014","Currency=USD","Period=FQ","BEST_FPERIOD_OVERRIDE=FQ","FILING_STATUS=MR","SCALING_FORMAT=MLN","Sort=A","Dates=H","DateFormat=P","Fill=—","Direction=H","UseDPDF=Y")</f>
        <v>-3582</v>
      </c>
      <c r="X65" s="13">
        <f>_xll.BDH("AMZN US Equity","CF_FREE_CASH_FLOW","FQ2 2014","FQ2 2014","Currency=USD","Period=FQ","BEST_FPERIOD_OVERRIDE=FQ","FILING_STATUS=MR","SCALING_FORMAT=MLN","Sort=A","Dates=H","DateFormat=P","Fill=—","Direction=H","UseDPDF=Y")</f>
        <v>-428</v>
      </c>
      <c r="Y65" s="13">
        <f>_xll.BDH("AMZN US Equity","CF_FREE_CASH_FLOW","FQ3 2014","FQ3 2014","Currency=USD","Period=FQ","BEST_FPERIOD_OVERRIDE=FQ","FILING_STATUS=MR","SCALING_FORMAT=MLN","Sort=A","Dates=H","DateFormat=P","Fill=—","Direction=H","UseDPDF=Y")</f>
        <v>388</v>
      </c>
      <c r="Z65" s="13">
        <f>_xll.BDH("AMZN US Equity","CF_FREE_CASH_FLOW","FQ4 2014","FQ4 2014","Currency=USD","Period=FQ","BEST_FPERIOD_OVERRIDE=FQ","FILING_STATUS=MR","SCALING_FORMAT=MLN","Sort=A","Dates=H","DateFormat=P","Fill=—","Direction=H","UseDPDF=Y")</f>
        <v>5571</v>
      </c>
      <c r="AA65" s="13">
        <f>_xll.BDH("AMZN US Equity","CF_FREE_CASH_FLOW","FQ1 2015","FQ1 2015","Currency=USD","Period=FQ","BEST_FPERIOD_OVERRIDE=FQ","FILING_STATUS=MR","SCALING_FORMAT=MLN","Sort=A","Dates=H","DateFormat=P","Fill=—","Direction=H","UseDPDF=Y")</f>
        <v>-2370</v>
      </c>
      <c r="AB65" s="13">
        <f>_xll.BDH("AMZN US Equity","CF_FREE_CASH_FLOW","FQ2 2015","FQ2 2015","Currency=USD","Period=FQ","BEST_FPERIOD_OVERRIDE=FQ","FILING_STATUS=MR","SCALING_FORMAT=MLN","Sort=A","Dates=H","DateFormat=P","Fill=—","Direction=H","UseDPDF=Y")</f>
        <v>784</v>
      </c>
      <c r="AC65" s="13">
        <f>_xll.BDH("AMZN US Equity","CF_FREE_CASH_FLOW","FQ3 2015","FQ3 2015","Currency=USD","Period=FQ","BEST_FPERIOD_OVERRIDE=FQ","FILING_STATUS=MR","SCALING_FORMAT=MLN","Sort=A","Dates=H","DateFormat=P","Fill=—","Direction=H","UseDPDF=Y")</f>
        <v>1415</v>
      </c>
      <c r="AD65" s="13">
        <f>_xll.BDH("AMZN US Equity","CF_FREE_CASH_FLOW","FQ4 2015","FQ4 2015","Currency=USD","Period=FQ","BEST_FPERIOD_OVERRIDE=FQ","FILING_STATUS=MR","SCALING_FORMAT=MLN","Sort=A","Dates=H","DateFormat=P","Fill=—","Direction=H","UseDPDF=Y")</f>
        <v>7503</v>
      </c>
      <c r="AE65" s="13">
        <f>_xll.BDH("AMZN US Equity","CF_FREE_CASH_FLOW","FQ1 2016","FQ1 2016","Currency=USD","Period=FQ","BEST_FPERIOD_OVERRIDE=FQ","FILING_STATUS=MR","SCALING_FORMAT=MLN","Sort=A","Dates=H","DateFormat=P","Fill=—","Direction=H","UseDPDF=Y")</f>
        <v>-3132</v>
      </c>
      <c r="AF65" s="13">
        <f>_xll.BDH("AMZN US Equity","CF_FREE_CASH_FLOW","FQ2 2016","FQ2 2016","Currency=USD","Period=FQ","BEST_FPERIOD_OVERRIDE=FQ","FILING_STATUS=MR","SCALING_FORMAT=MLN","Sort=A","Dates=H","DateFormat=P","Fill=—","Direction=H","UseDPDF=Y")</f>
        <v>1867</v>
      </c>
      <c r="AG65" s="13">
        <f>_xll.BDH("AMZN US Equity","CF_FREE_CASH_FLOW","FQ3 2016","FQ3 2016","Currency=USD","Period=FQ","BEST_FPERIOD_OVERRIDE=FQ","FILING_STATUS=MR","SCALING_FORMAT=MLN","Sort=A","Dates=H","DateFormat=P","Fill=—","Direction=H","UseDPDF=Y")</f>
        <v>2818</v>
      </c>
      <c r="AH65" s="13">
        <f>_xll.BDH("AMZN US Equity","CF_FREE_CASH_FLOW","FQ4 2016","FQ4 2016","Currency=USD","Period=FQ","BEST_FPERIOD_OVERRIDE=FQ","FILING_STATUS=MR","SCALING_FORMAT=MLN","Sort=A","Dates=H","DateFormat=P","Fill=—","Direction=H","UseDPDF=Y")</f>
        <v>8573</v>
      </c>
      <c r="AI65" s="13">
        <f>_xll.BDH("AMZN US Equity","CF_FREE_CASH_FLOW","FQ1 2017","FQ1 2017","Currency=USD","Period=FQ","BEST_FPERIOD_OVERRIDE=FQ","FILING_STATUS=MR","SCALING_FORMAT=MLN","Sort=A","Dates=H","DateFormat=P","Fill=—","Direction=H","UseDPDF=Y")</f>
        <v>-3767</v>
      </c>
      <c r="AJ65" s="13">
        <f>_xll.BDH("AMZN US Equity","CF_FREE_CASH_FLOW","FQ2 2017","FQ2 2017","Currency=USD","Period=FQ","BEST_FPERIOD_OVERRIDE=FQ","FILING_STATUS=MR","SCALING_FORMAT=MLN","Sort=A","Dates=H","DateFormat=P","Fill=—","Direction=H","UseDPDF=Y")</f>
        <v>737</v>
      </c>
      <c r="AK65" s="13">
        <f>_xll.BDH("AMZN US Equity","CF_FREE_CASH_FLOW","FQ3 2017","FQ3 2017","Currency=USD","Period=FQ","BEST_FPERIOD_OVERRIDE=FQ","FILING_STATUS=MR","SCALING_FORMAT=MLN","Sort=A","Dates=H","DateFormat=P","Fill=—","Direction=H","UseDPDF=Y")</f>
        <v>1192</v>
      </c>
      <c r="AL65" s="13">
        <f>_xll.BDH("AMZN US Equity","CF_FREE_CASH_FLOW","FQ4 2017","FQ4 2017","Currency=USD","Period=FQ","BEST_FPERIOD_OVERRIDE=FQ","FILING_STATUS=MR","SCALING_FORMAT=MLN","Sort=A","Dates=H","DateFormat=P","Fill=—","Direction=H","UseDPDF=Y")</f>
        <v>8725</v>
      </c>
      <c r="AM65" s="13">
        <f>_xll.BDH("AMZN US Equity","CF_FREE_CASH_FLOW","FQ1 2018","FQ1 2018","Currency=USD","Period=FQ","BEST_FPERIOD_OVERRIDE=FQ","FILING_STATUS=MR","SCALING_FORMAT=MLN","Sort=A","Dates=H","DateFormat=P","Fill=—","Direction=H","UseDPDF=Y")</f>
        <v>-4889</v>
      </c>
      <c r="AN65" s="13">
        <f>_xll.BDH("AMZN US Equity","CF_FREE_CASH_FLOW","FQ2 2018","FQ2 2018","Currency=USD","Period=FQ","BEST_FPERIOD_OVERRIDE=FQ","FILING_STATUS=MR","SCALING_FORMAT=MLN","Sort=A","Dates=H","DateFormat=P","Fill=—","Direction=H","UseDPDF=Y")</f>
        <v>4206</v>
      </c>
    </row>
    <row r="66" spans="1:40" x14ac:dyDescent="0.25">
      <c r="A66" s="10" t="s">
        <v>457</v>
      </c>
      <c r="B66" s="10" t="s">
        <v>458</v>
      </c>
      <c r="C66" s="13">
        <f>_xll.BDH("AMZN US Equity","CF_FREE_CASH_FLOW_FIRM","FQ1 2009","FQ1 2009","Currency=USD","Period=FQ","BEST_FPERIOD_OVERRIDE=FQ","FILING_STATUS=MR","SCALING_FORMAT=MLN","FA_ADJUSTED=GAAP","Sort=A","Dates=H","DateFormat=P","Fill=—","Direction=H","UseDPDF=Y")</f>
        <v>-631.33870000000002</v>
      </c>
      <c r="D66" s="13">
        <f>_xll.BDH("AMZN US Equity","CF_FREE_CASH_FLOW_FIRM","FQ2 2009","FQ2 2009","Currency=USD","Period=FQ","BEST_FPERIOD_OVERRIDE=FQ","FILING_STATUS=MR","SCALING_FORMAT=MLN","FA_ADJUSTED=GAAP","Sort=A","Dates=H","DateFormat=P","Fill=—","Direction=H","UseDPDF=Y")</f>
        <v>395.47489999999999</v>
      </c>
      <c r="E66" s="13">
        <f>_xll.BDH("AMZN US Equity","CF_FREE_CASH_FLOW_FIRM","FQ3 2009","FQ3 2009","Currency=USD","Period=FQ","BEST_FPERIOD_OVERRIDE=FQ","FILING_STATUS=MR","SCALING_FORMAT=MLN","FA_ADJUSTED=GAAP","Sort=A","Dates=H","DateFormat=P","Fill=—","Direction=H","UseDPDF=Y")</f>
        <v>701.39689999999996</v>
      </c>
      <c r="F66" s="13">
        <f>_xll.BDH("AMZN US Equity","CF_FREE_CASH_FLOW_FIRM","FQ4 2009","FQ4 2009","Currency=USD","Period=FQ","BEST_FPERIOD_OVERRIDE=FQ","FILING_STATUS=MR","SCALING_FORMAT=MLN","FA_ADJUSTED=GAAP","Sort=A","Dates=H","DateFormat=P","Fill=—","Direction=H","UseDPDF=Y")</f>
        <v>2479.5563000000002</v>
      </c>
      <c r="G66" s="13">
        <f>_xll.BDH("AMZN US Equity","CF_FREE_CASH_FLOW_FIRM","FQ1 2010","FQ1 2010","Currency=USD","Period=FQ","BEST_FPERIOD_OVERRIDE=FQ","FILING_STATUS=MR","SCALING_FORMAT=MLN","FA_ADJUSTED=GAAP","Sort=A","Dates=H","DateFormat=P","Fill=—","Direction=H","UseDPDF=Y")</f>
        <v>-1232.7456</v>
      </c>
      <c r="H66" s="13">
        <f>_xll.BDH("AMZN US Equity","CF_FREE_CASH_FLOW_FIRM","FQ2 2010","FQ2 2010","Currency=USD","Period=FQ","BEST_FPERIOD_OVERRIDE=FQ","FILING_STATUS=MR","SCALING_FORMAT=MLN","FA_ADJUSTED=GAAP","Sort=A","Dates=H","DateFormat=P","Fill=—","Direction=H","UseDPDF=Y")</f>
        <v>60.333300000000001</v>
      </c>
      <c r="I66" s="13">
        <f>_xll.BDH("AMZN US Equity","CF_FREE_CASH_FLOW_FIRM","FQ3 2010","FQ3 2010","Currency=USD","Period=FQ","BEST_FPERIOD_OVERRIDE=FQ","FILING_STATUS=MR","SCALING_FORMAT=MLN","FA_ADJUSTED=GAAP","Sort=A","Dates=H","DateFormat=P","Fill=—","Direction=H","UseDPDF=Y")</f>
        <v>548.024</v>
      </c>
      <c r="J66" s="13">
        <f>_xll.BDH("AMZN US Equity","CF_FREE_CASH_FLOW_FIRM","FQ4 2010","FQ4 2010","Currency=USD","Period=FQ","BEST_FPERIOD_OVERRIDE=FQ","FILING_STATUS=MR","SCALING_FORMAT=MLN","FA_ADJUSTED=GAAP","Sort=A","Dates=H","DateFormat=P","Fill=—","Direction=H","UseDPDF=Y")</f>
        <v>3161.1738999999998</v>
      </c>
      <c r="K66" s="13">
        <f>_xll.BDH("AMZN US Equity","CF_FREE_CASH_FLOW_FIRM","FQ1 2011","FQ1 2011","Currency=USD","Period=FQ","BEST_FPERIOD_OVERRIDE=FQ","FILING_STATUS=MR","SCALING_FORMAT=MLN","FA_ADJUSTED=GAAP","Sort=A","Dates=H","DateFormat=P","Fill=—","Direction=H","UseDPDF=Y")</f>
        <v>-1875.4788000000001</v>
      </c>
      <c r="L66" s="13">
        <f>_xll.BDH("AMZN US Equity","CF_FREE_CASH_FLOW_FIRM","FQ2 2011","FQ2 2011","Currency=USD","Period=FQ","BEST_FPERIOD_OVERRIDE=FQ","FILING_STATUS=MR","SCALING_FORMAT=MLN","FA_ADJUSTED=GAAP","Sort=A","Dates=H","DateFormat=P","Fill=—","Direction=H","UseDPDF=Y")</f>
        <v>1.7332999999999998</v>
      </c>
      <c r="M66" s="13">
        <f>_xll.BDH("AMZN US Equity","CF_FREE_CASH_FLOW_FIRM","FQ3 2011","FQ3 2011","Currency=USD","Period=FQ","BEST_FPERIOD_OVERRIDE=FQ","FILING_STATUS=MR","SCALING_FORMAT=MLN","FA_ADJUSTED=GAAP","Sort=A","Dates=H","DateFormat=P","Fill=—","Direction=H","UseDPDF=Y")</f>
        <v>276.23849999999999</v>
      </c>
      <c r="N66" s="13">
        <f>_xll.BDH("AMZN US Equity","CF_FREE_CASH_FLOW_FIRM","FQ4 2011","FQ4 2011","Currency=USD","Period=FQ","BEST_FPERIOD_OVERRIDE=FQ","FILING_STATUS=MR","SCALING_FORMAT=MLN","FA_ADJUSTED=GAAP","Sort=A","Dates=H","DateFormat=P","Fill=—","Direction=H","UseDPDF=Y")</f>
        <v>3732.6995999999999</v>
      </c>
      <c r="O66" s="13">
        <f>_xll.BDH("AMZN US Equity","CF_FREE_CASH_FLOW_FIRM","FQ1 2012","FQ1 2012","Currency=USD","Period=FQ","BEST_FPERIOD_OVERRIDE=FQ","FILING_STATUS=MR","SCALING_FORMAT=MLN","FA_ADJUSTED=GAAP","Sort=A","Dates=H","DateFormat=P","Fill=—","Direction=H","UseDPDF=Y")</f>
        <v>-2813.75</v>
      </c>
      <c r="P66" s="13">
        <f>_xll.BDH("AMZN US Equity","CF_FREE_CASH_FLOW_FIRM","FQ2 2012","FQ2 2012","Currency=USD","Period=FQ","BEST_FPERIOD_OVERRIDE=FQ","FILING_STATUS=MR","SCALING_FORMAT=MLN","FA_ADJUSTED=GAAP","Sort=A","Dates=H","DateFormat=P","Fill=—","Direction=H","UseDPDF=Y")</f>
        <v>-57.678100000000001</v>
      </c>
      <c r="Q66" s="13">
        <f>_xll.BDH("AMZN US Equity","CF_FREE_CASH_FLOW_FIRM","FQ3 2012","FQ3 2012","Currency=USD","Period=FQ","BEST_FPERIOD_OVERRIDE=FQ","FILING_STATUS=MR","SCALING_FORMAT=MLN","FA_ADJUSTED=GAAP","Sort=A","Dates=H","DateFormat=P","Fill=—","Direction=H","UseDPDF=Y")</f>
        <v>234.31809999999999</v>
      </c>
      <c r="R66" s="13">
        <f>_xll.BDH("AMZN US Equity","CF_FREE_CASH_FLOW_FIRM","FQ4 2012","FQ4 2012","Currency=USD","Period=FQ","BEST_FPERIOD_OVERRIDE=FQ","FILING_STATUS=MR","SCALING_FORMAT=MLN","FA_ADJUSTED=GAAP","Sort=A","Dates=H","DateFormat=P","Fill=—","Direction=H","UseDPDF=Y")</f>
        <v>3067.8813</v>
      </c>
      <c r="S66" s="13">
        <f>_xll.BDH("AMZN US Equity","CF_FREE_CASH_FLOW_FIRM","FQ1 2013","FQ1 2013","Currency=USD","Period=FQ","BEST_FPERIOD_OVERRIDE=FQ","FILING_STATUS=MR","SCALING_FORMAT=MLN","FA_ADJUSTED=GAAP","Sort=A","Dates=H","DateFormat=P","Fill=—","Direction=H","UseDPDF=Y")</f>
        <v>-3031.4059000000002</v>
      </c>
      <c r="T66" s="13">
        <f>_xll.BDH("AMZN US Equity","CF_FREE_CASH_FLOW_FIRM","FQ2 2013","FQ2 2013","Currency=USD","Period=FQ","BEST_FPERIOD_OVERRIDE=FQ","FILING_STATUS=MR","SCALING_FORMAT=MLN","FA_ADJUSTED=GAAP","Sort=A","Dates=H","DateFormat=P","Fill=—","Direction=H","UseDPDF=Y")</f>
        <v>32.764699999999998</v>
      </c>
      <c r="U66" s="13">
        <f>_xll.BDH("AMZN US Equity","CF_FREE_CASH_FLOW_FIRM","FQ3 2013","FQ3 2013","Currency=USD","Period=FQ","BEST_FPERIOD_OVERRIDE=FQ","FILING_STATUS=MR","SCALING_FORMAT=MLN","FA_ADJUSTED=GAAP","Sort=A","Dates=H","DateFormat=P","Fill=—","Direction=H","UseDPDF=Y")</f>
        <v>369.74489999999997</v>
      </c>
      <c r="V66" s="13">
        <f>_xll.BDH("AMZN US Equity","CF_FREE_CASH_FLOW_FIRM","FQ4 2013","FQ4 2013","Currency=USD","Period=FQ","BEST_FPERIOD_OVERRIDE=FQ","FILING_STATUS=MR","SCALING_FORMAT=MLN","FA_ADJUSTED=GAAP","Sort=A","Dates=H","DateFormat=P","Fill=—","Direction=H","UseDPDF=Y")</f>
        <v>4721.5210999999999</v>
      </c>
      <c r="W66" s="13">
        <f>_xll.BDH("AMZN US Equity","CF_FREE_CASH_FLOW_FIRM","FQ1 2014","FQ1 2014","Currency=USD","Period=FQ","BEST_FPERIOD_OVERRIDE=FQ","FILING_STATUS=MR","SCALING_FORMAT=MLN","FA_ADJUSTED=GAAP","Sort=A","Dates=H","DateFormat=P","Fill=—","Direction=H","UseDPDF=Y")</f>
        <v>-3565.55</v>
      </c>
      <c r="X66" s="13">
        <f>_xll.BDH("AMZN US Equity","CF_FREE_CASH_FLOW_FIRM","FQ2 2014","FQ2 2014","Currency=USD","Period=FQ","BEST_FPERIOD_OVERRIDE=FQ","FILING_STATUS=MR","SCALING_FORMAT=MLN","FA_ADJUSTED=GAAP","Sort=A","Dates=H","DateFormat=P","Fill=—","Direction=H","UseDPDF=Y")</f>
        <v>-413</v>
      </c>
      <c r="Y66" s="13" t="str">
        <f>_xll.BDH("AMZN US Equity","CF_FREE_CASH_FLOW_FIRM","FQ3 2014","FQ3 2014","Currency=USD","Period=FQ","BEST_FPERIOD_OVERRIDE=FQ","FILING_STATUS=MR","SCALING_FORMAT=MLN","FA_ADJUSTED=GAAP","Sort=A","Dates=H","DateFormat=P","Fill=—","Direction=H","UseDPDF=Y")</f>
        <v>—</v>
      </c>
      <c r="Z66" s="13">
        <f>_xll.BDH("AMZN US Equity","CF_FREE_CASH_FLOW_FIRM","FQ4 2014","FQ4 2014","Currency=USD","Period=FQ","BEST_FPERIOD_OVERRIDE=FQ","FILING_STATUS=MR","SCALING_FORMAT=MLN","FA_ADJUSTED=GAAP","Sort=A","Dates=H","DateFormat=P","Fill=—","Direction=H","UseDPDF=Y")</f>
        <v>5609.6387000000004</v>
      </c>
      <c r="AA66" s="13">
        <f>_xll.BDH("AMZN US Equity","CF_FREE_CASH_FLOW_FIRM","FQ1 2015","FQ1 2015","Currency=USD","Period=FQ","BEST_FPERIOD_OVERRIDE=FQ","FILING_STATUS=MR","SCALING_FORMAT=MLN","FA_ADJUSTED=GAAP","Sort=A","Dates=H","DateFormat=P","Fill=—","Direction=H","UseDPDF=Y")</f>
        <v>-2643.8094999999998</v>
      </c>
      <c r="AB66" s="13">
        <f>_xll.BDH("AMZN US Equity","CF_FREE_CASH_FLOW_FIRM","FQ2 2015","FQ2 2015","Currency=USD","Period=FQ","BEST_FPERIOD_OVERRIDE=FQ","FILING_STATUS=MR","SCALING_FORMAT=MLN","FA_ADJUSTED=GAAP","Sort=A","Dates=H","DateFormat=P","Fill=—","Direction=H","UseDPDF=Y")</f>
        <v>814.23199999999997</v>
      </c>
      <c r="AC66" s="13">
        <f>_xll.BDH("AMZN US Equity","CF_FREE_CASH_FLOW_FIRM","FQ3 2015","FQ3 2015","Currency=USD","Period=FQ","BEST_FPERIOD_OVERRIDE=FQ","FILING_STATUS=MR","SCALING_FORMAT=MLN","FA_ADJUSTED=GAAP","Sort=A","Dates=H","DateFormat=P","Fill=—","Direction=H","UseDPDF=Y")</f>
        <v>1455.3887</v>
      </c>
      <c r="AD66" s="13">
        <f>_xll.BDH("AMZN US Equity","CF_FREE_CASH_FLOW_FIRM","FQ4 2015","FQ4 2015","Currency=USD","Period=FQ","BEST_FPERIOD_OVERRIDE=FQ","FILING_STATUS=MR","SCALING_FORMAT=MLN","FA_ADJUSTED=GAAP","Sort=A","Dates=H","DateFormat=P","Fill=—","Direction=H","UseDPDF=Y")</f>
        <v>7562.4615999999996</v>
      </c>
      <c r="AE66" s="13">
        <f>_xll.BDH("AMZN US Equity","CF_FREE_CASH_FLOW_FIRM","FQ1 2016","FQ1 2016","Currency=USD","Period=FQ","BEST_FPERIOD_OVERRIDE=FQ","FILING_STATUS=MR","SCALING_FORMAT=MLN","FA_ADJUSTED=GAAP","Sort=A","Dates=H","DateFormat=P","Fill=—","Direction=H","UseDPDF=Y")</f>
        <v>-3067.6278000000002</v>
      </c>
      <c r="AF66" s="13">
        <f>_xll.BDH("AMZN US Equity","CF_FREE_CASH_FLOW_FIRM","FQ2 2016","FQ2 2016","Currency=USD","Period=FQ","BEST_FPERIOD_OVERRIDE=FQ","FILING_STATUS=MR","SCALING_FORMAT=MLN","FA_ADJUSTED=GAAP","Sort=A","Dates=H","DateFormat=P","Fill=—","Direction=H","UseDPDF=Y")</f>
        <v>1952.7946999999999</v>
      </c>
      <c r="AG66" s="13">
        <f>_xll.BDH("AMZN US Equity","CF_FREE_CASH_FLOW_FIRM","FQ3 2016","FQ3 2016","Currency=USD","Period=FQ","BEST_FPERIOD_OVERRIDE=FQ","FILING_STATUS=MR","SCALING_FORMAT=MLN","FA_ADJUSTED=GAAP","Sort=A","Dates=H","DateFormat=P","Fill=—","Direction=H","UseDPDF=Y")</f>
        <v>2880.9654</v>
      </c>
      <c r="AH66" s="13">
        <f>_xll.BDH("AMZN US Equity","CF_FREE_CASH_FLOW_FIRM","FQ4 2016","FQ4 2016","Currency=USD","Period=FQ","BEST_FPERIOD_OVERRIDE=FQ","FILING_STATUS=MR","SCALING_FORMAT=MLN","FA_ADJUSTED=GAAP","Sort=A","Dates=H","DateFormat=P","Fill=—","Direction=H","UseDPDF=Y")</f>
        <v>8658.777</v>
      </c>
      <c r="AI66" s="13">
        <f>_xll.BDH("AMZN US Equity","CF_FREE_CASH_FLOW_FIRM","FQ1 2017","FQ1 2017","Currency=USD","Period=FQ","BEST_FPERIOD_OVERRIDE=FQ","FILING_STATUS=MR","SCALING_FORMAT=MLN","FA_ADJUSTED=GAAP","Sort=A","Dates=H","DateFormat=P","Fill=—","Direction=H","UseDPDF=Y")</f>
        <v>-3661.4007999999999</v>
      </c>
      <c r="AJ66" s="13">
        <f>_xll.BDH("AMZN US Equity","CF_FREE_CASH_FLOW_FIRM","FQ2 2017","FQ2 2017","Currency=USD","Period=FQ","BEST_FPERIOD_OVERRIDE=FQ","FILING_STATUS=MR","SCALING_FORMAT=MLN","FA_ADJUSTED=GAAP","Sort=A","Dates=H","DateFormat=P","Fill=—","Direction=H","UseDPDF=Y")</f>
        <v>779.72820000000002</v>
      </c>
      <c r="AK66" s="13">
        <f>_xll.BDH("AMZN US Equity","CF_FREE_CASH_FLOW_FIRM","FQ3 2017","FQ3 2017","Currency=USD","Period=FQ","BEST_FPERIOD_OVERRIDE=FQ","FILING_STATUS=MR","SCALING_FORMAT=MLN","FA_ADJUSTED=GAAP","Sort=A","Dates=H","DateFormat=P","Fill=—","Direction=H","UseDPDF=Y")</f>
        <v>1378.1519000000001</v>
      </c>
      <c r="AL66" s="13">
        <f>_xll.BDH("AMZN US Equity","CF_FREE_CASH_FLOW_FIRM","FQ4 2017","FQ4 2017","Currency=USD","Period=FQ","BEST_FPERIOD_OVERRIDE=FQ","FILING_STATUS=MR","SCALING_FORMAT=MLN","FA_ADJUSTED=GAAP","Sort=A","Dates=H","DateFormat=P","Fill=—","Direction=H","UseDPDF=Y")</f>
        <v>9061.1026000000002</v>
      </c>
      <c r="AM66" s="13">
        <f>_xll.BDH("AMZN US Equity","CF_FREE_CASH_FLOW_FIRM","FQ1 2018","FQ1 2018","Currency=USD","Period=FQ","BEST_FPERIOD_OVERRIDE=FQ","FILING_STATUS=MR","SCALING_FORMAT=MLN","FA_ADJUSTED=GAAP","Sort=A","Dates=H","DateFormat=P","Fill=—","Direction=H","UseDPDF=Y")</f>
        <v>-4608.4310999999998</v>
      </c>
      <c r="AN66" s="13">
        <f>_xll.BDH("AMZN US Equity","CF_FREE_CASH_FLOW_FIRM","FQ2 2018","FQ2 2018","Currency=USD","Period=FQ","BEST_FPERIOD_OVERRIDE=FQ","FILING_STATUS=MR","SCALING_FORMAT=MLN","FA_ADJUSTED=GAAP","Sort=A","Dates=H","DateFormat=P","Fill=—","Direction=H","UseDPDF=Y")</f>
        <v>4539.2564000000002</v>
      </c>
    </row>
    <row r="67" spans="1:40" x14ac:dyDescent="0.25">
      <c r="A67" s="10" t="s">
        <v>459</v>
      </c>
      <c r="B67" s="10" t="s">
        <v>460</v>
      </c>
      <c r="C67" s="13" t="str">
        <f>_xll.BDH("AMZN US Equity","FREE_CASH_FLOW_EQUITY","FQ1 2009","FQ1 2009","Currency=USD","Period=FQ","BEST_FPERIOD_OVERRIDE=FQ","FILING_STATUS=MR","SCALING_FORMAT=MLN","Sort=A","Dates=H","DateFormat=P","Fill=—","Direction=H","UseDPDF=Y")</f>
        <v>—</v>
      </c>
      <c r="D67" s="13">
        <f>_xll.BDH("AMZN US Equity","FREE_CASH_FLOW_EQUITY","FQ2 2009","FQ2 2009","Currency=USD","Period=FQ","BEST_FPERIOD_OVERRIDE=FQ","FILING_STATUS=MR","SCALING_FORMAT=MLN","Sort=A","Dates=H","DateFormat=P","Fill=—","Direction=H","UseDPDF=Y")</f>
        <v>367</v>
      </c>
      <c r="E67" s="13">
        <f>_xll.BDH("AMZN US Equity","FREE_CASH_FLOW_EQUITY","FQ3 2009","FQ3 2009","Currency=USD","Period=FQ","BEST_FPERIOD_OVERRIDE=FQ","FILING_STATUS=MR","SCALING_FORMAT=MLN","Sort=A","Dates=H","DateFormat=P","Fill=—","Direction=H","UseDPDF=Y")</f>
        <v>777</v>
      </c>
      <c r="F67" s="13">
        <f>_xll.BDH("AMZN US Equity","FREE_CASH_FLOW_EQUITY","FQ4 2009","FQ4 2009","Currency=USD","Period=FQ","BEST_FPERIOD_OVERRIDE=FQ","FILING_STATUS=MR","SCALING_FORMAT=MLN","Sort=A","Dates=H","DateFormat=P","Fill=—","Direction=H","UseDPDF=Y")</f>
        <v>2370</v>
      </c>
      <c r="G67" s="13">
        <f>_xll.BDH("AMZN US Equity","FREE_CASH_FLOW_EQUITY","FQ1 2010","FQ1 2010","Currency=USD","Period=FQ","BEST_FPERIOD_OVERRIDE=FQ","FILING_STATUS=MR","SCALING_FORMAT=MLN","Sort=A","Dates=H","DateFormat=P","Fill=—","Direction=H","UseDPDF=Y")</f>
        <v>-1237</v>
      </c>
      <c r="H67" s="13">
        <f>_xll.BDH("AMZN US Equity","FREE_CASH_FLOW_EQUITY","FQ2 2010","FQ2 2010","Currency=USD","Period=FQ","BEST_FPERIOD_OVERRIDE=FQ","FILING_STATUS=MR","SCALING_FORMAT=MLN","Sort=A","Dates=H","DateFormat=P","Fill=—","Direction=H","UseDPDF=Y")</f>
        <v>22</v>
      </c>
      <c r="I67" s="13">
        <f>_xll.BDH("AMZN US Equity","FREE_CASH_FLOW_EQUITY","FQ3 2010","FQ3 2010","Currency=USD","Period=FQ","BEST_FPERIOD_OVERRIDE=FQ","FILING_STATUS=MR","SCALING_FORMAT=MLN","Sort=A","Dates=H","DateFormat=P","Fill=—","Direction=H","UseDPDF=Y")</f>
        <v>558</v>
      </c>
      <c r="J67" s="13">
        <f>_xll.BDH("AMZN US Equity","FREE_CASH_FLOW_EQUITY","FQ4 2010","FQ4 2010","Currency=USD","Period=FQ","BEST_FPERIOD_OVERRIDE=FQ","FILING_STATUS=MR","SCALING_FORMAT=MLN","Sort=A","Dates=H","DateFormat=P","Fill=—","Direction=H","UseDPDF=Y")</f>
        <v>3095</v>
      </c>
      <c r="K67" s="13">
        <f>_xll.BDH("AMZN US Equity","FREE_CASH_FLOW_EQUITY","FQ1 2011","FQ1 2011","Currency=USD","Period=FQ","BEST_FPERIOD_OVERRIDE=FQ","FILING_STATUS=MR","SCALING_FORMAT=MLN","Sort=A","Dates=H","DateFormat=P","Fill=—","Direction=H","UseDPDF=Y")</f>
        <v>-1906</v>
      </c>
      <c r="L67" s="13">
        <f>_xll.BDH("AMZN US Equity","FREE_CASH_FLOW_EQUITY","FQ2 2011","FQ2 2011","Currency=USD","Period=FQ","BEST_FPERIOD_OVERRIDE=FQ","FILING_STATUS=MR","SCALING_FORMAT=MLN","Sort=A","Dates=H","DateFormat=P","Fill=—","Direction=H","UseDPDF=Y")</f>
        <v>-116</v>
      </c>
      <c r="M67" s="13">
        <f>_xll.BDH("AMZN US Equity","FREE_CASH_FLOW_EQUITY","FQ3 2011","FQ3 2011","Currency=USD","Period=FQ","BEST_FPERIOD_OVERRIDE=FQ","FILING_STATUS=MR","SCALING_FORMAT=MLN","Sort=A","Dates=H","DateFormat=P","Fill=—","Direction=H","UseDPDF=Y")</f>
        <v>186</v>
      </c>
      <c r="N67" s="13">
        <f>_xll.BDH("AMZN US Equity","FREE_CASH_FLOW_EQUITY","FQ4 2011","FQ4 2011","Currency=USD","Period=FQ","BEST_FPERIOD_OVERRIDE=FQ","FILING_STATUS=MR","SCALING_FORMAT=MLN","Sort=A","Dates=H","DateFormat=P","Fill=—","Direction=H","UseDPDF=Y")</f>
        <v>3662</v>
      </c>
      <c r="O67" s="13">
        <f>_xll.BDH("AMZN US Equity","FREE_CASH_FLOW_EQUITY","FQ1 2012","FQ1 2012","Currency=USD","Period=FQ","BEST_FPERIOD_OVERRIDE=FQ","FILING_STATUS=MR","SCALING_FORMAT=MLN","Sort=A","Dates=H","DateFormat=P","Fill=—","Direction=H","UseDPDF=Y")</f>
        <v>-2909</v>
      </c>
      <c r="P67" s="13">
        <f>_xll.BDH("AMZN US Equity","FREE_CASH_FLOW_EQUITY","FQ2 2012","FQ2 2012","Currency=USD","Period=FQ","BEST_FPERIOD_OVERRIDE=FQ","FILING_STATUS=MR","SCALING_FORMAT=MLN","Sort=A","Dates=H","DateFormat=P","Fill=—","Direction=H","UseDPDF=Y")</f>
        <v>-81</v>
      </c>
      <c r="Q67" s="13">
        <f>_xll.BDH("AMZN US Equity","FREE_CASH_FLOW_EQUITY","FQ3 2012","FQ3 2012","Currency=USD","Period=FQ","BEST_FPERIOD_OVERRIDE=FQ","FILING_STATUS=MR","SCALING_FORMAT=MLN","Sort=A","Dates=H","DateFormat=P","Fill=—","Direction=H","UseDPDF=Y")</f>
        <v>192</v>
      </c>
      <c r="R67" s="13">
        <f>_xll.BDH("AMZN US Equity","FREE_CASH_FLOW_EQUITY","FQ4 2012","FQ4 2012","Currency=USD","Period=FQ","BEST_FPERIOD_OVERRIDE=FQ","FILING_STATUS=MR","SCALING_FORMAT=MLN","Sort=A","Dates=H","DateFormat=P","Fill=—","Direction=H","UseDPDF=Y")</f>
        <v>5983</v>
      </c>
      <c r="S67" s="13">
        <f>_xll.BDH("AMZN US Equity","FREE_CASH_FLOW_EQUITY","FQ1 2013","FQ1 2013","Currency=USD","Period=FQ","BEST_FPERIOD_OVERRIDE=FQ","FILING_STATUS=MR","SCALING_FORMAT=MLN","Sort=A","Dates=H","DateFormat=P","Fill=—","Direction=H","UseDPDF=Y")</f>
        <v>-3199</v>
      </c>
      <c r="T67" s="13">
        <f>_xll.BDH("AMZN US Equity","FREE_CASH_FLOW_EQUITY","FQ2 2013","FQ2 2013","Currency=USD","Period=FQ","BEST_FPERIOD_OVERRIDE=FQ","FILING_STATUS=MR","SCALING_FORMAT=MLN","Sort=A","Dates=H","DateFormat=P","Fill=—","Direction=H","UseDPDF=Y")</f>
        <v>-184</v>
      </c>
      <c r="U67" s="13">
        <f>_xll.BDH("AMZN US Equity","FREE_CASH_FLOW_EQUITY","FQ3 2013","FQ3 2013","Currency=USD","Period=FQ","BEST_FPERIOD_OVERRIDE=FQ","FILING_STATUS=MR","SCALING_FORMAT=MLN","Sort=A","Dates=H","DateFormat=P","Fill=—","Direction=H","UseDPDF=Y")</f>
        <v>120</v>
      </c>
      <c r="V67" s="13">
        <f>_xll.BDH("AMZN US Equity","FREE_CASH_FLOW_EQUITY","FQ4 2013","FQ4 2013","Currency=USD","Period=FQ","BEST_FPERIOD_OVERRIDE=FQ","FILING_STATUS=MR","SCALING_FORMAT=MLN","Sort=A","Dates=H","DateFormat=P","Fill=—","Direction=H","UseDPDF=Y")</f>
        <v>4677</v>
      </c>
      <c r="W67" s="13">
        <f>_xll.BDH("AMZN US Equity","FREE_CASH_FLOW_EQUITY","FQ1 2014","FQ1 2014","Currency=USD","Period=FQ","BEST_FPERIOD_OVERRIDE=FQ","FILING_STATUS=MR","SCALING_FORMAT=MLN","Sort=A","Dates=H","DateFormat=P","Fill=—","Direction=H","UseDPDF=Y")</f>
        <v>-3878</v>
      </c>
      <c r="X67" s="13">
        <f>_xll.BDH("AMZN US Equity","FREE_CASH_FLOW_EQUITY","FQ2 2014","FQ2 2014","Currency=USD","Period=FQ","BEST_FPERIOD_OVERRIDE=FQ","FILING_STATUS=MR","SCALING_FORMAT=MLN","Sort=A","Dates=H","DateFormat=P","Fill=—","Direction=H","UseDPDF=Y")</f>
        <v>-617</v>
      </c>
      <c r="Y67" s="13">
        <f>_xll.BDH("AMZN US Equity","FREE_CASH_FLOW_EQUITY","FQ3 2014","FQ3 2014","Currency=USD","Period=FQ","BEST_FPERIOD_OVERRIDE=FQ","FILING_STATUS=MR","SCALING_FORMAT=MLN","Sort=A","Dates=H","DateFormat=P","Fill=—","Direction=H","UseDPDF=Y")</f>
        <v>-24</v>
      </c>
      <c r="Z67" s="13">
        <f>_xll.BDH("AMZN US Equity","FREE_CASH_FLOW_EQUITY","FQ4 2014","FQ4 2014","Currency=USD","Period=FQ","BEST_FPERIOD_OVERRIDE=FQ","FILING_STATUS=MR","SCALING_FORMAT=MLN","Sort=A","Dates=H","DateFormat=P","Fill=—","Direction=H","UseDPDF=Y")</f>
        <v>10895</v>
      </c>
      <c r="AA67" s="13">
        <f>_xll.BDH("AMZN US Equity","FREE_CASH_FLOW_EQUITY","FQ1 2015","FQ1 2015","Currency=USD","Period=FQ","BEST_FPERIOD_OVERRIDE=FQ","FILING_STATUS=MR","SCALING_FORMAT=MLN","Sort=A","Dates=H","DateFormat=P","Fill=—","Direction=H","UseDPDF=Y")</f>
        <v>-3044</v>
      </c>
      <c r="AB67" s="13">
        <f>_xll.BDH("AMZN US Equity","FREE_CASH_FLOW_EQUITY","FQ2 2015","FQ2 2015","Currency=USD","Period=FQ","BEST_FPERIOD_OVERRIDE=FQ","FILING_STATUS=MR","SCALING_FORMAT=MLN","Sort=A","Dates=H","DateFormat=P","Fill=—","Direction=H","UseDPDF=Y")</f>
        <v>-2</v>
      </c>
      <c r="AC67" s="13">
        <f>_xll.BDH("AMZN US Equity","FREE_CASH_FLOW_EQUITY","FQ3 2015","FQ3 2015","Currency=USD","Period=FQ","BEST_FPERIOD_OVERRIDE=FQ","FILING_STATUS=MR","SCALING_FORMAT=MLN","Sort=A","Dates=H","DateFormat=P","Fill=—","Direction=H","UseDPDF=Y")</f>
        <v>590</v>
      </c>
      <c r="AD67" s="13">
        <f>_xll.BDH("AMZN US Equity","FREE_CASH_FLOW_EQUITY","FQ4 2015","FQ4 2015","Currency=USD","Period=FQ","BEST_FPERIOD_OVERRIDE=FQ","FILING_STATUS=MR","SCALING_FORMAT=MLN","Sort=A","Dates=H","DateFormat=P","Fill=—","Direction=H","UseDPDF=Y")</f>
        <v>5906</v>
      </c>
      <c r="AE67" s="13">
        <f>_xll.BDH("AMZN US Equity","FREE_CASH_FLOW_EQUITY","FQ1 2016","FQ1 2016","Currency=USD","Period=FQ","BEST_FPERIOD_OVERRIDE=FQ","FILING_STATUS=MR","SCALING_FORMAT=MLN","Sort=A","Dates=H","DateFormat=P","Fill=—","Direction=H","UseDPDF=Y")</f>
        <v>-4128</v>
      </c>
      <c r="AF67" s="13">
        <f>_xll.BDH("AMZN US Equity","FREE_CASH_FLOW_EQUITY","FQ2 2016","FQ2 2016","Currency=USD","Period=FQ","BEST_FPERIOD_OVERRIDE=FQ","FILING_STATUS=MR","SCALING_FORMAT=MLN","Sort=A","Dates=H","DateFormat=P","Fill=—","Direction=H","UseDPDF=Y")</f>
        <v>715</v>
      </c>
      <c r="AG67" s="13">
        <f>_xll.BDH("AMZN US Equity","FREE_CASH_FLOW_EQUITY","FQ3 2016","FQ3 2016","Currency=USD","Period=FQ","BEST_FPERIOD_OVERRIDE=FQ","FILING_STATUS=MR","SCALING_FORMAT=MLN","Sort=A","Dates=H","DateFormat=P","Fill=—","Direction=H","UseDPDF=Y")</f>
        <v>1818</v>
      </c>
      <c r="AH67" s="13">
        <f>_xll.BDH("AMZN US Equity","FREE_CASH_FLOW_EQUITY","FQ4 2016","FQ4 2016","Currency=USD","Period=FQ","BEST_FPERIOD_OVERRIDE=FQ","FILING_STATUS=MR","SCALING_FORMAT=MLN","Sort=A","Dates=H","DateFormat=P","Fill=—","Direction=H","UseDPDF=Y")</f>
        <v>8390</v>
      </c>
      <c r="AI67" s="13">
        <f>_xll.BDH("AMZN US Equity","FREE_CASH_FLOW_EQUITY","FQ1 2017","FQ1 2017","Currency=USD","Period=FQ","BEST_FPERIOD_OVERRIDE=FQ","FILING_STATUS=MR","SCALING_FORMAT=MLN","Sort=A","Dates=H","DateFormat=P","Fill=—","Direction=H","UseDPDF=Y")</f>
        <v>-4368</v>
      </c>
      <c r="AJ67" s="13">
        <f>_xll.BDH("AMZN US Equity","FREE_CASH_FLOW_EQUITY","FQ2 2017","FQ2 2017","Currency=USD","Period=FQ","BEST_FPERIOD_OVERRIDE=FQ","FILING_STATUS=MR","SCALING_FORMAT=MLN","Sort=A","Dates=H","DateFormat=P","Fill=—","Direction=H","UseDPDF=Y")</f>
        <v>75</v>
      </c>
      <c r="AK67" s="13">
        <f>_xll.BDH("AMZN US Equity","FREE_CASH_FLOW_EQUITY","FQ3 2017","FQ3 2017","Currency=USD","Period=FQ","BEST_FPERIOD_OVERRIDE=FQ","FILING_STATUS=MR","SCALING_FORMAT=MLN","Sort=A","Dates=H","DateFormat=P","Fill=—","Direction=H","UseDPDF=Y")</f>
        <v>15877</v>
      </c>
      <c r="AL67" s="13">
        <f>_xll.BDH("AMZN US Equity","FREE_CASH_FLOW_EQUITY","FQ4 2017","FQ4 2017","Currency=USD","Period=FQ","BEST_FPERIOD_OVERRIDE=FQ","FILING_STATUS=MR","SCALING_FORMAT=MLN","Sort=A","Dates=H","DateFormat=P","Fill=—","Direction=H","UseDPDF=Y")</f>
        <v>6661</v>
      </c>
      <c r="AM67" s="13">
        <f>_xll.BDH("AMZN US Equity","FREE_CASH_FLOW_EQUITY","FQ1 2018","FQ1 2018","Currency=USD","Period=FQ","BEST_FPERIOD_OVERRIDE=FQ","FILING_STATUS=MR","SCALING_FORMAT=MLN","Sort=A","Dates=H","DateFormat=P","Fill=—","Direction=H","UseDPDF=Y")</f>
        <v>-6682</v>
      </c>
      <c r="AN67" s="13">
        <f>_xll.BDH("AMZN US Equity","FREE_CASH_FLOW_EQUITY","FQ2 2018","FQ2 2018","Currency=USD","Period=FQ","BEST_FPERIOD_OVERRIDE=FQ","FILING_STATUS=MR","SCALING_FORMAT=MLN","Sort=A","Dates=H","DateFormat=P","Fill=—","Direction=H","UseDPDF=Y")</f>
        <v>3106</v>
      </c>
    </row>
    <row r="68" spans="1:40" x14ac:dyDescent="0.25">
      <c r="A68" s="10" t="s">
        <v>461</v>
      </c>
      <c r="B68" s="10" t="s">
        <v>462</v>
      </c>
      <c r="C68" s="14">
        <f>_xll.BDH("AMZN US Equity","FREE_CASH_FLOW_PER_SH","FQ1 2009","FQ1 2009","Currency=USD","Period=FQ","BEST_FPERIOD_OVERRIDE=FQ","FILING_STATUS=MR","Sort=A","Dates=H","DateFormat=P","Fill=—","Direction=H","UseDPDF=Y")</f>
        <v>-1.4918</v>
      </c>
      <c r="D68" s="14">
        <f>_xll.BDH("AMZN US Equity","FREE_CASH_FLOW_PER_SH","FQ2 2009","FQ2 2009","Currency=USD","Period=FQ","BEST_FPERIOD_OVERRIDE=FQ","FILING_STATUS=MR","Sort=A","Dates=H","DateFormat=P","Fill=—","Direction=H","UseDPDF=Y")</f>
        <v>0.90490000000000004</v>
      </c>
      <c r="E68" s="14">
        <f>_xll.BDH("AMZN US Equity","FREE_CASH_FLOW_PER_SH","FQ3 2009","FQ3 2009","Currency=USD","Period=FQ","BEST_FPERIOD_OVERRIDE=FQ","FILING_STATUS=MR","Sort=A","Dates=H","DateFormat=P","Fill=—","Direction=H","UseDPDF=Y")</f>
        <v>1.6111</v>
      </c>
      <c r="F68" s="14">
        <f>_xll.BDH("AMZN US Equity","FREE_CASH_FLOW_PER_SH","FQ4 2009","FQ4 2009","Currency=USD","Period=FQ","BEST_FPERIOD_OVERRIDE=FQ","FILING_STATUS=MR","Sort=A","Dates=H","DateFormat=P","Fill=—","Direction=H","UseDPDF=Y")</f>
        <v>5.6204999999999998</v>
      </c>
      <c r="G68" s="14">
        <f>_xll.BDH("AMZN US Equity","FREE_CASH_FLOW_PER_SH","FQ1 2010","FQ1 2010","Currency=USD","Period=FQ","BEST_FPERIOD_OVERRIDE=FQ","FILING_STATUS=MR","Sort=A","Dates=H","DateFormat=P","Fill=—","Direction=H","UseDPDF=Y")</f>
        <v>-2.782</v>
      </c>
      <c r="H68" s="14">
        <f>_xll.BDH("AMZN US Equity","FREE_CASH_FLOW_PER_SH","FQ2 2010","FQ2 2010","Currency=USD","Period=FQ","BEST_FPERIOD_OVERRIDE=FQ","FILING_STATUS=MR","Sort=A","Dates=H","DateFormat=P","Fill=—","Direction=H","UseDPDF=Y")</f>
        <v>0.1208</v>
      </c>
      <c r="I68" s="14">
        <f>_xll.BDH("AMZN US Equity","FREE_CASH_FLOW_PER_SH","FQ3 2010","FQ3 2010","Currency=USD","Period=FQ","BEST_FPERIOD_OVERRIDE=FQ","FILING_STATUS=MR","Sort=A","Dates=H","DateFormat=P","Fill=—","Direction=H","UseDPDF=Y")</f>
        <v>1.2054</v>
      </c>
      <c r="J68" s="14">
        <f>_xll.BDH("AMZN US Equity","FREE_CASH_FLOW_PER_SH","FQ4 2010","FQ4 2010","Currency=USD","Period=FQ","BEST_FPERIOD_OVERRIDE=FQ","FILING_STATUS=MR","Sort=A","Dates=H","DateFormat=P","Fill=—","Direction=H","UseDPDF=Y")</f>
        <v>7.0044000000000004</v>
      </c>
      <c r="K68" s="14">
        <f>_xll.BDH("AMZN US Equity","FREE_CASH_FLOW_PER_SH","FQ1 2011","FQ1 2011","Currency=USD","Period=FQ","BEST_FPERIOD_OVERRIDE=FQ","FILING_STATUS=MR","Sort=A","Dates=H","DateFormat=P","Fill=—","Direction=H","UseDPDF=Y")</f>
        <v>-4.1774000000000004</v>
      </c>
      <c r="L68" s="14">
        <f>_xll.BDH("AMZN US Equity","FREE_CASH_FLOW_PER_SH","FQ2 2011","FQ2 2011","Currency=USD","Period=FQ","BEST_FPERIOD_OVERRIDE=FQ","FILING_STATUS=MR","Sort=A","Dates=H","DateFormat=P","Fill=—","Direction=H","UseDPDF=Y")</f>
        <v>-2.2100000000000002E-2</v>
      </c>
      <c r="M68" s="14">
        <f>_xll.BDH("AMZN US Equity","FREE_CASH_FLOW_PER_SH","FQ3 2011","FQ3 2011","Currency=USD","Period=FQ","BEST_FPERIOD_OVERRIDE=FQ","FILING_STATUS=MR","Sort=A","Dates=H","DateFormat=P","Fill=—","Direction=H","UseDPDF=Y")</f>
        <v>0.59030000000000005</v>
      </c>
      <c r="N68" s="14">
        <f>_xll.BDH("AMZN US Equity","FREE_CASH_FLOW_PER_SH","FQ4 2011","FQ4 2011","Currency=USD","Period=FQ","BEST_FPERIOD_OVERRIDE=FQ","FILING_STATUS=MR","Sort=A","Dates=H","DateFormat=P","Fill=—","Direction=H","UseDPDF=Y")</f>
        <v>8.1736000000000004</v>
      </c>
      <c r="O68" s="14">
        <f>_xll.BDH("AMZN US Equity","FREE_CASH_FLOW_PER_SH","FQ1 2012","FQ1 2012","Currency=USD","Period=FQ","BEST_FPERIOD_OVERRIDE=FQ","FILING_STATUS=MR","Sort=A","Dates=H","DateFormat=P","Fill=—","Direction=H","UseDPDF=Y")</f>
        <v>-6.234</v>
      </c>
      <c r="P68" s="14">
        <f>_xll.BDH("AMZN US Equity","FREE_CASH_FLOW_PER_SH","FQ2 2012","FQ2 2012","Currency=USD","Period=FQ","BEST_FPERIOD_OVERRIDE=FQ","FILING_STATUS=MR","Sort=A","Dates=H","DateFormat=P","Fill=—","Direction=H","UseDPDF=Y")</f>
        <v>-0.13969999999999999</v>
      </c>
      <c r="Q68" s="14">
        <f>_xll.BDH("AMZN US Equity","FREE_CASH_FLOW_PER_SH","FQ3 2012","FQ3 2012","Currency=USD","Period=FQ","BEST_FPERIOD_OVERRIDE=FQ","FILING_STATUS=MR","Sort=A","Dates=H","DateFormat=P","Fill=—","Direction=H","UseDPDF=Y")</f>
        <v>0.50219999999999998</v>
      </c>
      <c r="R68" s="14">
        <f>_xll.BDH("AMZN US Equity","FREE_CASH_FLOW_PER_SH","FQ4 2012","FQ4 2012","Currency=USD","Period=FQ","BEST_FPERIOD_OVERRIDE=FQ","FILING_STATUS=MR","Sort=A","Dates=H","DateFormat=P","Fill=—","Direction=H","UseDPDF=Y")</f>
        <v>6.7313000000000001</v>
      </c>
      <c r="S68" s="14">
        <f>_xll.BDH("AMZN US Equity","FREE_CASH_FLOW_PER_SH","FQ1 2013","FQ1 2013","Currency=USD","Period=FQ","BEST_FPERIOD_OVERRIDE=FQ","FILING_STATUS=MR","Sort=A","Dates=H","DateFormat=P","Fill=—","Direction=H","UseDPDF=Y")</f>
        <v>-6.6856999999999998</v>
      </c>
      <c r="T68" s="14">
        <f>_xll.BDH("AMZN US Equity","FREE_CASH_FLOW_PER_SH","FQ2 2013","FQ2 2013","Currency=USD","Period=FQ","BEST_FPERIOD_OVERRIDE=FQ","FILING_STATUS=MR","Sort=A","Dates=H","DateFormat=P","Fill=—","Direction=H","UseDPDF=Y")</f>
        <v>5.4800000000000001E-2</v>
      </c>
      <c r="U68" s="14">
        <f>_xll.BDH("AMZN US Equity","FREE_CASH_FLOW_PER_SH","FQ3 2013","FQ3 2013","Currency=USD","Period=FQ","BEST_FPERIOD_OVERRIDE=FQ","FILING_STATUS=MR","Sort=A","Dates=H","DateFormat=P","Fill=—","Direction=H","UseDPDF=Y")</f>
        <v>0.76590000000000003</v>
      </c>
      <c r="V68" s="14">
        <f>_xll.BDH("AMZN US Equity","FREE_CASH_FLOW_PER_SH","FQ4 2013","FQ4 2013","Currency=USD","Period=FQ","BEST_FPERIOD_OVERRIDE=FQ","FILING_STATUS=MR","Sort=A","Dates=H","DateFormat=P","Fill=—","Direction=H","UseDPDF=Y")</f>
        <v>10.2576</v>
      </c>
      <c r="W68" s="14">
        <f>_xll.BDH("AMZN US Equity","FREE_CASH_FLOW_PER_SH","FQ1 2014","FQ1 2014","Currency=USD","Period=FQ","BEST_FPERIOD_OVERRIDE=FQ","FILING_STATUS=MR","Sort=A","Dates=H","DateFormat=P","Fill=—","Direction=H","UseDPDF=Y")</f>
        <v>-7.7869999999999999</v>
      </c>
      <c r="X68" s="14">
        <f>_xll.BDH("AMZN US Equity","FREE_CASH_FLOW_PER_SH","FQ2 2014","FQ2 2014","Currency=USD","Period=FQ","BEST_FPERIOD_OVERRIDE=FQ","FILING_STATUS=MR","Sort=A","Dates=H","DateFormat=P","Fill=—","Direction=H","UseDPDF=Y")</f>
        <v>-0.9284</v>
      </c>
      <c r="Y68" s="14">
        <f>_xll.BDH("AMZN US Equity","FREE_CASH_FLOW_PER_SH","FQ3 2014","FQ3 2014","Currency=USD","Period=FQ","BEST_FPERIOD_OVERRIDE=FQ","FILING_STATUS=MR","Sort=A","Dates=H","DateFormat=P","Fill=—","Direction=H","UseDPDF=Y")</f>
        <v>0.83799999999999997</v>
      </c>
      <c r="Z68" s="14">
        <f>_xll.BDH("AMZN US Equity","FREE_CASH_FLOW_PER_SH","FQ4 2014","FQ4 2014","Currency=USD","Period=FQ","BEST_FPERIOD_OVERRIDE=FQ","FILING_STATUS=MR","Sort=A","Dates=H","DateFormat=P","Fill=—","Direction=H","UseDPDF=Y")</f>
        <v>12.006500000000001</v>
      </c>
      <c r="AA68" s="14">
        <f>_xll.BDH("AMZN US Equity","FREE_CASH_FLOW_PER_SH","FQ1 2015","FQ1 2015","Currency=USD","Period=FQ","BEST_FPERIOD_OVERRIDE=FQ","FILING_STATUS=MR","Sort=A","Dates=H","DateFormat=P","Fill=—","Direction=H","UseDPDF=Y")</f>
        <v>-5.0968</v>
      </c>
      <c r="AB68" s="14">
        <f>_xll.BDH("AMZN US Equity","FREE_CASH_FLOW_PER_SH","FQ2 2015","FQ2 2015","Currency=USD","Period=FQ","BEST_FPERIOD_OVERRIDE=FQ","FILING_STATUS=MR","Sort=A","Dates=H","DateFormat=P","Fill=—","Direction=H","UseDPDF=Y")</f>
        <v>1.6787999999999998</v>
      </c>
      <c r="AC68" s="14">
        <f>_xll.BDH("AMZN US Equity","FREE_CASH_FLOW_PER_SH","FQ3 2015","FQ3 2015","Currency=USD","Period=FQ","BEST_FPERIOD_OVERRIDE=FQ","FILING_STATUS=MR","Sort=A","Dates=H","DateFormat=P","Fill=—","Direction=H","UseDPDF=Y")</f>
        <v>3.0234999999999999</v>
      </c>
      <c r="AD68" s="14">
        <f>_xll.BDH("AMZN US Equity","FREE_CASH_FLOW_PER_SH","FQ4 2015","FQ4 2015","Currency=USD","Period=FQ","BEST_FPERIOD_OVERRIDE=FQ","FILING_STATUS=MR","Sort=A","Dates=H","DateFormat=P","Fill=—","Direction=H","UseDPDF=Y")</f>
        <v>15.963799999999999</v>
      </c>
      <c r="AE68" s="14">
        <f>_xll.BDH("AMZN US Equity","FREE_CASH_FLOW_PER_SH","FQ1 2016","FQ1 2016","Currency=USD","Period=FQ","BEST_FPERIOD_OVERRIDE=FQ","FILING_STATUS=MR","Sort=A","Dates=H","DateFormat=P","Fill=—","Direction=H","UseDPDF=Y")</f>
        <v>-6.6497000000000002</v>
      </c>
      <c r="AF68" s="14">
        <f>_xll.BDH("AMZN US Equity","FREE_CASH_FLOW_PER_SH","FQ2 2016","FQ2 2016","Currency=USD","Period=FQ","BEST_FPERIOD_OVERRIDE=FQ","FILING_STATUS=MR","Sort=A","Dates=H","DateFormat=P","Fill=—","Direction=H","UseDPDF=Y")</f>
        <v>3.9470999999999998</v>
      </c>
      <c r="AG68" s="14">
        <f>_xll.BDH("AMZN US Equity","FREE_CASH_FLOW_PER_SH","FQ3 2016","FQ3 2016","Currency=USD","Period=FQ","BEST_FPERIOD_OVERRIDE=FQ","FILING_STATUS=MR","Sort=A","Dates=H","DateFormat=P","Fill=—","Direction=H","UseDPDF=Y")</f>
        <v>5.9451000000000001</v>
      </c>
      <c r="AH68" s="14">
        <f>_xll.BDH("AMZN US Equity","FREE_CASH_FLOW_PER_SH","FQ4 2016","FQ4 2016","Currency=USD","Period=FQ","BEST_FPERIOD_OVERRIDE=FQ","FILING_STATUS=MR","Sort=A","Dates=H","DateFormat=P","Fill=—","Direction=H","UseDPDF=Y")</f>
        <v>18.0105</v>
      </c>
      <c r="AI68" s="14">
        <f>_xll.BDH("AMZN US Equity","FREE_CASH_FLOW_PER_SH","FQ1 2017","FQ1 2017","Currency=USD","Period=FQ","BEST_FPERIOD_OVERRIDE=FQ","FILING_STATUS=MR","Sort=A","Dates=H","DateFormat=P","Fill=—","Direction=H","UseDPDF=Y")</f>
        <v>-7.8972999999999995</v>
      </c>
      <c r="AJ68" s="14">
        <f>_xll.BDH("AMZN US Equity","FREE_CASH_FLOW_PER_SH","FQ2 2017","FQ2 2017","Currency=USD","Period=FQ","BEST_FPERIOD_OVERRIDE=FQ","FILING_STATUS=MR","Sort=A","Dates=H","DateFormat=P","Fill=—","Direction=H","UseDPDF=Y")</f>
        <v>1.5386</v>
      </c>
      <c r="AK68" s="14">
        <f>_xll.BDH("AMZN US Equity","FREE_CASH_FLOW_PER_SH","FQ3 2017","FQ3 2017","Currency=USD","Period=FQ","BEST_FPERIOD_OVERRIDE=FQ","FILING_STATUS=MR","Sort=A","Dates=H","DateFormat=P","Fill=—","Direction=H","UseDPDF=Y")</f>
        <v>2.4782000000000002</v>
      </c>
      <c r="AL68" s="14">
        <f>_xll.BDH("AMZN US Equity","FREE_CASH_FLOW_PER_SH","FQ4 2017","FQ4 2017","Currency=USD","Period=FQ","BEST_FPERIOD_OVERRIDE=FQ","FILING_STATUS=MR","Sort=A","Dates=H","DateFormat=P","Fill=—","Direction=H","UseDPDF=Y")</f>
        <v>18.0642</v>
      </c>
      <c r="AM68" s="14">
        <f>_xll.BDH("AMZN US Equity","FREE_CASH_FLOW_PER_SH","FQ1 2018","FQ1 2018","Currency=USD","Period=FQ","BEST_FPERIOD_OVERRIDE=FQ","FILING_STATUS=MR","Sort=A","Dates=H","DateFormat=P","Fill=—","Direction=H","UseDPDF=Y")</f>
        <v>-10.1012</v>
      </c>
      <c r="AN68" s="14">
        <f>_xll.BDH("AMZN US Equity","FREE_CASH_FLOW_PER_SH","FQ2 2018","FQ2 2018","Currency=USD","Period=FQ","BEST_FPERIOD_OVERRIDE=FQ","FILING_STATUS=MR","Sort=A","Dates=H","DateFormat=P","Fill=—","Direction=H","UseDPDF=Y")</f>
        <v>8.6542999999999992</v>
      </c>
    </row>
    <row r="69" spans="1:40" x14ac:dyDescent="0.25">
      <c r="A69" s="10" t="s">
        <v>463</v>
      </c>
      <c r="B69" s="10" t="s">
        <v>464</v>
      </c>
      <c r="C69" s="14">
        <f>_xll.BDH("AMZN US Equity","PX_TO_FREE_CASH_FLOW","FQ1 2009","FQ1 2009","Currency=USD","Period=FQ","BEST_FPERIOD_OVERRIDE=FQ","FILING_STATUS=MR","Sort=A","Dates=H","DateFormat=P","Fill=—","Direction=H","UseDPDF=Y")</f>
        <v>21.865300000000001</v>
      </c>
      <c r="D69" s="14">
        <f>_xll.BDH("AMZN US Equity","PX_TO_FREE_CASH_FLOW","FQ2 2009","FQ2 2009","Currency=USD","Period=FQ","BEST_FPERIOD_OVERRIDE=FQ","FILING_STATUS=MR","Sort=A","Dates=H","DateFormat=P","Fill=—","Direction=H","UseDPDF=Y")</f>
        <v>23.227899999999998</v>
      </c>
      <c r="E69" s="14">
        <f>_xll.BDH("AMZN US Equity","PX_TO_FREE_CASH_FLOW","FQ3 2009","FQ3 2009","Currency=USD","Period=FQ","BEST_FPERIOD_OVERRIDE=FQ","FILING_STATUS=MR","Sort=A","Dates=H","DateFormat=P","Fill=—","Direction=H","UseDPDF=Y")</f>
        <v>20.938700000000001</v>
      </c>
      <c r="F69" s="14">
        <f>_xll.BDH("AMZN US Equity","PX_TO_FREE_CASH_FLOW","FQ4 2009","FQ4 2009","Currency=USD","Period=FQ","BEST_FPERIOD_OVERRIDE=FQ","FILING_STATUS=MR","Sort=A","Dates=H","DateFormat=P","Fill=—","Direction=H","UseDPDF=Y")</f>
        <v>20.245000000000001</v>
      </c>
      <c r="G69" s="14">
        <f>_xll.BDH("AMZN US Equity","PX_TO_FREE_CASH_FLOW","FQ1 2010","FQ1 2010","Currency=USD","Period=FQ","BEST_FPERIOD_OVERRIDE=FQ","FILING_STATUS=MR","Sort=A","Dates=H","DateFormat=P","Fill=—","Direction=H","UseDPDF=Y")</f>
        <v>25.3566</v>
      </c>
      <c r="H69" s="14">
        <f>_xll.BDH("AMZN US Equity","PX_TO_FREE_CASH_FLOW","FQ2 2010","FQ2 2010","Currency=USD","Period=FQ","BEST_FPERIOD_OVERRIDE=FQ","FILING_STATUS=MR","Sort=A","Dates=H","DateFormat=P","Fill=—","Direction=H","UseDPDF=Y")</f>
        <v>23.906300000000002</v>
      </c>
      <c r="I69" s="14">
        <f>_xll.BDH("AMZN US Equity","PX_TO_FREE_CASH_FLOW","FQ3 2010","FQ3 2010","Currency=USD","Period=FQ","BEST_FPERIOD_OVERRIDE=FQ","FILING_STATUS=MR","Sort=A","Dates=H","DateFormat=P","Fill=—","Direction=H","UseDPDF=Y")</f>
        <v>37.713200000000001</v>
      </c>
      <c r="J69" s="14">
        <f>_xll.BDH("AMZN US Equity","PX_TO_FREE_CASH_FLOW","FQ4 2010","FQ4 2010","Currency=USD","Period=FQ","BEST_FPERIOD_OVERRIDE=FQ","FILING_STATUS=MR","Sort=A","Dates=H","DateFormat=P","Fill=—","Direction=H","UseDPDF=Y")</f>
        <v>32.4407</v>
      </c>
      <c r="K69" s="14">
        <f>_xll.BDH("AMZN US Equity","PX_TO_FREE_CASH_FLOW","FQ1 2011","FQ1 2011","Currency=USD","Period=FQ","BEST_FPERIOD_OVERRIDE=FQ","FILING_STATUS=MR","Sort=A","Dates=H","DateFormat=P","Fill=—","Direction=H","UseDPDF=Y")</f>
        <v>43.371099999999998</v>
      </c>
      <c r="L69" s="14">
        <f>_xll.BDH("AMZN US Equity","PX_TO_FREE_CASH_FLOW","FQ2 2011","FQ2 2011","Currency=USD","Period=FQ","BEST_FPERIOD_OVERRIDE=FQ","FILING_STATUS=MR","Sort=A","Dates=H","DateFormat=P","Fill=—","Direction=H","UseDPDF=Y")</f>
        <v>50.990699999999997</v>
      </c>
      <c r="M69" s="14">
        <f>_xll.BDH("AMZN US Equity","PX_TO_FREE_CASH_FLOW","FQ3 2011","FQ3 2011","Currency=USD","Period=FQ","BEST_FPERIOD_OVERRIDE=FQ","FILING_STATUS=MR","Sort=A","Dates=H","DateFormat=P","Fill=—","Direction=H","UseDPDF=Y")</f>
        <v>63.685200000000002</v>
      </c>
      <c r="N69" s="14">
        <f>_xll.BDH("AMZN US Equity","PX_TO_FREE_CASH_FLOW","FQ4 2011","FQ4 2011","Currency=USD","Period=FQ","BEST_FPERIOD_OVERRIDE=FQ","FILING_STATUS=MR","Sort=A","Dates=H","DateFormat=P","Fill=—","Direction=H","UseDPDF=Y")</f>
        <v>37.923299999999998</v>
      </c>
      <c r="O69" s="14">
        <f>_xll.BDH("AMZN US Equity","PX_TO_FREE_CASH_FLOW","FQ1 2012","FQ1 2012","Currency=USD","Period=FQ","BEST_FPERIOD_OVERRIDE=FQ","FILING_STATUS=MR","Sort=A","Dates=H","DateFormat=P","Fill=—","Direction=H","UseDPDF=Y")</f>
        <v>80.75</v>
      </c>
      <c r="P69" s="14">
        <f>_xll.BDH("AMZN US Equity","PX_TO_FREE_CASH_FLOW","FQ2 2012","FQ2 2012","Currency=USD","Period=FQ","BEST_FPERIOD_OVERRIDE=FQ","FILING_STATUS=MR","Sort=A","Dates=H","DateFormat=P","Fill=—","Direction=H","UseDPDF=Y")</f>
        <v>95.534000000000006</v>
      </c>
      <c r="Q69" s="14">
        <f>_xll.BDH("AMZN US Equity","PX_TO_FREE_CASH_FLOW","FQ3 2012","FQ3 2012","Currency=USD","Period=FQ","BEST_FPERIOD_OVERRIDE=FQ","FILING_STATUS=MR","Sort=A","Dates=H","DateFormat=P","Fill=—","Direction=H","UseDPDF=Y")</f>
        <v>110.4705</v>
      </c>
      <c r="R69" s="14">
        <f>_xll.BDH("AMZN US Equity","PX_TO_FREE_CASH_FLOW","FQ4 2012","FQ4 2012","Currency=USD","Period=FQ","BEST_FPERIOD_OVERRIDE=FQ","FILING_STATUS=MR","Sort=A","Dates=H","DateFormat=P","Fill=—","Direction=H","UseDPDF=Y")</f>
        <v>291.77550000000002</v>
      </c>
      <c r="S69" s="14">
        <f>_xll.BDH("AMZN US Equity","PX_TO_FREE_CASH_FLOW","FQ1 2013","FQ1 2013","Currency=USD","Period=FQ","BEST_FPERIOD_OVERRIDE=FQ","FILING_STATUS=MR","Sort=A","Dates=H","DateFormat=P","Fill=—","Direction=H","UseDPDF=Y")</f>
        <v>653.024</v>
      </c>
      <c r="T69" s="14">
        <f>_xll.BDH("AMZN US Equity","PX_TO_FREE_CASH_FLOW","FQ2 2013","FQ2 2013","Currency=USD","Period=FQ","BEST_FPERIOD_OVERRIDE=FQ","FILING_STATUS=MR","Sort=A","Dates=H","DateFormat=P","Fill=—","Direction=H","UseDPDF=Y")</f>
        <v>460.81959999999998</v>
      </c>
      <c r="U69" s="14">
        <f>_xll.BDH("AMZN US Equity","PX_TO_FREE_CASH_FLOW","FQ3 2013","FQ3 2013","Currency=USD","Period=FQ","BEST_FPERIOD_OVERRIDE=FQ","FILING_STATUS=MR","Sort=A","Dates=H","DateFormat=P","Fill=—","Direction=H","UseDPDF=Y")</f>
        <v>360.91109999999998</v>
      </c>
      <c r="V69" s="14">
        <f>_xll.BDH("AMZN US Equity","PX_TO_FREE_CASH_FLOW","FQ4 2013","FQ4 2013","Currency=USD","Period=FQ","BEST_FPERIOD_OVERRIDE=FQ","FILING_STATUS=MR","Sort=A","Dates=H","DateFormat=P","Fill=—","Direction=H","UseDPDF=Y")</f>
        <v>90.7864</v>
      </c>
      <c r="W69" s="14">
        <f>_xll.BDH("AMZN US Equity","PX_TO_FREE_CASH_FLOW","FQ1 2014","FQ1 2014","Currency=USD","Period=FQ","BEST_FPERIOD_OVERRIDE=FQ","FILING_STATUS=MR","Sort=A","Dates=H","DateFormat=P","Fill=—","Direction=H","UseDPDF=Y")</f>
        <v>102.19589999999999</v>
      </c>
      <c r="X69" s="14">
        <f>_xll.BDH("AMZN US Equity","PX_TO_FREE_CASH_FLOW","FQ2 2014","FQ2 2014","Currency=USD","Period=FQ","BEST_FPERIOD_OVERRIDE=FQ","FILING_STATUS=MR","Sort=A","Dates=H","DateFormat=P","Fill=—","Direction=H","UseDPDF=Y")</f>
        <v>140.71109999999999</v>
      </c>
      <c r="Y69" s="14">
        <f>_xll.BDH("AMZN US Equity","PX_TO_FREE_CASH_FLOW","FQ3 2014","FQ3 2014","Currency=USD","Period=FQ","BEST_FPERIOD_OVERRIDE=FQ","FILING_STATUS=MR","Sort=A","Dates=H","DateFormat=P","Fill=—","Direction=H","UseDPDF=Y")</f>
        <v>135.46289999999999</v>
      </c>
      <c r="Z69" s="14">
        <f>_xll.BDH("AMZN US Equity","PX_TO_FREE_CASH_FLOW","FQ4 2014","FQ4 2014","Currency=USD","Period=FQ","BEST_FPERIOD_OVERRIDE=FQ","FILING_STATUS=MR","Sort=A","Dates=H","DateFormat=P","Fill=—","Direction=H","UseDPDF=Y")</f>
        <v>75.161600000000007</v>
      </c>
      <c r="AA69" s="14">
        <f>_xll.BDH("AMZN US Equity","PX_TO_FREE_CASH_FLOW","FQ1 2015","FQ1 2015","Currency=USD","Period=FQ","BEST_FPERIOD_OVERRIDE=FQ","FILING_STATUS=MR","Sort=A","Dates=H","DateFormat=P","Fill=—","Direction=H","UseDPDF=Y")</f>
        <v>54.565800000000003</v>
      </c>
      <c r="AB69" s="14">
        <f>_xll.BDH("AMZN US Equity","PX_TO_FREE_CASH_FLOW","FQ2 2015","FQ2 2015","Currency=USD","Period=FQ","BEST_FPERIOD_OVERRIDE=FQ","FILING_STATUS=MR","Sort=A","Dates=H","DateFormat=P","Fill=—","Direction=H","UseDPDF=Y")</f>
        <v>46.049900000000001</v>
      </c>
      <c r="AC69" s="14">
        <f>_xll.BDH("AMZN US Equity","PX_TO_FREE_CASH_FLOW","FQ3 2015","FQ3 2015","Currency=USD","Period=FQ","BEST_FPERIOD_OVERRIDE=FQ","FILING_STATUS=MR","Sort=A","Dates=H","DateFormat=P","Fill=—","Direction=H","UseDPDF=Y")</f>
        <v>44.082900000000002</v>
      </c>
      <c r="AD69" s="14">
        <f>_xll.BDH("AMZN US Equity","PX_TO_FREE_CASH_FLOW","FQ4 2015","FQ4 2015","Currency=USD","Period=FQ","BEST_FPERIOD_OVERRIDE=FQ","FILING_STATUS=MR","Sort=A","Dates=H","DateFormat=P","Fill=—","Direction=H","UseDPDF=Y")</f>
        <v>43.411499999999997</v>
      </c>
      <c r="AE69" s="14">
        <f>_xll.BDH("AMZN US Equity","PX_TO_FREE_CASH_FLOW","FQ1 2016","FQ1 2016","Currency=USD","Period=FQ","BEST_FPERIOD_OVERRIDE=FQ","FILING_STATUS=MR","Sort=A","Dates=H","DateFormat=P","Fill=—","Direction=H","UseDPDF=Y")</f>
        <v>42.353099999999998</v>
      </c>
      <c r="AF69" s="14">
        <f>_xll.BDH("AMZN US Equity","PX_TO_FREE_CASH_FLOW","FQ2 2016","FQ2 2016","Currency=USD","Period=FQ","BEST_FPERIOD_OVERRIDE=FQ","FILING_STATUS=MR","Sort=A","Dates=H","DateFormat=P","Fill=—","Direction=H","UseDPDF=Y")</f>
        <v>43.944099999999999</v>
      </c>
      <c r="AG69" s="14">
        <f>_xll.BDH("AMZN US Equity","PX_TO_FREE_CASH_FLOW","FQ3 2016","FQ3 2016","Currency=USD","Period=FQ","BEST_FPERIOD_OVERRIDE=FQ","FILING_STATUS=MR","Sort=A","Dates=H","DateFormat=P","Fill=—","Direction=H","UseDPDF=Y")</f>
        <v>43.595300000000002</v>
      </c>
      <c r="AH69" s="14">
        <f>_xll.BDH("AMZN US Equity","PX_TO_FREE_CASH_FLOW","FQ4 2016","FQ4 2016","Currency=USD","Period=FQ","BEST_FPERIOD_OVERRIDE=FQ","FILING_STATUS=MR","Sort=A","Dates=H","DateFormat=P","Fill=—","Direction=H","UseDPDF=Y")</f>
        <v>35.282800000000002</v>
      </c>
      <c r="AI69" s="14">
        <f>_xll.BDH("AMZN US Equity","PX_TO_FREE_CASH_FLOW","FQ1 2017","FQ1 2017","Currency=USD","Period=FQ","BEST_FPERIOD_OVERRIDE=FQ","FILING_STATUS=MR","Sort=A","Dates=H","DateFormat=P","Fill=—","Direction=H","UseDPDF=Y")</f>
        <v>44.314799999999998</v>
      </c>
      <c r="AJ69" s="14">
        <f>_xll.BDH("AMZN US Equity","PX_TO_FREE_CASH_FLOW","FQ2 2017","FQ2 2017","Currency=USD","Period=FQ","BEST_FPERIOD_OVERRIDE=FQ","FILING_STATUS=MR","Sort=A","Dates=H","DateFormat=P","Fill=—","Direction=H","UseDPDF=Y")</f>
        <v>55.009399999999999</v>
      </c>
      <c r="AK69" s="14">
        <f>_xll.BDH("AMZN US Equity","PX_TO_FREE_CASH_FLOW","FQ3 2017","FQ3 2017","Currency=USD","Period=FQ","BEST_FPERIOD_OVERRIDE=FQ","FILING_STATUS=MR","Sort=A","Dates=H","DateFormat=P","Fill=—","Direction=H","UseDPDF=Y")</f>
        <v>68.036000000000001</v>
      </c>
      <c r="AL69" s="14">
        <f>_xll.BDH("AMZN US Equity","PX_TO_FREE_CASH_FLOW","FQ4 2017","FQ4 2017","Currency=USD","Period=FQ","BEST_FPERIOD_OVERRIDE=FQ","FILING_STATUS=MR","Sort=A","Dates=H","DateFormat=P","Fill=—","Direction=H","UseDPDF=Y")</f>
        <v>82.451700000000002</v>
      </c>
      <c r="AM69" s="14">
        <f>_xll.BDH("AMZN US Equity","PX_TO_FREE_CASH_FLOW","FQ1 2018","FQ1 2018","Currency=USD","Period=FQ","BEST_FPERIOD_OVERRIDE=FQ","FILING_STATUS=MR","Sort=A","Dates=H","DateFormat=P","Fill=—","Direction=H","UseDPDF=Y")</f>
        <v>120.81570000000001</v>
      </c>
      <c r="AN69" s="14">
        <f>_xll.BDH("AMZN US Equity","PX_TO_FREE_CASH_FLOW","FQ2 2018","FQ2 2018","Currency=USD","Period=FQ","BEST_FPERIOD_OVERRIDE=FQ","FILING_STATUS=MR","Sort=A","Dates=H","DateFormat=P","Fill=—","Direction=H","UseDPDF=Y")</f>
        <v>89.016000000000005</v>
      </c>
    </row>
    <row r="70" spans="1:40" x14ac:dyDescent="0.25">
      <c r="A70" s="10" t="s">
        <v>465</v>
      </c>
      <c r="B70" s="10" t="s">
        <v>466</v>
      </c>
      <c r="C70" s="14">
        <f>_xll.BDH("AMZN US Equity","CASH_FLOW_TO_NET_INC","FQ1 2009","FQ1 2009","Currency=USD","Period=FQ","BEST_FPERIOD_OVERRIDE=FQ","FILING_STATUS=MR","FA_ADJUSTED=GAAP","Sort=A","Dates=H","DateFormat=P","Fill=—","Direction=H","UseDPDF=Y")</f>
        <v>-3.3050999999999999</v>
      </c>
      <c r="D70" s="14">
        <f>_xll.BDH("AMZN US Equity","CASH_FLOW_TO_NET_INC","FQ2 2009","FQ2 2009","Currency=USD","Period=FQ","BEST_FPERIOD_OVERRIDE=FQ","FILING_STATUS=MR","FA_ADJUSTED=GAAP","Sort=A","Dates=H","DateFormat=P","Fill=—","Direction=H","UseDPDF=Y")</f>
        <v>3.2957999999999998</v>
      </c>
      <c r="E70" s="14">
        <f>_xll.BDH("AMZN US Equity","CASH_FLOW_TO_NET_INC","FQ3 2009","FQ3 2009","Currency=USD","Period=FQ","BEST_FPERIOD_OVERRIDE=FQ","FILING_STATUS=MR","FA_ADJUSTED=GAAP","Sort=A","Dates=H","DateFormat=P","Fill=—","Direction=H","UseDPDF=Y")</f>
        <v>4.0151000000000003</v>
      </c>
      <c r="F70" s="14">
        <f>_xll.BDH("AMZN US Equity","CASH_FLOW_TO_NET_INC","FQ4 2009","FQ4 2009","Currency=USD","Period=FQ","BEST_FPERIOD_OVERRIDE=FQ","FILING_STATUS=MR","FA_ADJUSTED=GAAP","Sort=A","Dates=H","DateFormat=P","Fill=—","Direction=H","UseDPDF=Y")</f>
        <v>6.7968999999999999</v>
      </c>
      <c r="G70" s="14">
        <f>_xll.BDH("AMZN US Equity","CASH_FLOW_TO_NET_INC","FQ1 2010","FQ1 2010","Currency=USD","Period=FQ","BEST_FPERIOD_OVERRIDE=FQ","FILING_STATUS=MR","FA_ADJUSTED=GAAP","Sort=A","Dates=H","DateFormat=P","Fill=—","Direction=H","UseDPDF=Y")</f>
        <v>-3.6722000000000001</v>
      </c>
      <c r="H70" s="14">
        <f>_xll.BDH("AMZN US Equity","CASH_FLOW_TO_NET_INC","FQ2 2010","FQ2 2010","Currency=USD","Period=FQ","BEST_FPERIOD_OVERRIDE=FQ","FILING_STATUS=MR","FA_ADJUSTED=GAAP","Sort=A","Dates=H","DateFormat=P","Fill=—","Direction=H","UseDPDF=Y")</f>
        <v>1.2077</v>
      </c>
      <c r="I70" s="14">
        <f>_xll.BDH("AMZN US Equity","CASH_FLOW_TO_NET_INC","FQ3 2010","FQ3 2010","Currency=USD","Period=FQ","BEST_FPERIOD_OVERRIDE=FQ","FILING_STATUS=MR","FA_ADJUSTED=GAAP","Sort=A","Dates=H","DateFormat=P","Fill=—","Direction=H","UseDPDF=Y")</f>
        <v>3.7012999999999998</v>
      </c>
      <c r="J70" s="14">
        <f>_xll.BDH("AMZN US Equity","CASH_FLOW_TO_NET_INC","FQ4 2010","FQ4 2010","Currency=USD","Period=FQ","BEST_FPERIOD_OVERRIDE=FQ","FILING_STATUS=MR","FA_ADJUSTED=GAAP","Sort=A","Dates=H","DateFormat=P","Fill=—","Direction=H","UseDPDF=Y")</f>
        <v>8.3653999999999993</v>
      </c>
      <c r="K70" s="14">
        <f>_xll.BDH("AMZN US Equity","CASH_FLOW_TO_NET_INC","FQ1 2011","FQ1 2011","Currency=USD","Period=FQ","BEST_FPERIOD_OVERRIDE=FQ","FILING_STATUS=MR","FA_ADJUSTED=GAAP","Sort=A","Dates=H","DateFormat=P","Fill=—","Direction=H","UseDPDF=Y")</f>
        <v>-7.8905000000000003</v>
      </c>
      <c r="L70" s="14">
        <f>_xll.BDH("AMZN US Equity","CASH_FLOW_TO_NET_INC","FQ2 2011","FQ2 2011","Currency=USD","Period=FQ","BEST_FPERIOD_OVERRIDE=FQ","FILING_STATUS=MR","FA_ADJUSTED=GAAP","Sort=A","Dates=H","DateFormat=P","Fill=—","Direction=H","UseDPDF=Y")</f>
        <v>2.2147000000000001</v>
      </c>
      <c r="M70" s="14">
        <f>_xll.BDH("AMZN US Equity","CASH_FLOW_TO_NET_INC","FQ3 2011","FQ3 2011","Currency=USD","Period=FQ","BEST_FPERIOD_OVERRIDE=FQ","FILING_STATUS=MR","FA_ADJUSTED=GAAP","Sort=A","Dates=H","DateFormat=P","Fill=—","Direction=H","UseDPDF=Y")</f>
        <v>12.6508</v>
      </c>
      <c r="N70" s="14">
        <f>_xll.BDH("AMZN US Equity","CASH_FLOW_TO_NET_INC","FQ4 2011","FQ4 2011","Currency=USD","Period=FQ","BEST_FPERIOD_OVERRIDE=FQ","FILING_STATUS=MR","FA_ADJUSTED=GAAP","Sort=A","Dates=H","DateFormat=P","Fill=—","Direction=H","UseDPDF=Y")</f>
        <v>24.118600000000001</v>
      </c>
      <c r="O70" s="14">
        <f>_xll.BDH("AMZN US Equity","CASH_FLOW_TO_NET_INC","FQ1 2012","FQ1 2012","Currency=USD","Period=FQ","BEST_FPERIOD_OVERRIDE=FQ","FILING_STATUS=MR","FA_ADJUSTED=GAAP","Sort=A","Dates=H","DateFormat=P","Fill=—","Direction=H","UseDPDF=Y")</f>
        <v>-18.753799999999998</v>
      </c>
      <c r="P70" s="14">
        <f>_xll.BDH("AMZN US Equity","CASH_FLOW_TO_NET_INC","FQ2 2012","FQ2 2012","Currency=USD","Period=FQ","BEST_FPERIOD_OVERRIDE=FQ","FILING_STATUS=MR","FA_ADJUSTED=GAAP","Sort=A","Dates=H","DateFormat=P","Fill=—","Direction=H","UseDPDF=Y")</f>
        <v>84.857100000000003</v>
      </c>
      <c r="Q70" s="14" t="str">
        <f>_xll.BDH("AMZN US Equity","CASH_FLOW_TO_NET_INC","FQ3 2012","FQ3 2012","Currency=USD","Period=FQ","BEST_FPERIOD_OVERRIDE=FQ","FILING_STATUS=MR","FA_ADJUSTED=GAAP","Sort=A","Dates=H","DateFormat=P","Fill=—","Direction=H","UseDPDF=Y")</f>
        <v>—</v>
      </c>
      <c r="R70" s="14">
        <f>_xll.BDH("AMZN US Equity","CASH_FLOW_TO_NET_INC","FQ4 2012","FQ4 2012","Currency=USD","Period=FQ","BEST_FPERIOD_OVERRIDE=FQ","FILING_STATUS=MR","FA_ADJUSTED=GAAP","Sort=A","Dates=H","DateFormat=P","Fill=—","Direction=H","UseDPDF=Y")</f>
        <v>52.381399999999999</v>
      </c>
      <c r="S70" s="14">
        <f>_xll.BDH("AMZN US Equity","CASH_FLOW_TO_NET_INC","FQ1 2013","FQ1 2013","Currency=USD","Period=FQ","BEST_FPERIOD_OVERRIDE=FQ","FILING_STATUS=MR","FA_ADJUSTED=GAAP","Sort=A","Dates=H","DateFormat=P","Fill=—","Direction=H","UseDPDF=Y")</f>
        <v>-28.9268</v>
      </c>
      <c r="T70" s="14" t="str">
        <f>_xll.BDH("AMZN US Equity","CASH_FLOW_TO_NET_INC","FQ2 2013","FQ2 2013","Currency=USD","Period=FQ","BEST_FPERIOD_OVERRIDE=FQ","FILING_STATUS=MR","FA_ADJUSTED=GAAP","Sort=A","Dates=H","DateFormat=P","Fill=—","Direction=H","UseDPDF=Y")</f>
        <v>—</v>
      </c>
      <c r="U70" s="14" t="str">
        <f>_xll.BDH("AMZN US Equity","CASH_FLOW_TO_NET_INC","FQ3 2013","FQ3 2013","Currency=USD","Period=FQ","BEST_FPERIOD_OVERRIDE=FQ","FILING_STATUS=MR","FA_ADJUSTED=GAAP","Sort=A","Dates=H","DateFormat=P","Fill=—","Direction=H","UseDPDF=Y")</f>
        <v>—</v>
      </c>
      <c r="V70" s="14">
        <f>_xll.BDH("AMZN US Equity","CASH_FLOW_TO_NET_INC","FQ4 2013","FQ4 2013","Currency=USD","Period=FQ","BEST_FPERIOD_OVERRIDE=FQ","FILING_STATUS=MR","FA_ADJUSTED=GAAP","Sort=A","Dates=H","DateFormat=P","Fill=—","Direction=H","UseDPDF=Y")</f>
        <v>23.338899999999999</v>
      </c>
      <c r="W70" s="14">
        <f>_xll.BDH("AMZN US Equity","CASH_FLOW_TO_NET_INC","FQ1 2014","FQ1 2014","Currency=USD","Period=FQ","BEST_FPERIOD_OVERRIDE=FQ","FILING_STATUS=MR","FA_ADJUSTED=GAAP","Sort=A","Dates=H","DateFormat=P","Fill=—","Direction=H","UseDPDF=Y")</f>
        <v>-23.166699999999999</v>
      </c>
      <c r="X70" s="14" t="str">
        <f>_xll.BDH("AMZN US Equity","CASH_FLOW_TO_NET_INC","FQ2 2014","FQ2 2014","Currency=USD","Period=FQ","BEST_FPERIOD_OVERRIDE=FQ","FILING_STATUS=MR","FA_ADJUSTED=GAAP","Sort=A","Dates=H","DateFormat=P","Fill=—","Direction=H","UseDPDF=Y")</f>
        <v>—</v>
      </c>
      <c r="Y70" s="14" t="str">
        <f>_xll.BDH("AMZN US Equity","CASH_FLOW_TO_NET_INC","FQ3 2014","FQ3 2014","Currency=USD","Period=FQ","BEST_FPERIOD_OVERRIDE=FQ","FILING_STATUS=MR","FA_ADJUSTED=GAAP","Sort=A","Dates=H","DateFormat=P","Fill=—","Direction=H","UseDPDF=Y")</f>
        <v>—</v>
      </c>
      <c r="Z70" s="14">
        <f>_xll.BDH("AMZN US Equity","CASH_FLOW_TO_NET_INC","FQ4 2014","FQ4 2014","Currency=USD","Period=FQ","BEST_FPERIOD_OVERRIDE=FQ","FILING_STATUS=MR","FA_ADJUSTED=GAAP","Sort=A","Dates=H","DateFormat=P","Fill=—","Direction=H","UseDPDF=Y")</f>
        <v>31.378499999999999</v>
      </c>
      <c r="AA70" s="14" t="str">
        <f>_xll.BDH("AMZN US Equity","CASH_FLOW_TO_NET_INC","FQ1 2015","FQ1 2015","Currency=USD","Period=FQ","BEST_FPERIOD_OVERRIDE=FQ","FILING_STATUS=MR","FA_ADJUSTED=GAAP","Sort=A","Dates=H","DateFormat=P","Fill=—","Direction=H","UseDPDF=Y")</f>
        <v>—</v>
      </c>
      <c r="AB70" s="14">
        <f>_xll.BDH("AMZN US Equity","CASH_FLOW_TO_NET_INC","FQ2 2015","FQ2 2015","Currency=USD","Period=FQ","BEST_FPERIOD_OVERRIDE=FQ","FILING_STATUS=MR","FA_ADJUSTED=GAAP","Sort=A","Dates=H","DateFormat=P","Fill=—","Direction=H","UseDPDF=Y")</f>
        <v>21.706499999999998</v>
      </c>
      <c r="AC70" s="14">
        <f>_xll.BDH("AMZN US Equity","CASH_FLOW_TO_NET_INC","FQ3 2015","FQ3 2015","Currency=USD","Period=FQ","BEST_FPERIOD_OVERRIDE=FQ","FILING_STATUS=MR","FA_ADJUSTED=GAAP","Sort=A","Dates=H","DateFormat=P","Fill=—","Direction=H","UseDPDF=Y")</f>
        <v>33.037999999999997</v>
      </c>
      <c r="AD70" s="14">
        <f>_xll.BDH("AMZN US Equity","CASH_FLOW_TO_NET_INC","FQ4 2015","FQ4 2015","Currency=USD","Period=FQ","BEST_FPERIOD_OVERRIDE=FQ","FILING_STATUS=MR","FA_ADJUSTED=GAAP","Sort=A","Dates=H","DateFormat=P","Fill=—","Direction=H","UseDPDF=Y")</f>
        <v>18.2822</v>
      </c>
      <c r="AE70" s="14">
        <f>_xll.BDH("AMZN US Equity","CASH_FLOW_TO_NET_INC","FQ1 2016","FQ1 2016","Currency=USD","Period=FQ","BEST_FPERIOD_OVERRIDE=FQ","FILING_STATUS=MR","FA_ADJUSTED=GAAP","Sort=A","Dates=H","DateFormat=P","Fill=—","Direction=H","UseDPDF=Y")</f>
        <v>-3.8069999999999999</v>
      </c>
      <c r="AF70" s="14">
        <f>_xll.BDH("AMZN US Equity","CASH_FLOW_TO_NET_INC","FQ2 2016","FQ2 2016","Currency=USD","Period=FQ","BEST_FPERIOD_OVERRIDE=FQ","FILING_STATUS=MR","FA_ADJUSTED=GAAP","Sort=A","Dates=H","DateFormat=P","Fill=—","Direction=H","UseDPDF=Y")</f>
        <v>4.1749999999999998</v>
      </c>
      <c r="AG70" s="14">
        <f>_xll.BDH("AMZN US Equity","CASH_FLOW_TO_NET_INC","FQ3 2016","FQ3 2016","Currency=USD","Period=FQ","BEST_FPERIOD_OVERRIDE=FQ","FILING_STATUS=MR","FA_ADJUSTED=GAAP","Sort=A","Dates=H","DateFormat=P","Fill=—","Direction=H","UseDPDF=Y")</f>
        <v>18.488099999999999</v>
      </c>
      <c r="AH70" s="14">
        <f>_xll.BDH("AMZN US Equity","CASH_FLOW_TO_NET_INC","FQ4 2016","FQ4 2016","Currency=USD","Period=FQ","BEST_FPERIOD_OVERRIDE=FQ","FILING_STATUS=MR","FA_ADJUSTED=GAAP","Sort=A","Dates=H","DateFormat=P","Fill=—","Direction=H","UseDPDF=Y")</f>
        <v>14.668900000000001</v>
      </c>
      <c r="AI70" s="14">
        <f>_xll.BDH("AMZN US Equity","CASH_FLOW_TO_NET_INC","FQ1 2017","FQ1 2017","Currency=USD","Period=FQ","BEST_FPERIOD_OVERRIDE=FQ","FILING_STATUS=MR","FA_ADJUSTED=GAAP","Sort=A","Dates=H","DateFormat=P","Fill=—","Direction=H","UseDPDF=Y")</f>
        <v>-2.2362000000000002</v>
      </c>
      <c r="AJ70" s="14">
        <f>_xll.BDH("AMZN US Equity","CASH_FLOW_TO_NET_INC","FQ2 2017","FQ2 2017","Currency=USD","Period=FQ","BEST_FPERIOD_OVERRIDE=FQ","FILING_STATUS=MR","FA_ADJUSTED=GAAP","Sort=A","Dates=H","DateFormat=P","Fill=—","Direction=H","UseDPDF=Y")</f>
        <v>19.543099999999999</v>
      </c>
      <c r="AK70" s="14">
        <f>_xll.BDH("AMZN US Equity","CASH_FLOW_TO_NET_INC","FQ3 2017","FQ3 2017","Currency=USD","Period=FQ","BEST_FPERIOD_OVERRIDE=FQ","FILING_STATUS=MR","FA_ADJUSTED=GAAP","Sort=A","Dates=H","DateFormat=P","Fill=—","Direction=H","UseDPDF=Y")</f>
        <v>15.042999999999999</v>
      </c>
      <c r="AL70" s="14">
        <f>_xll.BDH("AMZN US Equity","CASH_FLOW_TO_NET_INC","FQ4 2017","FQ4 2017","Currency=USD","Period=FQ","BEST_FPERIOD_OVERRIDE=FQ","FILING_STATUS=MR","FA_ADJUSTED=GAAP","Sort=A","Dates=H","DateFormat=P","Fill=—","Direction=H","UseDPDF=Y")</f>
        <v>6.6509</v>
      </c>
      <c r="AM70" s="14">
        <f>_xll.BDH("AMZN US Equity","CASH_FLOW_TO_NET_INC","FQ1 2018","FQ1 2018","Currency=USD","Period=FQ","BEST_FPERIOD_OVERRIDE=FQ","FILING_STATUS=MR","FA_ADJUSTED=GAAP","Sort=A","Dates=H","DateFormat=P","Fill=—","Direction=H","UseDPDF=Y")</f>
        <v>-1.0993999999999999</v>
      </c>
      <c r="AN70" s="14">
        <f>_xll.BDH("AMZN US Equity","CASH_FLOW_TO_NET_INC","FQ2 2018","FQ2 2018","Currency=USD","Period=FQ","BEST_FPERIOD_OVERRIDE=FQ","FILING_STATUS=MR","FA_ADJUSTED=GAAP","Sort=A","Dates=H","DateFormat=P","Fill=—","Direction=H","UseDPDF=Y")</f>
        <v>2.9396</v>
      </c>
    </row>
    <row r="71" spans="1:40" x14ac:dyDescent="0.25">
      <c r="A71" s="7" t="s">
        <v>207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workbookViewId="0">
      <selection activeCell="I35" sqref="I35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467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10" t="s">
        <v>468</v>
      </c>
      <c r="B6" s="10" t="s">
        <v>339</v>
      </c>
      <c r="C6" s="13">
        <f>_xll.BDH("AMZN US Equity","BS_SH_OUT","FQ1 2009","FQ1 2009","Currency=USD","Period=FQ","BEST_FPERIOD_OVERRIDE=FQ","FILING_STATUS=MR","Sort=A","Dates=H","DateFormat=P","Fill=—","Direction=H","UseDPDF=Y")</f>
        <v>429</v>
      </c>
      <c r="D6" s="13">
        <f>_xll.BDH("AMZN US Equity","BS_SH_OUT","FQ2 2009","FQ2 2009","Currency=USD","Period=FQ","BEST_FPERIOD_OVERRIDE=FQ","FILING_STATUS=MR","Sort=A","Dates=H","DateFormat=P","Fill=—","Direction=H","UseDPDF=Y")</f>
        <v>432</v>
      </c>
      <c r="E6" s="13">
        <f>_xll.BDH("AMZN US Equity","BS_SH_OUT","FQ3 2009","FQ3 2009","Currency=USD","Period=FQ","BEST_FPERIOD_OVERRIDE=FQ","FILING_STATUS=MR","Sort=A","Dates=H","DateFormat=P","Fill=—","Direction=H","UseDPDF=Y")</f>
        <v>433</v>
      </c>
      <c r="F6" s="13">
        <f>_xll.BDH("AMZN US Equity","BS_SH_OUT","FQ4 2009","FQ4 2009","Currency=USD","Period=FQ","BEST_FPERIOD_OVERRIDE=FQ","FILING_STATUS=MR","Sort=A","Dates=H","DateFormat=P","Fill=—","Direction=H","UseDPDF=Y")</f>
        <v>444</v>
      </c>
      <c r="G6" s="13">
        <f>_xll.BDH("AMZN US Equity","BS_SH_OUT","FQ1 2010","FQ1 2010","Currency=USD","Period=FQ","BEST_FPERIOD_OVERRIDE=FQ","FILING_STATUS=MR","Sort=A","Dates=H","DateFormat=P","Fill=—","Direction=H","UseDPDF=Y")</f>
        <v>446</v>
      </c>
      <c r="H6" s="13">
        <f>_xll.BDH("AMZN US Equity","BS_SH_OUT","FQ2 2010","FQ2 2010","Currency=USD","Period=FQ","BEST_FPERIOD_OVERRIDE=FQ","FILING_STATUS=MR","Sort=A","Dates=H","DateFormat=P","Fill=—","Direction=H","UseDPDF=Y")</f>
        <v>448</v>
      </c>
      <c r="I6" s="13">
        <f>_xll.BDH("AMZN US Equity","BS_SH_OUT","FQ3 2010","FQ3 2010","Currency=USD","Period=FQ","BEST_FPERIOD_OVERRIDE=FQ","FILING_STATUS=MR","Sort=A","Dates=H","DateFormat=P","Fill=—","Direction=H","UseDPDF=Y")</f>
        <v>449</v>
      </c>
      <c r="J6" s="13">
        <f>_xll.BDH("AMZN US Equity","BS_SH_OUT","FQ4 2010","FQ4 2010","Currency=USD","Period=FQ","BEST_FPERIOD_OVERRIDE=FQ","FILING_STATUS=MR","Sort=A","Dates=H","DateFormat=P","Fill=—","Direction=H","UseDPDF=Y")</f>
        <v>451</v>
      </c>
      <c r="K6" s="13">
        <f>_xll.BDH("AMZN US Equity","BS_SH_OUT","FQ1 2011","FQ1 2011","Currency=USD","Period=FQ","BEST_FPERIOD_OVERRIDE=FQ","FILING_STATUS=MR","Sort=A","Dates=H","DateFormat=P","Fill=—","Direction=H","UseDPDF=Y")</f>
        <v>452</v>
      </c>
      <c r="L6" s="13">
        <f>_xll.BDH("AMZN US Equity","BS_SH_OUT","FQ2 2011","FQ2 2011","Currency=USD","Period=FQ","BEST_FPERIOD_OVERRIDE=FQ","FILING_STATUS=MR","Sort=A","Dates=H","DateFormat=P","Fill=—","Direction=H","UseDPDF=Y")</f>
        <v>454</v>
      </c>
      <c r="M6" s="13">
        <f>_xll.BDH("AMZN US Equity","BS_SH_OUT","FQ3 2011","FQ3 2011","Currency=USD","Period=FQ","BEST_FPERIOD_OVERRIDE=FQ","FILING_STATUS=MR","Sort=A","Dates=H","DateFormat=P","Fill=—","Direction=H","UseDPDF=Y")</f>
        <v>455</v>
      </c>
      <c r="N6" s="13">
        <f>_xll.BDH("AMZN US Equity","BS_SH_OUT","FQ4 2011","FQ4 2011","Currency=USD","Period=FQ","BEST_FPERIOD_OVERRIDE=FQ","FILING_STATUS=MR","Sort=A","Dates=H","DateFormat=P","Fill=—","Direction=H","UseDPDF=Y")</f>
        <v>455</v>
      </c>
      <c r="O6" s="13">
        <f>_xll.BDH("AMZN US Equity","BS_SH_OUT","FQ1 2012","FQ1 2012","Currency=USD","Period=FQ","BEST_FPERIOD_OVERRIDE=FQ","FILING_STATUS=MR","Sort=A","Dates=H","DateFormat=P","Fill=—","Direction=H","UseDPDF=Y")</f>
        <v>450</v>
      </c>
      <c r="P6" s="13">
        <f>_xll.BDH("AMZN US Equity","BS_SH_OUT","FQ2 2012","FQ2 2012","Currency=USD","Period=FQ","BEST_FPERIOD_OVERRIDE=FQ","FILING_STATUS=MR","Sort=A","Dates=H","DateFormat=P","Fill=—","Direction=H","UseDPDF=Y")</f>
        <v>452</v>
      </c>
      <c r="Q6" s="13">
        <f>_xll.BDH("AMZN US Equity","BS_SH_OUT","FQ3 2012","FQ3 2012","Currency=USD","Period=FQ","BEST_FPERIOD_OVERRIDE=FQ","FILING_STATUS=MR","Sort=A","Dates=H","DateFormat=P","Fill=—","Direction=H","UseDPDF=Y")</f>
        <v>453</v>
      </c>
      <c r="R6" s="13">
        <f>_xll.BDH("AMZN US Equity","BS_SH_OUT","FQ4 2012","FQ4 2012","Currency=USD","Period=FQ","BEST_FPERIOD_OVERRIDE=FQ","FILING_STATUS=MR","Sort=A","Dates=H","DateFormat=P","Fill=—","Direction=H","UseDPDF=Y")</f>
        <v>454</v>
      </c>
      <c r="S6" s="13">
        <f>_xll.BDH("AMZN US Equity","BS_SH_OUT","FQ1 2013","FQ1 2013","Currency=USD","Period=FQ","BEST_FPERIOD_OVERRIDE=FQ","FILING_STATUS=MR","Sort=A","Dates=H","DateFormat=P","Fill=—","Direction=H","UseDPDF=Y")</f>
        <v>455</v>
      </c>
      <c r="T6" s="13">
        <f>_xll.BDH("AMZN US Equity","BS_SH_OUT","FQ2 2013","FQ2 2013","Currency=USD","Period=FQ","BEST_FPERIOD_OVERRIDE=FQ","FILING_STATUS=MR","Sort=A","Dates=H","DateFormat=P","Fill=—","Direction=H","UseDPDF=Y")</f>
        <v>457</v>
      </c>
      <c r="U6" s="13">
        <f>_xll.BDH("AMZN US Equity","BS_SH_OUT","FQ3 2013","FQ3 2013","Currency=USD","Period=FQ","BEST_FPERIOD_OVERRIDE=FQ","FILING_STATUS=MR","Sort=A","Dates=H","DateFormat=P","Fill=—","Direction=H","UseDPDF=Y")</f>
        <v>458</v>
      </c>
      <c r="V6" s="13">
        <f>_xll.BDH("AMZN US Equity","BS_SH_OUT","FQ4 2013","FQ4 2013","Currency=USD","Period=FQ","BEST_FPERIOD_OVERRIDE=FQ","FILING_STATUS=MR","Sort=A","Dates=H","DateFormat=P","Fill=—","Direction=H","UseDPDF=Y")</f>
        <v>459</v>
      </c>
      <c r="W6" s="13">
        <f>_xll.BDH("AMZN US Equity","BS_SH_OUT","FQ1 2014","FQ1 2014","Currency=USD","Period=FQ","BEST_FPERIOD_OVERRIDE=FQ","FILING_STATUS=MR","Sort=A","Dates=H","DateFormat=P","Fill=—","Direction=H","UseDPDF=Y")</f>
        <v>460</v>
      </c>
      <c r="X6" s="13">
        <f>_xll.BDH("AMZN US Equity","BS_SH_OUT","FQ2 2014","FQ2 2014","Currency=USD","Period=FQ","BEST_FPERIOD_OVERRIDE=FQ","FILING_STATUS=MR","Sort=A","Dates=H","DateFormat=P","Fill=—","Direction=H","UseDPDF=Y")</f>
        <v>462</v>
      </c>
      <c r="Y6" s="13">
        <f>_xll.BDH("AMZN US Equity","BS_SH_OUT","FQ3 2014","FQ3 2014","Currency=USD","Period=FQ","BEST_FPERIOD_OVERRIDE=FQ","FILING_STATUS=MR","Sort=A","Dates=H","DateFormat=P","Fill=—","Direction=H","UseDPDF=Y")</f>
        <v>463</v>
      </c>
      <c r="Z6" s="13">
        <f>_xll.BDH("AMZN US Equity","BS_SH_OUT","FQ4 2014","FQ4 2014","Currency=USD","Period=FQ","BEST_FPERIOD_OVERRIDE=FQ","FILING_STATUS=MR","Sort=A","Dates=H","DateFormat=P","Fill=—","Direction=H","UseDPDF=Y")</f>
        <v>465</v>
      </c>
      <c r="AA6" s="13">
        <f>_xll.BDH("AMZN US Equity","BS_SH_OUT","FQ1 2015","FQ1 2015","Currency=USD","Period=FQ","BEST_FPERIOD_OVERRIDE=FQ","FILING_STATUS=MR","Sort=A","Dates=H","DateFormat=P","Fill=—","Direction=H","UseDPDF=Y")</f>
        <v>466</v>
      </c>
      <c r="AB6" s="13">
        <f>_xll.BDH("AMZN US Equity","BS_SH_OUT","FQ2 2015","FQ2 2015","Currency=USD","Period=FQ","BEST_FPERIOD_OVERRIDE=FQ","FILING_STATUS=MR","Sort=A","Dates=H","DateFormat=P","Fill=—","Direction=H","UseDPDF=Y")</f>
        <v>468</v>
      </c>
      <c r="AC6" s="13">
        <f>_xll.BDH("AMZN US Equity","BS_SH_OUT","FQ3 2015","FQ3 2015","Currency=USD","Period=FQ","BEST_FPERIOD_OVERRIDE=FQ","FILING_STATUS=MR","Sort=A","Dates=H","DateFormat=P","Fill=—","Direction=H","UseDPDF=Y")</f>
        <v>469</v>
      </c>
      <c r="AD6" s="13">
        <f>_xll.BDH("AMZN US Equity","BS_SH_OUT","FQ4 2015","FQ4 2015","Currency=USD","Period=FQ","BEST_FPERIOD_OVERRIDE=FQ","FILING_STATUS=MR","Sort=A","Dates=H","DateFormat=P","Fill=—","Direction=H","UseDPDF=Y")</f>
        <v>471</v>
      </c>
      <c r="AE6" s="13">
        <f>_xll.BDH("AMZN US Equity","BS_SH_OUT","FQ1 2016","FQ1 2016","Currency=USD","Period=FQ","BEST_FPERIOD_OVERRIDE=FQ","FILING_STATUS=MR","Sort=A","Dates=H","DateFormat=P","Fill=—","Direction=H","UseDPDF=Y")</f>
        <v>472</v>
      </c>
      <c r="AF6" s="13">
        <f>_xll.BDH("AMZN US Equity","BS_SH_OUT","FQ2 2016","FQ2 2016","Currency=USD","Period=FQ","BEST_FPERIOD_OVERRIDE=FQ","FILING_STATUS=MR","Sort=A","Dates=H","DateFormat=P","Fill=—","Direction=H","UseDPDF=Y")</f>
        <v>474</v>
      </c>
      <c r="AG6" s="13">
        <f>_xll.BDH("AMZN US Equity","BS_SH_OUT","FQ3 2016","FQ3 2016","Currency=USD","Period=FQ","BEST_FPERIOD_OVERRIDE=FQ","FILING_STATUS=MR","Sort=A","Dates=H","DateFormat=P","Fill=—","Direction=H","UseDPDF=Y")</f>
        <v>475</v>
      </c>
      <c r="AH6" s="13">
        <f>_xll.BDH("AMZN US Equity","BS_SH_OUT","FQ4 2016","FQ4 2016","Currency=USD","Period=FQ","BEST_FPERIOD_OVERRIDE=FQ","FILING_STATUS=MR","Sort=A","Dates=H","DateFormat=P","Fill=—","Direction=H","UseDPDF=Y")</f>
        <v>477</v>
      </c>
      <c r="AI6" s="13">
        <f>_xll.BDH("AMZN US Equity","BS_SH_OUT","FQ1 2017","FQ1 2017","Currency=USD","Period=FQ","BEST_FPERIOD_OVERRIDE=FQ","FILING_STATUS=MR","Sort=A","Dates=H","DateFormat=P","Fill=—","Direction=H","UseDPDF=Y")</f>
        <v>478</v>
      </c>
      <c r="AJ6" s="13">
        <f>_xll.BDH("AMZN US Equity","BS_SH_OUT","FQ2 2017","FQ2 2017","Currency=USD","Period=FQ","BEST_FPERIOD_OVERRIDE=FQ","FILING_STATUS=MR","Sort=A","Dates=H","DateFormat=P","Fill=—","Direction=H","UseDPDF=Y")</f>
        <v>480</v>
      </c>
      <c r="AK6" s="13">
        <f>_xll.BDH("AMZN US Equity","BS_SH_OUT","FQ3 2017","FQ3 2017","Currency=USD","Period=FQ","BEST_FPERIOD_OVERRIDE=FQ","FILING_STATUS=MR","Sort=A","Dates=H","DateFormat=P","Fill=—","Direction=H","UseDPDF=Y")</f>
        <v>482</v>
      </c>
      <c r="AL6" s="13">
        <f>_xll.BDH("AMZN US Equity","BS_SH_OUT","FQ4 2017","FQ4 2017","Currency=USD","Period=FQ","BEST_FPERIOD_OVERRIDE=FQ","FILING_STATUS=MR","Sort=A","Dates=H","DateFormat=P","Fill=—","Direction=H","UseDPDF=Y")</f>
        <v>484</v>
      </c>
      <c r="AM6" s="13">
        <f>_xll.BDH("AMZN US Equity","BS_SH_OUT","FQ1 2018","FQ1 2018","Currency=USD","Period=FQ","BEST_FPERIOD_OVERRIDE=FQ","FILING_STATUS=MR","Sort=A","Dates=H","DateFormat=P","Fill=—","Direction=H","UseDPDF=Y")</f>
        <v>484</v>
      </c>
      <c r="AN6" s="13">
        <f>_xll.BDH("AMZN US Equity","BS_SH_OUT","FQ2 2018","FQ2 2018","Currency=USD","Period=FQ","BEST_FPERIOD_OVERRIDE=FQ","FILING_STATUS=MR","Sort=A","Dates=H","DateFormat=P","Fill=—","Direction=H","UseDPDF=Y")</f>
        <v>487</v>
      </c>
      <c r="AO6" s="13"/>
      <c r="AP6" s="13"/>
    </row>
    <row r="7" spans="1:42" x14ac:dyDescent="0.25">
      <c r="A7" s="10" t="s">
        <v>173</v>
      </c>
      <c r="B7" s="10" t="s">
        <v>174</v>
      </c>
      <c r="C7" s="13">
        <f>_xll.BDH("AMZN US Equity","IS_SH_FOR_DILUTED_EPS","FQ1 2009","FQ1 2009","Currency=USD","Period=FQ","BEST_FPERIOD_OVERRIDE=FQ","FILING_STATUS=MR","Sort=A","Dates=H","DateFormat=P","Fill=—","Direction=H","UseDPDF=Y")</f>
        <v>437</v>
      </c>
      <c r="D7" s="13">
        <f>_xll.BDH("AMZN US Equity","IS_SH_FOR_DILUTED_EPS","FQ2 2009","FQ2 2009","Currency=USD","Period=FQ","BEST_FPERIOD_OVERRIDE=FQ","FILING_STATUS=MR","Sort=A","Dates=H","DateFormat=P","Fill=—","Direction=H","UseDPDF=Y")</f>
        <v>440</v>
      </c>
      <c r="E7" s="13">
        <f>_xll.BDH("AMZN US Equity","IS_SH_FOR_DILUTED_EPS","FQ3 2009","FQ3 2009","Currency=USD","Period=FQ","BEST_FPERIOD_OVERRIDE=FQ","FILING_STATUS=MR","Sort=A","Dates=H","DateFormat=P","Fill=—","Direction=H","UseDPDF=Y")</f>
        <v>441</v>
      </c>
      <c r="F7" s="13">
        <f>_xll.BDH("AMZN US Equity","IS_SH_FOR_DILUTED_EPS","FQ4 2009","FQ4 2009","Currency=USD","Period=FQ","BEST_FPERIOD_OVERRIDE=FQ","FILING_STATUS=MR","Sort=A","Dates=H","DateFormat=P","Fill=—","Direction=H","UseDPDF=Y")</f>
        <v>450</v>
      </c>
      <c r="G7" s="13">
        <f>_xll.BDH("AMZN US Equity","IS_SH_FOR_DILUTED_EPS","FQ1 2010","FQ1 2010","Currency=USD","Period=FQ","BEST_FPERIOD_OVERRIDE=FQ","FILING_STATUS=MR","Sort=A","Dates=H","DateFormat=P","Fill=—","Direction=H","UseDPDF=Y")</f>
        <v>454</v>
      </c>
      <c r="H7" s="13">
        <f>_xll.BDH("AMZN US Equity","IS_SH_FOR_DILUTED_EPS","FQ2 2010","FQ2 2010","Currency=USD","Period=FQ","BEST_FPERIOD_OVERRIDE=FQ","FILING_STATUS=MR","Sort=A","Dates=H","DateFormat=P","Fill=—","Direction=H","UseDPDF=Y")</f>
        <v>455</v>
      </c>
      <c r="I7" s="13">
        <f>_xll.BDH("AMZN US Equity","IS_SH_FOR_DILUTED_EPS","FQ3 2010","FQ3 2010","Currency=USD","Period=FQ","BEST_FPERIOD_OVERRIDE=FQ","FILING_STATUS=MR","Sort=A","Dates=H","DateFormat=P","Fill=—","Direction=H","UseDPDF=Y")</f>
        <v>456</v>
      </c>
      <c r="J7" s="13">
        <f>_xll.BDH("AMZN US Equity","IS_SH_FOR_DILUTED_EPS","FQ4 2010","FQ4 2010","Currency=USD","Period=FQ","BEST_FPERIOD_OVERRIDE=FQ","FILING_STATUS=MR","Sort=A","Dates=H","DateFormat=P","Fill=—","Direction=H","UseDPDF=Y")</f>
        <v>458</v>
      </c>
      <c r="K7" s="13">
        <f>_xll.BDH("AMZN US Equity","IS_SH_FOR_DILUTED_EPS","FQ1 2011","FQ1 2011","Currency=USD","Period=FQ","BEST_FPERIOD_OVERRIDE=FQ","FILING_STATUS=MR","Sort=A","Dates=H","DateFormat=P","Fill=—","Direction=H","UseDPDF=Y")</f>
        <v>459</v>
      </c>
      <c r="L7" s="13">
        <f>_xll.BDH("AMZN US Equity","IS_SH_FOR_DILUTED_EPS","FQ2 2011","FQ2 2011","Currency=USD","Period=FQ","BEST_FPERIOD_OVERRIDE=FQ","FILING_STATUS=MR","Sort=A","Dates=H","DateFormat=P","Fill=—","Direction=H","UseDPDF=Y")</f>
        <v>460</v>
      </c>
      <c r="M7" s="13">
        <f>_xll.BDH("AMZN US Equity","IS_SH_FOR_DILUTED_EPS","FQ3 2011","FQ3 2011","Currency=USD","Period=FQ","BEST_FPERIOD_OVERRIDE=FQ","FILING_STATUS=MR","Sort=A","Dates=H","DateFormat=P","Fill=—","Direction=H","UseDPDF=Y")</f>
        <v>461</v>
      </c>
      <c r="N7" s="13">
        <f>_xll.BDH("AMZN US Equity","IS_SH_FOR_DILUTED_EPS","FQ4 2011","FQ4 2011","Currency=USD","Period=FQ","BEST_FPERIOD_OVERRIDE=FQ","FILING_STATUS=MR","Sort=A","Dates=H","DateFormat=P","Fill=—","Direction=H","UseDPDF=Y")</f>
        <v>462</v>
      </c>
      <c r="O7" s="13">
        <f>_xll.BDH("AMZN US Equity","IS_SH_FOR_DILUTED_EPS","FQ1 2012","FQ1 2012","Currency=USD","Period=FQ","BEST_FPERIOD_OVERRIDE=FQ","FILING_STATUS=MR","Sort=A","Dates=H","DateFormat=P","Fill=—","Direction=H","UseDPDF=Y")</f>
        <v>460</v>
      </c>
      <c r="P7" s="13">
        <f>_xll.BDH("AMZN US Equity","IS_SH_FOR_DILUTED_EPS","FQ2 2012","FQ2 2012","Currency=USD","Period=FQ","BEST_FPERIOD_OVERRIDE=FQ","FILING_STATUS=MR","Sort=A","Dates=H","DateFormat=P","Fill=—","Direction=H","UseDPDF=Y")</f>
        <v>458</v>
      </c>
      <c r="Q7" s="13">
        <f>_xll.BDH("AMZN US Equity","IS_SH_FOR_DILUTED_EPS","FQ3 2012","FQ3 2012","Currency=USD","Period=FQ","BEST_FPERIOD_OVERRIDE=FQ","FILING_STATUS=MR","Sort=A","Dates=H","DateFormat=P","Fill=—","Direction=H","UseDPDF=Y")</f>
        <v>460</v>
      </c>
      <c r="R7" s="13">
        <f>_xll.BDH("AMZN US Equity","IS_SH_FOR_DILUTED_EPS","FQ4 2012","FQ4 2012","Currency=USD","Period=FQ","BEST_FPERIOD_OVERRIDE=FQ","FILING_STATUS=MR","Sort=A","Dates=H","DateFormat=P","Fill=—","Direction=H","UseDPDF=Y")</f>
        <v>461</v>
      </c>
      <c r="S7" s="13">
        <f>_xll.BDH("AMZN US Equity","IS_SH_FOR_DILUTED_EPS","FQ1 2013","FQ1 2013","Currency=USD","Period=FQ","BEST_FPERIOD_OVERRIDE=FQ","FILING_STATUS=MR","Sort=A","Dates=H","DateFormat=P","Fill=—","Direction=H","UseDPDF=Y")</f>
        <v>463</v>
      </c>
      <c r="T7" s="13">
        <f>_xll.BDH("AMZN US Equity","IS_SH_FOR_DILUTED_EPS","FQ2 2013","FQ2 2013","Currency=USD","Period=FQ","BEST_FPERIOD_OVERRIDE=FQ","FILING_STATUS=MR","Sort=A","Dates=H","DateFormat=P","Fill=—","Direction=H","UseDPDF=Y")</f>
        <v>456</v>
      </c>
      <c r="U7" s="13">
        <f>_xll.BDH("AMZN US Equity","IS_SH_FOR_DILUTED_EPS","FQ3 2013","FQ3 2013","Currency=USD","Period=FQ","BEST_FPERIOD_OVERRIDE=FQ","FILING_STATUS=MR","Sort=A","Dates=H","DateFormat=P","Fill=—","Direction=H","UseDPDF=Y")</f>
        <v>457</v>
      </c>
      <c r="V7" s="13">
        <f>_xll.BDH("AMZN US Equity","IS_SH_FOR_DILUTED_EPS","FQ4 2013","FQ4 2013","Currency=USD","Period=FQ","BEST_FPERIOD_OVERRIDE=FQ","FILING_STATUS=MR","Sort=A","Dates=H","DateFormat=P","Fill=—","Direction=H","UseDPDF=Y")</f>
        <v>467</v>
      </c>
      <c r="W7" s="13">
        <f>_xll.BDH("AMZN US Equity","IS_SH_FOR_DILUTED_EPS","FQ1 2014","FQ1 2014","Currency=USD","Period=FQ","BEST_FPERIOD_OVERRIDE=FQ","FILING_STATUS=MR","Sort=A","Dates=H","DateFormat=P","Fill=—","Direction=H","UseDPDF=Y")</f>
        <v>468</v>
      </c>
      <c r="X7" s="13">
        <f>_xll.BDH("AMZN US Equity","IS_SH_FOR_DILUTED_EPS","FQ2 2014","FQ2 2014","Currency=USD","Period=FQ","BEST_FPERIOD_OVERRIDE=FQ","FILING_STATUS=MR","Sort=A","Dates=H","DateFormat=P","Fill=—","Direction=H","UseDPDF=Y")</f>
        <v>461</v>
      </c>
      <c r="Y7" s="13">
        <f>_xll.BDH("AMZN US Equity","IS_SH_FOR_DILUTED_EPS","FQ3 2014","FQ3 2014","Currency=USD","Period=FQ","BEST_FPERIOD_OVERRIDE=FQ","FILING_STATUS=MR","Sort=A","Dates=H","DateFormat=P","Fill=—","Direction=H","UseDPDF=Y")</f>
        <v>463</v>
      </c>
      <c r="Z7" s="13">
        <f>_xll.BDH("AMZN US Equity","IS_SH_FOR_DILUTED_EPS","FQ4 2014","FQ4 2014","Currency=USD","Period=FQ","BEST_FPERIOD_OVERRIDE=FQ","FILING_STATUS=MR","Sort=A","Dates=H","DateFormat=P","Fill=—","Direction=H","UseDPDF=Y")</f>
        <v>472</v>
      </c>
      <c r="AA7" s="13">
        <f>_xll.BDH("AMZN US Equity","IS_SH_FOR_DILUTED_EPS","FQ1 2015","FQ1 2015","Currency=USD","Period=FQ","BEST_FPERIOD_OVERRIDE=FQ","FILING_STATUS=MR","Sort=A","Dates=H","DateFormat=P","Fill=—","Direction=H","UseDPDF=Y")</f>
        <v>465</v>
      </c>
      <c r="AB7" s="13">
        <f>_xll.BDH("AMZN US Equity","IS_SH_FOR_DILUTED_EPS","FQ2 2015","FQ2 2015","Currency=USD","Period=FQ","BEST_FPERIOD_OVERRIDE=FQ","FILING_STATUS=MR","Sort=A","Dates=H","DateFormat=P","Fill=—","Direction=H","UseDPDF=Y")</f>
        <v>476</v>
      </c>
      <c r="AC7" s="13">
        <f>_xll.BDH("AMZN US Equity","IS_SH_FOR_DILUTED_EPS","FQ3 2015","FQ3 2015","Currency=USD","Period=FQ","BEST_FPERIOD_OVERRIDE=FQ","FILING_STATUS=MR","Sort=A","Dates=H","DateFormat=P","Fill=—","Direction=H","UseDPDF=Y")</f>
        <v>478</v>
      </c>
      <c r="AD7" s="13">
        <f>_xll.BDH("AMZN US Equity","IS_SH_FOR_DILUTED_EPS","FQ4 2015","FQ4 2015","Currency=USD","Period=FQ","BEST_FPERIOD_OVERRIDE=FQ","FILING_STATUS=MR","Sort=A","Dates=H","DateFormat=P","Fill=—","Direction=H","UseDPDF=Y")</f>
        <v>481</v>
      </c>
      <c r="AE7" s="13">
        <f>_xll.BDH("AMZN US Equity","IS_SH_FOR_DILUTED_EPS","FQ1 2016","FQ1 2016","Currency=USD","Period=FQ","BEST_FPERIOD_OVERRIDE=FQ","FILING_STATUS=MR","Sort=A","Dates=H","DateFormat=P","Fill=—","Direction=H","UseDPDF=Y")</f>
        <v>481</v>
      </c>
      <c r="AF7" s="13">
        <f>_xll.BDH("AMZN US Equity","IS_SH_FOR_DILUTED_EPS","FQ2 2016","FQ2 2016","Currency=USD","Period=FQ","BEST_FPERIOD_OVERRIDE=FQ","FILING_STATUS=MR","Sort=A","Dates=H","DateFormat=P","Fill=—","Direction=H","UseDPDF=Y")</f>
        <v>483</v>
      </c>
      <c r="AG7" s="13">
        <f>_xll.BDH("AMZN US Equity","IS_SH_FOR_DILUTED_EPS","FQ3 2016","FQ3 2016","Currency=USD","Period=FQ","BEST_FPERIOD_OVERRIDE=FQ","FILING_STATUS=MR","Sort=A","Dates=H","DateFormat=P","Fill=—","Direction=H","UseDPDF=Y")</f>
        <v>485</v>
      </c>
      <c r="AH7" s="13">
        <f>_xll.BDH("AMZN US Equity","IS_SH_FOR_DILUTED_EPS","FQ4 2016","FQ4 2016","Currency=USD","Period=FQ","BEST_FPERIOD_OVERRIDE=FQ","FILING_STATUS=MR","Sort=A","Dates=H","DateFormat=P","Fill=—","Direction=H","UseDPDF=Y")</f>
        <v>486</v>
      </c>
      <c r="AI7" s="13">
        <f>_xll.BDH("AMZN US Equity","IS_SH_FOR_DILUTED_EPS","FQ1 2017","FQ1 2017","Currency=USD","Period=FQ","BEST_FPERIOD_OVERRIDE=FQ","FILING_STATUS=MR","Sort=A","Dates=H","DateFormat=P","Fill=—","Direction=H","UseDPDF=Y")</f>
        <v>490</v>
      </c>
      <c r="AJ7" s="13">
        <f>_xll.BDH("AMZN US Equity","IS_SH_FOR_DILUTED_EPS","FQ2 2017","FQ2 2017","Currency=USD","Period=FQ","BEST_FPERIOD_OVERRIDE=FQ","FILING_STATUS=MR","Sort=A","Dates=H","DateFormat=P","Fill=—","Direction=H","UseDPDF=Y")</f>
        <v>492</v>
      </c>
      <c r="AK7" s="13">
        <f>_xll.BDH("AMZN US Equity","IS_SH_FOR_DILUTED_EPS","FQ3 2017","FQ3 2017","Currency=USD","Period=FQ","BEST_FPERIOD_OVERRIDE=FQ","FILING_STATUS=MR","Sort=A","Dates=H","DateFormat=P","Fill=—","Direction=H","UseDPDF=Y")</f>
        <v>494</v>
      </c>
      <c r="AL7" s="13">
        <f>_xll.BDH("AMZN US Equity","IS_SH_FOR_DILUTED_EPS","FQ4 2017","FQ4 2017","Currency=USD","Period=FQ","BEST_FPERIOD_OVERRIDE=FQ","FILING_STATUS=MR","Sort=A","Dates=H","DateFormat=P","Fill=—","Direction=H","UseDPDF=Y")</f>
        <v>496</v>
      </c>
      <c r="AM7" s="13">
        <f>_xll.BDH("AMZN US Equity","IS_SH_FOR_DILUTED_EPS","FQ1 2018","FQ1 2018","Currency=USD","Period=FQ","BEST_FPERIOD_OVERRIDE=FQ","FILING_STATUS=MR","Sort=A","Dates=H","DateFormat=P","Fill=—","Direction=H","UseDPDF=Y")</f>
        <v>498</v>
      </c>
      <c r="AN7" s="13">
        <f>_xll.BDH("AMZN US Equity","IS_SH_FOR_DILUTED_EPS","FQ2 2018","FQ2 2018","Currency=USD","Period=FQ","BEST_FPERIOD_OVERRIDE=FQ","FILING_STATUS=MR","Sort=A","Dates=H","DateFormat=P","Fill=—","Direction=H","UseDPDF=Y")</f>
        <v>500</v>
      </c>
      <c r="AO7" s="13"/>
      <c r="AP7" s="13"/>
    </row>
    <row r="8" spans="1:42" x14ac:dyDescent="0.25">
      <c r="A8" s="10" t="s">
        <v>165</v>
      </c>
      <c r="B8" s="10" t="s">
        <v>166</v>
      </c>
      <c r="C8" s="13">
        <f>_xll.BDH("AMZN US Equity","IS_AVG_NUM_SH_FOR_EPS","FQ1 2009","FQ1 2009","Currency=USD","Period=FQ","BEST_FPERIOD_OVERRIDE=FQ","FILING_STATUS=MR","Sort=A","Dates=H","DateFormat=P","Fill=—","Direction=H","UseDPDF=Y")</f>
        <v>429</v>
      </c>
      <c r="D8" s="13">
        <f>_xll.BDH("AMZN US Equity","IS_AVG_NUM_SH_FOR_EPS","FQ2 2009","FQ2 2009","Currency=USD","Period=FQ","BEST_FPERIOD_OVERRIDE=FQ","FILING_STATUS=MR","Sort=A","Dates=H","DateFormat=P","Fill=—","Direction=H","UseDPDF=Y")</f>
        <v>431</v>
      </c>
      <c r="E8" s="13">
        <f>_xll.BDH("AMZN US Equity","IS_AVG_NUM_SH_FOR_EPS","FQ3 2009","FQ3 2009","Currency=USD","Period=FQ","BEST_FPERIOD_OVERRIDE=FQ","FILING_STATUS=MR","Sort=A","Dates=H","DateFormat=P","Fill=—","Direction=H","UseDPDF=Y")</f>
        <v>432</v>
      </c>
      <c r="F8" s="13">
        <f>_xll.BDH("AMZN US Equity","IS_AVG_NUM_SH_FOR_EPS","FQ4 2009","FQ4 2009","Currency=USD","Period=FQ","BEST_FPERIOD_OVERRIDE=FQ","FILING_STATUS=MR","Sort=A","Dates=H","DateFormat=P","Fill=—","Direction=H","UseDPDF=Y")</f>
        <v>440</v>
      </c>
      <c r="G8" s="13">
        <f>_xll.BDH("AMZN US Equity","IS_AVG_NUM_SH_FOR_EPS","FQ1 2010","FQ1 2010","Currency=USD","Period=FQ","BEST_FPERIOD_OVERRIDE=FQ","FILING_STATUS=MR","Sort=A","Dates=H","DateFormat=P","Fill=—","Direction=H","UseDPDF=Y")</f>
        <v>445</v>
      </c>
      <c r="H8" s="13">
        <f>_xll.BDH("AMZN US Equity","IS_AVG_NUM_SH_FOR_EPS","FQ2 2010","FQ2 2010","Currency=USD","Period=FQ","BEST_FPERIOD_OVERRIDE=FQ","FILING_STATUS=MR","Sort=A","Dates=H","DateFormat=P","Fill=—","Direction=H","UseDPDF=Y")</f>
        <v>447</v>
      </c>
      <c r="I8" s="13">
        <f>_xll.BDH("AMZN US Equity","IS_AVG_NUM_SH_FOR_EPS","FQ3 2010","FQ3 2010","Currency=USD","Period=FQ","BEST_FPERIOD_OVERRIDE=FQ","FILING_STATUS=MR","Sort=A","Dates=H","DateFormat=P","Fill=—","Direction=H","UseDPDF=Y")</f>
        <v>448</v>
      </c>
      <c r="J8" s="13">
        <f>_xll.BDH("AMZN US Equity","IS_AVG_NUM_SH_FOR_EPS","FQ4 2010","FQ4 2010","Currency=USD","Period=FQ","BEST_FPERIOD_OVERRIDE=FQ","FILING_STATUS=MR","Sort=A","Dates=H","DateFormat=P","Fill=—","Direction=H","UseDPDF=Y")</f>
        <v>450</v>
      </c>
      <c r="K8" s="13">
        <f>_xll.BDH("AMZN US Equity","IS_AVG_NUM_SH_FOR_EPS","FQ1 2011","FQ1 2011","Currency=USD","Period=FQ","BEST_FPERIOD_OVERRIDE=FQ","FILING_STATUS=MR","Sort=A","Dates=H","DateFormat=P","Fill=—","Direction=H","UseDPDF=Y")</f>
        <v>451</v>
      </c>
      <c r="L8" s="13">
        <f>_xll.BDH("AMZN US Equity","IS_AVG_NUM_SH_FOR_EPS","FQ2 2011","FQ2 2011","Currency=USD","Period=FQ","BEST_FPERIOD_OVERRIDE=FQ","FILING_STATUS=MR","Sort=A","Dates=H","DateFormat=P","Fill=—","Direction=H","UseDPDF=Y")</f>
        <v>453</v>
      </c>
      <c r="M8" s="13">
        <f>_xll.BDH("AMZN US Equity","IS_AVG_NUM_SH_FOR_EPS","FQ3 2011","FQ3 2011","Currency=USD","Period=FQ","BEST_FPERIOD_OVERRIDE=FQ","FILING_STATUS=MR","Sort=A","Dates=H","DateFormat=P","Fill=—","Direction=H","UseDPDF=Y")</f>
        <v>454</v>
      </c>
      <c r="N8" s="13">
        <f>_xll.BDH("AMZN US Equity","IS_AVG_NUM_SH_FOR_EPS","FQ4 2011","FQ4 2011","Currency=USD","Period=FQ","BEST_FPERIOD_OVERRIDE=FQ","FILING_STATUS=MR","Sort=A","Dates=H","DateFormat=P","Fill=—","Direction=H","UseDPDF=Y")</f>
        <v>455</v>
      </c>
      <c r="O8" s="13">
        <f>_xll.BDH("AMZN US Equity","IS_AVG_NUM_SH_FOR_EPS","FQ1 2012","FQ1 2012","Currency=USD","Period=FQ","BEST_FPERIOD_OVERRIDE=FQ","FILING_STATUS=MR","Sort=A","Dates=H","DateFormat=P","Fill=—","Direction=H","UseDPDF=Y")</f>
        <v>453</v>
      </c>
      <c r="P8" s="13">
        <f>_xll.BDH("AMZN US Equity","IS_AVG_NUM_SH_FOR_EPS","FQ2 2012","FQ2 2012","Currency=USD","Period=FQ","BEST_FPERIOD_OVERRIDE=FQ","FILING_STATUS=MR","Sort=A","Dates=H","DateFormat=P","Fill=—","Direction=H","UseDPDF=Y")</f>
        <v>451</v>
      </c>
      <c r="Q8" s="13">
        <f>_xll.BDH("AMZN US Equity","IS_AVG_NUM_SH_FOR_EPS","FQ3 2012","FQ3 2012","Currency=USD","Period=FQ","BEST_FPERIOD_OVERRIDE=FQ","FILING_STATUS=MR","Sort=A","Dates=H","DateFormat=P","Fill=—","Direction=H","UseDPDF=Y")</f>
        <v>452</v>
      </c>
      <c r="R8" s="13">
        <f>_xll.BDH("AMZN US Equity","IS_AVG_NUM_SH_FOR_EPS","FQ4 2012","FQ4 2012","Currency=USD","Period=FQ","BEST_FPERIOD_OVERRIDE=FQ","FILING_STATUS=MR","Sort=A","Dates=H","DateFormat=P","Fill=—","Direction=H","UseDPDF=Y")</f>
        <v>454</v>
      </c>
      <c r="S8" s="13">
        <f>_xll.BDH("AMZN US Equity","IS_AVG_NUM_SH_FOR_EPS","FQ1 2013","FQ1 2013","Currency=USD","Period=FQ","BEST_FPERIOD_OVERRIDE=FQ","FILING_STATUS=MR","Sort=A","Dates=H","DateFormat=P","Fill=—","Direction=H","UseDPDF=Y")</f>
        <v>455</v>
      </c>
      <c r="T8" s="13">
        <f>_xll.BDH("AMZN US Equity","IS_AVG_NUM_SH_FOR_EPS","FQ2 2013","FQ2 2013","Currency=USD","Period=FQ","BEST_FPERIOD_OVERRIDE=FQ","FILING_STATUS=MR","Sort=A","Dates=H","DateFormat=P","Fill=—","Direction=H","UseDPDF=Y")</f>
        <v>456</v>
      </c>
      <c r="U8" s="13">
        <f>_xll.BDH("AMZN US Equity","IS_AVG_NUM_SH_FOR_EPS","FQ3 2013","FQ3 2013","Currency=USD","Period=FQ","BEST_FPERIOD_OVERRIDE=FQ","FILING_STATUS=MR","Sort=A","Dates=H","DateFormat=P","Fill=—","Direction=H","UseDPDF=Y")</f>
        <v>457</v>
      </c>
      <c r="V8" s="13">
        <f>_xll.BDH("AMZN US Equity","IS_AVG_NUM_SH_FOR_EPS","FQ4 2013","FQ4 2013","Currency=USD","Period=FQ","BEST_FPERIOD_OVERRIDE=FQ","FILING_STATUS=MR","Sort=A","Dates=H","DateFormat=P","Fill=—","Direction=H","UseDPDF=Y")</f>
        <v>458</v>
      </c>
      <c r="W8" s="13">
        <f>_xll.BDH("AMZN US Equity","IS_AVG_NUM_SH_FOR_EPS","FQ1 2014","FQ1 2014","Currency=USD","Period=FQ","BEST_FPERIOD_OVERRIDE=FQ","FILING_STATUS=MR","Sort=A","Dates=H","DateFormat=P","Fill=—","Direction=H","UseDPDF=Y")</f>
        <v>460</v>
      </c>
      <c r="X8" s="13">
        <f>_xll.BDH("AMZN US Equity","IS_AVG_NUM_SH_FOR_EPS","FQ2 2014","FQ2 2014","Currency=USD","Period=FQ","BEST_FPERIOD_OVERRIDE=FQ","FILING_STATUS=MR","Sort=A","Dates=H","DateFormat=P","Fill=—","Direction=H","UseDPDF=Y")</f>
        <v>461</v>
      </c>
      <c r="Y8" s="13">
        <f>_xll.BDH("AMZN US Equity","IS_AVG_NUM_SH_FOR_EPS","FQ3 2014","FQ3 2014","Currency=USD","Period=FQ","BEST_FPERIOD_OVERRIDE=FQ","FILING_STATUS=MR","Sort=A","Dates=H","DateFormat=P","Fill=—","Direction=H","UseDPDF=Y")</f>
        <v>463</v>
      </c>
      <c r="Z8" s="13">
        <f>_xll.BDH("AMZN US Equity","IS_AVG_NUM_SH_FOR_EPS","FQ4 2014","FQ4 2014","Currency=USD","Period=FQ","BEST_FPERIOD_OVERRIDE=FQ","FILING_STATUS=MR","Sort=A","Dates=H","DateFormat=P","Fill=—","Direction=H","UseDPDF=Y")</f>
        <v>464</v>
      </c>
      <c r="AA8" s="13">
        <f>_xll.BDH("AMZN US Equity","IS_AVG_NUM_SH_FOR_EPS","FQ1 2015","FQ1 2015","Currency=USD","Period=FQ","BEST_FPERIOD_OVERRIDE=FQ","FILING_STATUS=MR","Sort=A","Dates=H","DateFormat=P","Fill=—","Direction=H","UseDPDF=Y")</f>
        <v>465</v>
      </c>
      <c r="AB8" s="13">
        <f>_xll.BDH("AMZN US Equity","IS_AVG_NUM_SH_FOR_EPS","FQ2 2015","FQ2 2015","Currency=USD","Period=FQ","BEST_FPERIOD_OVERRIDE=FQ","FILING_STATUS=MR","Sort=A","Dates=H","DateFormat=P","Fill=—","Direction=H","UseDPDF=Y")</f>
        <v>467</v>
      </c>
      <c r="AC8" s="13">
        <f>_xll.BDH("AMZN US Equity","IS_AVG_NUM_SH_FOR_EPS","FQ3 2015","FQ3 2015","Currency=USD","Period=FQ","BEST_FPERIOD_OVERRIDE=FQ","FILING_STATUS=MR","Sort=A","Dates=H","DateFormat=P","Fill=—","Direction=H","UseDPDF=Y")</f>
        <v>468</v>
      </c>
      <c r="AD8" s="13">
        <f>_xll.BDH("AMZN US Equity","IS_AVG_NUM_SH_FOR_EPS","FQ4 2015","FQ4 2015","Currency=USD","Period=FQ","BEST_FPERIOD_OVERRIDE=FQ","FILING_STATUS=MR","Sort=A","Dates=H","DateFormat=P","Fill=—","Direction=H","UseDPDF=Y")</f>
        <v>470</v>
      </c>
      <c r="AE8" s="13">
        <f>_xll.BDH("AMZN US Equity","IS_AVG_NUM_SH_FOR_EPS","FQ1 2016","FQ1 2016","Currency=USD","Period=FQ","BEST_FPERIOD_OVERRIDE=FQ","FILING_STATUS=MR","Sort=A","Dates=H","DateFormat=P","Fill=—","Direction=H","UseDPDF=Y")</f>
        <v>471</v>
      </c>
      <c r="AF8" s="13">
        <f>_xll.BDH("AMZN US Equity","IS_AVG_NUM_SH_FOR_EPS","FQ2 2016","FQ2 2016","Currency=USD","Period=FQ","BEST_FPERIOD_OVERRIDE=FQ","FILING_STATUS=MR","Sort=A","Dates=H","DateFormat=P","Fill=—","Direction=H","UseDPDF=Y")</f>
        <v>473</v>
      </c>
      <c r="AG8" s="13">
        <f>_xll.BDH("AMZN US Equity","IS_AVG_NUM_SH_FOR_EPS","FQ3 2016","FQ3 2016","Currency=USD","Period=FQ","BEST_FPERIOD_OVERRIDE=FQ","FILING_STATUS=MR","Sort=A","Dates=H","DateFormat=P","Fill=—","Direction=H","UseDPDF=Y")</f>
        <v>474</v>
      </c>
      <c r="AH8" s="13">
        <f>_xll.BDH("AMZN US Equity","IS_AVG_NUM_SH_FOR_EPS","FQ4 2016","FQ4 2016","Currency=USD","Period=FQ","BEST_FPERIOD_OVERRIDE=FQ","FILING_STATUS=MR","Sort=A","Dates=H","DateFormat=P","Fill=—","Direction=H","UseDPDF=Y")</f>
        <v>476</v>
      </c>
      <c r="AI8" s="13">
        <f>_xll.BDH("AMZN US Equity","IS_AVG_NUM_SH_FOR_EPS","FQ1 2017","FQ1 2017","Currency=USD","Period=FQ","BEST_FPERIOD_OVERRIDE=FQ","FILING_STATUS=MR","Sort=A","Dates=H","DateFormat=P","Fill=—","Direction=H","UseDPDF=Y")</f>
        <v>477</v>
      </c>
      <c r="AJ8" s="13">
        <f>_xll.BDH("AMZN US Equity","IS_AVG_NUM_SH_FOR_EPS","FQ2 2017","FQ2 2017","Currency=USD","Period=FQ","BEST_FPERIOD_OVERRIDE=FQ","FILING_STATUS=MR","Sort=A","Dates=H","DateFormat=P","Fill=—","Direction=H","UseDPDF=Y")</f>
        <v>479</v>
      </c>
      <c r="AK8" s="13">
        <f>_xll.BDH("AMZN US Equity","IS_AVG_NUM_SH_FOR_EPS","FQ3 2017","FQ3 2017","Currency=USD","Period=FQ","BEST_FPERIOD_OVERRIDE=FQ","FILING_STATUS=MR","Sort=A","Dates=H","DateFormat=P","Fill=—","Direction=H","UseDPDF=Y")</f>
        <v>481</v>
      </c>
      <c r="AL8" s="13">
        <f>_xll.BDH("AMZN US Equity","IS_AVG_NUM_SH_FOR_EPS","FQ4 2017","FQ4 2017","Currency=USD","Period=FQ","BEST_FPERIOD_OVERRIDE=FQ","FILING_STATUS=MR","Sort=A","Dates=H","DateFormat=P","Fill=—","Direction=H","UseDPDF=Y")</f>
        <v>483</v>
      </c>
      <c r="AM8" s="13">
        <f>_xll.BDH("AMZN US Equity","IS_AVG_NUM_SH_FOR_EPS","FQ1 2018","FQ1 2018","Currency=USD","Period=FQ","BEST_FPERIOD_OVERRIDE=FQ","FILING_STATUS=MR","Sort=A","Dates=H","DateFormat=P","Fill=—","Direction=H","UseDPDF=Y")</f>
        <v>484</v>
      </c>
      <c r="AN8" s="13">
        <f>_xll.BDH("AMZN US Equity","IS_AVG_NUM_SH_FOR_EPS","FQ2 2018","FQ2 2018","Currency=USD","Period=FQ","BEST_FPERIOD_OVERRIDE=FQ","FILING_STATUS=MR","Sort=A","Dates=H","DateFormat=P","Fill=—","Direction=H","UseDPDF=Y")</f>
        <v>486</v>
      </c>
      <c r="AO8" s="13"/>
      <c r="AP8" s="13"/>
    </row>
    <row r="9" spans="1:42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6" t="s">
        <v>469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x14ac:dyDescent="0.25">
      <c r="A11" s="10" t="s">
        <v>0</v>
      </c>
      <c r="B11" s="10" t="s">
        <v>470</v>
      </c>
      <c r="C11" s="14">
        <f>_xll.BDH("AMZN US Equity","REVENUE_PER_SH","FQ1 2009","FQ1 2009","Currency=USD","Period=FQ","BEST_FPERIOD_OVERRIDE=FQ","FILING_STATUS=MR","FA_ADJUSTED=GAAP","Sort=A","Dates=H","DateFormat=P","Fill=—","Direction=H","UseDPDF=Y")</f>
        <v>11.3963</v>
      </c>
      <c r="D11" s="14">
        <f>_xll.BDH("AMZN US Equity","REVENUE_PER_SH","FQ2 2009","FQ2 2009","Currency=USD","Period=FQ","BEST_FPERIOD_OVERRIDE=FQ","FILING_STATUS=MR","FA_ADJUSTED=GAAP","Sort=A","Dates=H","DateFormat=P","Fill=—","Direction=H","UseDPDF=Y")</f>
        <v>10.7912</v>
      </c>
      <c r="E11" s="14">
        <f>_xll.BDH("AMZN US Equity","REVENUE_PER_SH","FQ3 2009","FQ3 2009","Currency=USD","Period=FQ","BEST_FPERIOD_OVERRIDE=FQ","FILING_STATUS=MR","FA_ADJUSTED=GAAP","Sort=A","Dates=H","DateFormat=P","Fill=—","Direction=H","UseDPDF=Y")</f>
        <v>12.6134</v>
      </c>
      <c r="F11" s="14">
        <f>_xll.BDH("AMZN US Equity","REVENUE_PER_SH","FQ4 2009","FQ4 2009","Currency=USD","Period=FQ","BEST_FPERIOD_OVERRIDE=FQ","FILING_STATUS=MR","FA_ADJUSTED=GAAP","Sort=A","Dates=H","DateFormat=P","Fill=—","Direction=H","UseDPDF=Y")</f>
        <v>21.6341</v>
      </c>
      <c r="G11" s="14">
        <f>_xll.BDH("AMZN US Equity","REVENUE_PER_SH","FQ1 2010","FQ1 2010","Currency=USD","Period=FQ","BEST_FPERIOD_OVERRIDE=FQ","FILING_STATUS=MR","FA_ADJUSTED=GAAP","Sort=A","Dates=H","DateFormat=P","Fill=—","Direction=H","UseDPDF=Y")</f>
        <v>16.024699999999999</v>
      </c>
      <c r="H11" s="14">
        <f>_xll.BDH("AMZN US Equity","REVENUE_PER_SH","FQ2 2010","FQ2 2010","Currency=USD","Period=FQ","BEST_FPERIOD_OVERRIDE=FQ","FILING_STATUS=MR","FA_ADJUSTED=GAAP","Sort=A","Dates=H","DateFormat=P","Fill=—","Direction=H","UseDPDF=Y")</f>
        <v>14.689</v>
      </c>
      <c r="I11" s="14">
        <f>_xll.BDH("AMZN US Equity","REVENUE_PER_SH","FQ3 2010","FQ3 2010","Currency=USD","Period=FQ","BEST_FPERIOD_OVERRIDE=FQ","FILING_STATUS=MR","FA_ADJUSTED=GAAP","Sort=A","Dates=H","DateFormat=P","Fill=—","Direction=H","UseDPDF=Y")</f>
        <v>16.875</v>
      </c>
      <c r="J11" s="14">
        <f>_xll.BDH("AMZN US Equity","REVENUE_PER_SH","FQ4 2010","FQ4 2010","Currency=USD","Period=FQ","BEST_FPERIOD_OVERRIDE=FQ","FILING_STATUS=MR","FA_ADJUSTED=GAAP","Sort=A","Dates=H","DateFormat=P","Fill=—","Direction=H","UseDPDF=Y")</f>
        <v>28.773299999999999</v>
      </c>
      <c r="K11" s="14">
        <f>_xll.BDH("AMZN US Equity","REVENUE_PER_SH","FQ1 2011","FQ1 2011","Currency=USD","Period=FQ","BEST_FPERIOD_OVERRIDE=FQ","FILING_STATUS=MR","FA_ADJUSTED=GAAP","Sort=A","Dates=H","DateFormat=P","Fill=—","Direction=H","UseDPDF=Y")</f>
        <v>21.855899999999998</v>
      </c>
      <c r="L11" s="14">
        <f>_xll.BDH("AMZN US Equity","REVENUE_PER_SH","FQ2 2011","FQ2 2011","Currency=USD","Period=FQ","BEST_FPERIOD_OVERRIDE=FQ","FILING_STATUS=MR","FA_ADJUSTED=GAAP","Sort=A","Dates=H","DateFormat=P","Fill=—","Direction=H","UseDPDF=Y")</f>
        <v>21.882999999999999</v>
      </c>
      <c r="M11" s="14">
        <f>_xll.BDH("AMZN US Equity","REVENUE_PER_SH","FQ3 2011","FQ3 2011","Currency=USD","Period=FQ","BEST_FPERIOD_OVERRIDE=FQ","FILING_STATUS=MR","FA_ADJUSTED=GAAP","Sort=A","Dates=H","DateFormat=P","Fill=—","Direction=H","UseDPDF=Y")</f>
        <v>23.9559</v>
      </c>
      <c r="N11" s="14">
        <f>_xll.BDH("AMZN US Equity","REVENUE_PER_SH","FQ4 2011","FQ4 2011","Currency=USD","Period=FQ","BEST_FPERIOD_OVERRIDE=FQ","FILING_STATUS=MR","FA_ADJUSTED=GAAP","Sort=A","Dates=H","DateFormat=P","Fill=—","Direction=H","UseDPDF=Y")</f>
        <v>38.309899999999999</v>
      </c>
      <c r="O11" s="14">
        <f>_xll.BDH("AMZN US Equity","REVENUE_PER_SH","FQ1 2012","FQ1 2012","Currency=USD","Period=FQ","BEST_FPERIOD_OVERRIDE=FQ","FILING_STATUS=MR","FA_ADJUSTED=GAAP","Sort=A","Dates=H","DateFormat=P","Fill=—","Direction=H","UseDPDF=Y")</f>
        <v>29.106000000000002</v>
      </c>
      <c r="P11" s="14">
        <f>_xll.BDH("AMZN US Equity","REVENUE_PER_SH","FQ2 2012","FQ2 2012","Currency=USD","Period=FQ","BEST_FPERIOD_OVERRIDE=FQ","FILING_STATUS=MR","FA_ADJUSTED=GAAP","Sort=A","Dates=H","DateFormat=P","Fill=—","Direction=H","UseDPDF=Y")</f>
        <v>28.456800000000001</v>
      </c>
      <c r="Q11" s="14">
        <f>_xll.BDH("AMZN US Equity","REVENUE_PER_SH","FQ3 2012","FQ3 2012","Currency=USD","Period=FQ","BEST_FPERIOD_OVERRIDE=FQ","FILING_STATUS=MR","FA_ADJUSTED=GAAP","Sort=A","Dates=H","DateFormat=P","Fill=—","Direction=H","UseDPDF=Y")</f>
        <v>30.5442</v>
      </c>
      <c r="R11" s="14">
        <f>_xll.BDH("AMZN US Equity","REVENUE_PER_SH","FQ4 2012","FQ4 2012","Currency=USD","Period=FQ","BEST_FPERIOD_OVERRIDE=FQ","FILING_STATUS=MR","FA_ADJUSTED=GAAP","Sort=A","Dates=H","DateFormat=P","Fill=—","Direction=H","UseDPDF=Y")</f>
        <v>46.845799999999997</v>
      </c>
      <c r="S11" s="14">
        <f>_xll.BDH("AMZN US Equity","REVENUE_PER_SH","FQ1 2013","FQ1 2013","Currency=USD","Period=FQ","BEST_FPERIOD_OVERRIDE=FQ","FILING_STATUS=MR","FA_ADJUSTED=GAAP","Sort=A","Dates=H","DateFormat=P","Fill=—","Direction=H","UseDPDF=Y")</f>
        <v>35.3187</v>
      </c>
      <c r="T11" s="14">
        <f>_xll.BDH("AMZN US Equity","REVENUE_PER_SH","FQ2 2013","FQ2 2013","Currency=USD","Period=FQ","BEST_FPERIOD_OVERRIDE=FQ","FILING_STATUS=MR","FA_ADJUSTED=GAAP","Sort=A","Dates=H","DateFormat=P","Fill=—","Direction=H","UseDPDF=Y")</f>
        <v>34.438600000000001</v>
      </c>
      <c r="U11" s="14">
        <f>_xll.BDH("AMZN US Equity","REVENUE_PER_SH","FQ3 2013","FQ3 2013","Currency=USD","Period=FQ","BEST_FPERIOD_OVERRIDE=FQ","FILING_STATUS=MR","FA_ADJUSTED=GAAP","Sort=A","Dates=H","DateFormat=P","Fill=—","Direction=H","UseDPDF=Y")</f>
        <v>37.400399999999998</v>
      </c>
      <c r="V11" s="14">
        <f>_xll.BDH("AMZN US Equity","REVENUE_PER_SH","FQ4 2013","FQ4 2013","Currency=USD","Period=FQ","BEST_FPERIOD_OVERRIDE=FQ","FILING_STATUS=MR","FA_ADJUSTED=GAAP","Sort=A","Dates=H","DateFormat=P","Fill=—","Direction=H","UseDPDF=Y")</f>
        <v>55.866799999999998</v>
      </c>
      <c r="W11" s="14">
        <f>_xll.BDH("AMZN US Equity","REVENUE_PER_SH","FQ1 2014","FQ1 2014","Currency=USD","Period=FQ","BEST_FPERIOD_OVERRIDE=FQ","FILING_STATUS=MR","FA_ADJUSTED=GAAP","Sort=A","Dates=H","DateFormat=P","Fill=—","Direction=H","UseDPDF=Y")</f>
        <v>42.915199999999999</v>
      </c>
      <c r="X11" s="14">
        <f>_xll.BDH("AMZN US Equity","REVENUE_PER_SH","FQ2 2014","FQ2 2014","Currency=USD","Period=FQ","BEST_FPERIOD_OVERRIDE=FQ","FILING_STATUS=MR","FA_ADJUSTED=GAAP","Sort=A","Dates=H","DateFormat=P","Fill=—","Direction=H","UseDPDF=Y")</f>
        <v>41.952300000000001</v>
      </c>
      <c r="Y11" s="14">
        <f>_xll.BDH("AMZN US Equity","REVENUE_PER_SH","FQ3 2014","FQ3 2014","Currency=USD","Period=FQ","BEST_FPERIOD_OVERRIDE=FQ","FILING_STATUS=MR","FA_ADJUSTED=GAAP","Sort=A","Dates=H","DateFormat=P","Fill=—","Direction=H","UseDPDF=Y")</f>
        <v>44.447099999999999</v>
      </c>
      <c r="Z11" s="14">
        <f>_xll.BDH("AMZN US Equity","REVENUE_PER_SH","FQ4 2014","FQ4 2014","Currency=USD","Period=FQ","BEST_FPERIOD_OVERRIDE=FQ","FILING_STATUS=MR","FA_ADJUSTED=GAAP","Sort=A","Dates=H","DateFormat=P","Fill=—","Direction=H","UseDPDF=Y")</f>
        <v>63.206899999999997</v>
      </c>
      <c r="AA11" s="14">
        <f>_xll.BDH("AMZN US Equity","REVENUE_PER_SH","FQ1 2015","FQ1 2015","Currency=USD","Period=FQ","BEST_FPERIOD_OVERRIDE=FQ","FILING_STATUS=MR","FA_ADJUSTED=GAAP","Sort=A","Dates=H","DateFormat=P","Fill=—","Direction=H","UseDPDF=Y")</f>
        <v>48.8538</v>
      </c>
      <c r="AB11" s="14">
        <f>_xll.BDH("AMZN US Equity","REVENUE_PER_SH","FQ2 2015","FQ2 2015","Currency=USD","Period=FQ","BEST_FPERIOD_OVERRIDE=FQ","FILING_STATUS=MR","FA_ADJUSTED=GAAP","Sort=A","Dates=H","DateFormat=P","Fill=—","Direction=H","UseDPDF=Y")</f>
        <v>49.646700000000003</v>
      </c>
      <c r="AC11" s="14">
        <f>_xll.BDH("AMZN US Equity","REVENUE_PER_SH","FQ3 2015","FQ3 2015","Currency=USD","Period=FQ","BEST_FPERIOD_OVERRIDE=FQ","FILING_STATUS=MR","FA_ADJUSTED=GAAP","Sort=A","Dates=H","DateFormat=P","Fill=—","Direction=H","UseDPDF=Y")</f>
        <v>54.183799999999998</v>
      </c>
      <c r="AD11" s="14">
        <f>_xll.BDH("AMZN US Equity","REVENUE_PER_SH","FQ4 2015","FQ4 2015","Currency=USD","Period=FQ","BEST_FPERIOD_OVERRIDE=FQ","FILING_STATUS=MR","FA_ADJUSTED=GAAP","Sort=A","Dates=H","DateFormat=P","Fill=—","Direction=H","UseDPDF=Y")</f>
        <v>76.057400000000001</v>
      </c>
      <c r="AE11" s="14">
        <f>_xll.BDH("AMZN US Equity","REVENUE_PER_SH","FQ1 2016","FQ1 2016","Currency=USD","Period=FQ","BEST_FPERIOD_OVERRIDE=FQ","FILING_STATUS=MR","FA_ADJUSTED=GAAP","Sort=A","Dates=H","DateFormat=P","Fill=—","Direction=H","UseDPDF=Y")</f>
        <v>61.8429</v>
      </c>
      <c r="AF11" s="14">
        <f>_xll.BDH("AMZN US Equity","REVENUE_PER_SH","FQ2 2016","FQ2 2016","Currency=USD","Period=FQ","BEST_FPERIOD_OVERRIDE=FQ","FILING_STATUS=MR","FA_ADJUSTED=GAAP","Sort=A","Dates=H","DateFormat=P","Fill=—","Direction=H","UseDPDF=Y")</f>
        <v>64.2791</v>
      </c>
      <c r="AG11" s="14">
        <f>_xll.BDH("AMZN US Equity","REVENUE_PER_SH","FQ3 2016","FQ3 2016","Currency=USD","Period=FQ","BEST_FPERIOD_OVERRIDE=FQ","FILING_STATUS=MR","FA_ADJUSTED=GAAP","Sort=A","Dates=H","DateFormat=P","Fill=—","Direction=H","UseDPDF=Y")</f>
        <v>69.016900000000007</v>
      </c>
      <c r="AH11" s="14">
        <f>_xll.BDH("AMZN US Equity","REVENUE_PER_SH","FQ4 2016","FQ4 2016","Currency=USD","Period=FQ","BEST_FPERIOD_OVERRIDE=FQ","FILING_STATUS=MR","FA_ADJUSTED=GAAP","Sort=A","Dates=H","DateFormat=P","Fill=—","Direction=H","UseDPDF=Y")</f>
        <v>91.892899999999997</v>
      </c>
      <c r="AI11" s="14">
        <f>_xll.BDH("AMZN US Equity","REVENUE_PER_SH","FQ1 2017","FQ1 2017","Currency=USD","Period=FQ","BEST_FPERIOD_OVERRIDE=FQ","FILING_STATUS=MR","FA_ADJUSTED=GAAP","Sort=A","Dates=H","DateFormat=P","Fill=—","Direction=H","UseDPDF=Y")</f>
        <v>74.872100000000003</v>
      </c>
      <c r="AJ11" s="14">
        <f>_xll.BDH("AMZN US Equity","REVENUE_PER_SH","FQ2 2017","FQ2 2017","Currency=USD","Period=FQ","BEST_FPERIOD_OVERRIDE=FQ","FILING_STATUS=MR","FA_ADJUSTED=GAAP","Sort=A","Dates=H","DateFormat=P","Fill=—","Direction=H","UseDPDF=Y")</f>
        <v>79.238</v>
      </c>
      <c r="AK11" s="14">
        <f>_xll.BDH("AMZN US Equity","REVENUE_PER_SH","FQ3 2017","FQ3 2017","Currency=USD","Period=FQ","BEST_FPERIOD_OVERRIDE=FQ","FILING_STATUS=MR","FA_ADJUSTED=GAAP","Sort=A","Dates=H","DateFormat=P","Fill=—","Direction=H","UseDPDF=Y")</f>
        <v>90.943899999999999</v>
      </c>
      <c r="AL11" s="14">
        <f>_xll.BDH("AMZN US Equity","REVENUE_PER_SH","FQ4 2017","FQ4 2017","Currency=USD","Period=FQ","BEST_FPERIOD_OVERRIDE=FQ","FILING_STATUS=MR","FA_ADJUSTED=GAAP","Sort=A","Dates=H","DateFormat=P","Fill=—","Direction=H","UseDPDF=Y")</f>
        <v>125.1615</v>
      </c>
      <c r="AM11" s="14">
        <f>_xll.BDH("AMZN US Equity","REVENUE_PER_SH","FQ1 2018","FQ1 2018","Currency=USD","Period=FQ","BEST_FPERIOD_OVERRIDE=FQ","FILING_STATUS=MR","FA_ADJUSTED=GAAP","Sort=A","Dates=H","DateFormat=P","Fill=—","Direction=H","UseDPDF=Y")</f>
        <v>105.45869999999999</v>
      </c>
      <c r="AN11" s="14">
        <f>_xll.BDH("AMZN US Equity","REVENUE_PER_SH","FQ2 2018","FQ2 2018","Currency=USD","Period=FQ","BEST_FPERIOD_OVERRIDE=FQ","FILING_STATUS=MR","FA_ADJUSTED=GAAP","Sort=A","Dates=H","DateFormat=P","Fill=—","Direction=H","UseDPDF=Y")</f>
        <v>108.8189</v>
      </c>
      <c r="AO11" s="14"/>
      <c r="AP11" s="14"/>
    </row>
    <row r="12" spans="1:42" x14ac:dyDescent="0.25">
      <c r="A12" s="10" t="s">
        <v>184</v>
      </c>
      <c r="B12" s="10" t="s">
        <v>471</v>
      </c>
      <c r="C12" s="14">
        <f>_xll.BDH("AMZN US Equity","EBITDA_PER_SH","FQ1 2009","FQ1 2009","Currency=USD","Period=FQ","BEST_FPERIOD_OVERRIDE=FQ","FILING_STATUS=MR","FA_ADJUSTED=GAAP","Sort=A","Dates=H","DateFormat=P","Fill=—","Direction=H","UseDPDF=Y")</f>
        <v>0.7762</v>
      </c>
      <c r="D12" s="14">
        <f>_xll.BDH("AMZN US Equity","EBITDA_PER_SH","FQ2 2009","FQ2 2009","Currency=USD","Period=FQ","BEST_FPERIOD_OVERRIDE=FQ","FILING_STATUS=MR","FA_ADJUSTED=GAAP","Sort=A","Dates=H","DateFormat=P","Fill=—","Direction=H","UseDPDF=Y")</f>
        <v>0.57999999999999996</v>
      </c>
      <c r="E12" s="14">
        <f>_xll.BDH("AMZN US Equity","EBITDA_PER_SH","FQ3 2009","FQ3 2009","Currency=USD","Period=FQ","BEST_FPERIOD_OVERRIDE=FQ","FILING_STATUS=MR","FA_ADJUSTED=GAAP","Sort=A","Dates=H","DateFormat=P","Fill=—","Direction=H","UseDPDF=Y")</f>
        <v>0.80320000000000003</v>
      </c>
      <c r="F12" s="14">
        <f>_xll.BDH("AMZN US Equity","EBITDA_PER_SH","FQ4 2009","FQ4 2009","Currency=USD","Period=FQ","BEST_FPERIOD_OVERRIDE=FQ","FILING_STATUS=MR","FA_ADJUSTED=GAAP","Sort=A","Dates=H","DateFormat=P","Fill=—","Direction=H","UseDPDF=Y")</f>
        <v>1.3364</v>
      </c>
      <c r="G12" s="14">
        <f>_xll.BDH("AMZN US Equity","EBITDA_PER_SH","FQ1 2010","FQ1 2010","Currency=USD","Period=FQ","BEST_FPERIOD_OVERRIDE=FQ","FILING_STATUS=MR","FA_ADJUSTED=GAAP","Sort=A","Dates=H","DateFormat=P","Fill=—","Direction=H","UseDPDF=Y")</f>
        <v>1.1528</v>
      </c>
      <c r="H12" s="14">
        <f>_xll.BDH("AMZN US Equity","EBITDA_PER_SH","FQ2 2010","FQ2 2010","Currency=USD","Period=FQ","BEST_FPERIOD_OVERRIDE=FQ","FILING_STATUS=MR","FA_ADJUSTED=GAAP","Sort=A","Dates=H","DateFormat=P","Fill=—","Direction=H","UseDPDF=Y")</f>
        <v>0.89259999999999995</v>
      </c>
      <c r="I12" s="14">
        <f>_xll.BDH("AMZN US Equity","EBITDA_PER_SH","FQ3 2010","FQ3 2010","Currency=USD","Period=FQ","BEST_FPERIOD_OVERRIDE=FQ","FILING_STATUS=MR","FA_ADJUSTED=GAAP","Sort=A","Dates=H","DateFormat=P","Fill=—","Direction=H","UseDPDF=Y")</f>
        <v>0.93300000000000005</v>
      </c>
      <c r="J12" s="14">
        <f>_xll.BDH("AMZN US Equity","EBITDA_PER_SH","FQ4 2010","FQ4 2010","Currency=USD","Period=FQ","BEST_FPERIOD_OVERRIDE=FQ","FILING_STATUS=MR","FA_ADJUSTED=GAAP","Sort=A","Dates=H","DateFormat=P","Fill=—","Direction=H","UseDPDF=Y")</f>
        <v>1.4311</v>
      </c>
      <c r="K12" s="14">
        <f>_xll.BDH("AMZN US Equity","EBITDA_PER_SH","FQ1 2011","FQ1 2011","Currency=USD","Period=FQ","BEST_FPERIOD_OVERRIDE=FQ","FILING_STATUS=MR","FA_ADJUSTED=GAAP","Sort=A","Dates=H","DateFormat=P","Fill=—","Direction=H","UseDPDF=Y")</f>
        <v>1.1618999999999999</v>
      </c>
      <c r="L12" s="14">
        <f>_xll.BDH("AMZN US Equity","EBITDA_PER_SH","FQ2 2011","FQ2 2011","Currency=USD","Period=FQ","BEST_FPERIOD_OVERRIDE=FQ","FILING_STATUS=MR","FA_ADJUSTED=GAAP","Sort=A","Dates=H","DateFormat=P","Fill=—","Direction=H","UseDPDF=Y")</f>
        <v>0.98229999999999995</v>
      </c>
      <c r="M12" s="14">
        <f>_xll.BDH("AMZN US Equity","EBITDA_PER_SH","FQ3 2011","FQ3 2011","Currency=USD","Period=FQ","BEST_FPERIOD_OVERRIDE=FQ","FILING_STATUS=MR","FA_ADJUSTED=GAAP","Sort=A","Dates=H","DateFormat=P","Fill=—","Direction=H","UseDPDF=Y")</f>
        <v>0.7863</v>
      </c>
      <c r="N12" s="14">
        <f>_xll.BDH("AMZN US Equity","EBITDA_PER_SH","FQ4 2011","FQ4 2011","Currency=USD","Period=FQ","BEST_FPERIOD_OVERRIDE=FQ","FILING_STATUS=MR","FA_ADJUSTED=GAAP","Sort=A","Dates=H","DateFormat=P","Fill=—","Direction=H","UseDPDF=Y")</f>
        <v>1.3604000000000001</v>
      </c>
      <c r="O12" s="14">
        <f>_xll.BDH("AMZN US Equity","EBITDA_PER_SH","FQ1 2012","FQ1 2012","Currency=USD","Period=FQ","BEST_FPERIOD_OVERRIDE=FQ","FILING_STATUS=MR","FA_ADJUSTED=GAAP","Sort=A","Dates=H","DateFormat=P","Fill=—","Direction=H","UseDPDF=Y")</f>
        <v>1.4327000000000001</v>
      </c>
      <c r="P12" s="14">
        <f>_xll.BDH("AMZN US Equity","EBITDA_PER_SH","FQ2 2012","FQ2 2012","Currency=USD","Period=FQ","BEST_FPERIOD_OVERRIDE=FQ","FILING_STATUS=MR","FA_ADJUSTED=GAAP","Sort=A","Dates=H","DateFormat=P","Fill=—","Direction=H","UseDPDF=Y")</f>
        <v>1.3126</v>
      </c>
      <c r="Q12" s="14">
        <f>_xll.BDH("AMZN US Equity","EBITDA_PER_SH","FQ3 2012","FQ3 2012","Currency=USD","Period=FQ","BEST_FPERIOD_OVERRIDE=FQ","FILING_STATUS=MR","FA_ADJUSTED=GAAP","Sort=A","Dates=H","DateFormat=P","Fill=—","Direction=H","UseDPDF=Y")</f>
        <v>1.1637</v>
      </c>
      <c r="R12" s="14">
        <f>_xll.BDH("AMZN US Equity","EBITDA_PER_SH","FQ4 2012","FQ4 2012","Currency=USD","Period=FQ","BEST_FPERIOD_OVERRIDE=FQ","FILING_STATUS=MR","FA_ADJUSTED=GAAP","Sort=A","Dates=H","DateFormat=P","Fill=—","Direction=H","UseDPDF=Y")</f>
        <v>2.3502000000000001</v>
      </c>
      <c r="S12" s="14">
        <f>_xll.BDH("AMZN US Equity","EBITDA_PER_SH","FQ1 2013","FQ1 2013","Currency=USD","Period=FQ","BEST_FPERIOD_OVERRIDE=FQ","FILING_STATUS=MR","FA_ADJUSTED=GAAP","Sort=A","Dates=H","DateFormat=P","Fill=—","Direction=H","UseDPDF=Y")</f>
        <v>1.9363000000000001</v>
      </c>
      <c r="T12" s="14">
        <f>_xll.BDH("AMZN US Equity","EBITDA_PER_SH","FQ2 2013","FQ2 2013","Currency=USD","Period=FQ","BEST_FPERIOD_OVERRIDE=FQ","FILING_STATUS=MR","FA_ADJUSTED=GAAP","Sort=A","Dates=H","DateFormat=P","Fill=—","Direction=H","UseDPDF=Y")</f>
        <v>1.8310999999999999</v>
      </c>
      <c r="U12" s="14">
        <f>_xll.BDH("AMZN US Equity","EBITDA_PER_SH","FQ3 2013","FQ3 2013","Currency=USD","Period=FQ","BEST_FPERIOD_OVERRIDE=FQ","FILING_STATUS=MR","FA_ADJUSTED=GAAP","Sort=A","Dates=H","DateFormat=P","Fill=—","Direction=H","UseDPDF=Y")</f>
        <v>1.7702</v>
      </c>
      <c r="V12" s="14">
        <f>_xll.BDH("AMZN US Equity","EBITDA_PER_SH","FQ4 2013","FQ4 2013","Currency=USD","Period=FQ","BEST_FPERIOD_OVERRIDE=FQ","FILING_STATUS=MR","FA_ADJUSTED=GAAP","Sort=A","Dates=H","DateFormat=P","Fill=—","Direction=H","UseDPDF=Y")</f>
        <v>3.2162000000000002</v>
      </c>
      <c r="W12" s="14">
        <f>_xll.BDH("AMZN US Equity","EBITDA_PER_SH","FQ1 2014","FQ1 2014","Currency=USD","Period=FQ","BEST_FPERIOD_OVERRIDE=FQ","FILING_STATUS=MR","FA_ADJUSTED=GAAP","Sort=A","Dates=H","DateFormat=P","Fill=—","Direction=H","UseDPDF=Y")</f>
        <v>2.5129999999999999</v>
      </c>
      <c r="X12" s="14">
        <f>_xll.BDH("AMZN US Equity","EBITDA_PER_SH","FQ2 2014","FQ2 2014","Currency=USD","Period=FQ","BEST_FPERIOD_OVERRIDE=FQ","FILING_STATUS=MR","FA_ADJUSTED=GAAP","Sort=A","Dates=H","DateFormat=P","Fill=—","Direction=H","UseDPDF=Y")</f>
        <v>2.3731</v>
      </c>
      <c r="Y12" s="14">
        <f>_xll.BDH("AMZN US Equity","EBITDA_PER_SH","FQ3 2014","FQ3 2014","Currency=USD","Period=FQ","BEST_FPERIOD_OVERRIDE=FQ","FILING_STATUS=MR","FA_ADJUSTED=GAAP","Sort=A","Dates=H","DateFormat=P","Fill=—","Direction=H","UseDPDF=Y")</f>
        <v>1.5184</v>
      </c>
      <c r="Z12" s="14">
        <f>_xll.BDH("AMZN US Equity","EBITDA_PER_SH","FQ4 2014","FQ4 2014","Currency=USD","Period=FQ","BEST_FPERIOD_OVERRIDE=FQ","FILING_STATUS=MR","FA_ADJUSTED=GAAP","Sort=A","Dates=H","DateFormat=P","Fill=—","Direction=H","UseDPDF=Y")</f>
        <v>4.2457000000000003</v>
      </c>
      <c r="AA12" s="14">
        <f>_xll.BDH("AMZN US Equity","EBITDA_PER_SH","FQ1 2015","FQ1 2015","Currency=USD","Period=FQ","BEST_FPERIOD_OVERRIDE=FQ","FILING_STATUS=MR","FA_ADJUSTED=GAAP","Sort=A","Dates=H","DateFormat=P","Fill=—","Direction=H","UseDPDF=Y")</f>
        <v>3.6151</v>
      </c>
      <c r="AB12" s="14">
        <f>_xll.BDH("AMZN US Equity","EBITDA_PER_SH","FQ2 2015","FQ2 2015","Currency=USD","Period=FQ","BEST_FPERIOD_OVERRIDE=FQ","FILING_STATUS=MR","FA_ADJUSTED=GAAP","Sort=A","Dates=H","DateFormat=P","Fill=—","Direction=H","UseDPDF=Y")</f>
        <v>4.2141000000000002</v>
      </c>
      <c r="AC12" s="14">
        <f>_xll.BDH("AMZN US Equity","EBITDA_PER_SH","FQ3 2015","FQ3 2015","Currency=USD","Period=FQ","BEST_FPERIOD_OVERRIDE=FQ","FILING_STATUS=MR","FA_ADJUSTED=GAAP","Sort=A","Dates=H","DateFormat=P","Fill=—","Direction=H","UseDPDF=Y")</f>
        <v>4.2842000000000002</v>
      </c>
      <c r="AD12" s="14">
        <f>_xll.BDH("AMZN US Equity","EBITDA_PER_SH","FQ4 2015","FQ4 2015","Currency=USD","Period=FQ","BEST_FPERIOD_OVERRIDE=FQ","FILING_STATUS=MR","FA_ADJUSTED=GAAP","Sort=A","Dates=H","DateFormat=P","Fill=—","Direction=H","UseDPDF=Y")</f>
        <v>6.0850999999999997</v>
      </c>
      <c r="AE12" s="14">
        <f>_xll.BDH("AMZN US Equity","EBITDA_PER_SH","FQ1 2016","FQ1 2016","Currency=USD","Period=FQ","BEST_FPERIOD_OVERRIDE=FQ","FILING_STATUS=MR","FA_ADJUSTED=GAAP","Sort=A","Dates=H","DateFormat=P","Fill=—","Direction=H","UseDPDF=Y")</f>
        <v>6.1528999999999998</v>
      </c>
      <c r="AF12" s="14">
        <f>_xll.BDH("AMZN US Equity","EBITDA_PER_SH","FQ2 2016","FQ2 2016","Currency=USD","Period=FQ","BEST_FPERIOD_OVERRIDE=FQ","FILING_STATUS=MR","FA_ADJUSTED=GAAP","Sort=A","Dates=H","DateFormat=P","Fill=—","Direction=H","UseDPDF=Y")</f>
        <v>6.7526000000000002</v>
      </c>
      <c r="AG12" s="14">
        <f>_xll.BDH("AMZN US Equity","EBITDA_PER_SH","FQ3 2016","FQ3 2016","Currency=USD","Period=FQ","BEST_FPERIOD_OVERRIDE=FQ","FILING_STATUS=MR","FA_ADJUSTED=GAAP","Sort=A","Dates=H","DateFormat=P","Fill=—","Direction=H","UseDPDF=Y")</f>
        <v>5.6097000000000001</v>
      </c>
      <c r="AH12" s="14">
        <f>_xll.BDH("AMZN US Equity","EBITDA_PER_SH","FQ4 2016","FQ4 2016","Currency=USD","Period=FQ","BEST_FPERIOD_OVERRIDE=FQ","FILING_STATUS=MR","FA_ADJUSTED=GAAP","Sort=A","Dates=H","DateFormat=P","Fill=—","Direction=H","UseDPDF=Y")</f>
        <v>7.4622000000000002</v>
      </c>
      <c r="AI12" s="14">
        <f>_xll.BDH("AMZN US Equity","EBITDA_PER_SH","FQ1 2017","FQ1 2017","Currency=USD","Period=FQ","BEST_FPERIOD_OVERRIDE=FQ","FILING_STATUS=MR","FA_ADJUSTED=GAAP","Sort=A","Dates=H","DateFormat=P","Fill=—","Direction=H","UseDPDF=Y")</f>
        <v>7.2117000000000004</v>
      </c>
      <c r="AJ12" s="14">
        <f>_xll.BDH("AMZN US Equity","EBITDA_PER_SH","FQ2 2017","FQ2 2017","Currency=USD","Period=FQ","BEST_FPERIOD_OVERRIDE=FQ","FILING_STATUS=MR","FA_ADJUSTED=GAAP","Sort=A","Dates=H","DateFormat=P","Fill=—","Direction=H","UseDPDF=Y")</f>
        <v>6.8079000000000001</v>
      </c>
      <c r="AK12" s="14">
        <f>_xll.BDH("AMZN US Equity","EBITDA_PER_SH","FQ3 2017","FQ3 2017","Currency=USD","Period=FQ","BEST_FPERIOD_OVERRIDE=FQ","FILING_STATUS=MR","FA_ADJUSTED=GAAP","Sort=A","Dates=H","DateFormat=P","Fill=—","Direction=H","UseDPDF=Y")</f>
        <v>6.7755000000000001</v>
      </c>
      <c r="AL12" s="14">
        <f>_xll.BDH("AMZN US Equity","EBITDA_PER_SH","FQ4 2017","FQ4 2017","Currency=USD","Period=FQ","BEST_FPERIOD_OVERRIDE=FQ","FILING_STATUS=MR","FA_ADJUSTED=GAAP","Sort=A","Dates=H","DateFormat=P","Fill=—","Direction=H","UseDPDF=Y")</f>
        <v>11.646000000000001</v>
      </c>
      <c r="AM12" s="14">
        <f>_xll.BDH("AMZN US Equity","EBITDA_PER_SH","FQ1 2018","FQ1 2018","Currency=USD","Period=FQ","BEST_FPERIOD_OVERRIDE=FQ","FILING_STATUS=MR","FA_ADJUSTED=GAAP","Sort=A","Dates=H","DateFormat=P","Fill=—","Direction=H","UseDPDF=Y")</f>
        <v>11.5661</v>
      </c>
      <c r="AN12" s="14">
        <f>_xll.BDH("AMZN US Equity","EBITDA_PER_SH","FQ2 2018","FQ2 2018","Currency=USD","Period=FQ","BEST_FPERIOD_OVERRIDE=FQ","FILING_STATUS=MR","FA_ADJUSTED=GAAP","Sort=A","Dates=H","DateFormat=P","Fill=—","Direction=H","UseDPDF=Y")</f>
        <v>13.606999999999999</v>
      </c>
      <c r="AO12" s="14"/>
      <c r="AP12" s="14"/>
    </row>
    <row r="13" spans="1:42" x14ac:dyDescent="0.25">
      <c r="A13" s="10" t="s">
        <v>472</v>
      </c>
      <c r="B13" s="10" t="s">
        <v>473</v>
      </c>
      <c r="C13" s="14">
        <f>_xll.BDH("AMZN US Equity","OPER_INC_PER_SH","FQ1 2009","FQ1 2009","Currency=USD","Period=FQ","BEST_FPERIOD_OVERRIDE=FQ","FILING_STATUS=MR","FA_ADJUSTED=GAAP","Sort=A","Dates=H","DateFormat=P","Fill=—","Direction=H","UseDPDF=Y")</f>
        <v>0.56879999999999997</v>
      </c>
      <c r="D13" s="14">
        <f>_xll.BDH("AMZN US Equity","OPER_INC_PER_SH","FQ2 2009","FQ2 2009","Currency=USD","Period=FQ","BEST_FPERIOD_OVERRIDE=FQ","FILING_STATUS=MR","FA_ADJUSTED=GAAP","Sort=A","Dates=H","DateFormat=P","Fill=—","Direction=H","UseDPDF=Y")</f>
        <v>0.36890000000000001</v>
      </c>
      <c r="E13" s="14">
        <f>_xll.BDH("AMZN US Equity","OPER_INC_PER_SH","FQ3 2009","FQ3 2009","Currency=USD","Period=FQ","BEST_FPERIOD_OVERRIDE=FQ","FILING_STATUS=MR","FA_ADJUSTED=GAAP","Sort=A","Dates=H","DateFormat=P","Fill=—","Direction=H","UseDPDF=Y")</f>
        <v>0.58099999999999996</v>
      </c>
      <c r="F13" s="14">
        <f>_xll.BDH("AMZN US Equity","OPER_INC_PER_SH","FQ4 2009","FQ4 2009","Currency=USD","Period=FQ","BEST_FPERIOD_OVERRIDE=FQ","FILING_STATUS=MR","FA_ADJUSTED=GAAP","Sort=A","Dates=H","DateFormat=P","Fill=—","Direction=H","UseDPDF=Y")</f>
        <v>1.0818000000000001</v>
      </c>
      <c r="G13" s="14">
        <f>_xll.BDH("AMZN US Equity","OPER_INC_PER_SH","FQ1 2010","FQ1 2010","Currency=USD","Period=FQ","BEST_FPERIOD_OVERRIDE=FQ","FILING_STATUS=MR","FA_ADJUSTED=GAAP","Sort=A","Dates=H","DateFormat=P","Fill=—","Direction=H","UseDPDF=Y")</f>
        <v>0.88539999999999996</v>
      </c>
      <c r="H13" s="14">
        <f>_xll.BDH("AMZN US Equity","OPER_INC_PER_SH","FQ2 2010","FQ2 2010","Currency=USD","Period=FQ","BEST_FPERIOD_OVERRIDE=FQ","FILING_STATUS=MR","FA_ADJUSTED=GAAP","Sort=A","Dates=H","DateFormat=P","Fill=—","Direction=H","UseDPDF=Y")</f>
        <v>0.60399999999999998</v>
      </c>
      <c r="I13" s="14">
        <f>_xll.BDH("AMZN US Equity","OPER_INC_PER_SH","FQ3 2010","FQ3 2010","Currency=USD","Period=FQ","BEST_FPERIOD_OVERRIDE=FQ","FILING_STATUS=MR","FA_ADJUSTED=GAAP","Sort=A","Dates=H","DateFormat=P","Fill=—","Direction=H","UseDPDF=Y")</f>
        <v>0.59819999999999995</v>
      </c>
      <c r="J13" s="14">
        <f>_xll.BDH("AMZN US Equity","OPER_INC_PER_SH","FQ4 2010","FQ4 2010","Currency=USD","Period=FQ","BEST_FPERIOD_OVERRIDE=FQ","FILING_STATUS=MR","FA_ADJUSTED=GAAP","Sort=A","Dates=H","DateFormat=P","Fill=—","Direction=H","UseDPDF=Y")</f>
        <v>1.0532999999999999</v>
      </c>
      <c r="K13" s="14">
        <f>_xll.BDH("AMZN US Equity","OPER_INC_PER_SH","FQ1 2011","FQ1 2011","Currency=USD","Period=FQ","BEST_FPERIOD_OVERRIDE=FQ","FILING_STATUS=MR","FA_ADJUSTED=GAAP","Sort=A","Dates=H","DateFormat=P","Fill=—","Direction=H","UseDPDF=Y")</f>
        <v>0.71399999999999997</v>
      </c>
      <c r="L13" s="14">
        <f>_xll.BDH("AMZN US Equity","OPER_INC_PER_SH","FQ2 2011","FQ2 2011","Currency=USD","Period=FQ","BEST_FPERIOD_OVERRIDE=FQ","FILING_STATUS=MR","FA_ADJUSTED=GAAP","Sort=A","Dates=H","DateFormat=P","Fill=—","Direction=H","UseDPDF=Y")</f>
        <v>0.44369999999999998</v>
      </c>
      <c r="M13" s="14">
        <f>_xll.BDH("AMZN US Equity","OPER_INC_PER_SH","FQ3 2011","FQ3 2011","Currency=USD","Period=FQ","BEST_FPERIOD_OVERRIDE=FQ","FILING_STATUS=MR","FA_ADJUSTED=GAAP","Sort=A","Dates=H","DateFormat=P","Fill=—","Direction=H","UseDPDF=Y")</f>
        <v>0.17399999999999999</v>
      </c>
      <c r="N13" s="14">
        <f>_xll.BDH("AMZN US Equity","OPER_INC_PER_SH","FQ4 2011","FQ4 2011","Currency=USD","Period=FQ","BEST_FPERIOD_OVERRIDE=FQ","FILING_STATUS=MR","FA_ADJUSTED=GAAP","Sort=A","Dates=H","DateFormat=P","Fill=—","Direction=H","UseDPDF=Y")</f>
        <v>0.57140000000000002</v>
      </c>
      <c r="O13" s="14">
        <f>_xll.BDH("AMZN US Equity","OPER_INC_PER_SH","FQ1 2012","FQ1 2012","Currency=USD","Period=FQ","BEST_FPERIOD_OVERRIDE=FQ","FILING_STATUS=MR","FA_ADJUSTED=GAAP","Sort=A","Dates=H","DateFormat=P","Fill=—","Direction=H","UseDPDF=Y")</f>
        <v>0.42380000000000001</v>
      </c>
      <c r="P13" s="14">
        <f>_xll.BDH("AMZN US Equity","OPER_INC_PER_SH","FQ2 2012","FQ2 2012","Currency=USD","Period=FQ","BEST_FPERIOD_OVERRIDE=FQ","FILING_STATUS=MR","FA_ADJUSTED=GAAP","Sort=A","Dates=H","DateFormat=P","Fill=—","Direction=H","UseDPDF=Y")</f>
        <v>0.23730000000000001</v>
      </c>
      <c r="Q13" s="14">
        <f>_xll.BDH("AMZN US Equity","OPER_INC_PER_SH","FQ3 2012","FQ3 2012","Currency=USD","Period=FQ","BEST_FPERIOD_OVERRIDE=FQ","FILING_STATUS=MR","FA_ADJUSTED=GAAP","Sort=A","Dates=H","DateFormat=P","Fill=—","Direction=H","UseDPDF=Y")</f>
        <v>-6.1899999999999997E-2</v>
      </c>
      <c r="R13" s="14">
        <f>_xll.BDH("AMZN US Equity","OPER_INC_PER_SH","FQ4 2012","FQ4 2012","Currency=USD","Period=FQ","BEST_FPERIOD_OVERRIDE=FQ","FILING_STATUS=MR","FA_ADJUSTED=GAAP","Sort=A","Dates=H","DateFormat=P","Fill=—","Direction=H","UseDPDF=Y")</f>
        <v>0.8921</v>
      </c>
      <c r="S13" s="14">
        <f>_xll.BDH("AMZN US Equity","OPER_INC_PER_SH","FQ1 2013","FQ1 2013","Currency=USD","Period=FQ","BEST_FPERIOD_OVERRIDE=FQ","FILING_STATUS=MR","FA_ADJUSTED=GAAP","Sort=A","Dates=H","DateFormat=P","Fill=—","Direction=H","UseDPDF=Y")</f>
        <v>0.39779999999999999</v>
      </c>
      <c r="T13" s="14">
        <f>_xll.BDH("AMZN US Equity","OPER_INC_PER_SH","FQ2 2013","FQ2 2013","Currency=USD","Period=FQ","BEST_FPERIOD_OVERRIDE=FQ","FILING_STATUS=MR","FA_ADJUSTED=GAAP","Sort=A","Dates=H","DateFormat=P","Fill=—","Direction=H","UseDPDF=Y")</f>
        <v>0.17319999999999999</v>
      </c>
      <c r="U13" s="14">
        <f>_xll.BDH("AMZN US Equity","OPER_INC_PER_SH","FQ3 2013","FQ3 2013","Currency=USD","Period=FQ","BEST_FPERIOD_OVERRIDE=FQ","FILING_STATUS=MR","FA_ADJUSTED=GAAP","Sort=A","Dates=H","DateFormat=P","Fill=—","Direction=H","UseDPDF=Y")</f>
        <v>-5.4699999999999999E-2</v>
      </c>
      <c r="V13" s="14">
        <f>_xll.BDH("AMZN US Equity","OPER_INC_PER_SH","FQ4 2013","FQ4 2013","Currency=USD","Period=FQ","BEST_FPERIOD_OVERRIDE=FQ","FILING_STATUS=MR","FA_ADJUSTED=GAAP","Sort=A","Dates=H","DateFormat=P","Fill=—","Direction=H","UseDPDF=Y")</f>
        <v>1.1134999999999999</v>
      </c>
      <c r="W13" s="14">
        <f>_xll.BDH("AMZN US Equity","OPER_INC_PER_SH","FQ1 2014","FQ1 2014","Currency=USD","Period=FQ","BEST_FPERIOD_OVERRIDE=FQ","FILING_STATUS=MR","FA_ADJUSTED=GAAP","Sort=A","Dates=H","DateFormat=P","Fill=—","Direction=H","UseDPDF=Y")</f>
        <v>0.31740000000000002</v>
      </c>
      <c r="X13" s="14">
        <f>_xll.BDH("AMZN US Equity","OPER_INC_PER_SH","FQ2 2014","FQ2 2014","Currency=USD","Period=FQ","BEST_FPERIOD_OVERRIDE=FQ","FILING_STATUS=MR","FA_ADJUSTED=GAAP","Sort=A","Dates=H","DateFormat=P","Fill=—","Direction=H","UseDPDF=Y")</f>
        <v>-3.2500000000000001E-2</v>
      </c>
      <c r="Y13" s="14">
        <f>_xll.BDH("AMZN US Equity","OPER_INC_PER_SH","FQ3 2014","FQ3 2014","Currency=USD","Period=FQ","BEST_FPERIOD_OVERRIDE=FQ","FILING_STATUS=MR","FA_ADJUSTED=GAAP","Sort=A","Dates=H","DateFormat=P","Fill=—","Direction=H","UseDPDF=Y")</f>
        <v>-1.1749000000000001</v>
      </c>
      <c r="Z13" s="14">
        <f>_xll.BDH("AMZN US Equity","OPER_INC_PER_SH","FQ4 2014","FQ4 2014","Currency=USD","Period=FQ","BEST_FPERIOD_OVERRIDE=FQ","FILING_STATUS=MR","FA_ADJUSTED=GAAP","Sort=A","Dates=H","DateFormat=P","Fill=—","Direction=H","UseDPDF=Y")</f>
        <v>1.2737000000000001</v>
      </c>
      <c r="AA13" s="14">
        <f>_xll.BDH("AMZN US Equity","OPER_INC_PER_SH","FQ1 2015","FQ1 2015","Currency=USD","Period=FQ","BEST_FPERIOD_OVERRIDE=FQ","FILING_STATUS=MR","FA_ADJUSTED=GAAP","Sort=A","Dates=H","DateFormat=P","Fill=—","Direction=H","UseDPDF=Y")</f>
        <v>0.5484</v>
      </c>
      <c r="AB13" s="14">
        <f>_xll.BDH("AMZN US Equity","OPER_INC_PER_SH","FQ2 2015","FQ2 2015","Currency=USD","Period=FQ","BEST_FPERIOD_OVERRIDE=FQ","FILING_STATUS=MR","FA_ADJUSTED=GAAP","Sort=A","Dates=H","DateFormat=P","Fill=—","Direction=H","UseDPDF=Y")</f>
        <v>0.99360000000000004</v>
      </c>
      <c r="AC13" s="14">
        <f>_xll.BDH("AMZN US Equity","OPER_INC_PER_SH","FQ3 2015","FQ3 2015","Currency=USD","Period=FQ","BEST_FPERIOD_OVERRIDE=FQ","FILING_STATUS=MR","FA_ADJUSTED=GAAP","Sort=A","Dates=H","DateFormat=P","Fill=—","Direction=H","UseDPDF=Y")</f>
        <v>0.86750000000000005</v>
      </c>
      <c r="AD13" s="14">
        <f>_xll.BDH("AMZN US Equity","OPER_INC_PER_SH","FQ4 2015","FQ4 2015","Currency=USD","Period=FQ","BEST_FPERIOD_OVERRIDE=FQ","FILING_STATUS=MR","FA_ADJUSTED=GAAP","Sort=A","Dates=H","DateFormat=P","Fill=—","Direction=H","UseDPDF=Y")</f>
        <v>2.3574000000000002</v>
      </c>
      <c r="AE13" s="14">
        <f>_xll.BDH("AMZN US Equity","OPER_INC_PER_SH","FQ1 2016","FQ1 2016","Currency=USD","Period=FQ","BEST_FPERIOD_OVERRIDE=FQ","FILING_STATUS=MR","FA_ADJUSTED=GAAP","Sort=A","Dates=H","DateFormat=P","Fill=—","Direction=H","UseDPDF=Y")</f>
        <v>2.2738999999999998</v>
      </c>
      <c r="AF13" s="14">
        <f>_xll.BDH("AMZN US Equity","OPER_INC_PER_SH","FQ2 2016","FQ2 2016","Currency=USD","Period=FQ","BEST_FPERIOD_OVERRIDE=FQ","FILING_STATUS=MR","FA_ADJUSTED=GAAP","Sort=A","Dates=H","DateFormat=P","Fill=—","Direction=H","UseDPDF=Y")</f>
        <v>2.7166999999999999</v>
      </c>
      <c r="AG13" s="14">
        <f>_xll.BDH("AMZN US Equity","OPER_INC_PER_SH","FQ3 2016","FQ3 2016","Currency=USD","Period=FQ","BEST_FPERIOD_OVERRIDE=FQ","FILING_STATUS=MR","FA_ADJUSTED=GAAP","Sort=A","Dates=H","DateFormat=P","Fill=—","Direction=H","UseDPDF=Y")</f>
        <v>1.2131000000000001</v>
      </c>
      <c r="AH13" s="14">
        <f>_xll.BDH("AMZN US Equity","OPER_INC_PER_SH","FQ4 2016","FQ4 2016","Currency=USD","Period=FQ","BEST_FPERIOD_OVERRIDE=FQ","FILING_STATUS=MR","FA_ADJUSTED=GAAP","Sort=A","Dates=H","DateFormat=P","Fill=—","Direction=H","UseDPDF=Y")</f>
        <v>2.6366000000000001</v>
      </c>
      <c r="AI13" s="14">
        <f>_xll.BDH("AMZN US Equity","OPER_INC_PER_SH","FQ1 2017","FQ1 2017","Currency=USD","Period=FQ","BEST_FPERIOD_OVERRIDE=FQ","FILING_STATUS=MR","FA_ADJUSTED=GAAP","Sort=A","Dates=H","DateFormat=P","Fill=—","Direction=H","UseDPDF=Y")</f>
        <v>2.1069</v>
      </c>
      <c r="AJ13" s="14">
        <f>_xll.BDH("AMZN US Equity","OPER_INC_PER_SH","FQ2 2017","FQ2 2017","Currency=USD","Period=FQ","BEST_FPERIOD_OVERRIDE=FQ","FILING_STATUS=MR","FA_ADJUSTED=GAAP","Sort=A","Dates=H","DateFormat=P","Fill=—","Direction=H","UseDPDF=Y")</f>
        <v>1.3110999999999999</v>
      </c>
      <c r="AK13" s="14">
        <f>_xll.BDH("AMZN US Equity","OPER_INC_PER_SH","FQ3 2017","FQ3 2017","Currency=USD","Period=FQ","BEST_FPERIOD_OVERRIDE=FQ","FILING_STATUS=MR","FA_ADJUSTED=GAAP","Sort=A","Dates=H","DateFormat=P","Fill=—","Direction=H","UseDPDF=Y")</f>
        <v>0.72140000000000004</v>
      </c>
      <c r="AL13" s="14">
        <f>_xll.BDH("AMZN US Equity","OPER_INC_PER_SH","FQ4 2017","FQ4 2017","Currency=USD","Period=FQ","BEST_FPERIOD_OVERRIDE=FQ","FILING_STATUS=MR","FA_ADJUSTED=GAAP","Sort=A","Dates=H","DateFormat=P","Fill=—","Direction=H","UseDPDF=Y")</f>
        <v>4.4036999999999997</v>
      </c>
      <c r="AM13" s="14">
        <f>_xll.BDH("AMZN US Equity","OPER_INC_PER_SH","FQ1 2018","FQ1 2018","Currency=USD","Period=FQ","BEST_FPERIOD_OVERRIDE=FQ","FILING_STATUS=MR","FA_ADJUSTED=GAAP","Sort=A","Dates=H","DateFormat=P","Fill=—","Direction=H","UseDPDF=Y")</f>
        <v>3.9813999999999998</v>
      </c>
      <c r="AN13" s="14">
        <f>_xll.BDH("AMZN US Equity","OPER_INC_PER_SH","FQ2 2018","FQ2 2018","Currency=USD","Period=FQ","BEST_FPERIOD_OVERRIDE=FQ","FILING_STATUS=MR","FA_ADJUSTED=GAAP","Sort=A","Dates=H","DateFormat=P","Fill=—","Direction=H","UseDPDF=Y")</f>
        <v>6.1379000000000001</v>
      </c>
      <c r="AO13" s="14"/>
      <c r="AP13" s="14"/>
    </row>
    <row r="14" spans="1:42" x14ac:dyDescent="0.25">
      <c r="A14" s="10" t="s">
        <v>474</v>
      </c>
      <c r="B14" s="10" t="s">
        <v>168</v>
      </c>
      <c r="C14" s="14">
        <f>_xll.BDH("AMZN US Equity","IS_EPS","FQ1 2009","FQ1 2009","Currency=USD","Period=FQ","BEST_FPERIOD_OVERRIDE=FQ","FILING_STATUS=MR","FA_ADJUSTED=GAAP","Sort=A","Dates=H","DateFormat=P","Fill=—","Direction=H","UseDPDF=Y")</f>
        <v>0.41</v>
      </c>
      <c r="D14" s="14">
        <f>_xll.BDH("AMZN US Equity","IS_EPS","FQ2 2009","FQ2 2009","Currency=USD","Period=FQ","BEST_FPERIOD_OVERRIDE=FQ","FILING_STATUS=MR","FA_ADJUSTED=GAAP","Sort=A","Dates=H","DateFormat=P","Fill=—","Direction=H","UseDPDF=Y")</f>
        <v>0.33</v>
      </c>
      <c r="E14" s="14">
        <f>_xll.BDH("AMZN US Equity","IS_EPS","FQ3 2009","FQ3 2009","Currency=USD","Period=FQ","BEST_FPERIOD_OVERRIDE=FQ","FILING_STATUS=MR","FA_ADJUSTED=GAAP","Sort=A","Dates=H","DateFormat=P","Fill=—","Direction=H","UseDPDF=Y")</f>
        <v>0.46</v>
      </c>
      <c r="F14" s="14">
        <f>_xll.BDH("AMZN US Equity","IS_EPS","FQ4 2009","FQ4 2009","Currency=USD","Period=FQ","BEST_FPERIOD_OVERRIDE=FQ","FILING_STATUS=MR","FA_ADJUSTED=GAAP","Sort=A","Dates=H","DateFormat=P","Fill=—","Direction=H","UseDPDF=Y")</f>
        <v>0.87</v>
      </c>
      <c r="G14" s="14">
        <f>_xll.BDH("AMZN US Equity","IS_EPS","FQ1 2010","FQ1 2010","Currency=USD","Period=FQ","BEST_FPERIOD_OVERRIDE=FQ","FILING_STATUS=MR","FA_ADJUSTED=GAAP","Sort=A","Dates=H","DateFormat=P","Fill=—","Direction=H","UseDPDF=Y")</f>
        <v>0.67</v>
      </c>
      <c r="H14" s="14">
        <f>_xll.BDH("AMZN US Equity","IS_EPS","FQ2 2010","FQ2 2010","Currency=USD","Period=FQ","BEST_FPERIOD_OVERRIDE=FQ","FILING_STATUS=MR","FA_ADJUSTED=GAAP","Sort=A","Dates=H","DateFormat=P","Fill=—","Direction=H","UseDPDF=Y")</f>
        <v>0.46</v>
      </c>
      <c r="I14" s="14">
        <f>_xll.BDH("AMZN US Equity","IS_EPS","FQ3 2010","FQ3 2010","Currency=USD","Period=FQ","BEST_FPERIOD_OVERRIDE=FQ","FILING_STATUS=MR","FA_ADJUSTED=GAAP","Sort=A","Dates=H","DateFormat=P","Fill=—","Direction=H","UseDPDF=Y")</f>
        <v>0.51</v>
      </c>
      <c r="J14" s="14">
        <f>_xll.BDH("AMZN US Equity","IS_EPS","FQ4 2010","FQ4 2010","Currency=USD","Period=FQ","BEST_FPERIOD_OVERRIDE=FQ","FILING_STATUS=MR","FA_ADJUSTED=GAAP","Sort=A","Dates=H","DateFormat=P","Fill=—","Direction=H","UseDPDF=Y")</f>
        <v>0.93</v>
      </c>
      <c r="K14" s="14">
        <f>_xll.BDH("AMZN US Equity","IS_EPS","FQ1 2011","FQ1 2011","Currency=USD","Period=FQ","BEST_FPERIOD_OVERRIDE=FQ","FILING_STATUS=MR","FA_ADJUSTED=GAAP","Sort=A","Dates=H","DateFormat=P","Fill=—","Direction=H","UseDPDF=Y")</f>
        <v>0.44</v>
      </c>
      <c r="L14" s="14">
        <f>_xll.BDH("AMZN US Equity","IS_EPS","FQ2 2011","FQ2 2011","Currency=USD","Period=FQ","BEST_FPERIOD_OVERRIDE=FQ","FILING_STATUS=MR","FA_ADJUSTED=GAAP","Sort=A","Dates=H","DateFormat=P","Fill=—","Direction=H","UseDPDF=Y")</f>
        <v>0.42</v>
      </c>
      <c r="M14" s="14">
        <f>_xll.BDH("AMZN US Equity","IS_EPS","FQ3 2011","FQ3 2011","Currency=USD","Period=FQ","BEST_FPERIOD_OVERRIDE=FQ","FILING_STATUS=MR","FA_ADJUSTED=GAAP","Sort=A","Dates=H","DateFormat=P","Fill=—","Direction=H","UseDPDF=Y")</f>
        <v>0.14000000000000001</v>
      </c>
      <c r="N14" s="14">
        <f>_xll.BDH("AMZN US Equity","IS_EPS","FQ4 2011","FQ4 2011","Currency=USD","Period=FQ","BEST_FPERIOD_OVERRIDE=FQ","FILING_STATUS=MR","FA_ADJUSTED=GAAP","Sort=A","Dates=H","DateFormat=P","Fill=—","Direction=H","UseDPDF=Y")</f>
        <v>0.39</v>
      </c>
      <c r="O14" s="14">
        <f>_xll.BDH("AMZN US Equity","IS_EPS","FQ1 2012","FQ1 2012","Currency=USD","Period=FQ","BEST_FPERIOD_OVERRIDE=FQ","FILING_STATUS=MR","FA_ADJUSTED=GAAP","Sort=A","Dates=H","DateFormat=P","Fill=—","Direction=H","UseDPDF=Y")</f>
        <v>0.28999999999999998</v>
      </c>
      <c r="P14" s="14">
        <f>_xll.BDH("AMZN US Equity","IS_EPS","FQ2 2012","FQ2 2012","Currency=USD","Period=FQ","BEST_FPERIOD_OVERRIDE=FQ","FILING_STATUS=MR","FA_ADJUSTED=GAAP","Sort=A","Dates=H","DateFormat=P","Fill=—","Direction=H","UseDPDF=Y")</f>
        <v>0.02</v>
      </c>
      <c r="Q14" s="14">
        <f>_xll.BDH("AMZN US Equity","IS_EPS","FQ3 2012","FQ3 2012","Currency=USD","Period=FQ","BEST_FPERIOD_OVERRIDE=FQ","FILING_STATUS=MR","FA_ADJUSTED=GAAP","Sort=A","Dates=H","DateFormat=P","Fill=—","Direction=H","UseDPDF=Y")</f>
        <v>-0.6</v>
      </c>
      <c r="R14" s="14">
        <f>_xll.BDH("AMZN US Equity","IS_EPS","FQ4 2012","FQ4 2012","Currency=USD","Period=FQ","BEST_FPERIOD_OVERRIDE=FQ","FILING_STATUS=MR","FA_ADJUSTED=GAAP","Sort=A","Dates=H","DateFormat=P","Fill=—","Direction=H","UseDPDF=Y")</f>
        <v>0.21</v>
      </c>
      <c r="S14" s="14">
        <f>_xll.BDH("AMZN US Equity","IS_EPS","FQ1 2013","FQ1 2013","Currency=USD","Period=FQ","BEST_FPERIOD_OVERRIDE=FQ","FILING_STATUS=MR","FA_ADJUSTED=GAAP","Sort=A","Dates=H","DateFormat=P","Fill=—","Direction=H","UseDPDF=Y")</f>
        <v>0.18</v>
      </c>
      <c r="T14" s="14">
        <f>_xll.BDH("AMZN US Equity","IS_EPS","FQ2 2013","FQ2 2013","Currency=USD","Period=FQ","BEST_FPERIOD_OVERRIDE=FQ","FILING_STATUS=MR","FA_ADJUSTED=GAAP","Sort=A","Dates=H","DateFormat=P","Fill=—","Direction=H","UseDPDF=Y")</f>
        <v>-0.02</v>
      </c>
      <c r="U14" s="14">
        <f>_xll.BDH("AMZN US Equity","IS_EPS","FQ3 2013","FQ3 2013","Currency=USD","Period=FQ","BEST_FPERIOD_OVERRIDE=FQ","FILING_STATUS=MR","FA_ADJUSTED=GAAP","Sort=A","Dates=H","DateFormat=P","Fill=—","Direction=H","UseDPDF=Y")</f>
        <v>-0.09</v>
      </c>
      <c r="V14" s="14">
        <f>_xll.BDH("AMZN US Equity","IS_EPS","FQ4 2013","FQ4 2013","Currency=USD","Period=FQ","BEST_FPERIOD_OVERRIDE=FQ","FILING_STATUS=MR","FA_ADJUSTED=GAAP","Sort=A","Dates=H","DateFormat=P","Fill=—","Direction=H","UseDPDF=Y")</f>
        <v>0.52</v>
      </c>
      <c r="W14" s="14">
        <f>_xll.BDH("AMZN US Equity","IS_EPS","FQ1 2014","FQ1 2014","Currency=USD","Period=FQ","BEST_FPERIOD_OVERRIDE=FQ","FILING_STATUS=MR","FA_ADJUSTED=GAAP","Sort=A","Dates=H","DateFormat=P","Fill=—","Direction=H","UseDPDF=Y")</f>
        <v>0.23</v>
      </c>
      <c r="X14" s="14">
        <f>_xll.BDH("AMZN US Equity","IS_EPS","FQ2 2014","FQ2 2014","Currency=USD","Period=FQ","BEST_FPERIOD_OVERRIDE=FQ","FILING_STATUS=MR","FA_ADJUSTED=GAAP","Sort=A","Dates=H","DateFormat=P","Fill=—","Direction=H","UseDPDF=Y")</f>
        <v>-0.27</v>
      </c>
      <c r="Y14" s="14">
        <f>_xll.BDH("AMZN US Equity","IS_EPS","FQ3 2014","FQ3 2014","Currency=USD","Period=FQ","BEST_FPERIOD_OVERRIDE=FQ","FILING_STATUS=MR","FA_ADJUSTED=GAAP","Sort=A","Dates=H","DateFormat=P","Fill=—","Direction=H","UseDPDF=Y")</f>
        <v>-0.95</v>
      </c>
      <c r="Z14" s="14">
        <f>_xll.BDH("AMZN US Equity","IS_EPS","FQ4 2014","FQ4 2014","Currency=USD","Period=FQ","BEST_FPERIOD_OVERRIDE=FQ","FILING_STATUS=MR","FA_ADJUSTED=GAAP","Sort=A","Dates=H","DateFormat=P","Fill=—","Direction=H","UseDPDF=Y")</f>
        <v>0.46</v>
      </c>
      <c r="AA14" s="14">
        <f>_xll.BDH("AMZN US Equity","IS_EPS","FQ1 2015","FQ1 2015","Currency=USD","Period=FQ","BEST_FPERIOD_OVERRIDE=FQ","FILING_STATUS=MR","FA_ADJUSTED=GAAP","Sort=A","Dates=H","DateFormat=P","Fill=—","Direction=H","UseDPDF=Y")</f>
        <v>-0.12</v>
      </c>
      <c r="AB14" s="14">
        <f>_xll.BDH("AMZN US Equity","IS_EPS","FQ2 2015","FQ2 2015","Currency=USD","Period=FQ","BEST_FPERIOD_OVERRIDE=FQ","FILING_STATUS=MR","FA_ADJUSTED=GAAP","Sort=A","Dates=H","DateFormat=P","Fill=—","Direction=H","UseDPDF=Y")</f>
        <v>0.2</v>
      </c>
      <c r="AC14" s="14">
        <f>_xll.BDH("AMZN US Equity","IS_EPS","FQ3 2015","FQ3 2015","Currency=USD","Period=FQ","BEST_FPERIOD_OVERRIDE=FQ","FILING_STATUS=MR","FA_ADJUSTED=GAAP","Sort=A","Dates=H","DateFormat=P","Fill=—","Direction=H","UseDPDF=Y")</f>
        <v>0.17</v>
      </c>
      <c r="AD14" s="14">
        <f>_xll.BDH("AMZN US Equity","IS_EPS","FQ4 2015","FQ4 2015","Currency=USD","Period=FQ","BEST_FPERIOD_OVERRIDE=FQ","FILING_STATUS=MR","FA_ADJUSTED=GAAP","Sort=A","Dates=H","DateFormat=P","Fill=—","Direction=H","UseDPDF=Y")</f>
        <v>1.03</v>
      </c>
      <c r="AE14" s="14">
        <f>_xll.BDH("AMZN US Equity","IS_EPS","FQ1 2016","FQ1 2016","Currency=USD","Period=FQ","BEST_FPERIOD_OVERRIDE=FQ","FILING_STATUS=MR","FA_ADJUSTED=GAAP","Sort=A","Dates=H","DateFormat=P","Fill=—","Direction=H","UseDPDF=Y")</f>
        <v>1.0900000000000001</v>
      </c>
      <c r="AF14" s="14">
        <f>_xll.BDH("AMZN US Equity","IS_EPS","FQ2 2016","FQ2 2016","Currency=USD","Period=FQ","BEST_FPERIOD_OVERRIDE=FQ","FILING_STATUS=MR","FA_ADJUSTED=GAAP","Sort=A","Dates=H","DateFormat=P","Fill=—","Direction=H","UseDPDF=Y")</f>
        <v>1.81</v>
      </c>
      <c r="AG14" s="14">
        <f>_xll.BDH("AMZN US Equity","IS_EPS","FQ3 2016","FQ3 2016","Currency=USD","Period=FQ","BEST_FPERIOD_OVERRIDE=FQ","FILING_STATUS=MR","FA_ADJUSTED=GAAP","Sort=A","Dates=H","DateFormat=P","Fill=—","Direction=H","UseDPDF=Y")</f>
        <v>0.53</v>
      </c>
      <c r="AH14" s="14">
        <f>_xll.BDH("AMZN US Equity","IS_EPS","FQ4 2016","FQ4 2016","Currency=USD","Period=FQ","BEST_FPERIOD_OVERRIDE=FQ","FILING_STATUS=MR","FA_ADJUSTED=GAAP","Sort=A","Dates=H","DateFormat=P","Fill=—","Direction=H","UseDPDF=Y")</f>
        <v>1.5699999999999998</v>
      </c>
      <c r="AI14" s="14">
        <f>_xll.BDH("AMZN US Equity","IS_EPS","FQ1 2017","FQ1 2017","Currency=USD","Period=FQ","BEST_FPERIOD_OVERRIDE=FQ","FILING_STATUS=MR","FA_ADJUSTED=GAAP","Sort=A","Dates=H","DateFormat=P","Fill=—","Direction=H","UseDPDF=Y")</f>
        <v>1.52</v>
      </c>
      <c r="AJ14" s="14">
        <f>_xll.BDH("AMZN US Equity","IS_EPS","FQ2 2017","FQ2 2017","Currency=USD","Period=FQ","BEST_FPERIOD_OVERRIDE=FQ","FILING_STATUS=MR","FA_ADJUSTED=GAAP","Sort=A","Dates=H","DateFormat=P","Fill=—","Direction=H","UseDPDF=Y")</f>
        <v>0.41</v>
      </c>
      <c r="AK14" s="14">
        <f>_xll.BDH("AMZN US Equity","IS_EPS","FQ3 2017","FQ3 2017","Currency=USD","Period=FQ","BEST_FPERIOD_OVERRIDE=FQ","FILING_STATUS=MR","FA_ADJUSTED=GAAP","Sort=A","Dates=H","DateFormat=P","Fill=—","Direction=H","UseDPDF=Y")</f>
        <v>0.53</v>
      </c>
      <c r="AL14" s="14">
        <f>_xll.BDH("AMZN US Equity","IS_EPS","FQ4 2017","FQ4 2017","Currency=USD","Period=FQ","BEST_FPERIOD_OVERRIDE=FQ","FILING_STATUS=MR","FA_ADJUSTED=GAAP","Sort=A","Dates=H","DateFormat=P","Fill=—","Direction=H","UseDPDF=Y")</f>
        <v>3.85</v>
      </c>
      <c r="AM14" s="14">
        <f>_xll.BDH("AMZN US Equity","IS_EPS","FQ1 2018","FQ1 2018","Currency=USD","Period=FQ","BEST_FPERIOD_OVERRIDE=FQ","FILING_STATUS=MR","FA_ADJUSTED=GAAP","Sort=A","Dates=H","DateFormat=P","Fill=—","Direction=H","UseDPDF=Y")</f>
        <v>3.36</v>
      </c>
      <c r="AN14" s="14">
        <f>_xll.BDH("AMZN US Equity","IS_EPS","FQ2 2018","FQ2 2018","Currency=USD","Period=FQ","BEST_FPERIOD_OVERRIDE=FQ","FILING_STATUS=MR","FA_ADJUSTED=GAAP","Sort=A","Dates=H","DateFormat=P","Fill=—","Direction=H","UseDPDF=Y")</f>
        <v>5.21</v>
      </c>
      <c r="AO14" s="14">
        <v>3.113</v>
      </c>
      <c r="AP14" s="14">
        <v>5.7939999999999996</v>
      </c>
    </row>
    <row r="15" spans="1:42" x14ac:dyDescent="0.25">
      <c r="A15" s="10" t="s">
        <v>475</v>
      </c>
      <c r="B15" s="10" t="s">
        <v>170</v>
      </c>
      <c r="C15" s="14">
        <f>_xll.BDH("AMZN US Equity","IS_EARN_BEF_XO_ITEMS_PER_SH","FQ1 2009","FQ1 2009","Currency=USD","Period=FQ","BEST_FPERIOD_OVERRIDE=FQ","FILING_STATUS=MR","Sort=A","Dates=H","DateFormat=P","Fill=—","Direction=H","UseDPDF=Y")</f>
        <v>0.41</v>
      </c>
      <c r="D15" s="14">
        <f>_xll.BDH("AMZN US Equity","IS_EARN_BEF_XO_ITEMS_PER_SH","FQ2 2009","FQ2 2009","Currency=USD","Period=FQ","BEST_FPERIOD_OVERRIDE=FQ","FILING_STATUS=MR","Sort=A","Dates=H","DateFormat=P","Fill=—","Direction=H","UseDPDF=Y")</f>
        <v>0.33</v>
      </c>
      <c r="E15" s="14">
        <f>_xll.BDH("AMZN US Equity","IS_EARN_BEF_XO_ITEMS_PER_SH","FQ3 2009","FQ3 2009","Currency=USD","Period=FQ","BEST_FPERIOD_OVERRIDE=FQ","FILING_STATUS=MR","Sort=A","Dates=H","DateFormat=P","Fill=—","Direction=H","UseDPDF=Y")</f>
        <v>0.46</v>
      </c>
      <c r="F15" s="14">
        <f>_xll.BDH("AMZN US Equity","IS_EARN_BEF_XO_ITEMS_PER_SH","FQ4 2009","FQ4 2009","Currency=USD","Period=FQ","BEST_FPERIOD_OVERRIDE=FQ","FILING_STATUS=MR","Sort=A","Dates=H","DateFormat=P","Fill=—","Direction=H","UseDPDF=Y")</f>
        <v>0.87</v>
      </c>
      <c r="G15" s="14">
        <f>_xll.BDH("AMZN US Equity","IS_EARN_BEF_XO_ITEMS_PER_SH","FQ1 2010","FQ1 2010","Currency=USD","Period=FQ","BEST_FPERIOD_OVERRIDE=FQ","FILING_STATUS=MR","Sort=A","Dates=H","DateFormat=P","Fill=—","Direction=H","UseDPDF=Y")</f>
        <v>0.67</v>
      </c>
      <c r="H15" s="14">
        <f>_xll.BDH("AMZN US Equity","IS_EARN_BEF_XO_ITEMS_PER_SH","FQ2 2010","FQ2 2010","Currency=USD","Period=FQ","BEST_FPERIOD_OVERRIDE=FQ","FILING_STATUS=MR","Sort=A","Dates=H","DateFormat=P","Fill=—","Direction=H","UseDPDF=Y")</f>
        <v>0.46</v>
      </c>
      <c r="I15" s="14">
        <f>_xll.BDH("AMZN US Equity","IS_EARN_BEF_XO_ITEMS_PER_SH","FQ3 2010","FQ3 2010","Currency=USD","Period=FQ","BEST_FPERIOD_OVERRIDE=FQ","FILING_STATUS=MR","Sort=A","Dates=H","DateFormat=P","Fill=—","Direction=H","UseDPDF=Y")</f>
        <v>0.51</v>
      </c>
      <c r="J15" s="14">
        <f>_xll.BDH("AMZN US Equity","IS_EARN_BEF_XO_ITEMS_PER_SH","FQ4 2010","FQ4 2010","Currency=USD","Period=FQ","BEST_FPERIOD_OVERRIDE=FQ","FILING_STATUS=MR","Sort=A","Dates=H","DateFormat=P","Fill=—","Direction=H","UseDPDF=Y")</f>
        <v>0.93</v>
      </c>
      <c r="K15" s="14">
        <f>_xll.BDH("AMZN US Equity","IS_EARN_BEF_XO_ITEMS_PER_SH","FQ1 2011","FQ1 2011","Currency=USD","Period=FQ","BEST_FPERIOD_OVERRIDE=FQ","FILING_STATUS=MR","Sort=A","Dates=H","DateFormat=P","Fill=—","Direction=H","UseDPDF=Y")</f>
        <v>0.44</v>
      </c>
      <c r="L15" s="14">
        <f>_xll.BDH("AMZN US Equity","IS_EARN_BEF_XO_ITEMS_PER_SH","FQ2 2011","FQ2 2011","Currency=USD","Period=FQ","BEST_FPERIOD_OVERRIDE=FQ","FILING_STATUS=MR","Sort=A","Dates=H","DateFormat=P","Fill=—","Direction=H","UseDPDF=Y")</f>
        <v>0.42</v>
      </c>
      <c r="M15" s="14">
        <f>_xll.BDH("AMZN US Equity","IS_EARN_BEF_XO_ITEMS_PER_SH","FQ3 2011","FQ3 2011","Currency=USD","Period=FQ","BEST_FPERIOD_OVERRIDE=FQ","FILING_STATUS=MR","Sort=A","Dates=H","DateFormat=P","Fill=—","Direction=H","UseDPDF=Y")</f>
        <v>0.14000000000000001</v>
      </c>
      <c r="N15" s="14">
        <f>_xll.BDH("AMZN US Equity","IS_EARN_BEF_XO_ITEMS_PER_SH","FQ4 2011","FQ4 2011","Currency=USD","Period=FQ","BEST_FPERIOD_OVERRIDE=FQ","FILING_STATUS=MR","Sort=A","Dates=H","DateFormat=P","Fill=—","Direction=H","UseDPDF=Y")</f>
        <v>0.39</v>
      </c>
      <c r="O15" s="14">
        <f>_xll.BDH("AMZN US Equity","IS_EARN_BEF_XO_ITEMS_PER_SH","FQ1 2012","FQ1 2012","Currency=USD","Period=FQ","BEST_FPERIOD_OVERRIDE=FQ","FILING_STATUS=MR","Sort=A","Dates=H","DateFormat=P","Fill=—","Direction=H","UseDPDF=Y")</f>
        <v>0.28999999999999998</v>
      </c>
      <c r="P15" s="14">
        <f>_xll.BDH("AMZN US Equity","IS_EARN_BEF_XO_ITEMS_PER_SH","FQ2 2012","FQ2 2012","Currency=USD","Period=FQ","BEST_FPERIOD_OVERRIDE=FQ","FILING_STATUS=MR","Sort=A","Dates=H","DateFormat=P","Fill=—","Direction=H","UseDPDF=Y")</f>
        <v>0.02</v>
      </c>
      <c r="Q15" s="14">
        <f>_xll.BDH("AMZN US Equity","IS_EARN_BEF_XO_ITEMS_PER_SH","FQ3 2012","FQ3 2012","Currency=USD","Period=FQ","BEST_FPERIOD_OVERRIDE=FQ","FILING_STATUS=MR","Sort=A","Dates=H","DateFormat=P","Fill=—","Direction=H","UseDPDF=Y")</f>
        <v>-0.6</v>
      </c>
      <c r="R15" s="14">
        <f>_xll.BDH("AMZN US Equity","IS_EARN_BEF_XO_ITEMS_PER_SH","FQ4 2012","FQ4 2012","Currency=USD","Period=FQ","BEST_FPERIOD_OVERRIDE=FQ","FILING_STATUS=MR","Sort=A","Dates=H","DateFormat=P","Fill=—","Direction=H","UseDPDF=Y")</f>
        <v>0.21</v>
      </c>
      <c r="S15" s="14">
        <f>_xll.BDH("AMZN US Equity","IS_EARN_BEF_XO_ITEMS_PER_SH","FQ1 2013","FQ1 2013","Currency=USD","Period=FQ","BEST_FPERIOD_OVERRIDE=FQ","FILING_STATUS=MR","Sort=A","Dates=H","DateFormat=P","Fill=—","Direction=H","UseDPDF=Y")</f>
        <v>0.18</v>
      </c>
      <c r="T15" s="14">
        <f>_xll.BDH("AMZN US Equity","IS_EARN_BEF_XO_ITEMS_PER_SH","FQ2 2013","FQ2 2013","Currency=USD","Period=FQ","BEST_FPERIOD_OVERRIDE=FQ","FILING_STATUS=MR","Sort=A","Dates=H","DateFormat=P","Fill=—","Direction=H","UseDPDF=Y")</f>
        <v>-0.02</v>
      </c>
      <c r="U15" s="14">
        <f>_xll.BDH("AMZN US Equity","IS_EARN_BEF_XO_ITEMS_PER_SH","FQ3 2013","FQ3 2013","Currency=USD","Period=FQ","BEST_FPERIOD_OVERRIDE=FQ","FILING_STATUS=MR","Sort=A","Dates=H","DateFormat=P","Fill=—","Direction=H","UseDPDF=Y")</f>
        <v>-0.09</v>
      </c>
      <c r="V15" s="14">
        <f>_xll.BDH("AMZN US Equity","IS_EARN_BEF_XO_ITEMS_PER_SH","FQ4 2013","FQ4 2013","Currency=USD","Period=FQ","BEST_FPERIOD_OVERRIDE=FQ","FILING_STATUS=MR","Sort=A","Dates=H","DateFormat=P","Fill=—","Direction=H","UseDPDF=Y")</f>
        <v>0.52</v>
      </c>
      <c r="W15" s="14">
        <f>_xll.BDH("AMZN US Equity","IS_EARN_BEF_XO_ITEMS_PER_SH","FQ1 2014","FQ1 2014","Currency=USD","Period=FQ","BEST_FPERIOD_OVERRIDE=FQ","FILING_STATUS=MR","Sort=A","Dates=H","DateFormat=P","Fill=—","Direction=H","UseDPDF=Y")</f>
        <v>0.23</v>
      </c>
      <c r="X15" s="14">
        <f>_xll.BDH("AMZN US Equity","IS_EARN_BEF_XO_ITEMS_PER_SH","FQ2 2014","FQ2 2014","Currency=USD","Period=FQ","BEST_FPERIOD_OVERRIDE=FQ","FILING_STATUS=MR","Sort=A","Dates=H","DateFormat=P","Fill=—","Direction=H","UseDPDF=Y")</f>
        <v>-0.27</v>
      </c>
      <c r="Y15" s="14">
        <f>_xll.BDH("AMZN US Equity","IS_EARN_BEF_XO_ITEMS_PER_SH","FQ3 2014","FQ3 2014","Currency=USD","Period=FQ","BEST_FPERIOD_OVERRIDE=FQ","FILING_STATUS=MR","Sort=A","Dates=H","DateFormat=P","Fill=—","Direction=H","UseDPDF=Y")</f>
        <v>-0.95</v>
      </c>
      <c r="Z15" s="14">
        <f>_xll.BDH("AMZN US Equity","IS_EARN_BEF_XO_ITEMS_PER_SH","FQ4 2014","FQ4 2014","Currency=USD","Period=FQ","BEST_FPERIOD_OVERRIDE=FQ","FILING_STATUS=MR","Sort=A","Dates=H","DateFormat=P","Fill=—","Direction=H","UseDPDF=Y")</f>
        <v>0.46</v>
      </c>
      <c r="AA15" s="14">
        <f>_xll.BDH("AMZN US Equity","IS_EARN_BEF_XO_ITEMS_PER_SH","FQ1 2015","FQ1 2015","Currency=USD","Period=FQ","BEST_FPERIOD_OVERRIDE=FQ","FILING_STATUS=MR","Sort=A","Dates=H","DateFormat=P","Fill=—","Direction=H","UseDPDF=Y")</f>
        <v>-0.12</v>
      </c>
      <c r="AB15" s="14">
        <f>_xll.BDH("AMZN US Equity","IS_EARN_BEF_XO_ITEMS_PER_SH","FQ2 2015","FQ2 2015","Currency=USD","Period=FQ","BEST_FPERIOD_OVERRIDE=FQ","FILING_STATUS=MR","Sort=A","Dates=H","DateFormat=P","Fill=—","Direction=H","UseDPDF=Y")</f>
        <v>0.2</v>
      </c>
      <c r="AC15" s="14">
        <f>_xll.BDH("AMZN US Equity","IS_EARN_BEF_XO_ITEMS_PER_SH","FQ3 2015","FQ3 2015","Currency=USD","Period=FQ","BEST_FPERIOD_OVERRIDE=FQ","FILING_STATUS=MR","Sort=A","Dates=H","DateFormat=P","Fill=—","Direction=H","UseDPDF=Y")</f>
        <v>0.17</v>
      </c>
      <c r="AD15" s="14">
        <f>_xll.BDH("AMZN US Equity","IS_EARN_BEF_XO_ITEMS_PER_SH","FQ4 2015","FQ4 2015","Currency=USD","Period=FQ","BEST_FPERIOD_OVERRIDE=FQ","FILING_STATUS=MR","Sort=A","Dates=H","DateFormat=P","Fill=—","Direction=H","UseDPDF=Y")</f>
        <v>1.03</v>
      </c>
      <c r="AE15" s="14">
        <f>_xll.BDH("AMZN US Equity","IS_EARN_BEF_XO_ITEMS_PER_SH","FQ1 2016","FQ1 2016","Currency=USD","Period=FQ","BEST_FPERIOD_OVERRIDE=FQ","FILING_STATUS=MR","Sort=A","Dates=H","DateFormat=P","Fill=—","Direction=H","UseDPDF=Y")</f>
        <v>1.0900000000000001</v>
      </c>
      <c r="AF15" s="14">
        <f>_xll.BDH("AMZN US Equity","IS_EARN_BEF_XO_ITEMS_PER_SH","FQ2 2016","FQ2 2016","Currency=USD","Period=FQ","BEST_FPERIOD_OVERRIDE=FQ","FILING_STATUS=MR","Sort=A","Dates=H","DateFormat=P","Fill=—","Direction=H","UseDPDF=Y")</f>
        <v>1.81</v>
      </c>
      <c r="AG15" s="14">
        <f>_xll.BDH("AMZN US Equity","IS_EARN_BEF_XO_ITEMS_PER_SH","FQ3 2016","FQ3 2016","Currency=USD","Period=FQ","BEST_FPERIOD_OVERRIDE=FQ","FILING_STATUS=MR","Sort=A","Dates=H","DateFormat=P","Fill=—","Direction=H","UseDPDF=Y")</f>
        <v>0.53</v>
      </c>
      <c r="AH15" s="14">
        <f>_xll.BDH("AMZN US Equity","IS_EARN_BEF_XO_ITEMS_PER_SH","FQ4 2016","FQ4 2016","Currency=USD","Period=FQ","BEST_FPERIOD_OVERRIDE=FQ","FILING_STATUS=MR","Sort=A","Dates=H","DateFormat=P","Fill=—","Direction=H","UseDPDF=Y")</f>
        <v>1.5699999999999998</v>
      </c>
      <c r="AI15" s="14">
        <f>_xll.BDH("AMZN US Equity","IS_EARN_BEF_XO_ITEMS_PER_SH","FQ1 2017","FQ1 2017","Currency=USD","Period=FQ","BEST_FPERIOD_OVERRIDE=FQ","FILING_STATUS=MR","Sort=A","Dates=H","DateFormat=P","Fill=—","Direction=H","UseDPDF=Y")</f>
        <v>1.52</v>
      </c>
      <c r="AJ15" s="14">
        <f>_xll.BDH("AMZN US Equity","IS_EARN_BEF_XO_ITEMS_PER_SH","FQ2 2017","FQ2 2017","Currency=USD","Period=FQ","BEST_FPERIOD_OVERRIDE=FQ","FILING_STATUS=MR","Sort=A","Dates=H","DateFormat=P","Fill=—","Direction=H","UseDPDF=Y")</f>
        <v>0.41</v>
      </c>
      <c r="AK15" s="14">
        <f>_xll.BDH("AMZN US Equity","IS_EARN_BEF_XO_ITEMS_PER_SH","FQ3 2017","FQ3 2017","Currency=USD","Period=FQ","BEST_FPERIOD_OVERRIDE=FQ","FILING_STATUS=MR","Sort=A","Dates=H","DateFormat=P","Fill=—","Direction=H","UseDPDF=Y")</f>
        <v>0.53</v>
      </c>
      <c r="AL15" s="14">
        <f>_xll.BDH("AMZN US Equity","IS_EARN_BEF_XO_ITEMS_PER_SH","FQ4 2017","FQ4 2017","Currency=USD","Period=FQ","BEST_FPERIOD_OVERRIDE=FQ","FILING_STATUS=MR","Sort=A","Dates=H","DateFormat=P","Fill=—","Direction=H","UseDPDF=Y")</f>
        <v>3.85</v>
      </c>
      <c r="AM15" s="14">
        <f>_xll.BDH("AMZN US Equity","IS_EARN_BEF_XO_ITEMS_PER_SH","FQ1 2018","FQ1 2018","Currency=USD","Period=FQ","BEST_FPERIOD_OVERRIDE=FQ","FILING_STATUS=MR","Sort=A","Dates=H","DateFormat=P","Fill=—","Direction=H","UseDPDF=Y")</f>
        <v>3.36</v>
      </c>
      <c r="AN15" s="14">
        <f>_xll.BDH("AMZN US Equity","IS_EARN_BEF_XO_ITEMS_PER_SH","FQ2 2018","FQ2 2018","Currency=USD","Period=FQ","BEST_FPERIOD_OVERRIDE=FQ","FILING_STATUS=MR","Sort=A","Dates=H","DateFormat=P","Fill=—","Direction=H","UseDPDF=Y")</f>
        <v>5.21</v>
      </c>
      <c r="AO15" s="14">
        <v>3.113</v>
      </c>
      <c r="AP15" s="14">
        <v>5.7939999999999996</v>
      </c>
    </row>
    <row r="16" spans="1:42" x14ac:dyDescent="0.25">
      <c r="A16" s="10" t="s">
        <v>476</v>
      </c>
      <c r="B16" s="10" t="s">
        <v>172</v>
      </c>
      <c r="C16" s="14">
        <f>_xll.BDH("AMZN US Equity","IS_BASIC_EPS_CONT_OPS","FQ1 2009","FQ1 2009","Currency=USD","Period=FQ","BEST_FPERIOD_OVERRIDE=FQ","FILING_STATUS=MR","Sort=A","Dates=H","DateFormat=P","Fill=—","Direction=H","UseDPDF=Y")</f>
        <v>0.40960000000000002</v>
      </c>
      <c r="D16" s="14">
        <f>_xll.BDH("AMZN US Equity","IS_BASIC_EPS_CONT_OPS","FQ2 2009","FQ2 2009","Currency=USD","Period=FQ","BEST_FPERIOD_OVERRIDE=FQ","FILING_STATUS=MR","Sort=A","Dates=H","DateFormat=P","Fill=—","Direction=H","UseDPDF=Y")</f>
        <v>0.40339999999999998</v>
      </c>
      <c r="E16" s="14">
        <f>_xll.BDH("AMZN US Equity","IS_BASIC_EPS_CONT_OPS","FQ3 2009","FQ3 2009","Currency=USD","Period=FQ","BEST_FPERIOD_OVERRIDE=FQ","FILING_STATUS=MR","Sort=A","Dates=H","DateFormat=P","Fill=—","Direction=H","UseDPDF=Y")</f>
        <v>0.45910000000000001</v>
      </c>
      <c r="F16" s="14">
        <f>_xll.BDH("AMZN US Equity","IS_BASIC_EPS_CONT_OPS","FQ4 2009","FQ4 2009","Currency=USD","Period=FQ","BEST_FPERIOD_OVERRIDE=FQ","FILING_STATUS=MR","Sort=A","Dates=H","DateFormat=P","Fill=—","Direction=H","UseDPDF=Y")</f>
        <v>0.87419999999999998</v>
      </c>
      <c r="G16" s="14">
        <f>_xll.BDH("AMZN US Equity","IS_BASIC_EPS_CONT_OPS","FQ1 2010","FQ1 2010","Currency=USD","Period=FQ","BEST_FPERIOD_OVERRIDE=FQ","FILING_STATUS=MR","Sort=A","Dates=H","DateFormat=P","Fill=—","Direction=H","UseDPDF=Y")</f>
        <v>0.67</v>
      </c>
      <c r="H16" s="14">
        <f>_xll.BDH("AMZN US Equity","IS_BASIC_EPS_CONT_OPS","FQ2 2010","FQ2 2010","Currency=USD","Period=FQ","BEST_FPERIOD_OVERRIDE=FQ","FILING_STATUS=MR","Sort=A","Dates=H","DateFormat=P","Fill=—","Direction=H","UseDPDF=Y")</f>
        <v>0.46</v>
      </c>
      <c r="I16" s="14">
        <f>_xll.BDH("AMZN US Equity","IS_BASIC_EPS_CONT_OPS","FQ3 2010","FQ3 2010","Currency=USD","Period=FQ","BEST_FPERIOD_OVERRIDE=FQ","FILING_STATUS=MR","Sort=A","Dates=H","DateFormat=P","Fill=—","Direction=H","UseDPDF=Y")</f>
        <v>0.51</v>
      </c>
      <c r="J16" s="14">
        <f>_xll.BDH("AMZN US Equity","IS_BASIC_EPS_CONT_OPS","FQ4 2010","FQ4 2010","Currency=USD","Period=FQ","BEST_FPERIOD_OVERRIDE=FQ","FILING_STATUS=MR","Sort=A","Dates=H","DateFormat=P","Fill=—","Direction=H","UseDPDF=Y")</f>
        <v>0.93</v>
      </c>
      <c r="K16" s="14">
        <f>_xll.BDH("AMZN US Equity","IS_BASIC_EPS_CONT_OPS","FQ1 2011","FQ1 2011","Currency=USD","Period=FQ","BEST_FPERIOD_OVERRIDE=FQ","FILING_STATUS=MR","Sort=A","Dates=H","DateFormat=P","Fill=—","Direction=H","UseDPDF=Y")</f>
        <v>0.44</v>
      </c>
      <c r="L16" s="14">
        <f>_xll.BDH("AMZN US Equity","IS_BASIC_EPS_CONT_OPS","FQ2 2011","FQ2 2011","Currency=USD","Period=FQ","BEST_FPERIOD_OVERRIDE=FQ","FILING_STATUS=MR","Sort=A","Dates=H","DateFormat=P","Fill=—","Direction=H","UseDPDF=Y")</f>
        <v>0.42</v>
      </c>
      <c r="M16" s="14">
        <f>_xll.BDH("AMZN US Equity","IS_BASIC_EPS_CONT_OPS","FQ3 2011","FQ3 2011","Currency=USD","Period=FQ","BEST_FPERIOD_OVERRIDE=FQ","FILING_STATUS=MR","Sort=A","Dates=H","DateFormat=P","Fill=—","Direction=H","UseDPDF=Y")</f>
        <v>0.14000000000000001</v>
      </c>
      <c r="N16" s="14">
        <f>_xll.BDH("AMZN US Equity","IS_BASIC_EPS_CONT_OPS","FQ4 2011","FQ4 2011","Currency=USD","Period=FQ","BEST_FPERIOD_OVERRIDE=FQ","FILING_STATUS=MR","Sort=A","Dates=H","DateFormat=P","Fill=—","Direction=H","UseDPDF=Y")</f>
        <v>0.39</v>
      </c>
      <c r="O16" s="14">
        <f>_xll.BDH("AMZN US Equity","IS_BASIC_EPS_CONT_OPS","FQ1 2012","FQ1 2012","Currency=USD","Period=FQ","BEST_FPERIOD_OVERRIDE=FQ","FILING_STATUS=MR","Sort=A","Dates=H","DateFormat=P","Fill=—","Direction=H","UseDPDF=Y")</f>
        <v>0.28999999999999998</v>
      </c>
      <c r="P16" s="14">
        <f>_xll.BDH("AMZN US Equity","IS_BASIC_EPS_CONT_OPS","FQ2 2012","FQ2 2012","Currency=USD","Period=FQ","BEST_FPERIOD_OVERRIDE=FQ","FILING_STATUS=MR","Sort=A","Dates=H","DateFormat=P","Fill=—","Direction=H","UseDPDF=Y")</f>
        <v>0.15959999999999999</v>
      </c>
      <c r="Q16" s="14">
        <f>_xll.BDH("AMZN US Equity","IS_BASIC_EPS_CONT_OPS","FQ3 2012","FQ3 2012","Currency=USD","Period=FQ","BEST_FPERIOD_OVERRIDE=FQ","FILING_STATUS=MR","Sort=A","Dates=H","DateFormat=P","Fill=—","Direction=H","UseDPDF=Y")</f>
        <v>-0.28539999999999999</v>
      </c>
      <c r="R16" s="14">
        <f>_xll.BDH("AMZN US Equity","IS_BASIC_EPS_CONT_OPS","FQ4 2012","FQ4 2012","Currency=USD","Period=FQ","BEST_FPERIOD_OVERRIDE=FQ","FILING_STATUS=MR","Sort=A","Dates=H","DateFormat=P","Fill=—","Direction=H","UseDPDF=Y")</f>
        <v>0.26869999999999999</v>
      </c>
      <c r="S16" s="14">
        <f>_xll.BDH("AMZN US Equity","IS_BASIC_EPS_CONT_OPS","FQ1 2013","FQ1 2013","Currency=USD","Period=FQ","BEST_FPERIOD_OVERRIDE=FQ","FILING_STATUS=MR","Sort=A","Dates=H","DateFormat=P","Fill=—","Direction=H","UseDPDF=Y")</f>
        <v>0.18</v>
      </c>
      <c r="T16" s="14">
        <f>_xll.BDH("AMZN US Equity","IS_BASIC_EPS_CONT_OPS","FQ2 2013","FQ2 2013","Currency=USD","Period=FQ","BEST_FPERIOD_OVERRIDE=FQ","FILING_STATUS=MR","Sort=A","Dates=H","DateFormat=P","Fill=—","Direction=H","UseDPDF=Y")</f>
        <v>-0.02</v>
      </c>
      <c r="U16" s="14">
        <f>_xll.BDH("AMZN US Equity","IS_BASIC_EPS_CONT_OPS","FQ3 2013","FQ3 2013","Currency=USD","Period=FQ","BEST_FPERIOD_OVERRIDE=FQ","FILING_STATUS=MR","Sort=A","Dates=H","DateFormat=P","Fill=—","Direction=H","UseDPDF=Y")</f>
        <v>-0.09</v>
      </c>
      <c r="V16" s="14">
        <f>_xll.BDH("AMZN US Equity","IS_BASIC_EPS_CONT_OPS","FQ4 2013","FQ4 2013","Currency=USD","Period=FQ","BEST_FPERIOD_OVERRIDE=FQ","FILING_STATUS=MR","Sort=A","Dates=H","DateFormat=P","Fill=—","Direction=H","UseDPDF=Y")</f>
        <v>0.52</v>
      </c>
      <c r="W16" s="14">
        <f>_xll.BDH("AMZN US Equity","IS_BASIC_EPS_CONT_OPS","FQ1 2014","FQ1 2014","Currency=USD","Period=FQ","BEST_FPERIOD_OVERRIDE=FQ","FILING_STATUS=MR","Sort=A","Dates=H","DateFormat=P","Fill=—","Direction=H","UseDPDF=Y")</f>
        <v>0.23</v>
      </c>
      <c r="X16" s="14">
        <f>_xll.BDH("AMZN US Equity","IS_BASIC_EPS_CONT_OPS","FQ2 2014","FQ2 2014","Currency=USD","Period=FQ","BEST_FPERIOD_OVERRIDE=FQ","FILING_STATUS=MR","Sort=A","Dates=H","DateFormat=P","Fill=—","Direction=H","UseDPDF=Y")</f>
        <v>-0.27</v>
      </c>
      <c r="Y16" s="14">
        <f>_xll.BDH("AMZN US Equity","IS_BASIC_EPS_CONT_OPS","FQ3 2014","FQ3 2014","Currency=USD","Period=FQ","BEST_FPERIOD_OVERRIDE=FQ","FILING_STATUS=MR","Sort=A","Dates=H","DateFormat=P","Fill=—","Direction=H","UseDPDF=Y")</f>
        <v>-0.70520000000000005</v>
      </c>
      <c r="Z16" s="14">
        <f>_xll.BDH("AMZN US Equity","IS_BASIC_EPS_CONT_OPS","FQ4 2014","FQ4 2014","Currency=USD","Period=FQ","BEST_FPERIOD_OVERRIDE=FQ","FILING_STATUS=MR","Sort=A","Dates=H","DateFormat=P","Fill=—","Direction=H","UseDPDF=Y")</f>
        <v>0.46</v>
      </c>
      <c r="AA16" s="14">
        <f>_xll.BDH("AMZN US Equity","IS_BASIC_EPS_CONT_OPS","FQ1 2015","FQ1 2015","Currency=USD","Period=FQ","BEST_FPERIOD_OVERRIDE=FQ","FILING_STATUS=MR","Sort=A","Dates=H","DateFormat=P","Fill=—","Direction=H","UseDPDF=Y")</f>
        <v>-0.1212</v>
      </c>
      <c r="AB16" s="14">
        <f>_xll.BDH("AMZN US Equity","IS_BASIC_EPS_CONT_OPS","FQ2 2015","FQ2 2015","Currency=USD","Period=FQ","BEST_FPERIOD_OVERRIDE=FQ","FILING_STATUS=MR","Sort=A","Dates=H","DateFormat=P","Fill=—","Direction=H","UseDPDF=Y")</f>
        <v>0.19839999999999999</v>
      </c>
      <c r="AC16" s="14">
        <f>_xll.BDH("AMZN US Equity","IS_BASIC_EPS_CONT_OPS","FQ3 2015","FQ3 2015","Currency=USD","Period=FQ","BEST_FPERIOD_OVERRIDE=FQ","FILING_STATUS=MR","Sort=A","Dates=H","DateFormat=P","Fill=—","Direction=H","UseDPDF=Y")</f>
        <v>0.17</v>
      </c>
      <c r="AD16" s="14">
        <f>_xll.BDH("AMZN US Equity","IS_BASIC_EPS_CONT_OPS","FQ4 2015","FQ4 2015","Currency=USD","Period=FQ","BEST_FPERIOD_OVERRIDE=FQ","FILING_STATUS=MR","Sort=A","Dates=H","DateFormat=P","Fill=—","Direction=H","UseDPDF=Y")</f>
        <v>1.0297000000000001</v>
      </c>
      <c r="AE16" s="14">
        <f>_xll.BDH("AMZN US Equity","IS_BASIC_EPS_CONT_OPS","FQ1 2016","FQ1 2016","Currency=USD","Period=FQ","BEST_FPERIOD_OVERRIDE=FQ","FILING_STATUS=MR","Sort=A","Dates=H","DateFormat=P","Fill=—","Direction=H","UseDPDF=Y")</f>
        <v>1.0900000000000001</v>
      </c>
      <c r="AF16" s="14">
        <f>_xll.BDH("AMZN US Equity","IS_BASIC_EPS_CONT_OPS","FQ2 2016","FQ2 2016","Currency=USD","Period=FQ","BEST_FPERIOD_OVERRIDE=FQ","FILING_STATUS=MR","Sort=A","Dates=H","DateFormat=P","Fill=—","Direction=H","UseDPDF=Y")</f>
        <v>1.81</v>
      </c>
      <c r="AG16" s="14">
        <f>_xll.BDH("AMZN US Equity","IS_BASIC_EPS_CONT_OPS","FQ3 2016","FQ3 2016","Currency=USD","Period=FQ","BEST_FPERIOD_OVERRIDE=FQ","FILING_STATUS=MR","Sort=A","Dates=H","DateFormat=P","Fill=—","Direction=H","UseDPDF=Y")</f>
        <v>0.53</v>
      </c>
      <c r="AH16" s="14">
        <f>_xll.BDH("AMZN US Equity","IS_BASIC_EPS_CONT_OPS","FQ4 2016","FQ4 2016","Currency=USD","Period=FQ","BEST_FPERIOD_OVERRIDE=FQ","FILING_STATUS=MR","Sort=A","Dates=H","DateFormat=P","Fill=—","Direction=H","UseDPDF=Y")</f>
        <v>1.5804</v>
      </c>
      <c r="AI16" s="14">
        <f>_xll.BDH("AMZN US Equity","IS_BASIC_EPS_CONT_OPS","FQ1 2017","FQ1 2017","Currency=USD","Period=FQ","BEST_FPERIOD_OVERRIDE=FQ","FILING_STATUS=MR","Sort=A","Dates=H","DateFormat=P","Fill=—","Direction=H","UseDPDF=Y")</f>
        <v>1.52</v>
      </c>
      <c r="AJ16" s="14">
        <f>_xll.BDH("AMZN US Equity","IS_BASIC_EPS_CONT_OPS","FQ2 2017","FQ2 2017","Currency=USD","Period=FQ","BEST_FPERIOD_OVERRIDE=FQ","FILING_STATUS=MR","Sort=A","Dates=H","DateFormat=P","Fill=—","Direction=H","UseDPDF=Y")</f>
        <v>0.41</v>
      </c>
      <c r="AK16" s="14">
        <f>_xll.BDH("AMZN US Equity","IS_BASIC_EPS_CONT_OPS","FQ3 2017","FQ3 2017","Currency=USD","Period=FQ","BEST_FPERIOD_OVERRIDE=FQ","FILING_STATUS=MR","Sort=A","Dates=H","DateFormat=P","Fill=—","Direction=H","UseDPDF=Y")</f>
        <v>0.53</v>
      </c>
      <c r="AL16" s="14">
        <f>_xll.BDH("AMZN US Equity","IS_BASIC_EPS_CONT_OPS","FQ4 2017","FQ4 2017","Currency=USD","Period=FQ","BEST_FPERIOD_OVERRIDE=FQ","FILING_STATUS=MR","Sort=A","Dates=H","DateFormat=P","Fill=—","Direction=H","UseDPDF=Y")</f>
        <v>2.2090999999999998</v>
      </c>
      <c r="AM16" s="14">
        <f>_xll.BDH("AMZN US Equity","IS_BASIC_EPS_CONT_OPS","FQ1 2018","FQ1 2018","Currency=USD","Period=FQ","BEST_FPERIOD_OVERRIDE=FQ","FILING_STATUS=MR","Sort=A","Dates=H","DateFormat=P","Fill=—","Direction=H","UseDPDF=Y")</f>
        <v>3.36</v>
      </c>
      <c r="AN16" s="14">
        <f>_xll.BDH("AMZN US Equity","IS_BASIC_EPS_CONT_OPS","FQ2 2018","FQ2 2018","Currency=USD","Period=FQ","BEST_FPERIOD_OVERRIDE=FQ","FILING_STATUS=MR","Sort=A","Dates=H","DateFormat=P","Fill=—","Direction=H","UseDPDF=Y")</f>
        <v>3.9877000000000002</v>
      </c>
      <c r="AO16" s="14">
        <v>5.6219999999999999</v>
      </c>
      <c r="AP16" s="14">
        <v>8.5449999999999999</v>
      </c>
    </row>
    <row r="17" spans="1:42" x14ac:dyDescent="0.25">
      <c r="A17" s="10" t="s">
        <v>477</v>
      </c>
      <c r="B17" s="10" t="s">
        <v>176</v>
      </c>
      <c r="C17" s="14">
        <f>_xll.BDH("AMZN US Equity","IS_DILUTED_EPS","FQ1 2009","FQ1 2009","Currency=USD","Period=FQ","BEST_FPERIOD_OVERRIDE=FQ","FILING_STATUS=MR","FA_ADJUSTED=GAAP","Sort=A","Dates=H","DateFormat=P","Fill=—","Direction=H","UseDPDF=Y")</f>
        <v>0.41</v>
      </c>
      <c r="D17" s="14">
        <f>_xll.BDH("AMZN US Equity","IS_DILUTED_EPS","FQ2 2009","FQ2 2009","Currency=USD","Period=FQ","BEST_FPERIOD_OVERRIDE=FQ","FILING_STATUS=MR","FA_ADJUSTED=GAAP","Sort=A","Dates=H","DateFormat=P","Fill=—","Direction=H","UseDPDF=Y")</f>
        <v>0.32</v>
      </c>
      <c r="E17" s="14">
        <f>_xll.BDH("AMZN US Equity","IS_DILUTED_EPS","FQ3 2009","FQ3 2009","Currency=USD","Period=FQ","BEST_FPERIOD_OVERRIDE=FQ","FILING_STATUS=MR","FA_ADJUSTED=GAAP","Sort=A","Dates=H","DateFormat=P","Fill=—","Direction=H","UseDPDF=Y")</f>
        <v>0.45</v>
      </c>
      <c r="F17" s="14">
        <f>_xll.BDH("AMZN US Equity","IS_DILUTED_EPS","FQ4 2009","FQ4 2009","Currency=USD","Period=FQ","BEST_FPERIOD_OVERRIDE=FQ","FILING_STATUS=MR","FA_ADJUSTED=GAAP","Sort=A","Dates=H","DateFormat=P","Fill=—","Direction=H","UseDPDF=Y")</f>
        <v>0.85</v>
      </c>
      <c r="G17" s="14">
        <f>_xll.BDH("AMZN US Equity","IS_DILUTED_EPS","FQ1 2010","FQ1 2010","Currency=USD","Period=FQ","BEST_FPERIOD_OVERRIDE=FQ","FILING_STATUS=MR","FA_ADJUSTED=GAAP","Sort=A","Dates=H","DateFormat=P","Fill=—","Direction=H","UseDPDF=Y")</f>
        <v>0.66</v>
      </c>
      <c r="H17" s="14">
        <f>_xll.BDH("AMZN US Equity","IS_DILUTED_EPS","FQ2 2010","FQ2 2010","Currency=USD","Period=FQ","BEST_FPERIOD_OVERRIDE=FQ","FILING_STATUS=MR","FA_ADJUSTED=GAAP","Sort=A","Dates=H","DateFormat=P","Fill=—","Direction=H","UseDPDF=Y")</f>
        <v>0.45</v>
      </c>
      <c r="I17" s="14">
        <f>_xll.BDH("AMZN US Equity","IS_DILUTED_EPS","FQ3 2010","FQ3 2010","Currency=USD","Period=FQ","BEST_FPERIOD_OVERRIDE=FQ","FILING_STATUS=MR","FA_ADJUSTED=GAAP","Sort=A","Dates=H","DateFormat=P","Fill=—","Direction=H","UseDPDF=Y")</f>
        <v>0.51</v>
      </c>
      <c r="J17" s="14">
        <f>_xll.BDH("AMZN US Equity","IS_DILUTED_EPS","FQ4 2010","FQ4 2010","Currency=USD","Period=FQ","BEST_FPERIOD_OVERRIDE=FQ","FILING_STATUS=MR","FA_ADJUSTED=GAAP","Sort=A","Dates=H","DateFormat=P","Fill=—","Direction=H","UseDPDF=Y")</f>
        <v>0.91</v>
      </c>
      <c r="K17" s="14">
        <f>_xll.BDH("AMZN US Equity","IS_DILUTED_EPS","FQ1 2011","FQ1 2011","Currency=USD","Period=FQ","BEST_FPERIOD_OVERRIDE=FQ","FILING_STATUS=MR","FA_ADJUSTED=GAAP","Sort=A","Dates=H","DateFormat=P","Fill=—","Direction=H","UseDPDF=Y")</f>
        <v>0.44</v>
      </c>
      <c r="L17" s="14">
        <f>_xll.BDH("AMZN US Equity","IS_DILUTED_EPS","FQ2 2011","FQ2 2011","Currency=USD","Period=FQ","BEST_FPERIOD_OVERRIDE=FQ","FILING_STATUS=MR","FA_ADJUSTED=GAAP","Sort=A","Dates=H","DateFormat=P","Fill=—","Direction=H","UseDPDF=Y")</f>
        <v>0.41</v>
      </c>
      <c r="M17" s="14">
        <f>_xll.BDH("AMZN US Equity","IS_DILUTED_EPS","FQ3 2011","FQ3 2011","Currency=USD","Period=FQ","BEST_FPERIOD_OVERRIDE=FQ","FILING_STATUS=MR","FA_ADJUSTED=GAAP","Sort=A","Dates=H","DateFormat=P","Fill=—","Direction=H","UseDPDF=Y")</f>
        <v>0.14000000000000001</v>
      </c>
      <c r="N17" s="14">
        <f>_xll.BDH("AMZN US Equity","IS_DILUTED_EPS","FQ4 2011","FQ4 2011","Currency=USD","Period=FQ","BEST_FPERIOD_OVERRIDE=FQ","FILING_STATUS=MR","FA_ADJUSTED=GAAP","Sort=A","Dates=H","DateFormat=P","Fill=—","Direction=H","UseDPDF=Y")</f>
        <v>0.38</v>
      </c>
      <c r="O17" s="14">
        <f>_xll.BDH("AMZN US Equity","IS_DILUTED_EPS","FQ1 2012","FQ1 2012","Currency=USD","Period=FQ","BEST_FPERIOD_OVERRIDE=FQ","FILING_STATUS=MR","FA_ADJUSTED=GAAP","Sort=A","Dates=H","DateFormat=P","Fill=—","Direction=H","UseDPDF=Y")</f>
        <v>0.28000000000000003</v>
      </c>
      <c r="P17" s="14">
        <f>_xll.BDH("AMZN US Equity","IS_DILUTED_EPS","FQ2 2012","FQ2 2012","Currency=USD","Period=FQ","BEST_FPERIOD_OVERRIDE=FQ","FILING_STATUS=MR","FA_ADJUSTED=GAAP","Sort=A","Dates=H","DateFormat=P","Fill=—","Direction=H","UseDPDF=Y")</f>
        <v>0.01</v>
      </c>
      <c r="Q17" s="14">
        <f>_xll.BDH("AMZN US Equity","IS_DILUTED_EPS","FQ3 2012","FQ3 2012","Currency=USD","Period=FQ","BEST_FPERIOD_OVERRIDE=FQ","FILING_STATUS=MR","FA_ADJUSTED=GAAP","Sort=A","Dates=H","DateFormat=P","Fill=—","Direction=H","UseDPDF=Y")</f>
        <v>-0.6</v>
      </c>
      <c r="R17" s="14">
        <f>_xll.BDH("AMZN US Equity","IS_DILUTED_EPS","FQ4 2012","FQ4 2012","Currency=USD","Period=FQ","BEST_FPERIOD_OVERRIDE=FQ","FILING_STATUS=MR","FA_ADJUSTED=GAAP","Sort=A","Dates=H","DateFormat=P","Fill=—","Direction=H","UseDPDF=Y")</f>
        <v>0.21</v>
      </c>
      <c r="S17" s="14">
        <f>_xll.BDH("AMZN US Equity","IS_DILUTED_EPS","FQ1 2013","FQ1 2013","Currency=USD","Period=FQ","BEST_FPERIOD_OVERRIDE=FQ","FILING_STATUS=MR","FA_ADJUSTED=GAAP","Sort=A","Dates=H","DateFormat=P","Fill=—","Direction=H","UseDPDF=Y")</f>
        <v>0.18</v>
      </c>
      <c r="T17" s="14">
        <f>_xll.BDH("AMZN US Equity","IS_DILUTED_EPS","FQ2 2013","FQ2 2013","Currency=USD","Period=FQ","BEST_FPERIOD_OVERRIDE=FQ","FILING_STATUS=MR","FA_ADJUSTED=GAAP","Sort=A","Dates=H","DateFormat=P","Fill=—","Direction=H","UseDPDF=Y")</f>
        <v>-0.02</v>
      </c>
      <c r="U17" s="14">
        <f>_xll.BDH("AMZN US Equity","IS_DILUTED_EPS","FQ3 2013","FQ3 2013","Currency=USD","Period=FQ","BEST_FPERIOD_OVERRIDE=FQ","FILING_STATUS=MR","FA_ADJUSTED=GAAP","Sort=A","Dates=H","DateFormat=P","Fill=—","Direction=H","UseDPDF=Y")</f>
        <v>-0.09</v>
      </c>
      <c r="V17" s="14">
        <f>_xll.BDH("AMZN US Equity","IS_DILUTED_EPS","FQ4 2013","FQ4 2013","Currency=USD","Period=FQ","BEST_FPERIOD_OVERRIDE=FQ","FILING_STATUS=MR","FA_ADJUSTED=GAAP","Sort=A","Dates=H","DateFormat=P","Fill=—","Direction=H","UseDPDF=Y")</f>
        <v>0.51</v>
      </c>
      <c r="W17" s="14">
        <f>_xll.BDH("AMZN US Equity","IS_DILUTED_EPS","FQ1 2014","FQ1 2014","Currency=USD","Period=FQ","BEST_FPERIOD_OVERRIDE=FQ","FILING_STATUS=MR","FA_ADJUSTED=GAAP","Sort=A","Dates=H","DateFormat=P","Fill=—","Direction=H","UseDPDF=Y")</f>
        <v>0.23</v>
      </c>
      <c r="X17" s="14">
        <f>_xll.BDH("AMZN US Equity","IS_DILUTED_EPS","FQ2 2014","FQ2 2014","Currency=USD","Period=FQ","BEST_FPERIOD_OVERRIDE=FQ","FILING_STATUS=MR","FA_ADJUSTED=GAAP","Sort=A","Dates=H","DateFormat=P","Fill=—","Direction=H","UseDPDF=Y")</f>
        <v>-0.27</v>
      </c>
      <c r="Y17" s="14">
        <f>_xll.BDH("AMZN US Equity","IS_DILUTED_EPS","FQ3 2014","FQ3 2014","Currency=USD","Period=FQ","BEST_FPERIOD_OVERRIDE=FQ","FILING_STATUS=MR","FA_ADJUSTED=GAAP","Sort=A","Dates=H","DateFormat=P","Fill=—","Direction=H","UseDPDF=Y")</f>
        <v>-0.95</v>
      </c>
      <c r="Z17" s="14">
        <f>_xll.BDH("AMZN US Equity","IS_DILUTED_EPS","FQ4 2014","FQ4 2014","Currency=USD","Period=FQ","BEST_FPERIOD_OVERRIDE=FQ","FILING_STATUS=MR","FA_ADJUSTED=GAAP","Sort=A","Dates=H","DateFormat=P","Fill=—","Direction=H","UseDPDF=Y")</f>
        <v>0.45</v>
      </c>
      <c r="AA17" s="14">
        <f>_xll.BDH("AMZN US Equity","IS_DILUTED_EPS","FQ1 2015","FQ1 2015","Currency=USD","Period=FQ","BEST_FPERIOD_OVERRIDE=FQ","FILING_STATUS=MR","FA_ADJUSTED=GAAP","Sort=A","Dates=H","DateFormat=P","Fill=—","Direction=H","UseDPDF=Y")</f>
        <v>-0.12</v>
      </c>
      <c r="AB17" s="14">
        <f>_xll.BDH("AMZN US Equity","IS_DILUTED_EPS","FQ2 2015","FQ2 2015","Currency=USD","Period=FQ","BEST_FPERIOD_OVERRIDE=FQ","FILING_STATUS=MR","FA_ADJUSTED=GAAP","Sort=A","Dates=H","DateFormat=P","Fill=—","Direction=H","UseDPDF=Y")</f>
        <v>0.19</v>
      </c>
      <c r="AC17" s="14">
        <f>_xll.BDH("AMZN US Equity","IS_DILUTED_EPS","FQ3 2015","FQ3 2015","Currency=USD","Period=FQ","BEST_FPERIOD_OVERRIDE=FQ","FILING_STATUS=MR","FA_ADJUSTED=GAAP","Sort=A","Dates=H","DateFormat=P","Fill=—","Direction=H","UseDPDF=Y")</f>
        <v>0.17</v>
      </c>
      <c r="AD17" s="14">
        <f>_xll.BDH("AMZN US Equity","IS_DILUTED_EPS","FQ4 2015","FQ4 2015","Currency=USD","Period=FQ","BEST_FPERIOD_OVERRIDE=FQ","FILING_STATUS=MR","FA_ADJUSTED=GAAP","Sort=A","Dates=H","DateFormat=P","Fill=—","Direction=H","UseDPDF=Y")</f>
        <v>1</v>
      </c>
      <c r="AE17" s="14">
        <f>_xll.BDH("AMZN US Equity","IS_DILUTED_EPS","FQ1 2016","FQ1 2016","Currency=USD","Period=FQ","BEST_FPERIOD_OVERRIDE=FQ","FILING_STATUS=MR","FA_ADJUSTED=GAAP","Sort=A","Dates=H","DateFormat=P","Fill=—","Direction=H","UseDPDF=Y")</f>
        <v>1.07</v>
      </c>
      <c r="AF17" s="14">
        <f>_xll.BDH("AMZN US Equity","IS_DILUTED_EPS","FQ2 2016","FQ2 2016","Currency=USD","Period=FQ","BEST_FPERIOD_OVERRIDE=FQ","FILING_STATUS=MR","FA_ADJUSTED=GAAP","Sort=A","Dates=H","DateFormat=P","Fill=—","Direction=H","UseDPDF=Y")</f>
        <v>1.78</v>
      </c>
      <c r="AG17" s="14">
        <f>_xll.BDH("AMZN US Equity","IS_DILUTED_EPS","FQ3 2016","FQ3 2016","Currency=USD","Period=FQ","BEST_FPERIOD_OVERRIDE=FQ","FILING_STATUS=MR","FA_ADJUSTED=GAAP","Sort=A","Dates=H","DateFormat=P","Fill=—","Direction=H","UseDPDF=Y")</f>
        <v>0.52</v>
      </c>
      <c r="AH17" s="14">
        <f>_xll.BDH("AMZN US Equity","IS_DILUTED_EPS","FQ4 2016","FQ4 2016","Currency=USD","Period=FQ","BEST_FPERIOD_OVERRIDE=FQ","FILING_STATUS=MR","FA_ADJUSTED=GAAP","Sort=A","Dates=H","DateFormat=P","Fill=—","Direction=H","UseDPDF=Y")</f>
        <v>1.54</v>
      </c>
      <c r="AI17" s="14">
        <f>_xll.BDH("AMZN US Equity","IS_DILUTED_EPS","FQ1 2017","FQ1 2017","Currency=USD","Period=FQ","BEST_FPERIOD_OVERRIDE=FQ","FILING_STATUS=MR","FA_ADJUSTED=GAAP","Sort=A","Dates=H","DateFormat=P","Fill=—","Direction=H","UseDPDF=Y")</f>
        <v>1.48</v>
      </c>
      <c r="AJ17" s="14">
        <f>_xll.BDH("AMZN US Equity","IS_DILUTED_EPS","FQ2 2017","FQ2 2017","Currency=USD","Period=FQ","BEST_FPERIOD_OVERRIDE=FQ","FILING_STATUS=MR","FA_ADJUSTED=GAAP","Sort=A","Dates=H","DateFormat=P","Fill=—","Direction=H","UseDPDF=Y")</f>
        <v>0.4</v>
      </c>
      <c r="AK17" s="14">
        <f>_xll.BDH("AMZN US Equity","IS_DILUTED_EPS","FQ3 2017","FQ3 2017","Currency=USD","Period=FQ","BEST_FPERIOD_OVERRIDE=FQ","FILING_STATUS=MR","FA_ADJUSTED=GAAP","Sort=A","Dates=H","DateFormat=P","Fill=—","Direction=H","UseDPDF=Y")</f>
        <v>0.52</v>
      </c>
      <c r="AL17" s="14">
        <f>_xll.BDH("AMZN US Equity","IS_DILUTED_EPS","FQ4 2017","FQ4 2017","Currency=USD","Period=FQ","BEST_FPERIOD_OVERRIDE=FQ","FILING_STATUS=MR","FA_ADJUSTED=GAAP","Sort=A","Dates=H","DateFormat=P","Fill=—","Direction=H","UseDPDF=Y")</f>
        <v>3.75</v>
      </c>
      <c r="AM17" s="14">
        <f>_xll.BDH("AMZN US Equity","IS_DILUTED_EPS","FQ1 2018","FQ1 2018","Currency=USD","Period=FQ","BEST_FPERIOD_OVERRIDE=FQ","FILING_STATUS=MR","FA_ADJUSTED=GAAP","Sort=A","Dates=H","DateFormat=P","Fill=—","Direction=H","UseDPDF=Y")</f>
        <v>3.27</v>
      </c>
      <c r="AN17" s="14">
        <f>_xll.BDH("AMZN US Equity","IS_DILUTED_EPS","FQ2 2018","FQ2 2018","Currency=USD","Period=FQ","BEST_FPERIOD_OVERRIDE=FQ","FILING_STATUS=MR","FA_ADJUSTED=GAAP","Sort=A","Dates=H","DateFormat=P","Fill=—","Direction=H","UseDPDF=Y")</f>
        <v>5.07</v>
      </c>
      <c r="AO17" s="14">
        <v>3.113</v>
      </c>
      <c r="AP17" s="14">
        <v>5.7939999999999996</v>
      </c>
    </row>
    <row r="18" spans="1:42" x14ac:dyDescent="0.25">
      <c r="A18" s="10" t="s">
        <v>478</v>
      </c>
      <c r="B18" s="10" t="s">
        <v>178</v>
      </c>
      <c r="C18" s="14">
        <f>_xll.BDH("AMZN US Equity","IS_DIL_EPS_BEF_XO","FQ1 2009","FQ1 2009","Currency=USD","Period=FQ","BEST_FPERIOD_OVERRIDE=FQ","FILING_STATUS=MR","Sort=A","Dates=H","DateFormat=P","Fill=—","Direction=H","UseDPDF=Y")</f>
        <v>0.41</v>
      </c>
      <c r="D18" s="14">
        <f>_xll.BDH("AMZN US Equity","IS_DIL_EPS_BEF_XO","FQ2 2009","FQ2 2009","Currency=USD","Period=FQ","BEST_FPERIOD_OVERRIDE=FQ","FILING_STATUS=MR","Sort=A","Dates=H","DateFormat=P","Fill=—","Direction=H","UseDPDF=Y")</f>
        <v>0.32</v>
      </c>
      <c r="E18" s="14">
        <f>_xll.BDH("AMZN US Equity","IS_DIL_EPS_BEF_XO","FQ3 2009","FQ3 2009","Currency=USD","Period=FQ","BEST_FPERIOD_OVERRIDE=FQ","FILING_STATUS=MR","Sort=A","Dates=H","DateFormat=P","Fill=—","Direction=H","UseDPDF=Y")</f>
        <v>0.45</v>
      </c>
      <c r="F18" s="14">
        <f>_xll.BDH("AMZN US Equity","IS_DIL_EPS_BEF_XO","FQ4 2009","FQ4 2009","Currency=USD","Period=FQ","BEST_FPERIOD_OVERRIDE=FQ","FILING_STATUS=MR","Sort=A","Dates=H","DateFormat=P","Fill=—","Direction=H","UseDPDF=Y")</f>
        <v>0.85</v>
      </c>
      <c r="G18" s="14">
        <f>_xll.BDH("AMZN US Equity","IS_DIL_EPS_BEF_XO","FQ1 2010","FQ1 2010","Currency=USD","Period=FQ","BEST_FPERIOD_OVERRIDE=FQ","FILING_STATUS=MR","Sort=A","Dates=H","DateFormat=P","Fill=—","Direction=H","UseDPDF=Y")</f>
        <v>0.66</v>
      </c>
      <c r="H18" s="14">
        <f>_xll.BDH("AMZN US Equity","IS_DIL_EPS_BEF_XO","FQ2 2010","FQ2 2010","Currency=USD","Period=FQ","BEST_FPERIOD_OVERRIDE=FQ","FILING_STATUS=MR","Sort=A","Dates=H","DateFormat=P","Fill=—","Direction=H","UseDPDF=Y")</f>
        <v>0.45</v>
      </c>
      <c r="I18" s="14">
        <f>_xll.BDH("AMZN US Equity","IS_DIL_EPS_BEF_XO","FQ3 2010","FQ3 2010","Currency=USD","Period=FQ","BEST_FPERIOD_OVERRIDE=FQ","FILING_STATUS=MR","Sort=A","Dates=H","DateFormat=P","Fill=—","Direction=H","UseDPDF=Y")</f>
        <v>0.51</v>
      </c>
      <c r="J18" s="14">
        <f>_xll.BDH("AMZN US Equity","IS_DIL_EPS_BEF_XO","FQ4 2010","FQ4 2010","Currency=USD","Period=FQ","BEST_FPERIOD_OVERRIDE=FQ","FILING_STATUS=MR","Sort=A","Dates=H","DateFormat=P","Fill=—","Direction=H","UseDPDF=Y")</f>
        <v>0.91</v>
      </c>
      <c r="K18" s="14">
        <f>_xll.BDH("AMZN US Equity","IS_DIL_EPS_BEF_XO","FQ1 2011","FQ1 2011","Currency=USD","Period=FQ","BEST_FPERIOD_OVERRIDE=FQ","FILING_STATUS=MR","Sort=A","Dates=H","DateFormat=P","Fill=—","Direction=H","UseDPDF=Y")</f>
        <v>0.44</v>
      </c>
      <c r="L18" s="14">
        <f>_xll.BDH("AMZN US Equity","IS_DIL_EPS_BEF_XO","FQ2 2011","FQ2 2011","Currency=USD","Period=FQ","BEST_FPERIOD_OVERRIDE=FQ","FILING_STATUS=MR","Sort=A","Dates=H","DateFormat=P","Fill=—","Direction=H","UseDPDF=Y")</f>
        <v>0.41</v>
      </c>
      <c r="M18" s="14">
        <f>_xll.BDH("AMZN US Equity","IS_DIL_EPS_BEF_XO","FQ3 2011","FQ3 2011","Currency=USD","Period=FQ","BEST_FPERIOD_OVERRIDE=FQ","FILING_STATUS=MR","Sort=A","Dates=H","DateFormat=P","Fill=—","Direction=H","UseDPDF=Y")</f>
        <v>0.14000000000000001</v>
      </c>
      <c r="N18" s="14">
        <f>_xll.BDH("AMZN US Equity","IS_DIL_EPS_BEF_XO","FQ4 2011","FQ4 2011","Currency=USD","Period=FQ","BEST_FPERIOD_OVERRIDE=FQ","FILING_STATUS=MR","Sort=A","Dates=H","DateFormat=P","Fill=—","Direction=H","UseDPDF=Y")</f>
        <v>0.38</v>
      </c>
      <c r="O18" s="14">
        <f>_xll.BDH("AMZN US Equity","IS_DIL_EPS_BEF_XO","FQ1 2012","FQ1 2012","Currency=USD","Period=FQ","BEST_FPERIOD_OVERRIDE=FQ","FILING_STATUS=MR","Sort=A","Dates=H","DateFormat=P","Fill=—","Direction=H","UseDPDF=Y")</f>
        <v>0.28000000000000003</v>
      </c>
      <c r="P18" s="14">
        <f>_xll.BDH("AMZN US Equity","IS_DIL_EPS_BEF_XO","FQ2 2012","FQ2 2012","Currency=USD","Period=FQ","BEST_FPERIOD_OVERRIDE=FQ","FILING_STATUS=MR","Sort=A","Dates=H","DateFormat=P","Fill=—","Direction=H","UseDPDF=Y")</f>
        <v>0.01</v>
      </c>
      <c r="Q18" s="14">
        <f>_xll.BDH("AMZN US Equity","IS_DIL_EPS_BEF_XO","FQ3 2012","FQ3 2012","Currency=USD","Period=FQ","BEST_FPERIOD_OVERRIDE=FQ","FILING_STATUS=MR","Sort=A","Dates=H","DateFormat=P","Fill=—","Direction=H","UseDPDF=Y")</f>
        <v>-0.6</v>
      </c>
      <c r="R18" s="14">
        <f>_xll.BDH("AMZN US Equity","IS_DIL_EPS_BEF_XO","FQ4 2012","FQ4 2012","Currency=USD","Period=FQ","BEST_FPERIOD_OVERRIDE=FQ","FILING_STATUS=MR","Sort=A","Dates=H","DateFormat=P","Fill=—","Direction=H","UseDPDF=Y")</f>
        <v>0.21</v>
      </c>
      <c r="S18" s="14">
        <f>_xll.BDH("AMZN US Equity","IS_DIL_EPS_BEF_XO","FQ1 2013","FQ1 2013","Currency=USD","Period=FQ","BEST_FPERIOD_OVERRIDE=FQ","FILING_STATUS=MR","Sort=A","Dates=H","DateFormat=P","Fill=—","Direction=H","UseDPDF=Y")</f>
        <v>0.18</v>
      </c>
      <c r="T18" s="14">
        <f>_xll.BDH("AMZN US Equity","IS_DIL_EPS_BEF_XO","FQ2 2013","FQ2 2013","Currency=USD","Period=FQ","BEST_FPERIOD_OVERRIDE=FQ","FILING_STATUS=MR","Sort=A","Dates=H","DateFormat=P","Fill=—","Direction=H","UseDPDF=Y")</f>
        <v>-0.02</v>
      </c>
      <c r="U18" s="14">
        <f>_xll.BDH("AMZN US Equity","IS_DIL_EPS_BEF_XO","FQ3 2013","FQ3 2013","Currency=USD","Period=FQ","BEST_FPERIOD_OVERRIDE=FQ","FILING_STATUS=MR","Sort=A","Dates=H","DateFormat=P","Fill=—","Direction=H","UseDPDF=Y")</f>
        <v>-0.09</v>
      </c>
      <c r="V18" s="14">
        <f>_xll.BDH("AMZN US Equity","IS_DIL_EPS_BEF_XO","FQ4 2013","FQ4 2013","Currency=USD","Period=FQ","BEST_FPERIOD_OVERRIDE=FQ","FILING_STATUS=MR","Sort=A","Dates=H","DateFormat=P","Fill=—","Direction=H","UseDPDF=Y")</f>
        <v>0.51</v>
      </c>
      <c r="W18" s="14">
        <f>_xll.BDH("AMZN US Equity","IS_DIL_EPS_BEF_XO","FQ1 2014","FQ1 2014","Currency=USD","Period=FQ","BEST_FPERIOD_OVERRIDE=FQ","FILING_STATUS=MR","Sort=A","Dates=H","DateFormat=P","Fill=—","Direction=H","UseDPDF=Y")</f>
        <v>0.23</v>
      </c>
      <c r="X18" s="14">
        <f>_xll.BDH("AMZN US Equity","IS_DIL_EPS_BEF_XO","FQ2 2014","FQ2 2014","Currency=USD","Period=FQ","BEST_FPERIOD_OVERRIDE=FQ","FILING_STATUS=MR","Sort=A","Dates=H","DateFormat=P","Fill=—","Direction=H","UseDPDF=Y")</f>
        <v>-0.27</v>
      </c>
      <c r="Y18" s="14">
        <f>_xll.BDH("AMZN US Equity","IS_DIL_EPS_BEF_XO","FQ3 2014","FQ3 2014","Currency=USD","Period=FQ","BEST_FPERIOD_OVERRIDE=FQ","FILING_STATUS=MR","Sort=A","Dates=H","DateFormat=P","Fill=—","Direction=H","UseDPDF=Y")</f>
        <v>-0.95</v>
      </c>
      <c r="Z18" s="14">
        <f>_xll.BDH("AMZN US Equity","IS_DIL_EPS_BEF_XO","FQ4 2014","FQ4 2014","Currency=USD","Period=FQ","BEST_FPERIOD_OVERRIDE=FQ","FILING_STATUS=MR","Sort=A","Dates=H","DateFormat=P","Fill=—","Direction=H","UseDPDF=Y")</f>
        <v>0.45</v>
      </c>
      <c r="AA18" s="14">
        <f>_xll.BDH("AMZN US Equity","IS_DIL_EPS_BEF_XO","FQ1 2015","FQ1 2015","Currency=USD","Period=FQ","BEST_FPERIOD_OVERRIDE=FQ","FILING_STATUS=MR","Sort=A","Dates=H","DateFormat=P","Fill=—","Direction=H","UseDPDF=Y")</f>
        <v>-0.12</v>
      </c>
      <c r="AB18" s="14">
        <f>_xll.BDH("AMZN US Equity","IS_DIL_EPS_BEF_XO","FQ2 2015","FQ2 2015","Currency=USD","Period=FQ","BEST_FPERIOD_OVERRIDE=FQ","FILING_STATUS=MR","Sort=A","Dates=H","DateFormat=P","Fill=—","Direction=H","UseDPDF=Y")</f>
        <v>0.19</v>
      </c>
      <c r="AC18" s="14">
        <f>_xll.BDH("AMZN US Equity","IS_DIL_EPS_BEF_XO","FQ3 2015","FQ3 2015","Currency=USD","Period=FQ","BEST_FPERIOD_OVERRIDE=FQ","FILING_STATUS=MR","Sort=A","Dates=H","DateFormat=P","Fill=—","Direction=H","UseDPDF=Y")</f>
        <v>0.17</v>
      </c>
      <c r="AD18" s="14">
        <f>_xll.BDH("AMZN US Equity","IS_DIL_EPS_BEF_XO","FQ4 2015","FQ4 2015","Currency=USD","Period=FQ","BEST_FPERIOD_OVERRIDE=FQ","FILING_STATUS=MR","Sort=A","Dates=H","DateFormat=P","Fill=—","Direction=H","UseDPDF=Y")</f>
        <v>1</v>
      </c>
      <c r="AE18" s="14">
        <f>_xll.BDH("AMZN US Equity","IS_DIL_EPS_BEF_XO","FQ1 2016","FQ1 2016","Currency=USD","Period=FQ","BEST_FPERIOD_OVERRIDE=FQ","FILING_STATUS=MR","Sort=A","Dates=H","DateFormat=P","Fill=—","Direction=H","UseDPDF=Y")</f>
        <v>1.07</v>
      </c>
      <c r="AF18" s="14">
        <f>_xll.BDH("AMZN US Equity","IS_DIL_EPS_BEF_XO","FQ2 2016","FQ2 2016","Currency=USD","Period=FQ","BEST_FPERIOD_OVERRIDE=FQ","FILING_STATUS=MR","Sort=A","Dates=H","DateFormat=P","Fill=—","Direction=H","UseDPDF=Y")</f>
        <v>1.78</v>
      </c>
      <c r="AG18" s="14">
        <f>_xll.BDH("AMZN US Equity","IS_DIL_EPS_BEF_XO","FQ3 2016","FQ3 2016","Currency=USD","Period=FQ","BEST_FPERIOD_OVERRIDE=FQ","FILING_STATUS=MR","Sort=A","Dates=H","DateFormat=P","Fill=—","Direction=H","UseDPDF=Y")</f>
        <v>0.52</v>
      </c>
      <c r="AH18" s="14">
        <f>_xll.BDH("AMZN US Equity","IS_DIL_EPS_BEF_XO","FQ4 2016","FQ4 2016","Currency=USD","Period=FQ","BEST_FPERIOD_OVERRIDE=FQ","FILING_STATUS=MR","Sort=A","Dates=H","DateFormat=P","Fill=—","Direction=H","UseDPDF=Y")</f>
        <v>1.54</v>
      </c>
      <c r="AI18" s="14">
        <f>_xll.BDH("AMZN US Equity","IS_DIL_EPS_BEF_XO","FQ1 2017","FQ1 2017","Currency=USD","Period=FQ","BEST_FPERIOD_OVERRIDE=FQ","FILING_STATUS=MR","Sort=A","Dates=H","DateFormat=P","Fill=—","Direction=H","UseDPDF=Y")</f>
        <v>1.48</v>
      </c>
      <c r="AJ18" s="14">
        <f>_xll.BDH("AMZN US Equity","IS_DIL_EPS_BEF_XO","FQ2 2017","FQ2 2017","Currency=USD","Period=FQ","BEST_FPERIOD_OVERRIDE=FQ","FILING_STATUS=MR","Sort=A","Dates=H","DateFormat=P","Fill=—","Direction=H","UseDPDF=Y")</f>
        <v>0.4</v>
      </c>
      <c r="AK18" s="14">
        <f>_xll.BDH("AMZN US Equity","IS_DIL_EPS_BEF_XO","FQ3 2017","FQ3 2017","Currency=USD","Period=FQ","BEST_FPERIOD_OVERRIDE=FQ","FILING_STATUS=MR","Sort=A","Dates=H","DateFormat=P","Fill=—","Direction=H","UseDPDF=Y")</f>
        <v>0.52</v>
      </c>
      <c r="AL18" s="14">
        <f>_xll.BDH("AMZN US Equity","IS_DIL_EPS_BEF_XO","FQ4 2017","FQ4 2017","Currency=USD","Period=FQ","BEST_FPERIOD_OVERRIDE=FQ","FILING_STATUS=MR","Sort=A","Dates=H","DateFormat=P","Fill=—","Direction=H","UseDPDF=Y")</f>
        <v>3.75</v>
      </c>
      <c r="AM18" s="14">
        <f>_xll.BDH("AMZN US Equity","IS_DIL_EPS_BEF_XO","FQ1 2018","FQ1 2018","Currency=USD","Period=FQ","BEST_FPERIOD_OVERRIDE=FQ","FILING_STATUS=MR","Sort=A","Dates=H","DateFormat=P","Fill=—","Direction=H","UseDPDF=Y")</f>
        <v>3.27</v>
      </c>
      <c r="AN18" s="14">
        <f>_xll.BDH("AMZN US Equity","IS_DIL_EPS_BEF_XO","FQ2 2018","FQ2 2018","Currency=USD","Period=FQ","BEST_FPERIOD_OVERRIDE=FQ","FILING_STATUS=MR","Sort=A","Dates=H","DateFormat=P","Fill=—","Direction=H","UseDPDF=Y")</f>
        <v>5.07</v>
      </c>
      <c r="AO18" s="14">
        <v>3.113</v>
      </c>
      <c r="AP18" s="14">
        <v>5.7939999999999996</v>
      </c>
    </row>
    <row r="19" spans="1:42" x14ac:dyDescent="0.25">
      <c r="A19" s="10" t="s">
        <v>479</v>
      </c>
      <c r="B19" s="10" t="s">
        <v>180</v>
      </c>
      <c r="C19" s="14">
        <f>_xll.BDH("AMZN US Equity","IS_DIL_EPS_CONT_OPS","FQ1 2009","FQ1 2009","Currency=USD","Period=FQ","BEST_FPERIOD_OVERRIDE=FQ","FILING_STATUS=MR","Sort=A","Dates=H","DateFormat=P","Fill=—","Direction=H","UseDPDF=Y")</f>
        <v>0.40699999999999997</v>
      </c>
      <c r="D19" s="14">
        <f>_xll.BDH("AMZN US Equity","IS_DIL_EPS_CONT_OPS","FQ2 2009","FQ2 2009","Currency=USD","Period=FQ","BEST_FPERIOD_OVERRIDE=FQ","FILING_STATUS=MR","Sort=A","Dates=H","DateFormat=P","Fill=—","Direction=H","UseDPDF=Y")</f>
        <v>0.39240000000000003</v>
      </c>
      <c r="E19" s="14">
        <f>_xll.BDH("AMZN US Equity","IS_DIL_EPS_CONT_OPS","FQ3 2009","FQ3 2009","Currency=USD","Period=FQ","BEST_FPERIOD_OVERRIDE=FQ","FILING_STATUS=MR","Sort=A","Dates=H","DateFormat=P","Fill=—","Direction=H","UseDPDF=Y")</f>
        <v>0.44850000000000001</v>
      </c>
      <c r="F19" s="14">
        <f>_xll.BDH("AMZN US Equity","IS_DIL_EPS_CONT_OPS","FQ4 2009","FQ4 2009","Currency=USD","Period=FQ","BEST_FPERIOD_OVERRIDE=FQ","FILING_STATUS=MR","Sort=A","Dates=H","DateFormat=P","Fill=—","Direction=H","UseDPDF=Y")</f>
        <v>0.85140000000000005</v>
      </c>
      <c r="G19" s="14">
        <f>_xll.BDH("AMZN US Equity","IS_DIL_EPS_CONT_OPS","FQ1 2010","FQ1 2010","Currency=USD","Period=FQ","BEST_FPERIOD_OVERRIDE=FQ","FILING_STATUS=MR","Sort=A","Dates=H","DateFormat=P","Fill=—","Direction=H","UseDPDF=Y")</f>
        <v>0.66</v>
      </c>
      <c r="H19" s="14">
        <f>_xll.BDH("AMZN US Equity","IS_DIL_EPS_CONT_OPS","FQ2 2010","FQ2 2010","Currency=USD","Period=FQ","BEST_FPERIOD_OVERRIDE=FQ","FILING_STATUS=MR","Sort=A","Dates=H","DateFormat=P","Fill=—","Direction=H","UseDPDF=Y")</f>
        <v>0.45</v>
      </c>
      <c r="I19" s="14">
        <f>_xll.BDH("AMZN US Equity","IS_DIL_EPS_CONT_OPS","FQ3 2010","FQ3 2010","Currency=USD","Period=FQ","BEST_FPERIOD_OVERRIDE=FQ","FILING_STATUS=MR","Sort=A","Dates=H","DateFormat=P","Fill=—","Direction=H","UseDPDF=Y")</f>
        <v>0.51</v>
      </c>
      <c r="J19" s="14">
        <f>_xll.BDH("AMZN US Equity","IS_DIL_EPS_CONT_OPS","FQ4 2010","FQ4 2010","Currency=USD","Period=FQ","BEST_FPERIOD_OVERRIDE=FQ","FILING_STATUS=MR","Sort=A","Dates=H","DateFormat=P","Fill=—","Direction=H","UseDPDF=Y")</f>
        <v>0.91</v>
      </c>
      <c r="K19" s="14">
        <f>_xll.BDH("AMZN US Equity","IS_DIL_EPS_CONT_OPS","FQ1 2011","FQ1 2011","Currency=USD","Period=FQ","BEST_FPERIOD_OVERRIDE=FQ","FILING_STATUS=MR","Sort=A","Dates=H","DateFormat=P","Fill=—","Direction=H","UseDPDF=Y")</f>
        <v>0.44</v>
      </c>
      <c r="L19" s="14">
        <f>_xll.BDH("AMZN US Equity","IS_DIL_EPS_CONT_OPS","FQ2 2011","FQ2 2011","Currency=USD","Period=FQ","BEST_FPERIOD_OVERRIDE=FQ","FILING_STATUS=MR","Sort=A","Dates=H","DateFormat=P","Fill=—","Direction=H","UseDPDF=Y")</f>
        <v>0.41</v>
      </c>
      <c r="M19" s="14">
        <f>_xll.BDH("AMZN US Equity","IS_DIL_EPS_CONT_OPS","FQ3 2011","FQ3 2011","Currency=USD","Period=FQ","BEST_FPERIOD_OVERRIDE=FQ","FILING_STATUS=MR","Sort=A","Dates=H","DateFormat=P","Fill=—","Direction=H","UseDPDF=Y")</f>
        <v>0.14000000000000001</v>
      </c>
      <c r="N19" s="14">
        <f>_xll.BDH("AMZN US Equity","IS_DIL_EPS_CONT_OPS","FQ4 2011","FQ4 2011","Currency=USD","Period=FQ","BEST_FPERIOD_OVERRIDE=FQ","FILING_STATUS=MR","Sort=A","Dates=H","DateFormat=P","Fill=—","Direction=H","UseDPDF=Y")</f>
        <v>0.38</v>
      </c>
      <c r="O19" s="14">
        <f>_xll.BDH("AMZN US Equity","IS_DIL_EPS_CONT_OPS","FQ1 2012","FQ1 2012","Currency=USD","Period=FQ","BEST_FPERIOD_OVERRIDE=FQ","FILING_STATUS=MR","Sort=A","Dates=H","DateFormat=P","Fill=—","Direction=H","UseDPDF=Y")</f>
        <v>0.28000000000000003</v>
      </c>
      <c r="P19" s="14">
        <f>_xll.BDH("AMZN US Equity","IS_DIL_EPS_CONT_OPS","FQ2 2012","FQ2 2012","Currency=USD","Period=FQ","BEST_FPERIOD_OVERRIDE=FQ","FILING_STATUS=MR","Sort=A","Dates=H","DateFormat=P","Fill=—","Direction=H","UseDPDF=Y")</f>
        <v>0.15190000000000001</v>
      </c>
      <c r="Q19" s="14">
        <f>_xll.BDH("AMZN US Equity","IS_DIL_EPS_CONT_OPS","FQ3 2012","FQ3 2012","Currency=USD","Period=FQ","BEST_FPERIOD_OVERRIDE=FQ","FILING_STATUS=MR","Sort=A","Dates=H","DateFormat=P","Fill=—","Direction=H","UseDPDF=Y")</f>
        <v>-0.28539999999999999</v>
      </c>
      <c r="R19" s="14">
        <f>_xll.BDH("AMZN US Equity","IS_DIL_EPS_CONT_OPS","FQ4 2012","FQ4 2012","Currency=USD","Period=FQ","BEST_FPERIOD_OVERRIDE=FQ","FILING_STATUS=MR","Sort=A","Dates=H","DateFormat=P","Fill=—","Direction=H","UseDPDF=Y")</f>
        <v>0.26419999999999999</v>
      </c>
      <c r="S19" s="14">
        <f>_xll.BDH("AMZN US Equity","IS_DIL_EPS_CONT_OPS","FQ1 2013","FQ1 2013","Currency=USD","Period=FQ","BEST_FPERIOD_OVERRIDE=FQ","FILING_STATUS=MR","Sort=A","Dates=H","DateFormat=P","Fill=—","Direction=H","UseDPDF=Y")</f>
        <v>0.18</v>
      </c>
      <c r="T19" s="14">
        <f>_xll.BDH("AMZN US Equity","IS_DIL_EPS_CONT_OPS","FQ2 2013","FQ2 2013","Currency=USD","Period=FQ","BEST_FPERIOD_OVERRIDE=FQ","FILING_STATUS=MR","Sort=A","Dates=H","DateFormat=P","Fill=—","Direction=H","UseDPDF=Y")</f>
        <v>-0.02</v>
      </c>
      <c r="U19" s="14">
        <f>_xll.BDH("AMZN US Equity","IS_DIL_EPS_CONT_OPS","FQ3 2013","FQ3 2013","Currency=USD","Period=FQ","BEST_FPERIOD_OVERRIDE=FQ","FILING_STATUS=MR","Sort=A","Dates=H","DateFormat=P","Fill=—","Direction=H","UseDPDF=Y")</f>
        <v>-0.09</v>
      </c>
      <c r="V19" s="14">
        <f>_xll.BDH("AMZN US Equity","IS_DIL_EPS_CONT_OPS","FQ4 2013","FQ4 2013","Currency=USD","Period=FQ","BEST_FPERIOD_OVERRIDE=FQ","FILING_STATUS=MR","Sort=A","Dates=H","DateFormat=P","Fill=—","Direction=H","UseDPDF=Y")</f>
        <v>0.51</v>
      </c>
      <c r="W19" s="14">
        <f>_xll.BDH("AMZN US Equity","IS_DIL_EPS_CONT_OPS","FQ1 2014","FQ1 2014","Currency=USD","Period=FQ","BEST_FPERIOD_OVERRIDE=FQ","FILING_STATUS=MR","Sort=A","Dates=H","DateFormat=P","Fill=—","Direction=H","UseDPDF=Y")</f>
        <v>0.23</v>
      </c>
      <c r="X19" s="14">
        <f>_xll.BDH("AMZN US Equity","IS_DIL_EPS_CONT_OPS","FQ2 2014","FQ2 2014","Currency=USD","Period=FQ","BEST_FPERIOD_OVERRIDE=FQ","FILING_STATUS=MR","Sort=A","Dates=H","DateFormat=P","Fill=—","Direction=H","UseDPDF=Y")</f>
        <v>-0.27</v>
      </c>
      <c r="Y19" s="14">
        <f>_xll.BDH("AMZN US Equity","IS_DIL_EPS_CONT_OPS","FQ3 2014","FQ3 2014","Currency=USD","Period=FQ","BEST_FPERIOD_OVERRIDE=FQ","FILING_STATUS=MR","Sort=A","Dates=H","DateFormat=P","Fill=—","Direction=H","UseDPDF=Y")</f>
        <v>-0.71130000000000004</v>
      </c>
      <c r="Z19" s="14">
        <f>_xll.BDH("AMZN US Equity","IS_DIL_EPS_CONT_OPS","FQ4 2014","FQ4 2014","Currency=USD","Period=FQ","BEST_FPERIOD_OVERRIDE=FQ","FILING_STATUS=MR","Sort=A","Dates=H","DateFormat=P","Fill=—","Direction=H","UseDPDF=Y")</f>
        <v>0.45</v>
      </c>
      <c r="AA19" s="14">
        <f>_xll.BDH("AMZN US Equity","IS_DIL_EPS_CONT_OPS","FQ1 2015","FQ1 2015","Currency=USD","Period=FQ","BEST_FPERIOD_OVERRIDE=FQ","FILING_STATUS=MR","Sort=A","Dates=H","DateFormat=P","Fill=—","Direction=H","UseDPDF=Y")</f>
        <v>-0.1212</v>
      </c>
      <c r="AB19" s="14">
        <f>_xll.BDH("AMZN US Equity","IS_DIL_EPS_CONT_OPS","FQ2 2015","FQ2 2015","Currency=USD","Period=FQ","BEST_FPERIOD_OVERRIDE=FQ","FILING_STATUS=MR","Sort=A","Dates=H","DateFormat=P","Fill=—","Direction=H","UseDPDF=Y")</f>
        <v>0.19139999999999999</v>
      </c>
      <c r="AC19" s="14">
        <f>_xll.BDH("AMZN US Equity","IS_DIL_EPS_CONT_OPS","FQ3 2015","FQ3 2015","Currency=USD","Period=FQ","BEST_FPERIOD_OVERRIDE=FQ","FILING_STATUS=MR","Sort=A","Dates=H","DateFormat=P","Fill=—","Direction=H","UseDPDF=Y")</f>
        <v>0.17</v>
      </c>
      <c r="AD19" s="14">
        <f>_xll.BDH("AMZN US Equity","IS_DIL_EPS_CONT_OPS","FQ4 2015","FQ4 2015","Currency=USD","Period=FQ","BEST_FPERIOD_OVERRIDE=FQ","FILING_STATUS=MR","Sort=A","Dates=H","DateFormat=P","Fill=—","Direction=H","UseDPDF=Y")</f>
        <v>1.0041</v>
      </c>
      <c r="AE19" s="14">
        <f>_xll.BDH("AMZN US Equity","IS_DIL_EPS_CONT_OPS","FQ1 2016","FQ1 2016","Currency=USD","Period=FQ","BEST_FPERIOD_OVERRIDE=FQ","FILING_STATUS=MR","Sort=A","Dates=H","DateFormat=P","Fill=—","Direction=H","UseDPDF=Y")</f>
        <v>1.07</v>
      </c>
      <c r="AF19" s="14">
        <f>_xll.BDH("AMZN US Equity","IS_DIL_EPS_CONT_OPS","FQ2 2016","FQ2 2016","Currency=USD","Period=FQ","BEST_FPERIOD_OVERRIDE=FQ","FILING_STATUS=MR","Sort=A","Dates=H","DateFormat=P","Fill=—","Direction=H","UseDPDF=Y")</f>
        <v>1.78</v>
      </c>
      <c r="AG19" s="14">
        <f>_xll.BDH("AMZN US Equity","IS_DIL_EPS_CONT_OPS","FQ3 2016","FQ3 2016","Currency=USD","Period=FQ","BEST_FPERIOD_OVERRIDE=FQ","FILING_STATUS=MR","Sort=A","Dates=H","DateFormat=P","Fill=—","Direction=H","UseDPDF=Y")</f>
        <v>0.52</v>
      </c>
      <c r="AH19" s="14">
        <f>_xll.BDH("AMZN US Equity","IS_DIL_EPS_CONT_OPS","FQ4 2016","FQ4 2016","Currency=USD","Period=FQ","BEST_FPERIOD_OVERRIDE=FQ","FILING_STATUS=MR","Sort=A","Dates=H","DateFormat=P","Fill=—","Direction=H","UseDPDF=Y")</f>
        <v>1.5467</v>
      </c>
      <c r="AI19" s="14">
        <f>_xll.BDH("AMZN US Equity","IS_DIL_EPS_CONT_OPS","FQ1 2017","FQ1 2017","Currency=USD","Period=FQ","BEST_FPERIOD_OVERRIDE=FQ","FILING_STATUS=MR","Sort=A","Dates=H","DateFormat=P","Fill=—","Direction=H","UseDPDF=Y")</f>
        <v>1.48</v>
      </c>
      <c r="AJ19" s="14">
        <f>_xll.BDH("AMZN US Equity","IS_DIL_EPS_CONT_OPS","FQ2 2017","FQ2 2017","Currency=USD","Period=FQ","BEST_FPERIOD_OVERRIDE=FQ","FILING_STATUS=MR","Sort=A","Dates=H","DateFormat=P","Fill=—","Direction=H","UseDPDF=Y")</f>
        <v>0.4</v>
      </c>
      <c r="AK19" s="14">
        <f>_xll.BDH("AMZN US Equity","IS_DIL_EPS_CONT_OPS","FQ3 2017","FQ3 2017","Currency=USD","Period=FQ","BEST_FPERIOD_OVERRIDE=FQ","FILING_STATUS=MR","Sort=A","Dates=H","DateFormat=P","Fill=—","Direction=H","UseDPDF=Y")</f>
        <v>0.52</v>
      </c>
      <c r="AL19" s="14">
        <f>_xll.BDH("AMZN US Equity","IS_DIL_EPS_CONT_OPS","FQ4 2017","FQ4 2017","Currency=USD","Period=FQ","BEST_FPERIOD_OVERRIDE=FQ","FILING_STATUS=MR","Sort=A","Dates=H","DateFormat=P","Fill=—","Direction=H","UseDPDF=Y")</f>
        <v>2.1593</v>
      </c>
      <c r="AM19" s="14">
        <f>_xll.BDH("AMZN US Equity","IS_DIL_EPS_CONT_OPS","FQ1 2018","FQ1 2018","Currency=USD","Period=FQ","BEST_FPERIOD_OVERRIDE=FQ","FILING_STATUS=MR","Sort=A","Dates=H","DateFormat=P","Fill=—","Direction=H","UseDPDF=Y")</f>
        <v>3.27</v>
      </c>
      <c r="AN19" s="14">
        <f>_xll.BDH("AMZN US Equity","IS_DIL_EPS_CONT_OPS","FQ2 2018","FQ2 2018","Currency=USD","Period=FQ","BEST_FPERIOD_OVERRIDE=FQ","FILING_STATUS=MR","Sort=A","Dates=H","DateFormat=P","Fill=—","Direction=H","UseDPDF=Y")</f>
        <v>3.8780000000000001</v>
      </c>
      <c r="AO19" s="14">
        <v>5.6219999999999999</v>
      </c>
      <c r="AP19" s="14">
        <v>8.5449999999999999</v>
      </c>
    </row>
    <row r="20" spans="1:42" x14ac:dyDescent="0.25">
      <c r="A20" s="10" t="s">
        <v>480</v>
      </c>
      <c r="B20" s="10" t="s">
        <v>198</v>
      </c>
      <c r="C20" s="14">
        <f>_xll.BDH("AMZN US Equity","EQY_DPS","FQ1 2009","FQ1 2009","Currency=USD","Period=FQ","BEST_FPERIOD_OVERRIDE=FQ","FILING_STATUS=MR","Sort=A","Dates=H","DateFormat=P","Fill=—","Direction=H","UseDPDF=Y")</f>
        <v>0</v>
      </c>
      <c r="D20" s="14">
        <f>_xll.BDH("AMZN US Equity","EQY_DPS","FQ2 2009","FQ2 2009","Currency=USD","Period=FQ","BEST_FPERIOD_OVERRIDE=FQ","FILING_STATUS=MR","Sort=A","Dates=H","DateFormat=P","Fill=—","Direction=H","UseDPDF=Y")</f>
        <v>0</v>
      </c>
      <c r="E20" s="14">
        <f>_xll.BDH("AMZN US Equity","EQY_DPS","FQ3 2009","FQ3 2009","Currency=USD","Period=FQ","BEST_FPERIOD_OVERRIDE=FQ","FILING_STATUS=MR","Sort=A","Dates=H","DateFormat=P","Fill=—","Direction=H","UseDPDF=Y")</f>
        <v>0</v>
      </c>
      <c r="F20" s="14">
        <f>_xll.BDH("AMZN US Equity","EQY_DPS","FQ4 2009","FQ4 2009","Currency=USD","Period=FQ","BEST_FPERIOD_OVERRIDE=FQ","FILING_STATUS=MR","Sort=A","Dates=H","DateFormat=P","Fill=—","Direction=H","UseDPDF=Y")</f>
        <v>0</v>
      </c>
      <c r="G20" s="14">
        <f>_xll.BDH("AMZN US Equity","EQY_DPS","FQ1 2010","FQ1 2010","Currency=USD","Period=FQ","BEST_FPERIOD_OVERRIDE=FQ","FILING_STATUS=MR","Sort=A","Dates=H","DateFormat=P","Fill=—","Direction=H","UseDPDF=Y")</f>
        <v>0</v>
      </c>
      <c r="H20" s="14">
        <f>_xll.BDH("AMZN US Equity","EQY_DPS","FQ2 2010","FQ2 2010","Currency=USD","Period=FQ","BEST_FPERIOD_OVERRIDE=FQ","FILING_STATUS=MR","Sort=A","Dates=H","DateFormat=P","Fill=—","Direction=H","UseDPDF=Y")</f>
        <v>0</v>
      </c>
      <c r="I20" s="14">
        <f>_xll.BDH("AMZN US Equity","EQY_DPS","FQ3 2010","FQ3 2010","Currency=USD","Period=FQ","BEST_FPERIOD_OVERRIDE=FQ","FILING_STATUS=MR","Sort=A","Dates=H","DateFormat=P","Fill=—","Direction=H","UseDPDF=Y")</f>
        <v>0</v>
      </c>
      <c r="J20" s="14">
        <f>_xll.BDH("AMZN US Equity","EQY_DPS","FQ4 2010","FQ4 2010","Currency=USD","Period=FQ","BEST_FPERIOD_OVERRIDE=FQ","FILING_STATUS=MR","Sort=A","Dates=H","DateFormat=P","Fill=—","Direction=H","UseDPDF=Y")</f>
        <v>0</v>
      </c>
      <c r="K20" s="14">
        <f>_xll.BDH("AMZN US Equity","EQY_DPS","FQ1 2011","FQ1 2011","Currency=USD","Period=FQ","BEST_FPERIOD_OVERRIDE=FQ","FILING_STATUS=MR","Sort=A","Dates=H","DateFormat=P","Fill=—","Direction=H","UseDPDF=Y")</f>
        <v>0</v>
      </c>
      <c r="L20" s="14">
        <f>_xll.BDH("AMZN US Equity","EQY_DPS","FQ2 2011","FQ2 2011","Currency=USD","Period=FQ","BEST_FPERIOD_OVERRIDE=FQ","FILING_STATUS=MR","Sort=A","Dates=H","DateFormat=P","Fill=—","Direction=H","UseDPDF=Y")</f>
        <v>0</v>
      </c>
      <c r="M20" s="14">
        <f>_xll.BDH("AMZN US Equity","EQY_DPS","FQ3 2011","FQ3 2011","Currency=USD","Period=FQ","BEST_FPERIOD_OVERRIDE=FQ","FILING_STATUS=MR","Sort=A","Dates=H","DateFormat=P","Fill=—","Direction=H","UseDPDF=Y")</f>
        <v>0</v>
      </c>
      <c r="N20" s="14">
        <f>_xll.BDH("AMZN US Equity","EQY_DPS","FQ4 2011","FQ4 2011","Currency=USD","Period=FQ","BEST_FPERIOD_OVERRIDE=FQ","FILING_STATUS=MR","Sort=A","Dates=H","DateFormat=P","Fill=—","Direction=H","UseDPDF=Y")</f>
        <v>0</v>
      </c>
      <c r="O20" s="14">
        <f>_xll.BDH("AMZN US Equity","EQY_DPS","FQ1 2012","FQ1 2012","Currency=USD","Period=FQ","BEST_FPERIOD_OVERRIDE=FQ","FILING_STATUS=MR","Sort=A","Dates=H","DateFormat=P","Fill=—","Direction=H","UseDPDF=Y")</f>
        <v>0</v>
      </c>
      <c r="P20" s="14">
        <f>_xll.BDH("AMZN US Equity","EQY_DPS","FQ2 2012","FQ2 2012","Currency=USD","Period=FQ","BEST_FPERIOD_OVERRIDE=FQ","FILING_STATUS=MR","Sort=A","Dates=H","DateFormat=P","Fill=—","Direction=H","UseDPDF=Y")</f>
        <v>0</v>
      </c>
      <c r="Q20" s="14">
        <f>_xll.BDH("AMZN US Equity","EQY_DPS","FQ3 2012","FQ3 2012","Currency=USD","Period=FQ","BEST_FPERIOD_OVERRIDE=FQ","FILING_STATUS=MR","Sort=A","Dates=H","DateFormat=P","Fill=—","Direction=H","UseDPDF=Y")</f>
        <v>0</v>
      </c>
      <c r="R20" s="14">
        <f>_xll.BDH("AMZN US Equity","EQY_DPS","FQ4 2012","FQ4 2012","Currency=USD","Period=FQ","BEST_FPERIOD_OVERRIDE=FQ","FILING_STATUS=MR","Sort=A","Dates=H","DateFormat=P","Fill=—","Direction=H","UseDPDF=Y")</f>
        <v>0</v>
      </c>
      <c r="S20" s="14">
        <f>_xll.BDH("AMZN US Equity","EQY_DPS","FQ1 2013","FQ1 2013","Currency=USD","Period=FQ","BEST_FPERIOD_OVERRIDE=FQ","FILING_STATUS=MR","Sort=A","Dates=H","DateFormat=P","Fill=—","Direction=H","UseDPDF=Y")</f>
        <v>0</v>
      </c>
      <c r="T20" s="14">
        <f>_xll.BDH("AMZN US Equity","EQY_DPS","FQ2 2013","FQ2 2013","Currency=USD","Period=FQ","BEST_FPERIOD_OVERRIDE=FQ","FILING_STATUS=MR","Sort=A","Dates=H","DateFormat=P","Fill=—","Direction=H","UseDPDF=Y")</f>
        <v>0</v>
      </c>
      <c r="U20" s="14">
        <f>_xll.BDH("AMZN US Equity","EQY_DPS","FQ3 2013","FQ3 2013","Currency=USD","Period=FQ","BEST_FPERIOD_OVERRIDE=FQ","FILING_STATUS=MR","Sort=A","Dates=H","DateFormat=P","Fill=—","Direction=H","UseDPDF=Y")</f>
        <v>0</v>
      </c>
      <c r="V20" s="14">
        <f>_xll.BDH("AMZN US Equity","EQY_DPS","FQ4 2013","FQ4 2013","Currency=USD","Period=FQ","BEST_FPERIOD_OVERRIDE=FQ","FILING_STATUS=MR","Sort=A","Dates=H","DateFormat=P","Fill=—","Direction=H","UseDPDF=Y")</f>
        <v>0</v>
      </c>
      <c r="W20" s="14">
        <f>_xll.BDH("AMZN US Equity","EQY_DPS","FQ1 2014","FQ1 2014","Currency=USD","Period=FQ","BEST_FPERIOD_OVERRIDE=FQ","FILING_STATUS=MR","Sort=A","Dates=H","DateFormat=P","Fill=—","Direction=H","UseDPDF=Y")</f>
        <v>0</v>
      </c>
      <c r="X20" s="14">
        <f>_xll.BDH("AMZN US Equity","EQY_DPS","FQ2 2014","FQ2 2014","Currency=USD","Period=FQ","BEST_FPERIOD_OVERRIDE=FQ","FILING_STATUS=MR","Sort=A","Dates=H","DateFormat=P","Fill=—","Direction=H","UseDPDF=Y")</f>
        <v>0</v>
      </c>
      <c r="Y20" s="14">
        <f>_xll.BDH("AMZN US Equity","EQY_DPS","FQ3 2014","FQ3 2014","Currency=USD","Period=FQ","BEST_FPERIOD_OVERRIDE=FQ","FILING_STATUS=MR","Sort=A","Dates=H","DateFormat=P","Fill=—","Direction=H","UseDPDF=Y")</f>
        <v>0</v>
      </c>
      <c r="Z20" s="14">
        <f>_xll.BDH("AMZN US Equity","EQY_DPS","FQ4 2014","FQ4 2014","Currency=USD","Period=FQ","BEST_FPERIOD_OVERRIDE=FQ","FILING_STATUS=MR","Sort=A","Dates=H","DateFormat=P","Fill=—","Direction=H","UseDPDF=Y")</f>
        <v>0</v>
      </c>
      <c r="AA20" s="14">
        <f>_xll.BDH("AMZN US Equity","EQY_DPS","FQ1 2015","FQ1 2015","Currency=USD","Period=FQ","BEST_FPERIOD_OVERRIDE=FQ","FILING_STATUS=MR","Sort=A","Dates=H","DateFormat=P","Fill=—","Direction=H","UseDPDF=Y")</f>
        <v>0</v>
      </c>
      <c r="AB20" s="14">
        <f>_xll.BDH("AMZN US Equity","EQY_DPS","FQ2 2015","FQ2 2015","Currency=USD","Period=FQ","BEST_FPERIOD_OVERRIDE=FQ","FILING_STATUS=MR","Sort=A","Dates=H","DateFormat=P","Fill=—","Direction=H","UseDPDF=Y")</f>
        <v>0</v>
      </c>
      <c r="AC20" s="14">
        <f>_xll.BDH("AMZN US Equity","EQY_DPS","FQ3 2015","FQ3 2015","Currency=USD","Period=FQ","BEST_FPERIOD_OVERRIDE=FQ","FILING_STATUS=MR","Sort=A","Dates=H","DateFormat=P","Fill=—","Direction=H","UseDPDF=Y")</f>
        <v>0</v>
      </c>
      <c r="AD20" s="14">
        <f>_xll.BDH("AMZN US Equity","EQY_DPS","FQ4 2015","FQ4 2015","Currency=USD","Period=FQ","BEST_FPERIOD_OVERRIDE=FQ","FILING_STATUS=MR","Sort=A","Dates=H","DateFormat=P","Fill=—","Direction=H","UseDPDF=Y")</f>
        <v>0</v>
      </c>
      <c r="AE20" s="14">
        <f>_xll.BDH("AMZN US Equity","EQY_DPS","FQ1 2016","FQ1 2016","Currency=USD","Period=FQ","BEST_FPERIOD_OVERRIDE=FQ","FILING_STATUS=MR","Sort=A","Dates=H","DateFormat=P","Fill=—","Direction=H","UseDPDF=Y")</f>
        <v>0</v>
      </c>
      <c r="AF20" s="14">
        <f>_xll.BDH("AMZN US Equity","EQY_DPS","FQ2 2016","FQ2 2016","Currency=USD","Period=FQ","BEST_FPERIOD_OVERRIDE=FQ","FILING_STATUS=MR","Sort=A","Dates=H","DateFormat=P","Fill=—","Direction=H","UseDPDF=Y")</f>
        <v>0</v>
      </c>
      <c r="AG20" s="14">
        <f>_xll.BDH("AMZN US Equity","EQY_DPS","FQ3 2016","FQ3 2016","Currency=USD","Period=FQ","BEST_FPERIOD_OVERRIDE=FQ","FILING_STATUS=MR","Sort=A","Dates=H","DateFormat=P","Fill=—","Direction=H","UseDPDF=Y")</f>
        <v>0</v>
      </c>
      <c r="AH20" s="14">
        <f>_xll.BDH("AMZN US Equity","EQY_DPS","FQ4 2016","FQ4 2016","Currency=USD","Period=FQ","BEST_FPERIOD_OVERRIDE=FQ","FILING_STATUS=MR","Sort=A","Dates=H","DateFormat=P","Fill=—","Direction=H","UseDPDF=Y")</f>
        <v>0</v>
      </c>
      <c r="AI20" s="14">
        <f>_xll.BDH("AMZN US Equity","EQY_DPS","FQ1 2017","FQ1 2017","Currency=USD","Period=FQ","BEST_FPERIOD_OVERRIDE=FQ","FILING_STATUS=MR","Sort=A","Dates=H","DateFormat=P","Fill=—","Direction=H","UseDPDF=Y")</f>
        <v>0</v>
      </c>
      <c r="AJ20" s="14">
        <f>_xll.BDH("AMZN US Equity","EQY_DPS","FQ2 2017","FQ2 2017","Currency=USD","Period=FQ","BEST_FPERIOD_OVERRIDE=FQ","FILING_STATUS=MR","Sort=A","Dates=H","DateFormat=P","Fill=—","Direction=H","UseDPDF=Y")</f>
        <v>0</v>
      </c>
      <c r="AK20" s="14">
        <f>_xll.BDH("AMZN US Equity","EQY_DPS","FQ3 2017","FQ3 2017","Currency=USD","Period=FQ","BEST_FPERIOD_OVERRIDE=FQ","FILING_STATUS=MR","Sort=A","Dates=H","DateFormat=P","Fill=—","Direction=H","UseDPDF=Y")</f>
        <v>0</v>
      </c>
      <c r="AL20" s="14">
        <f>_xll.BDH("AMZN US Equity","EQY_DPS","FQ4 2017","FQ4 2017","Currency=USD","Period=FQ","BEST_FPERIOD_OVERRIDE=FQ","FILING_STATUS=MR","Sort=A","Dates=H","DateFormat=P","Fill=—","Direction=H","UseDPDF=Y")</f>
        <v>0</v>
      </c>
      <c r="AM20" s="14">
        <f>_xll.BDH("AMZN US Equity","EQY_DPS","FQ1 2018","FQ1 2018","Currency=USD","Period=FQ","BEST_FPERIOD_OVERRIDE=FQ","FILING_STATUS=MR","Sort=A","Dates=H","DateFormat=P","Fill=—","Direction=H","UseDPDF=Y")</f>
        <v>0</v>
      </c>
      <c r="AN20" s="14">
        <f>_xll.BDH("AMZN US Equity","EQY_DPS","FQ2 2018","FQ2 2018","Currency=USD","Period=FQ","BEST_FPERIOD_OVERRIDE=FQ","FILING_STATUS=MR","Sort=A","Dates=H","DateFormat=P","Fill=—","Direction=H","UseDPDF=Y")</f>
        <v>0</v>
      </c>
      <c r="AO20" s="14"/>
      <c r="AP20" s="14"/>
    </row>
    <row r="21" spans="1:42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x14ac:dyDescent="0.25">
      <c r="A22" s="10" t="s">
        <v>481</v>
      </c>
      <c r="B22" s="10" t="s">
        <v>482</v>
      </c>
      <c r="C22" s="14">
        <f>_xll.BDH("AMZN US Equity","CASH_FLOW_PER_SH","FQ1 2009","FQ1 2009","Currency=USD","Period=FQ","BEST_FPERIOD_OVERRIDE=FQ","FILING_STATUS=MR","Sort=A","Dates=H","DateFormat=P","Fill=—","Direction=H","UseDPDF=Y")</f>
        <v>-1.3635999999999999</v>
      </c>
      <c r="D22" s="14">
        <f>_xll.BDH("AMZN US Equity","CASH_FLOW_PER_SH","FQ2 2009","FQ2 2009","Currency=USD","Period=FQ","BEST_FPERIOD_OVERRIDE=FQ","FILING_STATUS=MR","Sort=A","Dates=H","DateFormat=P","Fill=—","Direction=H","UseDPDF=Y")</f>
        <v>1.0858000000000001</v>
      </c>
      <c r="E22" s="14">
        <f>_xll.BDH("AMZN US Equity","CASH_FLOW_PER_SH","FQ3 2009","FQ3 2009","Currency=USD","Period=FQ","BEST_FPERIOD_OVERRIDE=FQ","FILING_STATUS=MR","Sort=A","Dates=H","DateFormat=P","Fill=—","Direction=H","UseDPDF=Y")</f>
        <v>1.8494999999999999</v>
      </c>
      <c r="F22" s="14">
        <f>_xll.BDH("AMZN US Equity","CASH_FLOW_PER_SH","FQ4 2009","FQ4 2009","Currency=USD","Period=FQ","BEST_FPERIOD_OVERRIDE=FQ","FILING_STATUS=MR","Sort=A","Dates=H","DateFormat=P","Fill=—","Direction=H","UseDPDF=Y")</f>
        <v>5.9318</v>
      </c>
      <c r="G22" s="14">
        <f>_xll.BDH("AMZN US Equity","CASH_FLOW_PER_SH","FQ1 2010","FQ1 2010","Currency=USD","Period=FQ","BEST_FPERIOD_OVERRIDE=FQ","FILING_STATUS=MR","Sort=A","Dates=H","DateFormat=P","Fill=—","Direction=H","UseDPDF=Y")</f>
        <v>-2.4674</v>
      </c>
      <c r="H22" s="14">
        <f>_xll.BDH("AMZN US Equity","CASH_FLOW_PER_SH","FQ2 2010","FQ2 2010","Currency=USD","Period=FQ","BEST_FPERIOD_OVERRIDE=FQ","FILING_STATUS=MR","Sort=A","Dates=H","DateFormat=P","Fill=—","Direction=H","UseDPDF=Y")</f>
        <v>0.55930000000000002</v>
      </c>
      <c r="I22" s="14">
        <f>_xll.BDH("AMZN US Equity","CASH_FLOW_PER_SH","FQ3 2010","FQ3 2010","Currency=USD","Period=FQ","BEST_FPERIOD_OVERRIDE=FQ","FILING_STATUS=MR","Sort=A","Dates=H","DateFormat=P","Fill=—","Direction=H","UseDPDF=Y")</f>
        <v>1.9085000000000001</v>
      </c>
      <c r="J22" s="14">
        <f>_xll.BDH("AMZN US Equity","CASH_FLOW_PER_SH","FQ4 2010","FQ4 2010","Currency=USD","Period=FQ","BEST_FPERIOD_OVERRIDE=FQ","FILING_STATUS=MR","Sort=A","Dates=H","DateFormat=P","Fill=—","Direction=H","UseDPDF=Y")</f>
        <v>7.7332999999999998</v>
      </c>
      <c r="K22" s="14">
        <f>_xll.BDH("AMZN US Equity","CASH_FLOW_PER_SH","FQ1 2011","FQ1 2011","Currency=USD","Period=FQ","BEST_FPERIOD_OVERRIDE=FQ","FILING_STATUS=MR","Sort=A","Dates=H","DateFormat=P","Fill=—","Direction=H","UseDPDF=Y")</f>
        <v>-3.5165999999999999</v>
      </c>
      <c r="L22" s="14">
        <f>_xll.BDH("AMZN US Equity","CASH_FLOW_PER_SH","FQ2 2011","FQ2 2011","Currency=USD","Period=FQ","BEST_FPERIOD_OVERRIDE=FQ","FILING_STATUS=MR","Sort=A","Dates=H","DateFormat=P","Fill=—","Direction=H","UseDPDF=Y")</f>
        <v>0.93379999999999996</v>
      </c>
      <c r="M22" s="14">
        <f>_xll.BDH("AMZN US Equity","CASH_FLOW_PER_SH","FQ3 2011","FQ3 2011","Currency=USD","Period=FQ","BEST_FPERIOD_OVERRIDE=FQ","FILING_STATUS=MR","Sort=A","Dates=H","DateFormat=P","Fill=—","Direction=H","UseDPDF=Y")</f>
        <v>1.7555000000000001</v>
      </c>
      <c r="N22" s="14">
        <f>_xll.BDH("AMZN US Equity","CASH_FLOW_PER_SH","FQ4 2011","FQ4 2011","Currency=USD","Period=FQ","BEST_FPERIOD_OVERRIDE=FQ","FILING_STATUS=MR","Sort=A","Dates=H","DateFormat=P","Fill=—","Direction=H","UseDPDF=Y")</f>
        <v>9.3824000000000005</v>
      </c>
      <c r="O22" s="14">
        <f>_xll.BDH("AMZN US Equity","CASH_FLOW_PER_SH","FQ1 2012","FQ1 2012","Currency=USD","Period=FQ","BEST_FPERIOD_OVERRIDE=FQ","FILING_STATUS=MR","Sort=A","Dates=H","DateFormat=P","Fill=—","Direction=H","UseDPDF=Y")</f>
        <v>-5.3818999999999999</v>
      </c>
      <c r="P22" s="14">
        <f>_xll.BDH("AMZN US Equity","CASH_FLOW_PER_SH","FQ2 2012","FQ2 2012","Currency=USD","Period=FQ","BEST_FPERIOD_OVERRIDE=FQ","FILING_STATUS=MR","Sort=A","Dates=H","DateFormat=P","Fill=—","Direction=H","UseDPDF=Y")</f>
        <v>1.3170999999999999</v>
      </c>
      <c r="Q22" s="14">
        <f>_xll.BDH("AMZN US Equity","CASH_FLOW_PER_SH","FQ3 2012","FQ3 2012","Currency=USD","Period=FQ","BEST_FPERIOD_OVERRIDE=FQ","FILING_STATUS=MR","Sort=A","Dates=H","DateFormat=P","Fill=—","Direction=H","UseDPDF=Y")</f>
        <v>2.0863</v>
      </c>
      <c r="R22" s="14">
        <f>_xll.BDH("AMZN US Equity","CASH_FLOW_PER_SH","FQ4 2012","FQ4 2012","Currency=USD","Period=FQ","BEST_FPERIOD_OVERRIDE=FQ","FILING_STATUS=MR","Sort=A","Dates=H","DateFormat=P","Fill=—","Direction=H","UseDPDF=Y")</f>
        <v>11.191599999999999</v>
      </c>
      <c r="S22" s="14">
        <f>_xll.BDH("AMZN US Equity","CASH_FLOW_PER_SH","FQ1 2013","FQ1 2013","Currency=USD","Period=FQ","BEST_FPERIOD_OVERRIDE=FQ","FILING_STATUS=MR","Sort=A","Dates=H","DateFormat=P","Fill=—","Direction=H","UseDPDF=Y")</f>
        <v>-5.2131999999999996</v>
      </c>
      <c r="T22" s="14">
        <f>_xll.BDH("AMZN US Equity","CASH_FLOW_PER_SH","FQ2 2013","FQ2 2013","Currency=USD","Period=FQ","BEST_FPERIOD_OVERRIDE=FQ","FILING_STATUS=MR","Sort=A","Dates=H","DateFormat=P","Fill=—","Direction=H","UseDPDF=Y")</f>
        <v>1.9298</v>
      </c>
      <c r="U22" s="14">
        <f>_xll.BDH("AMZN US Equity","CASH_FLOW_PER_SH","FQ3 2013","FQ3 2013","Currency=USD","Period=FQ","BEST_FPERIOD_OVERRIDE=FQ","FILING_STATUS=MR","Sort=A","Dates=H","DateFormat=P","Fill=—","Direction=H","UseDPDF=Y")</f>
        <v>3.0371999999999999</v>
      </c>
      <c r="V22" s="14">
        <f>_xll.BDH("AMZN US Equity","CASH_FLOW_PER_SH","FQ4 2013","FQ4 2013","Currency=USD","Period=FQ","BEST_FPERIOD_OVERRIDE=FQ","FILING_STATUS=MR","Sort=A","Dates=H","DateFormat=P","Fill=—","Direction=H","UseDPDF=Y")</f>
        <v>12.179</v>
      </c>
      <c r="W22" s="14">
        <f>_xll.BDH("AMZN US Equity","CASH_FLOW_PER_SH","FQ1 2014","FQ1 2014","Currency=USD","Period=FQ","BEST_FPERIOD_OVERRIDE=FQ","FILING_STATUS=MR","Sort=A","Dates=H","DateFormat=P","Fill=—","Direction=H","UseDPDF=Y")</f>
        <v>-5.4390999999999998</v>
      </c>
      <c r="X22" s="14">
        <f>_xll.BDH("AMZN US Equity","CASH_FLOW_PER_SH","FQ2 2014","FQ2 2014","Currency=USD","Period=FQ","BEST_FPERIOD_OVERRIDE=FQ","FILING_STATUS=MR","Sort=A","Dates=H","DateFormat=P","Fill=—","Direction=H","UseDPDF=Y")</f>
        <v>1.8698000000000001</v>
      </c>
      <c r="Y22" s="14">
        <f>_xll.BDH("AMZN US Equity","CASH_FLOW_PER_SH","FQ3 2014","FQ3 2014","Currency=USD","Period=FQ","BEST_FPERIOD_OVERRIDE=FQ","FILING_STATUS=MR","Sort=A","Dates=H","DateFormat=P","Fill=—","Direction=H","UseDPDF=Y")</f>
        <v>3.8143000000000002</v>
      </c>
      <c r="Z22" s="14">
        <f>_xll.BDH("AMZN US Equity","CASH_FLOW_PER_SH","FQ4 2014","FQ4 2014","Currency=USD","Period=FQ","BEST_FPERIOD_OVERRIDE=FQ","FILING_STATUS=MR","Sort=A","Dates=H","DateFormat=P","Fill=—","Direction=H","UseDPDF=Y")</f>
        <v>14.472</v>
      </c>
      <c r="AA22" s="14">
        <f>_xll.BDH("AMZN US Equity","CASH_FLOW_PER_SH","FQ1 2015","FQ1 2015","Currency=USD","Period=FQ","BEST_FPERIOD_OVERRIDE=FQ","FILING_STATUS=MR","Sort=A","Dates=H","DateFormat=P","Fill=—","Direction=H","UseDPDF=Y")</f>
        <v>-3.2237</v>
      </c>
      <c r="AB22" s="14">
        <f>_xll.BDH("AMZN US Equity","CASH_FLOW_PER_SH","FQ2 2015","FQ2 2015","Currency=USD","Period=FQ","BEST_FPERIOD_OVERRIDE=FQ","FILING_STATUS=MR","Sort=A","Dates=H","DateFormat=P","Fill=—","Direction=H","UseDPDF=Y")</f>
        <v>4.2762000000000002</v>
      </c>
      <c r="AC22" s="14">
        <f>_xll.BDH("AMZN US Equity","CASH_FLOW_PER_SH","FQ3 2015","FQ3 2015","Currency=USD","Period=FQ","BEST_FPERIOD_OVERRIDE=FQ","FILING_STATUS=MR","Sort=A","Dates=H","DateFormat=P","Fill=—","Direction=H","UseDPDF=Y")</f>
        <v>5.5769000000000002</v>
      </c>
      <c r="AD22" s="14">
        <f>_xll.BDH("AMZN US Equity","CASH_FLOW_PER_SH","FQ4 2015","FQ4 2015","Currency=USD","Period=FQ","BEST_FPERIOD_OVERRIDE=FQ","FILING_STATUS=MR","Sort=A","Dates=H","DateFormat=P","Fill=—","Direction=H","UseDPDF=Y")</f>
        <v>18.748899999999999</v>
      </c>
      <c r="AE22" s="14">
        <f>_xll.BDH("AMZN US Equity","CASH_FLOW_PER_SH","FQ1 2016","FQ1 2016","Currency=USD","Period=FQ","BEST_FPERIOD_OVERRIDE=FQ","FILING_STATUS=MR","Sort=A","Dates=H","DateFormat=P","Fill=—","Direction=H","UseDPDF=Y")</f>
        <v>-4.1464999999999996</v>
      </c>
      <c r="AF22" s="14">
        <f>_xll.BDH("AMZN US Equity","CASH_FLOW_PER_SH","FQ2 2016","FQ2 2016","Currency=USD","Period=FQ","BEST_FPERIOD_OVERRIDE=FQ","FILING_STATUS=MR","Sort=A","Dates=H","DateFormat=P","Fill=—","Direction=H","UseDPDF=Y")</f>
        <v>7.5644999999999998</v>
      </c>
      <c r="AG22" s="14">
        <f>_xll.BDH("AMZN US Equity","CASH_FLOW_PER_SH","FQ3 2016","FQ3 2016","Currency=USD","Period=FQ","BEST_FPERIOD_OVERRIDE=FQ","FILING_STATUS=MR","Sort=A","Dates=H","DateFormat=P","Fill=—","Direction=H","UseDPDF=Y")</f>
        <v>9.8291000000000004</v>
      </c>
      <c r="AH22" s="14">
        <f>_xll.BDH("AMZN US Equity","CASH_FLOW_PER_SH","FQ4 2016","FQ4 2016","Currency=USD","Period=FQ","BEST_FPERIOD_OVERRIDE=FQ","FILING_STATUS=MR","Sort=A","Dates=H","DateFormat=P","Fill=—","Direction=H","UseDPDF=Y")</f>
        <v>23.081900000000001</v>
      </c>
      <c r="AI22" s="14">
        <f>_xll.BDH("AMZN US Equity","CASH_FLOW_PER_SH","FQ1 2017","FQ1 2017","Currency=USD","Period=FQ","BEST_FPERIOD_OVERRIDE=FQ","FILING_STATUS=MR","Sort=A","Dates=H","DateFormat=P","Fill=—","Direction=H","UseDPDF=Y")</f>
        <v>-3.3940999999999999</v>
      </c>
      <c r="AJ22" s="14">
        <f>_xll.BDH("AMZN US Equity","CASH_FLOW_PER_SH","FQ2 2017","FQ2 2017","Currency=USD","Period=FQ","BEST_FPERIOD_OVERRIDE=FQ","FILING_STATUS=MR","Sort=A","Dates=H","DateFormat=P","Fill=—","Direction=H","UseDPDF=Y")</f>
        <v>8.0375999999999994</v>
      </c>
      <c r="AK22" s="14">
        <f>_xll.BDH("AMZN US Equity","CASH_FLOW_PER_SH","FQ3 2017","FQ3 2017","Currency=USD","Period=FQ","BEST_FPERIOD_OVERRIDE=FQ","FILING_STATUS=MR","Sort=A","Dates=H","DateFormat=P","Fill=—","Direction=H","UseDPDF=Y")</f>
        <v>8.0061999999999998</v>
      </c>
      <c r="AL22" s="14">
        <f>_xll.BDH("AMZN US Equity","CASH_FLOW_PER_SH","FQ4 2017","FQ4 2017","Currency=USD","Period=FQ","BEST_FPERIOD_OVERRIDE=FQ","FILING_STATUS=MR","Sort=A","Dates=H","DateFormat=P","Fill=—","Direction=H","UseDPDF=Y")</f>
        <v>25.556899999999999</v>
      </c>
      <c r="AM22" s="14">
        <f>_xll.BDH("AMZN US Equity","CASH_FLOW_PER_SH","FQ1 2018","FQ1 2018","Currency=USD","Period=FQ","BEST_FPERIOD_OVERRIDE=FQ","FILING_STATUS=MR","Sort=A","Dates=H","DateFormat=P","Fill=—","Direction=H","UseDPDF=Y")</f>
        <v>-3.7004000000000001</v>
      </c>
      <c r="AN22" s="14">
        <f>_xll.BDH("AMZN US Equity","CASH_FLOW_PER_SH","FQ2 2018","FQ2 2018","Currency=USD","Period=FQ","BEST_FPERIOD_OVERRIDE=FQ","FILING_STATUS=MR","Sort=A","Dates=H","DateFormat=P","Fill=—","Direction=H","UseDPDF=Y")</f>
        <v>15.327199999999999</v>
      </c>
      <c r="AO22" s="14">
        <v>21.84</v>
      </c>
      <c r="AP22" s="14">
        <v>33.049999999999997</v>
      </c>
    </row>
    <row r="23" spans="1:42" x14ac:dyDescent="0.25">
      <c r="A23" s="10" t="s">
        <v>455</v>
      </c>
      <c r="B23" s="10" t="s">
        <v>462</v>
      </c>
      <c r="C23" s="14">
        <f>_xll.BDH("AMZN US Equity","FREE_CASH_FLOW_PER_SH","FQ1 2009","FQ1 2009","Currency=USD","Period=FQ","BEST_FPERIOD_OVERRIDE=FQ","FILING_STATUS=MR","Sort=A","Dates=H","DateFormat=P","Fill=—","Direction=H","UseDPDF=Y")</f>
        <v>-1.4918</v>
      </c>
      <c r="D23" s="14">
        <f>_xll.BDH("AMZN US Equity","FREE_CASH_FLOW_PER_SH","FQ2 2009","FQ2 2009","Currency=USD","Period=FQ","BEST_FPERIOD_OVERRIDE=FQ","FILING_STATUS=MR","Sort=A","Dates=H","DateFormat=P","Fill=—","Direction=H","UseDPDF=Y")</f>
        <v>0.90490000000000004</v>
      </c>
      <c r="E23" s="14">
        <f>_xll.BDH("AMZN US Equity","FREE_CASH_FLOW_PER_SH","FQ3 2009","FQ3 2009","Currency=USD","Period=FQ","BEST_FPERIOD_OVERRIDE=FQ","FILING_STATUS=MR","Sort=A","Dates=H","DateFormat=P","Fill=—","Direction=H","UseDPDF=Y")</f>
        <v>1.6111</v>
      </c>
      <c r="F23" s="14">
        <f>_xll.BDH("AMZN US Equity","FREE_CASH_FLOW_PER_SH","FQ4 2009","FQ4 2009","Currency=USD","Period=FQ","BEST_FPERIOD_OVERRIDE=FQ","FILING_STATUS=MR","Sort=A","Dates=H","DateFormat=P","Fill=—","Direction=H","UseDPDF=Y")</f>
        <v>5.6204999999999998</v>
      </c>
      <c r="G23" s="14">
        <f>_xll.BDH("AMZN US Equity","FREE_CASH_FLOW_PER_SH","FQ1 2010","FQ1 2010","Currency=USD","Period=FQ","BEST_FPERIOD_OVERRIDE=FQ","FILING_STATUS=MR","Sort=A","Dates=H","DateFormat=P","Fill=—","Direction=H","UseDPDF=Y")</f>
        <v>-2.782</v>
      </c>
      <c r="H23" s="14">
        <f>_xll.BDH("AMZN US Equity","FREE_CASH_FLOW_PER_SH","FQ2 2010","FQ2 2010","Currency=USD","Period=FQ","BEST_FPERIOD_OVERRIDE=FQ","FILING_STATUS=MR","Sort=A","Dates=H","DateFormat=P","Fill=—","Direction=H","UseDPDF=Y")</f>
        <v>0.1208</v>
      </c>
      <c r="I23" s="14">
        <f>_xll.BDH("AMZN US Equity","FREE_CASH_FLOW_PER_SH","FQ3 2010","FQ3 2010","Currency=USD","Period=FQ","BEST_FPERIOD_OVERRIDE=FQ","FILING_STATUS=MR","Sort=A","Dates=H","DateFormat=P","Fill=—","Direction=H","UseDPDF=Y")</f>
        <v>1.2054</v>
      </c>
      <c r="J23" s="14">
        <f>_xll.BDH("AMZN US Equity","FREE_CASH_FLOW_PER_SH","FQ4 2010","FQ4 2010","Currency=USD","Period=FQ","BEST_FPERIOD_OVERRIDE=FQ","FILING_STATUS=MR","Sort=A","Dates=H","DateFormat=P","Fill=—","Direction=H","UseDPDF=Y")</f>
        <v>7.0044000000000004</v>
      </c>
      <c r="K23" s="14">
        <f>_xll.BDH("AMZN US Equity","FREE_CASH_FLOW_PER_SH","FQ1 2011","FQ1 2011","Currency=USD","Period=FQ","BEST_FPERIOD_OVERRIDE=FQ","FILING_STATUS=MR","Sort=A","Dates=H","DateFormat=P","Fill=—","Direction=H","UseDPDF=Y")</f>
        <v>-4.1774000000000004</v>
      </c>
      <c r="L23" s="14">
        <f>_xll.BDH("AMZN US Equity","FREE_CASH_FLOW_PER_SH","FQ2 2011","FQ2 2011","Currency=USD","Period=FQ","BEST_FPERIOD_OVERRIDE=FQ","FILING_STATUS=MR","Sort=A","Dates=H","DateFormat=P","Fill=—","Direction=H","UseDPDF=Y")</f>
        <v>-2.2100000000000002E-2</v>
      </c>
      <c r="M23" s="14">
        <f>_xll.BDH("AMZN US Equity","FREE_CASH_FLOW_PER_SH","FQ3 2011","FQ3 2011","Currency=USD","Period=FQ","BEST_FPERIOD_OVERRIDE=FQ","FILING_STATUS=MR","Sort=A","Dates=H","DateFormat=P","Fill=—","Direction=H","UseDPDF=Y")</f>
        <v>0.59030000000000005</v>
      </c>
      <c r="N23" s="14">
        <f>_xll.BDH("AMZN US Equity","FREE_CASH_FLOW_PER_SH","FQ4 2011","FQ4 2011","Currency=USD","Period=FQ","BEST_FPERIOD_OVERRIDE=FQ","FILING_STATUS=MR","Sort=A","Dates=H","DateFormat=P","Fill=—","Direction=H","UseDPDF=Y")</f>
        <v>8.1736000000000004</v>
      </c>
      <c r="O23" s="14">
        <f>_xll.BDH("AMZN US Equity","FREE_CASH_FLOW_PER_SH","FQ1 2012","FQ1 2012","Currency=USD","Period=FQ","BEST_FPERIOD_OVERRIDE=FQ","FILING_STATUS=MR","Sort=A","Dates=H","DateFormat=P","Fill=—","Direction=H","UseDPDF=Y")</f>
        <v>-6.234</v>
      </c>
      <c r="P23" s="14">
        <f>_xll.BDH("AMZN US Equity","FREE_CASH_FLOW_PER_SH","FQ2 2012","FQ2 2012","Currency=USD","Period=FQ","BEST_FPERIOD_OVERRIDE=FQ","FILING_STATUS=MR","Sort=A","Dates=H","DateFormat=P","Fill=—","Direction=H","UseDPDF=Y")</f>
        <v>-0.13969999999999999</v>
      </c>
      <c r="Q23" s="14">
        <f>_xll.BDH("AMZN US Equity","FREE_CASH_FLOW_PER_SH","FQ3 2012","FQ3 2012","Currency=USD","Period=FQ","BEST_FPERIOD_OVERRIDE=FQ","FILING_STATUS=MR","Sort=A","Dates=H","DateFormat=P","Fill=—","Direction=H","UseDPDF=Y")</f>
        <v>0.50219999999999998</v>
      </c>
      <c r="R23" s="14">
        <f>_xll.BDH("AMZN US Equity","FREE_CASH_FLOW_PER_SH","FQ4 2012","FQ4 2012","Currency=USD","Period=FQ","BEST_FPERIOD_OVERRIDE=FQ","FILING_STATUS=MR","Sort=A","Dates=H","DateFormat=P","Fill=—","Direction=H","UseDPDF=Y")</f>
        <v>6.7313000000000001</v>
      </c>
      <c r="S23" s="14">
        <f>_xll.BDH("AMZN US Equity","FREE_CASH_FLOW_PER_SH","FQ1 2013","FQ1 2013","Currency=USD","Period=FQ","BEST_FPERIOD_OVERRIDE=FQ","FILING_STATUS=MR","Sort=A","Dates=H","DateFormat=P","Fill=—","Direction=H","UseDPDF=Y")</f>
        <v>-6.6856999999999998</v>
      </c>
      <c r="T23" s="14">
        <f>_xll.BDH("AMZN US Equity","FREE_CASH_FLOW_PER_SH","FQ2 2013","FQ2 2013","Currency=USD","Period=FQ","BEST_FPERIOD_OVERRIDE=FQ","FILING_STATUS=MR","Sort=A","Dates=H","DateFormat=P","Fill=—","Direction=H","UseDPDF=Y")</f>
        <v>5.4800000000000001E-2</v>
      </c>
      <c r="U23" s="14">
        <f>_xll.BDH("AMZN US Equity","FREE_CASH_FLOW_PER_SH","FQ3 2013","FQ3 2013","Currency=USD","Period=FQ","BEST_FPERIOD_OVERRIDE=FQ","FILING_STATUS=MR","Sort=A","Dates=H","DateFormat=P","Fill=—","Direction=H","UseDPDF=Y")</f>
        <v>0.76590000000000003</v>
      </c>
      <c r="V23" s="14">
        <f>_xll.BDH("AMZN US Equity","FREE_CASH_FLOW_PER_SH","FQ4 2013","FQ4 2013","Currency=USD","Period=FQ","BEST_FPERIOD_OVERRIDE=FQ","FILING_STATUS=MR","Sort=A","Dates=H","DateFormat=P","Fill=—","Direction=H","UseDPDF=Y")</f>
        <v>10.2576</v>
      </c>
      <c r="W23" s="14">
        <f>_xll.BDH("AMZN US Equity","FREE_CASH_FLOW_PER_SH","FQ1 2014","FQ1 2014","Currency=USD","Period=FQ","BEST_FPERIOD_OVERRIDE=FQ","FILING_STATUS=MR","Sort=A","Dates=H","DateFormat=P","Fill=—","Direction=H","UseDPDF=Y")</f>
        <v>-7.7869999999999999</v>
      </c>
      <c r="X23" s="14">
        <f>_xll.BDH("AMZN US Equity","FREE_CASH_FLOW_PER_SH","FQ2 2014","FQ2 2014","Currency=USD","Period=FQ","BEST_FPERIOD_OVERRIDE=FQ","FILING_STATUS=MR","Sort=A","Dates=H","DateFormat=P","Fill=—","Direction=H","UseDPDF=Y")</f>
        <v>-0.9284</v>
      </c>
      <c r="Y23" s="14">
        <f>_xll.BDH("AMZN US Equity","FREE_CASH_FLOW_PER_SH","FQ3 2014","FQ3 2014","Currency=USD","Period=FQ","BEST_FPERIOD_OVERRIDE=FQ","FILING_STATUS=MR","Sort=A","Dates=H","DateFormat=P","Fill=—","Direction=H","UseDPDF=Y")</f>
        <v>0.83799999999999997</v>
      </c>
      <c r="Z23" s="14">
        <f>_xll.BDH("AMZN US Equity","FREE_CASH_FLOW_PER_SH","FQ4 2014","FQ4 2014","Currency=USD","Period=FQ","BEST_FPERIOD_OVERRIDE=FQ","FILING_STATUS=MR","Sort=A","Dates=H","DateFormat=P","Fill=—","Direction=H","UseDPDF=Y")</f>
        <v>12.006500000000001</v>
      </c>
      <c r="AA23" s="14">
        <f>_xll.BDH("AMZN US Equity","FREE_CASH_FLOW_PER_SH","FQ1 2015","FQ1 2015","Currency=USD","Period=FQ","BEST_FPERIOD_OVERRIDE=FQ","FILING_STATUS=MR","Sort=A","Dates=H","DateFormat=P","Fill=—","Direction=H","UseDPDF=Y")</f>
        <v>-5.0968</v>
      </c>
      <c r="AB23" s="14">
        <f>_xll.BDH("AMZN US Equity","FREE_CASH_FLOW_PER_SH","FQ2 2015","FQ2 2015","Currency=USD","Period=FQ","BEST_FPERIOD_OVERRIDE=FQ","FILING_STATUS=MR","Sort=A","Dates=H","DateFormat=P","Fill=—","Direction=H","UseDPDF=Y")</f>
        <v>1.6787999999999998</v>
      </c>
      <c r="AC23" s="14">
        <f>_xll.BDH("AMZN US Equity","FREE_CASH_FLOW_PER_SH","FQ3 2015","FQ3 2015","Currency=USD","Period=FQ","BEST_FPERIOD_OVERRIDE=FQ","FILING_STATUS=MR","Sort=A","Dates=H","DateFormat=P","Fill=—","Direction=H","UseDPDF=Y")</f>
        <v>3.0234999999999999</v>
      </c>
      <c r="AD23" s="14">
        <f>_xll.BDH("AMZN US Equity","FREE_CASH_FLOW_PER_SH","FQ4 2015","FQ4 2015","Currency=USD","Period=FQ","BEST_FPERIOD_OVERRIDE=FQ","FILING_STATUS=MR","Sort=A","Dates=H","DateFormat=P","Fill=—","Direction=H","UseDPDF=Y")</f>
        <v>15.963799999999999</v>
      </c>
      <c r="AE23" s="14">
        <f>_xll.BDH("AMZN US Equity","FREE_CASH_FLOW_PER_SH","FQ1 2016","FQ1 2016","Currency=USD","Period=FQ","BEST_FPERIOD_OVERRIDE=FQ","FILING_STATUS=MR","Sort=A","Dates=H","DateFormat=P","Fill=—","Direction=H","UseDPDF=Y")</f>
        <v>-6.6497000000000002</v>
      </c>
      <c r="AF23" s="14">
        <f>_xll.BDH("AMZN US Equity","FREE_CASH_FLOW_PER_SH","FQ2 2016","FQ2 2016","Currency=USD","Period=FQ","BEST_FPERIOD_OVERRIDE=FQ","FILING_STATUS=MR","Sort=A","Dates=H","DateFormat=P","Fill=—","Direction=H","UseDPDF=Y")</f>
        <v>3.9470999999999998</v>
      </c>
      <c r="AG23" s="14">
        <f>_xll.BDH("AMZN US Equity","FREE_CASH_FLOW_PER_SH","FQ3 2016","FQ3 2016","Currency=USD","Period=FQ","BEST_FPERIOD_OVERRIDE=FQ","FILING_STATUS=MR","Sort=A","Dates=H","DateFormat=P","Fill=—","Direction=H","UseDPDF=Y")</f>
        <v>5.9451000000000001</v>
      </c>
      <c r="AH23" s="14">
        <f>_xll.BDH("AMZN US Equity","FREE_CASH_FLOW_PER_SH","FQ4 2016","FQ4 2016","Currency=USD","Period=FQ","BEST_FPERIOD_OVERRIDE=FQ","FILING_STATUS=MR","Sort=A","Dates=H","DateFormat=P","Fill=—","Direction=H","UseDPDF=Y")</f>
        <v>18.0105</v>
      </c>
      <c r="AI23" s="14">
        <f>_xll.BDH("AMZN US Equity","FREE_CASH_FLOW_PER_SH","FQ1 2017","FQ1 2017","Currency=USD","Period=FQ","BEST_FPERIOD_OVERRIDE=FQ","FILING_STATUS=MR","Sort=A","Dates=H","DateFormat=P","Fill=—","Direction=H","UseDPDF=Y")</f>
        <v>-7.8972999999999995</v>
      </c>
      <c r="AJ23" s="14">
        <f>_xll.BDH("AMZN US Equity","FREE_CASH_FLOW_PER_SH","FQ2 2017","FQ2 2017","Currency=USD","Period=FQ","BEST_FPERIOD_OVERRIDE=FQ","FILING_STATUS=MR","Sort=A","Dates=H","DateFormat=P","Fill=—","Direction=H","UseDPDF=Y")</f>
        <v>1.5386</v>
      </c>
      <c r="AK23" s="14">
        <f>_xll.BDH("AMZN US Equity","FREE_CASH_FLOW_PER_SH","FQ3 2017","FQ3 2017","Currency=USD","Period=FQ","BEST_FPERIOD_OVERRIDE=FQ","FILING_STATUS=MR","Sort=A","Dates=H","DateFormat=P","Fill=—","Direction=H","UseDPDF=Y")</f>
        <v>2.4782000000000002</v>
      </c>
      <c r="AL23" s="14">
        <f>_xll.BDH("AMZN US Equity","FREE_CASH_FLOW_PER_SH","FQ4 2017","FQ4 2017","Currency=USD","Period=FQ","BEST_FPERIOD_OVERRIDE=FQ","FILING_STATUS=MR","Sort=A","Dates=H","DateFormat=P","Fill=—","Direction=H","UseDPDF=Y")</f>
        <v>18.0642</v>
      </c>
      <c r="AM23" s="14">
        <f>_xll.BDH("AMZN US Equity","FREE_CASH_FLOW_PER_SH","FQ1 2018","FQ1 2018","Currency=USD","Period=FQ","BEST_FPERIOD_OVERRIDE=FQ","FILING_STATUS=MR","Sort=A","Dates=H","DateFormat=P","Fill=—","Direction=H","UseDPDF=Y")</f>
        <v>-10.1012</v>
      </c>
      <c r="AN23" s="14">
        <f>_xll.BDH("AMZN US Equity","FREE_CASH_FLOW_PER_SH","FQ2 2018","FQ2 2018","Currency=USD","Period=FQ","BEST_FPERIOD_OVERRIDE=FQ","FILING_STATUS=MR","Sort=A","Dates=H","DateFormat=P","Fill=—","Direction=H","UseDPDF=Y")</f>
        <v>8.6542999999999992</v>
      </c>
      <c r="AO23" s="14"/>
      <c r="AP23" s="14"/>
    </row>
    <row r="24" spans="1:42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25">
      <c r="A25" s="10" t="s">
        <v>2</v>
      </c>
      <c r="B25" s="10" t="s">
        <v>483</v>
      </c>
      <c r="C25" s="14">
        <f>_xll.BDH("AMZN US Equity","CASH_ST_INVESTMENTS_PER_SH","FQ1 2009","FQ1 2009","Currency=USD","Period=FQ","BEST_FPERIOD_OVERRIDE=FQ","FILING_STATUS=MR","Sort=A","Dates=H","DateFormat=P","Fill=—","Direction=H","UseDPDF=Y")</f>
        <v>6.3635999999999999</v>
      </c>
      <c r="D25" s="14">
        <f>_xll.BDH("AMZN US Equity","CASH_ST_INVESTMENTS_PER_SH","FQ2 2009","FQ2 2009","Currency=USD","Period=FQ","BEST_FPERIOD_OVERRIDE=FQ","FILING_STATUS=MR","Sort=A","Dates=H","DateFormat=P","Fill=—","Direction=H","UseDPDF=Y")</f>
        <v>7.4352</v>
      </c>
      <c r="E25" s="14">
        <f>_xll.BDH("AMZN US Equity","CASH_ST_INVESTMENTS_PER_SH","FQ3 2009","FQ3 2009","Currency=USD","Period=FQ","BEST_FPERIOD_OVERRIDE=FQ","FILING_STATUS=MR","Sort=A","Dates=H","DateFormat=P","Fill=—","Direction=H","UseDPDF=Y")</f>
        <v>9.2401999999999997</v>
      </c>
      <c r="F25" s="14">
        <f>_xll.BDH("AMZN US Equity","CASH_ST_INVESTMENTS_PER_SH","FQ4 2009","FQ4 2009","Currency=USD","Period=FQ","BEST_FPERIOD_OVERRIDE=FQ","FILING_STATUS=MR","Sort=A","Dates=H","DateFormat=P","Fill=—","Direction=H","UseDPDF=Y")</f>
        <v>14.3378</v>
      </c>
      <c r="G25" s="14">
        <f>_xll.BDH("AMZN US Equity","CASH_ST_INVESTMENTS_PER_SH","FQ1 2010","FQ1 2010","Currency=USD","Period=FQ","BEST_FPERIOD_OVERRIDE=FQ","FILING_STATUS=MR","Sort=A","Dates=H","DateFormat=P","Fill=—","Direction=H","UseDPDF=Y")</f>
        <v>11.352</v>
      </c>
      <c r="H25" s="14">
        <f>_xll.BDH("AMZN US Equity","CASH_ST_INVESTMENTS_PER_SH","FQ2 2010","FQ2 2010","Currency=USD","Period=FQ","BEST_FPERIOD_OVERRIDE=FQ","FILING_STATUS=MR","Sort=A","Dates=H","DateFormat=P","Fill=—","Direction=H","UseDPDF=Y")</f>
        <v>11.4018</v>
      </c>
      <c r="I25" s="14">
        <f>_xll.BDH("AMZN US Equity","CASH_ST_INVESTMENTS_PER_SH","FQ3 2010","FQ3 2010","Currency=USD","Period=FQ","BEST_FPERIOD_OVERRIDE=FQ","FILING_STATUS=MR","Sort=A","Dates=H","DateFormat=P","Fill=—","Direction=H","UseDPDF=Y")</f>
        <v>13.1069</v>
      </c>
      <c r="J25" s="14">
        <f>_xll.BDH("AMZN US Equity","CASH_ST_INVESTMENTS_PER_SH","FQ4 2010","FQ4 2010","Currency=USD","Period=FQ","BEST_FPERIOD_OVERRIDE=FQ","FILING_STATUS=MR","Sort=A","Dates=H","DateFormat=P","Fill=—","Direction=H","UseDPDF=Y")</f>
        <v>19.427900000000001</v>
      </c>
      <c r="K25" s="14">
        <f>_xll.BDH("AMZN US Equity","CASH_ST_INVESTMENTS_PER_SH","FQ1 2011","FQ1 2011","Currency=USD","Period=FQ","BEST_FPERIOD_OVERRIDE=FQ","FILING_STATUS=MR","Sort=A","Dates=H","DateFormat=P","Fill=—","Direction=H","UseDPDF=Y")</f>
        <v>15.2235</v>
      </c>
      <c r="L25" s="14">
        <f>_xll.BDH("AMZN US Equity","CASH_ST_INVESTMENTS_PER_SH","FQ2 2011","FQ2 2011","Currency=USD","Period=FQ","BEST_FPERIOD_OVERRIDE=FQ","FILING_STATUS=MR","Sort=A","Dates=H","DateFormat=P","Fill=—","Direction=H","UseDPDF=Y")</f>
        <v>13.9978</v>
      </c>
      <c r="M25" s="14">
        <f>_xll.BDH("AMZN US Equity","CASH_ST_INVESTMENTS_PER_SH","FQ3 2011","FQ3 2011","Currency=USD","Period=FQ","BEST_FPERIOD_OVERRIDE=FQ","FILING_STATUS=MR","Sort=A","Dates=H","DateFormat=P","Fill=—","Direction=H","UseDPDF=Y")</f>
        <v>13.9033</v>
      </c>
      <c r="N25" s="14">
        <f>_xll.BDH("AMZN US Equity","CASH_ST_INVESTMENTS_PER_SH","FQ4 2011","FQ4 2011","Currency=USD","Period=FQ","BEST_FPERIOD_OVERRIDE=FQ","FILING_STATUS=MR","Sort=A","Dates=H","DateFormat=P","Fill=—","Direction=H","UseDPDF=Y")</f>
        <v>21.046199999999999</v>
      </c>
      <c r="O25" s="14">
        <f>_xll.BDH("AMZN US Equity","CASH_ST_INVESTMENTS_PER_SH","FQ1 2012","FQ1 2012","Currency=USD","Period=FQ","BEST_FPERIOD_OVERRIDE=FQ","FILING_STATUS=MR","Sort=A","Dates=H","DateFormat=P","Fill=—","Direction=H","UseDPDF=Y")</f>
        <v>12.7</v>
      </c>
      <c r="P25" s="14">
        <f>_xll.BDH("AMZN US Equity","CASH_ST_INVESTMENTS_PER_SH","FQ2 2012","FQ2 2012","Currency=USD","Period=FQ","BEST_FPERIOD_OVERRIDE=FQ","FILING_STATUS=MR","Sort=A","Dates=H","DateFormat=P","Fill=—","Direction=H","UseDPDF=Y")</f>
        <v>10.9956</v>
      </c>
      <c r="Q25" s="14">
        <f>_xll.BDH("AMZN US Equity","CASH_ST_INVESTMENTS_PER_SH","FQ3 2012","FQ3 2012","Currency=USD","Period=FQ","BEST_FPERIOD_OVERRIDE=FQ","FILING_STATUS=MR","Sort=A","Dates=H","DateFormat=P","Fill=—","Direction=H","UseDPDF=Y")</f>
        <v>11.585000000000001</v>
      </c>
      <c r="R25" s="14">
        <f>_xll.BDH("AMZN US Equity","CASH_ST_INVESTMENTS_PER_SH","FQ4 2012","FQ4 2012","Currency=USD","Period=FQ","BEST_FPERIOD_OVERRIDE=FQ","FILING_STATUS=MR","Sort=A","Dates=H","DateFormat=P","Fill=—","Direction=H","UseDPDF=Y")</f>
        <v>25.215900000000001</v>
      </c>
      <c r="S25" s="14">
        <f>_xll.BDH("AMZN US Equity","CASH_ST_INVESTMENTS_PER_SH","FQ1 2013","FQ1 2013","Currency=USD","Period=FQ","BEST_FPERIOD_OVERRIDE=FQ","FILING_STATUS=MR","Sort=A","Dates=H","DateFormat=P","Fill=—","Direction=H","UseDPDF=Y")</f>
        <v>17.351600000000001</v>
      </c>
      <c r="T25" s="14">
        <f>_xll.BDH("AMZN US Equity","CASH_ST_INVESTMENTS_PER_SH","FQ2 2013","FQ2 2013","Currency=USD","Period=FQ","BEST_FPERIOD_OVERRIDE=FQ","FILING_STATUS=MR","Sort=A","Dates=H","DateFormat=P","Fill=—","Direction=H","UseDPDF=Y")</f>
        <v>16.330400000000001</v>
      </c>
      <c r="U25" s="14">
        <f>_xll.BDH("AMZN US Equity","CASH_ST_INVESTMENTS_PER_SH","FQ3 2013","FQ3 2013","Currency=USD","Period=FQ","BEST_FPERIOD_OVERRIDE=FQ","FILING_STATUS=MR","Sort=A","Dates=H","DateFormat=P","Fill=—","Direction=H","UseDPDF=Y")</f>
        <v>16.7882</v>
      </c>
      <c r="V25" s="14">
        <f>_xll.BDH("AMZN US Equity","CASH_ST_INVESTMENTS_PER_SH","FQ4 2013","FQ4 2013","Currency=USD","Period=FQ","BEST_FPERIOD_OVERRIDE=FQ","FILING_STATUS=MR","Sort=A","Dates=H","DateFormat=P","Fill=—","Direction=H","UseDPDF=Y")</f>
        <v>27.117599999999999</v>
      </c>
      <c r="W25" s="14">
        <f>_xll.BDH("AMZN US Equity","CASH_ST_INVESTMENTS_PER_SH","FQ1 2014","FQ1 2014","Currency=USD","Period=FQ","BEST_FPERIOD_OVERRIDE=FQ","FILING_STATUS=MR","Sort=A","Dates=H","DateFormat=P","Fill=—","Direction=H","UseDPDF=Y")</f>
        <v>18.839099999999998</v>
      </c>
      <c r="X25" s="14">
        <f>_xll.BDH("AMZN US Equity","CASH_ST_INVESTMENTS_PER_SH","FQ2 2014","FQ2 2014","Currency=USD","Period=FQ","BEST_FPERIOD_OVERRIDE=FQ","FILING_STATUS=MR","Sort=A","Dates=H","DateFormat=P","Fill=—","Direction=H","UseDPDF=Y")</f>
        <v>17.285699999999999</v>
      </c>
      <c r="Y25" s="14">
        <f>_xll.BDH("AMZN US Equity","CASH_ST_INVESTMENTS_PER_SH","FQ3 2014","FQ3 2014","Currency=USD","Period=FQ","BEST_FPERIOD_OVERRIDE=FQ","FILING_STATUS=MR","Sort=A","Dates=H","DateFormat=P","Fill=—","Direction=H","UseDPDF=Y")</f>
        <v>14.866099999999999</v>
      </c>
      <c r="Z25" s="14">
        <f>_xll.BDH("AMZN US Equity","CASH_ST_INVESTMENTS_PER_SH","FQ4 2014","FQ4 2014","Currency=USD","Period=FQ","BEST_FPERIOD_OVERRIDE=FQ","FILING_STATUS=MR","Sort=A","Dates=H","DateFormat=P","Fill=—","Direction=H","UseDPDF=Y")</f>
        <v>37.453800000000001</v>
      </c>
      <c r="AA25" s="14">
        <f>_xll.BDH("AMZN US Equity","CASH_ST_INVESTMENTS_PER_SH","FQ1 2015","FQ1 2015","Currency=USD","Period=FQ","BEST_FPERIOD_OVERRIDE=FQ","FILING_STATUS=MR","Sort=A","Dates=H","DateFormat=P","Fill=—","Direction=H","UseDPDF=Y")</f>
        <v>29.573</v>
      </c>
      <c r="AB25" s="14">
        <f>_xll.BDH("AMZN US Equity","CASH_ST_INVESTMENTS_PER_SH","FQ2 2015","FQ2 2015","Currency=USD","Period=FQ","BEST_FPERIOD_OVERRIDE=FQ","FILING_STATUS=MR","Sort=A","Dates=H","DateFormat=P","Fill=—","Direction=H","UseDPDF=Y")</f>
        <v>29.916699999999999</v>
      </c>
      <c r="AC25" s="14">
        <f>_xll.BDH("AMZN US Equity","CASH_ST_INVESTMENTS_PER_SH","FQ3 2015","FQ3 2015","Currency=USD","Period=FQ","BEST_FPERIOD_OVERRIDE=FQ","FILING_STATUS=MR","Sort=A","Dates=H","DateFormat=P","Fill=—","Direction=H","UseDPDF=Y")</f>
        <v>30.763300000000001</v>
      </c>
      <c r="AD25" s="14">
        <f>_xll.BDH("AMZN US Equity","CASH_ST_INVESTMENTS_PER_SH","FQ4 2015","FQ4 2015","Currency=USD","Period=FQ","BEST_FPERIOD_OVERRIDE=FQ","FILING_STATUS=MR","Sort=A","Dates=H","DateFormat=P","Fill=—","Direction=H","UseDPDF=Y")</f>
        <v>42.055199999999999</v>
      </c>
      <c r="AE25" s="14">
        <f>_xll.BDH("AMZN US Equity","CASH_ST_INVESTMENTS_PER_SH","FQ1 2016","FQ1 2016","Currency=USD","Period=FQ","BEST_FPERIOD_OVERRIDE=FQ","FILING_STATUS=MR","Sort=A","Dates=H","DateFormat=P","Fill=—","Direction=H","UseDPDF=Y")</f>
        <v>33.599600000000002</v>
      </c>
      <c r="AF25" s="14">
        <f>_xll.BDH("AMZN US Equity","CASH_ST_INVESTMENTS_PER_SH","FQ2 2016","FQ2 2016","Currency=USD","Period=FQ","BEST_FPERIOD_OVERRIDE=FQ","FILING_STATUS=MR","Sort=A","Dates=H","DateFormat=P","Fill=—","Direction=H","UseDPDF=Y")</f>
        <v>34.894500000000001</v>
      </c>
      <c r="AG25" s="14">
        <f>_xll.BDH("AMZN US Equity","CASH_ST_INVESTMENTS_PER_SH","FQ3 2016","FQ3 2016","Currency=USD","Period=FQ","BEST_FPERIOD_OVERRIDE=FQ","FILING_STATUS=MR","Sort=A","Dates=H","DateFormat=P","Fill=—","Direction=H","UseDPDF=Y")</f>
        <v>38.625300000000003</v>
      </c>
      <c r="AH25" s="14">
        <f>_xll.BDH("AMZN US Equity","CASH_ST_INVESTMENTS_PER_SH","FQ4 2016","FQ4 2016","Currency=USD","Period=FQ","BEST_FPERIOD_OVERRIDE=FQ","FILING_STATUS=MR","Sort=A","Dates=H","DateFormat=P","Fill=—","Direction=H","UseDPDF=Y")</f>
        <v>54.467500000000001</v>
      </c>
      <c r="AI25" s="14">
        <f>_xll.BDH("AMZN US Equity","CASH_ST_INVESTMENTS_PER_SH","FQ1 2017","FQ1 2017","Currency=USD","Period=FQ","BEST_FPERIOD_OVERRIDE=FQ","FILING_STATUS=MR","Sort=A","Dates=H","DateFormat=P","Fill=—","Direction=H","UseDPDF=Y")</f>
        <v>45.043900000000001</v>
      </c>
      <c r="AJ25" s="14">
        <f>_xll.BDH("AMZN US Equity","CASH_ST_INVESTMENTS_PER_SH","FQ2 2017","FQ2 2017","Currency=USD","Period=FQ","BEST_FPERIOD_OVERRIDE=FQ","FILING_STATUS=MR","Sort=A","Dates=H","DateFormat=P","Fill=—","Direction=H","UseDPDF=Y")</f>
        <v>44.689599999999999</v>
      </c>
      <c r="AK25" s="14">
        <f>_xll.BDH("AMZN US Equity","CASH_ST_INVESTMENTS_PER_SH","FQ3 2017","FQ3 2017","Currency=USD","Period=FQ","BEST_FPERIOD_OVERRIDE=FQ","FILING_STATUS=MR","Sort=A","Dates=H","DateFormat=P","Fill=—","Direction=H","UseDPDF=Y")</f>
        <v>50.435699999999997</v>
      </c>
      <c r="AL25" s="14">
        <f>_xll.BDH("AMZN US Equity","CASH_ST_INVESTMENTS_PER_SH","FQ4 2017","FQ4 2017","Currency=USD","Period=FQ","BEST_FPERIOD_OVERRIDE=FQ","FILING_STATUS=MR","Sort=A","Dates=H","DateFormat=P","Fill=—","Direction=H","UseDPDF=Y")</f>
        <v>64.020700000000005</v>
      </c>
      <c r="AM25" s="14">
        <f>_xll.BDH("AMZN US Equity","CASH_ST_INVESTMENTS_PER_SH","FQ1 2018","FQ1 2018","Currency=USD","Period=FQ","BEST_FPERIOD_OVERRIDE=FQ","FILING_STATUS=MR","Sort=A","Dates=H","DateFormat=P","Fill=—","Direction=H","UseDPDF=Y")</f>
        <v>51.5764</v>
      </c>
      <c r="AN25" s="14">
        <f>_xll.BDH("AMZN US Equity","CASH_ST_INVESTMENTS_PER_SH","FQ2 2018","FQ2 2018","Currency=USD","Period=FQ","BEST_FPERIOD_OVERRIDE=FQ","FILING_STATUS=MR","Sort=A","Dates=H","DateFormat=P","Fill=—","Direction=H","UseDPDF=Y")</f>
        <v>55.5441</v>
      </c>
      <c r="AO25" s="14"/>
      <c r="AP25" s="14"/>
    </row>
    <row r="26" spans="1:42" x14ac:dyDescent="0.25">
      <c r="A26" s="10" t="s">
        <v>484</v>
      </c>
      <c r="B26" s="10" t="s">
        <v>485</v>
      </c>
      <c r="C26" s="14">
        <f>_xll.BDH("AMZN US Equity","BOOK_VAL_PER_SH","FQ1 2009","FQ1 2009","Currency=USD","Period=FQ","BEST_FPERIOD_OVERRIDE=FQ","FILING_STATUS=MR","Sort=A","Dates=H","DateFormat=P","Fill=—","Direction=H","UseDPDF=Y")</f>
        <v>6.8018999999999998</v>
      </c>
      <c r="D26" s="14">
        <f>_xll.BDH("AMZN US Equity","BOOK_VAL_PER_SH","FQ2 2009","FQ2 2009","Currency=USD","Period=FQ","BEST_FPERIOD_OVERRIDE=FQ","FILING_STATUS=MR","Sort=A","Dates=H","DateFormat=P","Fill=—","Direction=H","UseDPDF=Y")</f>
        <v>7.5369999999999999</v>
      </c>
      <c r="E26" s="14">
        <f>_xll.BDH("AMZN US Equity","BOOK_VAL_PER_SH","FQ3 2009","FQ3 2009","Currency=USD","Period=FQ","BEST_FPERIOD_OVERRIDE=FQ","FILING_STATUS=MR","Sort=A","Dates=H","DateFormat=P","Fill=—","Direction=H","UseDPDF=Y")</f>
        <v>8.2794000000000008</v>
      </c>
      <c r="F26" s="14">
        <f>_xll.BDH("AMZN US Equity","BOOK_VAL_PER_SH","FQ4 2009","FQ4 2009","Currency=USD","Period=FQ","BEST_FPERIOD_OVERRIDE=FQ","FILING_STATUS=MR","Sort=A","Dates=H","DateFormat=P","Fill=—","Direction=H","UseDPDF=Y")</f>
        <v>11.8401</v>
      </c>
      <c r="G26" s="14">
        <f>_xll.BDH("AMZN US Equity","BOOK_VAL_PER_SH","FQ1 2010","FQ1 2010","Currency=USD","Period=FQ","BEST_FPERIOD_OVERRIDE=FQ","FILING_STATUS=MR","Sort=A","Dates=H","DateFormat=P","Fill=—","Direction=H","UseDPDF=Y")</f>
        <v>12.596399999999999</v>
      </c>
      <c r="H26" s="14">
        <f>_xll.BDH("AMZN US Equity","BOOK_VAL_PER_SH","FQ2 2010","FQ2 2010","Currency=USD","Period=FQ","BEST_FPERIOD_OVERRIDE=FQ","FILING_STATUS=MR","Sort=A","Dates=H","DateFormat=P","Fill=—","Direction=H","UseDPDF=Y")</f>
        <v>13.073700000000001</v>
      </c>
      <c r="I26" s="14">
        <f>_xll.BDH("AMZN US Equity","BOOK_VAL_PER_SH","FQ3 2010","FQ3 2010","Currency=USD","Period=FQ","BEST_FPERIOD_OVERRIDE=FQ","FILING_STATUS=MR","Sort=A","Dates=H","DateFormat=P","Fill=—","Direction=H","UseDPDF=Y")</f>
        <v>14.247199999999999</v>
      </c>
      <c r="J26" s="14">
        <f>_xll.BDH("AMZN US Equity","BOOK_VAL_PER_SH","FQ4 2010","FQ4 2010","Currency=USD","Period=FQ","BEST_FPERIOD_OVERRIDE=FQ","FILING_STATUS=MR","Sort=A","Dates=H","DateFormat=P","Fill=—","Direction=H","UseDPDF=Y")</f>
        <v>15.2195</v>
      </c>
      <c r="K26" s="14">
        <f>_xll.BDH("AMZN US Equity","BOOK_VAL_PER_SH","FQ1 2011","FQ1 2011","Currency=USD","Period=FQ","BEST_FPERIOD_OVERRIDE=FQ","FILING_STATUS=MR","Sort=A","Dates=H","DateFormat=P","Fill=—","Direction=H","UseDPDF=Y")</f>
        <v>16.2544</v>
      </c>
      <c r="L26" s="14">
        <f>_xll.BDH("AMZN US Equity","BOOK_VAL_PER_SH","FQ2 2011","FQ2 2011","Currency=USD","Period=FQ","BEST_FPERIOD_OVERRIDE=FQ","FILING_STATUS=MR","Sort=A","Dates=H","DateFormat=P","Fill=—","Direction=H","UseDPDF=Y")</f>
        <v>17.1035</v>
      </c>
      <c r="M26" s="14">
        <f>_xll.BDH("AMZN US Equity","BOOK_VAL_PER_SH","FQ3 2011","FQ3 2011","Currency=USD","Period=FQ","BEST_FPERIOD_OVERRIDE=FQ","FILING_STATUS=MR","Sort=A","Dates=H","DateFormat=P","Fill=—","Direction=H","UseDPDF=Y")</f>
        <v>17.068100000000001</v>
      </c>
      <c r="N26" s="14">
        <f>_xll.BDH("AMZN US Equity","BOOK_VAL_PER_SH","FQ4 2011","FQ4 2011","Currency=USD","Period=FQ","BEST_FPERIOD_OVERRIDE=FQ","FILING_STATUS=MR","Sort=A","Dates=H","DateFormat=P","Fill=—","Direction=H","UseDPDF=Y")</f>
        <v>17.048400000000001</v>
      </c>
      <c r="O26" s="14">
        <f>_xll.BDH("AMZN US Equity","BOOK_VAL_PER_SH","FQ1 2012","FQ1 2012","Currency=USD","Period=FQ","BEST_FPERIOD_OVERRIDE=FQ","FILING_STATUS=MR","Sort=A","Dates=H","DateFormat=P","Fill=—","Direction=H","UseDPDF=Y")</f>
        <v>16.157800000000002</v>
      </c>
      <c r="P26" s="14">
        <f>_xll.BDH("AMZN US Equity","BOOK_VAL_PER_SH","FQ2 2012","FQ2 2012","Currency=USD","Period=FQ","BEST_FPERIOD_OVERRIDE=FQ","FILING_STATUS=MR","Sort=A","Dates=H","DateFormat=P","Fill=—","Direction=H","UseDPDF=Y")</f>
        <v>16.603999999999999</v>
      </c>
      <c r="Q26" s="14">
        <f>_xll.BDH("AMZN US Equity","BOOK_VAL_PER_SH","FQ3 2012","FQ3 2012","Currency=USD","Period=FQ","BEST_FPERIOD_OVERRIDE=FQ","FILING_STATUS=MR","Sort=A","Dates=H","DateFormat=P","Fill=—","Direction=H","UseDPDF=Y")</f>
        <v>16.673300000000001</v>
      </c>
      <c r="R26" s="14">
        <f>_xll.BDH("AMZN US Equity","BOOK_VAL_PER_SH","FQ4 2012","FQ4 2012","Currency=USD","Period=FQ","BEST_FPERIOD_OVERRIDE=FQ","FILING_STATUS=MR","Sort=A","Dates=H","DateFormat=P","Fill=—","Direction=H","UseDPDF=Y")</f>
        <v>18.0441</v>
      </c>
      <c r="S26" s="14">
        <f>_xll.BDH("AMZN US Equity","BOOK_VAL_PER_SH","FQ1 2013","FQ1 2013","Currency=USD","Period=FQ","BEST_FPERIOD_OVERRIDE=FQ","FILING_STATUS=MR","Sort=A","Dates=H","DateFormat=P","Fill=—","Direction=H","UseDPDF=Y")</f>
        <v>18.5319</v>
      </c>
      <c r="T26" s="14">
        <f>_xll.BDH("AMZN US Equity","BOOK_VAL_PER_SH","FQ2 2013","FQ2 2013","Currency=USD","Period=FQ","BEST_FPERIOD_OVERRIDE=FQ","FILING_STATUS=MR","Sort=A","Dates=H","DateFormat=P","Fill=—","Direction=H","UseDPDF=Y")</f>
        <v>19.109400000000001</v>
      </c>
      <c r="U26" s="14">
        <f>_xll.BDH("AMZN US Equity","BOOK_VAL_PER_SH","FQ3 2013","FQ3 2013","Currency=USD","Period=FQ","BEST_FPERIOD_OVERRIDE=FQ","FILING_STATUS=MR","Sort=A","Dates=H","DateFormat=P","Fill=—","Direction=H","UseDPDF=Y")</f>
        <v>19.840599999999998</v>
      </c>
      <c r="V26" s="14">
        <f>_xll.BDH("AMZN US Equity","BOOK_VAL_PER_SH","FQ4 2013","FQ4 2013","Currency=USD","Period=FQ","BEST_FPERIOD_OVERRIDE=FQ","FILING_STATUS=MR","Sort=A","Dates=H","DateFormat=P","Fill=—","Direction=H","UseDPDF=Y")</f>
        <v>21.2331</v>
      </c>
      <c r="W26" s="14">
        <f>_xll.BDH("AMZN US Equity","BOOK_VAL_PER_SH","FQ1 2014","FQ1 2014","Currency=USD","Period=FQ","BEST_FPERIOD_OVERRIDE=FQ","FILING_STATUS=MR","Sort=A","Dates=H","DateFormat=P","Fill=—","Direction=H","UseDPDF=Y")</f>
        <v>22.452200000000001</v>
      </c>
      <c r="X26" s="14">
        <f>_xll.BDH("AMZN US Equity","BOOK_VAL_PER_SH","FQ2 2014","FQ2 2014","Currency=USD","Period=FQ","BEST_FPERIOD_OVERRIDE=FQ","FILING_STATUS=MR","Sort=A","Dates=H","DateFormat=P","Fill=—","Direction=H","UseDPDF=Y")</f>
        <v>22.9481</v>
      </c>
      <c r="Y26" s="14">
        <f>_xll.BDH("AMZN US Equity","BOOK_VAL_PER_SH","FQ3 2014","FQ3 2014","Currency=USD","Period=FQ","BEST_FPERIOD_OVERRIDE=FQ","FILING_STATUS=MR","Sort=A","Dates=H","DateFormat=P","Fill=—","Direction=H","UseDPDF=Y")</f>
        <v>22.324000000000002</v>
      </c>
      <c r="Z26" s="14">
        <f>_xll.BDH("AMZN US Equity","BOOK_VAL_PER_SH","FQ4 2014","FQ4 2014","Currency=USD","Period=FQ","BEST_FPERIOD_OVERRIDE=FQ","FILING_STATUS=MR","Sort=A","Dates=H","DateFormat=P","Fill=—","Direction=H","UseDPDF=Y")</f>
        <v>23.0989</v>
      </c>
      <c r="AA26" s="14">
        <f>_xll.BDH("AMZN US Equity","BOOK_VAL_PER_SH","FQ1 2015","FQ1 2015","Currency=USD","Period=FQ","BEST_FPERIOD_OVERRIDE=FQ","FILING_STATUS=MR","Sort=A","Dates=H","DateFormat=P","Fill=—","Direction=H","UseDPDF=Y")</f>
        <v>23.332599999999999</v>
      </c>
      <c r="AB26" s="14">
        <f>_xll.BDH("AMZN US Equity","BOOK_VAL_PER_SH","FQ2 2015","FQ2 2015","Currency=USD","Period=FQ","BEST_FPERIOD_OVERRIDE=FQ","FILING_STATUS=MR","Sort=A","Dates=H","DateFormat=P","Fill=—","Direction=H","UseDPDF=Y")</f>
        <v>25.145299999999999</v>
      </c>
      <c r="AC26" s="14">
        <f>_xll.BDH("AMZN US Equity","BOOK_VAL_PER_SH","FQ3 2015","FQ3 2015","Currency=USD","Period=FQ","BEST_FPERIOD_OVERRIDE=FQ","FILING_STATUS=MR","Sort=A","Dates=H","DateFormat=P","Fill=—","Direction=H","UseDPDF=Y")</f>
        <v>26.5032</v>
      </c>
      <c r="AD26" s="14">
        <f>_xll.BDH("AMZN US Equity","BOOK_VAL_PER_SH","FQ4 2015","FQ4 2015","Currency=USD","Period=FQ","BEST_FPERIOD_OVERRIDE=FQ","FILING_STATUS=MR","Sort=A","Dates=H","DateFormat=P","Fill=—","Direction=H","UseDPDF=Y")</f>
        <v>28.4161</v>
      </c>
      <c r="AE26" s="14">
        <f>_xll.BDH("AMZN US Equity","BOOK_VAL_PER_SH","FQ1 2016","FQ1 2016","Currency=USD","Period=FQ","BEST_FPERIOD_OVERRIDE=FQ","FILING_STATUS=MR","Sort=A","Dates=H","DateFormat=P","Fill=—","Direction=H","UseDPDF=Y")</f>
        <v>31.262699999999999</v>
      </c>
      <c r="AF26" s="14">
        <f>_xll.BDH("AMZN US Equity","BOOK_VAL_PER_SH","FQ2 2016","FQ2 2016","Currency=USD","Period=FQ","BEST_FPERIOD_OVERRIDE=FQ","FILING_STATUS=MR","Sort=A","Dates=H","DateFormat=P","Fill=—","Direction=H","UseDPDF=Y")</f>
        <v>34.890300000000003</v>
      </c>
      <c r="AG26" s="14">
        <f>_xll.BDH("AMZN US Equity","BOOK_VAL_PER_SH","FQ3 2016","FQ3 2016","Currency=USD","Period=FQ","BEST_FPERIOD_OVERRIDE=FQ","FILING_STATUS=MR","Sort=A","Dates=H","DateFormat=P","Fill=—","Direction=H","UseDPDF=Y")</f>
        <v>37.4358</v>
      </c>
      <c r="AH26" s="14">
        <f>_xll.BDH("AMZN US Equity","BOOK_VAL_PER_SH","FQ4 2016","FQ4 2016","Currency=USD","Period=FQ","BEST_FPERIOD_OVERRIDE=FQ","FILING_STATUS=MR","Sort=A","Dates=H","DateFormat=P","Fill=—","Direction=H","UseDPDF=Y")</f>
        <v>40.4298</v>
      </c>
      <c r="AI26" s="14">
        <f>_xll.BDH("AMZN US Equity","BOOK_VAL_PER_SH","FQ1 2017","FQ1 2017","Currency=USD","Period=FQ","BEST_FPERIOD_OVERRIDE=FQ","FILING_STATUS=MR","Sort=A","Dates=H","DateFormat=P","Fill=—","Direction=H","UseDPDF=Y")</f>
        <v>45.3431</v>
      </c>
      <c r="AJ26" s="14">
        <f>_xll.BDH("AMZN US Equity","BOOK_VAL_PER_SH","FQ2 2017","FQ2 2017","Currency=USD","Period=FQ","BEST_FPERIOD_OVERRIDE=FQ","FILING_STATUS=MR","Sort=A","Dates=H","DateFormat=P","Fill=—","Direction=H","UseDPDF=Y")</f>
        <v>48.362499999999997</v>
      </c>
      <c r="AK26" s="14">
        <f>_xll.BDH("AMZN US Equity","BOOK_VAL_PER_SH","FQ3 2017","FQ3 2017","Currency=USD","Period=FQ","BEST_FPERIOD_OVERRIDE=FQ","FILING_STATUS=MR","Sort=A","Dates=H","DateFormat=P","Fill=—","Direction=H","UseDPDF=Y")</f>
        <v>51.157699999999998</v>
      </c>
      <c r="AL26" s="14">
        <f>_xll.BDH("AMZN US Equity","BOOK_VAL_PER_SH","FQ4 2017","FQ4 2017","Currency=USD","Period=FQ","BEST_FPERIOD_OVERRIDE=FQ","FILING_STATUS=MR","Sort=A","Dates=H","DateFormat=P","Fill=—","Direction=H","UseDPDF=Y")</f>
        <v>57.25</v>
      </c>
      <c r="AM26" s="14">
        <f>_xll.BDH("AMZN US Equity","BOOK_VAL_PER_SH","FQ1 2018","FQ1 2018","Currency=USD","Period=FQ","BEST_FPERIOD_OVERRIDE=FQ","FILING_STATUS=MR","Sort=A","Dates=H","DateFormat=P","Fill=—","Direction=H","UseDPDF=Y")</f>
        <v>65.006200000000007</v>
      </c>
      <c r="AN26" s="14">
        <f>_xll.BDH("AMZN US Equity","BOOK_VAL_PER_SH","FQ2 2018","FQ2 2018","Currency=USD","Period=FQ","BEST_FPERIOD_OVERRIDE=FQ","FILING_STATUS=MR","Sort=A","Dates=H","DateFormat=P","Fill=—","Direction=H","UseDPDF=Y")</f>
        <v>71.8583</v>
      </c>
      <c r="AO26" s="14">
        <v>72.709999999999994</v>
      </c>
      <c r="AP26" s="14">
        <v>78.14</v>
      </c>
    </row>
    <row r="27" spans="1:42" x14ac:dyDescent="0.25">
      <c r="A27" s="10" t="s">
        <v>486</v>
      </c>
      <c r="B27" s="10" t="s">
        <v>487</v>
      </c>
      <c r="C27" s="14">
        <f>_xll.BDH("AMZN US Equity","TANG_BOOK_VAL_PER_SH","FQ1 2009","FQ1 2009","Currency=USD","Period=FQ","BEST_FPERIOD_OVERRIDE=FQ","FILING_STATUS=MR","Sort=A","Dates=H","DateFormat=P","Fill=—","Direction=H","UseDPDF=Y")</f>
        <v>5.7925000000000004</v>
      </c>
      <c r="D27" s="14">
        <f>_xll.BDH("AMZN US Equity","TANG_BOOK_VAL_PER_SH","FQ2 2009","FQ2 2009","Currency=USD","Period=FQ","BEST_FPERIOD_OVERRIDE=FQ","FILING_STATUS=MR","Sort=A","Dates=H","DateFormat=P","Fill=—","Direction=H","UseDPDF=Y")</f>
        <v>6.4931000000000001</v>
      </c>
      <c r="E27" s="14">
        <f>_xll.BDH("AMZN US Equity","TANG_BOOK_VAL_PER_SH","FQ3 2009","FQ3 2009","Currency=USD","Period=FQ","BEST_FPERIOD_OVERRIDE=FQ","FILING_STATUS=MR","Sort=A","Dates=H","DateFormat=P","Fill=—","Direction=H","UseDPDF=Y")</f>
        <v>7.2240000000000002</v>
      </c>
      <c r="F27" s="14">
        <f>_xll.BDH("AMZN US Equity","TANG_BOOK_VAL_PER_SH","FQ4 2009","FQ4 2009","Currency=USD","Period=FQ","BEST_FPERIOD_OVERRIDE=FQ","FILING_STATUS=MR","Sort=A","Dates=H","DateFormat=P","Fill=—","Direction=H","UseDPDF=Y")</f>
        <v>9.0608000000000004</v>
      </c>
      <c r="G27" s="14">
        <f>_xll.BDH("AMZN US Equity","TANG_BOOK_VAL_PER_SH","FQ1 2010","FQ1 2010","Currency=USD","Period=FQ","BEST_FPERIOD_OVERRIDE=FQ","FILING_STATUS=MR","Sort=A","Dates=H","DateFormat=P","Fill=—","Direction=H","UseDPDF=Y")</f>
        <v>9.8295999999999992</v>
      </c>
      <c r="H27" s="14">
        <f>_xll.BDH("AMZN US Equity","TANG_BOOK_VAL_PER_SH","FQ2 2010","FQ2 2010","Currency=USD","Period=FQ","BEST_FPERIOD_OVERRIDE=FQ","FILING_STATUS=MR","Sort=A","Dates=H","DateFormat=P","Fill=—","Direction=H","UseDPDF=Y")</f>
        <v>10.330400000000001</v>
      </c>
      <c r="I27" s="14">
        <f>_xll.BDH("AMZN US Equity","TANG_BOOK_VAL_PER_SH","FQ3 2010","FQ3 2010","Currency=USD","Period=FQ","BEST_FPERIOD_OVERRIDE=FQ","FILING_STATUS=MR","Sort=A","Dates=H","DateFormat=P","Fill=—","Direction=H","UseDPDF=Y")</f>
        <v>11.4031</v>
      </c>
      <c r="J27" s="14">
        <f>_xll.BDH("AMZN US Equity","TANG_BOOK_VAL_PER_SH","FQ4 2010","FQ4 2010","Currency=USD","Period=FQ","BEST_FPERIOD_OVERRIDE=FQ","FILING_STATUS=MR","Sort=A","Dates=H","DateFormat=P","Fill=—","Direction=H","UseDPDF=Y")</f>
        <v>12.228400000000001</v>
      </c>
      <c r="K27" s="14">
        <f>_xll.BDH("AMZN US Equity","TANG_BOOK_VAL_PER_SH","FQ1 2011","FQ1 2011","Currency=USD","Period=FQ","BEST_FPERIOD_OVERRIDE=FQ","FILING_STATUS=MR","Sort=A","Dates=H","DateFormat=P","Fill=—","Direction=H","UseDPDF=Y")</f>
        <v>12.9071</v>
      </c>
      <c r="L27" s="14">
        <f>_xll.BDH("AMZN US Equity","TANG_BOOK_VAL_PER_SH","FQ2 2011","FQ2 2011","Currency=USD","Period=FQ","BEST_FPERIOD_OVERRIDE=FQ","FILING_STATUS=MR","Sort=A","Dates=H","DateFormat=P","Fill=—","Direction=H","UseDPDF=Y")</f>
        <v>12.8987</v>
      </c>
      <c r="M27" s="14">
        <f>_xll.BDH("AMZN US Equity","TANG_BOOK_VAL_PER_SH","FQ3 2011","FQ3 2011","Currency=USD","Period=FQ","BEST_FPERIOD_OVERRIDE=FQ","FILING_STATUS=MR","Sort=A","Dates=H","DateFormat=P","Fill=—","Direction=H","UseDPDF=Y")</f>
        <v>12.817600000000001</v>
      </c>
      <c r="N27" s="14">
        <f>_xll.BDH("AMZN US Equity","TANG_BOOK_VAL_PER_SH","FQ4 2011","FQ4 2011","Currency=USD","Period=FQ","BEST_FPERIOD_OVERRIDE=FQ","FILING_STATUS=MR","Sort=A","Dates=H","DateFormat=P","Fill=—","Direction=H","UseDPDF=Y")</f>
        <v>11.329700000000001</v>
      </c>
      <c r="O27" s="14">
        <f>_xll.BDH("AMZN US Equity","TANG_BOOK_VAL_PER_SH","FQ1 2012","FQ1 2012","Currency=USD","Period=FQ","BEST_FPERIOD_OVERRIDE=FQ","FILING_STATUS=MR","Sort=A","Dates=H","DateFormat=P","Fill=—","Direction=H","UseDPDF=Y")</f>
        <v>11.78</v>
      </c>
      <c r="P27" s="14">
        <f>_xll.BDH("AMZN US Equity","TANG_BOOK_VAL_PER_SH","FQ2 2012","FQ2 2012","Currency=USD","Period=FQ","BEST_FPERIOD_OVERRIDE=FQ","FILING_STATUS=MR","Sort=A","Dates=H","DateFormat=P","Fill=—","Direction=H","UseDPDF=Y")</f>
        <v>11.0265</v>
      </c>
      <c r="Q27" s="14">
        <f>_xll.BDH("AMZN US Equity","TANG_BOOK_VAL_PER_SH","FQ3 2012","FQ3 2012","Currency=USD","Period=FQ","BEST_FPERIOD_OVERRIDE=FQ","FILING_STATUS=MR","Sort=A","Dates=H","DateFormat=P","Fill=—","Direction=H","UseDPDF=Y")</f>
        <v>11.0662</v>
      </c>
      <c r="R27" s="14">
        <f>_xll.BDH("AMZN US Equity","TANG_BOOK_VAL_PER_SH","FQ4 2012","FQ4 2012","Currency=USD","Period=FQ","BEST_FPERIOD_OVERRIDE=FQ","FILING_STATUS=MR","Sort=A","Dates=H","DateFormat=P","Fill=—","Direction=H","UseDPDF=Y")</f>
        <v>10.826000000000001</v>
      </c>
      <c r="S27" s="14">
        <f>_xll.BDH("AMZN US Equity","TANG_BOOK_VAL_PER_SH","FQ1 2013","FQ1 2013","Currency=USD","Period=FQ","BEST_FPERIOD_OVERRIDE=FQ","FILING_STATUS=MR","Sort=A","Dates=H","DateFormat=P","Fill=—","Direction=H","UseDPDF=Y")</f>
        <v>12.9604</v>
      </c>
      <c r="T27" s="14">
        <f>_xll.BDH("AMZN US Equity","TANG_BOOK_VAL_PER_SH","FQ2 2013","FQ2 2013","Currency=USD","Period=FQ","BEST_FPERIOD_OVERRIDE=FQ","FILING_STATUS=MR","Sort=A","Dates=H","DateFormat=P","Fill=—","Direction=H","UseDPDF=Y")</f>
        <v>13.3895</v>
      </c>
      <c r="U27" s="14">
        <f>_xll.BDH("AMZN US Equity","TANG_BOOK_VAL_PER_SH","FQ3 2013","FQ3 2013","Currency=USD","Period=FQ","BEST_FPERIOD_OVERRIDE=FQ","FILING_STATUS=MR","Sort=A","Dates=H","DateFormat=P","Fill=—","Direction=H","UseDPDF=Y")</f>
        <v>14.087300000000001</v>
      </c>
      <c r="V27" s="14">
        <f>_xll.BDH("AMZN US Equity","TANG_BOOK_VAL_PER_SH","FQ4 2013","FQ4 2013","Currency=USD","Period=FQ","BEST_FPERIOD_OVERRIDE=FQ","FILING_STATUS=MR","Sort=A","Dates=H","DateFormat=P","Fill=—","Direction=H","UseDPDF=Y")</f>
        <v>14.0436</v>
      </c>
      <c r="W27" s="14">
        <f>_xll.BDH("AMZN US Equity","TANG_BOOK_VAL_PER_SH","FQ1 2014","FQ1 2014","Currency=USD","Period=FQ","BEST_FPERIOD_OVERRIDE=FQ","FILING_STATUS=MR","Sort=A","Dates=H","DateFormat=P","Fill=—","Direction=H","UseDPDF=Y")</f>
        <v>16.684799999999999</v>
      </c>
      <c r="X27" s="14">
        <f>_xll.BDH("AMZN US Equity","TANG_BOOK_VAL_PER_SH","FQ2 2014","FQ2 2014","Currency=USD","Period=FQ","BEST_FPERIOD_OVERRIDE=FQ","FILING_STATUS=MR","Sort=A","Dates=H","DateFormat=P","Fill=—","Direction=H","UseDPDF=Y")</f>
        <v>17.153700000000001</v>
      </c>
      <c r="Y27" s="14">
        <f>_xll.BDH("AMZN US Equity","TANG_BOOK_VAL_PER_SH","FQ3 2014","FQ3 2014","Currency=USD","Period=FQ","BEST_FPERIOD_OVERRIDE=FQ","FILING_STATUS=MR","Sort=A","Dates=H","DateFormat=P","Fill=—","Direction=H","UseDPDF=Y")</f>
        <v>15.1274</v>
      </c>
      <c r="Z27" s="14">
        <f>_xll.BDH("AMZN US Equity","TANG_BOOK_VAL_PER_SH","FQ4 2014","FQ4 2014","Currency=USD","Period=FQ","BEST_FPERIOD_OVERRIDE=FQ","FILING_STATUS=MR","Sort=A","Dates=H","DateFormat=P","Fill=—","Direction=H","UseDPDF=Y")</f>
        <v>14.318300000000001</v>
      </c>
      <c r="AA27" s="14">
        <f>_xll.BDH("AMZN US Equity","TANG_BOOK_VAL_PER_SH","FQ1 2015","FQ1 2015","Currency=USD","Period=FQ","BEST_FPERIOD_OVERRIDE=FQ","FILING_STATUS=MR","Sort=A","Dates=H","DateFormat=P","Fill=—","Direction=H","UseDPDF=Y")</f>
        <v>15.841200000000001</v>
      </c>
      <c r="AB27" s="14">
        <f>_xll.BDH("AMZN US Equity","TANG_BOOK_VAL_PER_SH","FQ2 2015","FQ2 2015","Currency=USD","Period=FQ","BEST_FPERIOD_OVERRIDE=FQ","FILING_STATUS=MR","Sort=A","Dates=H","DateFormat=P","Fill=—","Direction=H","UseDPDF=Y")</f>
        <v>17.6175</v>
      </c>
      <c r="AC27" s="14">
        <f>_xll.BDH("AMZN US Equity","TANG_BOOK_VAL_PER_SH","FQ3 2015","FQ3 2015","Currency=USD","Period=FQ","BEST_FPERIOD_OVERRIDE=FQ","FILING_STATUS=MR","Sort=A","Dates=H","DateFormat=P","Fill=—","Direction=H","UseDPDF=Y")</f>
        <v>18.9787</v>
      </c>
      <c r="AD27" s="14">
        <f>_xll.BDH("AMZN US Equity","TANG_BOOK_VAL_PER_SH","FQ4 2015","FQ4 2015","Currency=USD","Period=FQ","BEST_FPERIOD_OVERRIDE=FQ","FILING_STATUS=MR","Sort=A","Dates=H","DateFormat=P","Fill=—","Direction=H","UseDPDF=Y")</f>
        <v>18.3291</v>
      </c>
      <c r="AE27" s="14">
        <f>_xll.BDH("AMZN US Equity","TANG_BOOK_VAL_PER_SH","FQ1 2016","FQ1 2016","Currency=USD","Period=FQ","BEST_FPERIOD_OVERRIDE=FQ","FILING_STATUS=MR","Sort=A","Dates=H","DateFormat=P","Fill=—","Direction=H","UseDPDF=Y")</f>
        <v>23.243600000000001</v>
      </c>
      <c r="AF27" s="14">
        <f>_xll.BDH("AMZN US Equity","TANG_BOOK_VAL_PER_SH","FQ2 2016","FQ2 2016","Currency=USD","Period=FQ","BEST_FPERIOD_OVERRIDE=FQ","FILING_STATUS=MR","Sort=A","Dates=H","DateFormat=P","Fill=—","Direction=H","UseDPDF=Y")</f>
        <v>26.9283</v>
      </c>
      <c r="AG27" s="14">
        <f>_xll.BDH("AMZN US Equity","TANG_BOOK_VAL_PER_SH","FQ3 2016","FQ3 2016","Currency=USD","Period=FQ","BEST_FPERIOD_OVERRIDE=FQ","FILING_STATUS=MR","Sort=A","Dates=H","DateFormat=P","Fill=—","Direction=H","UseDPDF=Y")</f>
        <v>29.404199999999999</v>
      </c>
      <c r="AH27" s="14">
        <f>_xll.BDH("AMZN US Equity","TANG_BOOK_VAL_PER_SH","FQ4 2016","FQ4 2016","Currency=USD","Period=FQ","BEST_FPERIOD_OVERRIDE=FQ","FILING_STATUS=MR","Sort=A","Dates=H","DateFormat=P","Fill=—","Direction=H","UseDPDF=Y")</f>
        <v>30.706499999999998</v>
      </c>
      <c r="AI27" s="14">
        <f>_xll.BDH("AMZN US Equity","TANG_BOOK_VAL_PER_SH","FQ1 2017","FQ1 2017","Currency=USD","Period=FQ","BEST_FPERIOD_OVERRIDE=FQ","FILING_STATUS=MR","Sort=A","Dates=H","DateFormat=P","Fill=—","Direction=H","UseDPDF=Y")</f>
        <v>37.345199999999998</v>
      </c>
      <c r="AJ27" s="14">
        <f>_xll.BDH("AMZN US Equity","TANG_BOOK_VAL_PER_SH","FQ2 2017","FQ2 2017","Currency=USD","Period=FQ","BEST_FPERIOD_OVERRIDE=FQ","FILING_STATUS=MR","Sort=A","Dates=H","DateFormat=P","Fill=—","Direction=H","UseDPDF=Y")</f>
        <v>39.5</v>
      </c>
      <c r="AK27" s="14">
        <f>_xll.BDH("AMZN US Equity","TANG_BOOK_VAL_PER_SH","FQ3 2017","FQ3 2017","Currency=USD","Period=FQ","BEST_FPERIOD_OVERRIDE=FQ","FILING_STATUS=MR","Sort=A","Dates=H","DateFormat=P","Fill=—","Direction=H","UseDPDF=Y")</f>
        <v>23.624500000000001</v>
      </c>
      <c r="AL27" s="14">
        <f>_xll.BDH("AMZN US Equity","TANG_BOOK_VAL_PER_SH","FQ4 2017","FQ4 2017","Currency=USD","Period=FQ","BEST_FPERIOD_OVERRIDE=FQ","FILING_STATUS=MR","Sort=A","Dates=H","DateFormat=P","Fill=—","Direction=H","UseDPDF=Y")</f>
        <v>22.702500000000001</v>
      </c>
      <c r="AM27" s="14">
        <f>_xll.BDH("AMZN US Equity","TANG_BOOK_VAL_PER_SH","FQ1 2018","FQ1 2018","Currency=USD","Period=FQ","BEST_FPERIOD_OVERRIDE=FQ","FILING_STATUS=MR","Sort=A","Dates=H","DateFormat=P","Fill=—","Direction=H","UseDPDF=Y")</f>
        <v>37.344999999999999</v>
      </c>
      <c r="AN27" s="14">
        <f>_xll.BDH("AMZN US Equity","TANG_BOOK_VAL_PER_SH","FQ2 2018","FQ2 2018","Currency=USD","Period=FQ","BEST_FPERIOD_OVERRIDE=FQ","FILING_STATUS=MR","Sort=A","Dates=H","DateFormat=P","Fill=—","Direction=H","UseDPDF=Y")</f>
        <v>43.225900000000003</v>
      </c>
      <c r="AO27" s="14"/>
      <c r="AP27" s="14"/>
    </row>
    <row r="28" spans="1:42" x14ac:dyDescent="0.25">
      <c r="A28" s="7" t="s">
        <v>207</v>
      </c>
      <c r="B28" s="7"/>
      <c r="C28" s="7" t="s">
        <v>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workbookViewId="0">
      <selection activeCell="D36" sqref="D36"/>
    </sheetView>
  </sheetViews>
  <sheetFormatPr defaultRowHeight="15" x14ac:dyDescent="0.25"/>
  <cols>
    <col min="1" max="1" width="35.140625" customWidth="1"/>
    <col min="2" max="2" width="0" hidden="1" customWidth="1"/>
    <col min="3" max="41" width="11.85546875" customWidth="1"/>
  </cols>
  <sheetData>
    <row r="1" spans="1:4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20.25" x14ac:dyDescent="0.25">
      <c r="A2" s="8" t="s">
        <v>488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489</v>
      </c>
    </row>
    <row r="5" spans="1:41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490</v>
      </c>
    </row>
    <row r="6" spans="1:41" x14ac:dyDescent="0.25">
      <c r="A6" s="6" t="s">
        <v>491</v>
      </c>
      <c r="B6" s="6" t="s">
        <v>492</v>
      </c>
      <c r="C6" s="18">
        <f>_xll.BDH("AMZN US Equity","PX_LAST","FQ1 2009","FQ1 2009","Currency=USD","Period=FQ","BEST_FPERIOD_OVERRIDE=FQ","FILING_STATUS=MR","Sort=A","Dates=H","DateFormat=P","Fill=—","Direction=H","UseDPDF=Y")</f>
        <v>73.44</v>
      </c>
      <c r="D6" s="18">
        <f>_xll.BDH("AMZN US Equity","PX_LAST","FQ2 2009","FQ2 2009","Currency=USD","Period=FQ","BEST_FPERIOD_OVERRIDE=FQ","FILING_STATUS=MR","Sort=A","Dates=H","DateFormat=P","Fill=—","Direction=H","UseDPDF=Y")</f>
        <v>83.66</v>
      </c>
      <c r="E6" s="18">
        <f>_xll.BDH("AMZN US Equity","PX_LAST","FQ3 2009","FQ3 2009","Currency=USD","Period=FQ","BEST_FPERIOD_OVERRIDE=FQ","FILING_STATUS=MR","Sort=A","Dates=H","DateFormat=P","Fill=—","Direction=H","UseDPDF=Y")</f>
        <v>93.36</v>
      </c>
      <c r="F6" s="18">
        <f>_xll.BDH("AMZN US Equity","PX_LAST","FQ4 2009","FQ4 2009","Currency=USD","Period=FQ","BEST_FPERIOD_OVERRIDE=FQ","FILING_STATUS=MR","Sort=A","Dates=H","DateFormat=P","Fill=—","Direction=H","UseDPDF=Y")</f>
        <v>134.52000000000001</v>
      </c>
      <c r="G6" s="18">
        <f>_xll.BDH("AMZN US Equity","PX_LAST","FQ1 2010","FQ1 2010","Currency=USD","Period=FQ","BEST_FPERIOD_OVERRIDE=FQ","FILING_STATUS=MR","Sort=A","Dates=H","DateFormat=P","Fill=—","Direction=H","UseDPDF=Y")</f>
        <v>135.77000000000001</v>
      </c>
      <c r="H6" s="18">
        <f>_xll.BDH("AMZN US Equity","PX_LAST","FQ2 2010","FQ2 2010","Currency=USD","Period=FQ","BEST_FPERIOD_OVERRIDE=FQ","FILING_STATUS=MR","Sort=A","Dates=H","DateFormat=P","Fill=—","Direction=H","UseDPDF=Y")</f>
        <v>109.26</v>
      </c>
      <c r="I6" s="18">
        <f>_xll.BDH("AMZN US Equity","PX_LAST","FQ3 2010","FQ3 2010","Currency=USD","Period=FQ","BEST_FPERIOD_OVERRIDE=FQ","FILING_STATUS=MR","Sort=A","Dates=H","DateFormat=P","Fill=—","Direction=H","UseDPDF=Y")</f>
        <v>157.06</v>
      </c>
      <c r="J6" s="18">
        <f>_xll.BDH("AMZN US Equity","PX_LAST","FQ4 2010","FQ4 2010","Currency=USD","Period=FQ","BEST_FPERIOD_OVERRIDE=FQ","FILING_STATUS=MR","Sort=A","Dates=H","DateFormat=P","Fill=—","Direction=H","UseDPDF=Y")</f>
        <v>180</v>
      </c>
      <c r="K6" s="18">
        <f>_xll.BDH("AMZN US Equity","PX_LAST","FQ1 2011","FQ1 2011","Currency=USD","Period=FQ","BEST_FPERIOD_OVERRIDE=FQ","FILING_STATUS=MR","Sort=A","Dates=H","DateFormat=P","Fill=—","Direction=H","UseDPDF=Y")</f>
        <v>180.13</v>
      </c>
      <c r="L6" s="18">
        <f>_xll.BDH("AMZN US Equity","PX_LAST","FQ2 2011","FQ2 2011","Currency=USD","Period=FQ","BEST_FPERIOD_OVERRIDE=FQ","FILING_STATUS=MR","Sort=A","Dates=H","DateFormat=P","Fill=—","Direction=H","UseDPDF=Y")</f>
        <v>204.49</v>
      </c>
      <c r="M6" s="18">
        <f>_xll.BDH("AMZN US Equity","PX_LAST","FQ3 2011","FQ3 2011","Currency=USD","Period=FQ","BEST_FPERIOD_OVERRIDE=FQ","FILING_STATUS=MR","Sort=A","Dates=H","DateFormat=P","Fill=—","Direction=H","UseDPDF=Y")</f>
        <v>216.23</v>
      </c>
      <c r="N6" s="18">
        <f>_xll.BDH("AMZN US Equity","PX_LAST","FQ4 2011","FQ4 2011","Currency=USD","Period=FQ","BEST_FPERIOD_OVERRIDE=FQ","FILING_STATUS=MR","Sort=A","Dates=H","DateFormat=P","Fill=—","Direction=H","UseDPDF=Y")</f>
        <v>173.1</v>
      </c>
      <c r="O6" s="18">
        <f>_xll.BDH("AMZN US Equity","PX_LAST","FQ1 2012","FQ1 2012","Currency=USD","Period=FQ","BEST_FPERIOD_OVERRIDE=FQ","FILING_STATUS=MR","Sort=A","Dates=H","DateFormat=P","Fill=—","Direction=H","UseDPDF=Y")</f>
        <v>202.51</v>
      </c>
      <c r="P6" s="18">
        <f>_xll.BDH("AMZN US Equity","PX_LAST","FQ2 2012","FQ2 2012","Currency=USD","Period=FQ","BEST_FPERIOD_OVERRIDE=FQ","FILING_STATUS=MR","Sort=A","Dates=H","DateFormat=P","Fill=—","Direction=H","UseDPDF=Y")</f>
        <v>228.35</v>
      </c>
      <c r="Q6" s="18">
        <f>_xll.BDH("AMZN US Equity","PX_LAST","FQ3 2012","FQ3 2012","Currency=USD","Period=FQ","BEST_FPERIOD_OVERRIDE=FQ","FILING_STATUS=MR","Sort=A","Dates=H","DateFormat=P","Fill=—","Direction=H","UseDPDF=Y")</f>
        <v>254.32</v>
      </c>
      <c r="R6" s="18">
        <f>_xll.BDH("AMZN US Equity","PX_LAST","FQ4 2012","FQ4 2012","Currency=USD","Period=FQ","BEST_FPERIOD_OVERRIDE=FQ","FILING_STATUS=MR","Sort=A","Dates=H","DateFormat=P","Fill=—","Direction=H","UseDPDF=Y")</f>
        <v>250.87</v>
      </c>
      <c r="S6" s="18">
        <f>_xll.BDH("AMZN US Equity","PX_LAST","FQ1 2013","FQ1 2013","Currency=USD","Period=FQ","BEST_FPERIOD_OVERRIDE=FQ","FILING_STATUS=MR","Sort=A","Dates=H","DateFormat=P","Fill=—","Direction=H","UseDPDF=Y")</f>
        <v>266.49</v>
      </c>
      <c r="T6" s="18">
        <f>_xll.BDH("AMZN US Equity","PX_LAST","FQ2 2013","FQ2 2013","Currency=USD","Period=FQ","BEST_FPERIOD_OVERRIDE=FQ","FILING_STATUS=MR","Sort=A","Dates=H","DateFormat=P","Fill=—","Direction=H","UseDPDF=Y")</f>
        <v>277.69</v>
      </c>
      <c r="U6" s="18">
        <f>_xll.BDH("AMZN US Equity","PX_LAST","FQ3 2013","FQ3 2013","Currency=USD","Period=FQ","BEST_FPERIOD_OVERRIDE=FQ","FILING_STATUS=MR","Sort=A","Dates=H","DateFormat=P","Fill=—","Direction=H","UseDPDF=Y")</f>
        <v>312.64</v>
      </c>
      <c r="V6" s="18">
        <f>_xll.BDH("AMZN US Equity","PX_LAST","FQ4 2013","FQ4 2013","Currency=USD","Period=FQ","BEST_FPERIOD_OVERRIDE=FQ","FILING_STATUS=MR","Sort=A","Dates=H","DateFormat=P","Fill=—","Direction=H","UseDPDF=Y")</f>
        <v>398.79</v>
      </c>
      <c r="W6" s="18">
        <f>_xll.BDH("AMZN US Equity","PX_LAST","FQ1 2014","FQ1 2014","Currency=USD","Period=FQ","BEST_FPERIOD_OVERRIDE=FQ","FILING_STATUS=MR","Sort=A","Dates=H","DateFormat=P","Fill=—","Direction=H","UseDPDF=Y")</f>
        <v>336.36500000000001</v>
      </c>
      <c r="X6" s="18">
        <f>_xll.BDH("AMZN US Equity","PX_LAST","FQ2 2014","FQ2 2014","Currency=USD","Period=FQ","BEST_FPERIOD_OVERRIDE=FQ","FILING_STATUS=MR","Sort=A","Dates=H","DateFormat=P","Fill=—","Direction=H","UseDPDF=Y")</f>
        <v>324.77999999999997</v>
      </c>
      <c r="Y6" s="18">
        <f>_xll.BDH("AMZN US Equity","PX_LAST","FQ3 2014","FQ3 2014","Currency=USD","Period=FQ","BEST_FPERIOD_OVERRIDE=FQ","FILING_STATUS=MR","Sort=A","Dates=H","DateFormat=P","Fill=—","Direction=H","UseDPDF=Y")</f>
        <v>322.44</v>
      </c>
      <c r="Z6" s="18">
        <f>_xll.BDH("AMZN US Equity","PX_LAST","FQ4 2014","FQ4 2014","Currency=USD","Period=FQ","BEST_FPERIOD_OVERRIDE=FQ","FILING_STATUS=MR","Sort=A","Dates=H","DateFormat=P","Fill=—","Direction=H","UseDPDF=Y")</f>
        <v>310.35000000000002</v>
      </c>
      <c r="AA6" s="18">
        <f>_xll.BDH("AMZN US Equity","PX_LAST","FQ1 2015","FQ1 2015","Currency=USD","Period=FQ","BEST_FPERIOD_OVERRIDE=FQ","FILING_STATUS=MR","Sort=A","Dates=H","DateFormat=P","Fill=—","Direction=H","UseDPDF=Y")</f>
        <v>372.1</v>
      </c>
      <c r="AB6" s="18">
        <f>_xll.BDH("AMZN US Equity","PX_LAST","FQ2 2015","FQ2 2015","Currency=USD","Period=FQ","BEST_FPERIOD_OVERRIDE=FQ","FILING_STATUS=MR","Sort=A","Dates=H","DateFormat=P","Fill=—","Direction=H","UseDPDF=Y")</f>
        <v>434.09</v>
      </c>
      <c r="AC6" s="18">
        <f>_xll.BDH("AMZN US Equity","PX_LAST","FQ3 2015","FQ3 2015","Currency=USD","Period=FQ","BEST_FPERIOD_OVERRIDE=FQ","FILING_STATUS=MR","Sort=A","Dates=H","DateFormat=P","Fill=—","Direction=H","UseDPDF=Y")</f>
        <v>511.89</v>
      </c>
      <c r="AD6" s="18">
        <f>_xll.BDH("AMZN US Equity","PX_LAST","FQ4 2015","FQ4 2015","Currency=USD","Period=FQ","BEST_FPERIOD_OVERRIDE=FQ","FILING_STATUS=MR","Sort=A","Dates=H","DateFormat=P","Fill=—","Direction=H","UseDPDF=Y")</f>
        <v>675.89</v>
      </c>
      <c r="AE6" s="18">
        <f>_xll.BDH("AMZN US Equity","PX_LAST","FQ1 2016","FQ1 2016","Currency=USD","Period=FQ","BEST_FPERIOD_OVERRIDE=FQ","FILING_STATUS=MR","Sort=A","Dates=H","DateFormat=P","Fill=—","Direction=H","UseDPDF=Y")</f>
        <v>593.64</v>
      </c>
      <c r="AF6" s="18">
        <f>_xll.BDH("AMZN US Equity","PX_LAST","FQ2 2016","FQ2 2016","Currency=USD","Period=FQ","BEST_FPERIOD_OVERRIDE=FQ","FILING_STATUS=MR","Sort=A","Dates=H","DateFormat=P","Fill=—","Direction=H","UseDPDF=Y")</f>
        <v>715.62</v>
      </c>
      <c r="AG6" s="18">
        <f>_xll.BDH("AMZN US Equity","PX_LAST","FQ3 2016","FQ3 2016","Currency=USD","Period=FQ","BEST_FPERIOD_OVERRIDE=FQ","FILING_STATUS=MR","Sort=A","Dates=H","DateFormat=P","Fill=—","Direction=H","UseDPDF=Y")</f>
        <v>837.31</v>
      </c>
      <c r="AH6" s="18">
        <f>_xll.BDH("AMZN US Equity","PX_LAST","FQ4 2016","FQ4 2016","Currency=USD","Period=FQ","BEST_FPERIOD_OVERRIDE=FQ","FILING_STATUS=MR","Sort=A","Dates=H","DateFormat=P","Fill=—","Direction=H","UseDPDF=Y")</f>
        <v>749.87</v>
      </c>
      <c r="AI6" s="18">
        <f>_xll.BDH("AMZN US Equity","PX_LAST","FQ1 2017","FQ1 2017","Currency=USD","Period=FQ","BEST_FPERIOD_OVERRIDE=FQ","FILING_STATUS=MR","Sort=A","Dates=H","DateFormat=P","Fill=—","Direction=H","UseDPDF=Y")</f>
        <v>886.54</v>
      </c>
      <c r="AJ6" s="18">
        <f>_xll.BDH("AMZN US Equity","PX_LAST","FQ2 2017","FQ2 2017","Currency=USD","Period=FQ","BEST_FPERIOD_OVERRIDE=FQ","FILING_STATUS=MR","Sort=A","Dates=H","DateFormat=P","Fill=—","Direction=H","UseDPDF=Y")</f>
        <v>968</v>
      </c>
      <c r="AK6" s="18">
        <f>_xll.BDH("AMZN US Equity","PX_LAST","FQ3 2017","FQ3 2017","Currency=USD","Period=FQ","BEST_FPERIOD_OVERRIDE=FQ","FILING_STATUS=MR","Sort=A","Dates=H","DateFormat=P","Fill=—","Direction=H","UseDPDF=Y")</f>
        <v>961.35</v>
      </c>
      <c r="AL6" s="18">
        <f>_xll.BDH("AMZN US Equity","PX_LAST","FQ4 2017","FQ4 2017","Currency=USD","Period=FQ","BEST_FPERIOD_OVERRIDE=FQ","FILING_STATUS=MR","Sort=A","Dates=H","DateFormat=P","Fill=—","Direction=H","UseDPDF=Y")</f>
        <v>1169.47</v>
      </c>
      <c r="AM6" s="18">
        <f>_xll.BDH("AMZN US Equity","PX_LAST","FQ1 2018","FQ1 2018","Currency=USD","Period=FQ","BEST_FPERIOD_OVERRIDE=FQ","FILING_STATUS=MR","Sort=A","Dates=H","DateFormat=P","Fill=—","Direction=H","UseDPDF=Y")</f>
        <v>1447.34</v>
      </c>
      <c r="AN6" s="18">
        <f>_xll.BDH("AMZN US Equity","PX_LAST","FQ2 2018","FQ2 2018","Currency=USD","Period=FQ","BEST_FPERIOD_OVERRIDE=FQ","FILING_STATUS=MR","Sort=A","Dates=H","DateFormat=P","Fill=—","Direction=H","UseDPDF=Y")</f>
        <v>1699.8</v>
      </c>
      <c r="AO6" s="21">
        <v>1745.59411621094</v>
      </c>
    </row>
    <row r="7" spans="1:41" x14ac:dyDescent="0.25">
      <c r="A7" s="11" t="s">
        <v>493</v>
      </c>
      <c r="B7" s="11" t="s">
        <v>494</v>
      </c>
      <c r="C7" s="23">
        <f>_xll.BDH("AMZN US Equity","CHG_PCT_PERIOD","FQ1 2009","FQ1 2009","Currency=USD","Period=FQ","BEST_FPERIOD_OVERRIDE=FQ","FILING_STATUS=MR","Sort=A","Dates=H","DateFormat=P","Fill=—","Direction=H","UseDPDF=Y")</f>
        <v>43.213700000000003</v>
      </c>
      <c r="D7" s="23">
        <f>_xll.BDH("AMZN US Equity","CHG_PCT_PERIOD","FQ2 2009","FQ2 2009","Currency=USD","Period=FQ","BEST_FPERIOD_OVERRIDE=FQ","FILING_STATUS=MR","Sort=A","Dates=H","DateFormat=P","Fill=—","Direction=H","UseDPDF=Y")</f>
        <v>13.9161</v>
      </c>
      <c r="E7" s="23">
        <f>_xll.BDH("AMZN US Equity","CHG_PCT_PERIOD","FQ3 2009","FQ3 2009","Currency=USD","Period=FQ","BEST_FPERIOD_OVERRIDE=FQ","FILING_STATUS=MR","Sort=A","Dates=H","DateFormat=P","Fill=—","Direction=H","UseDPDF=Y")</f>
        <v>11.5945</v>
      </c>
      <c r="F7" s="23">
        <f>_xll.BDH("AMZN US Equity","CHG_PCT_PERIOD","FQ4 2009","FQ4 2009","Currency=USD","Period=FQ","BEST_FPERIOD_OVERRIDE=FQ","FILING_STATUS=MR","Sort=A","Dates=H","DateFormat=P","Fill=—","Direction=H","UseDPDF=Y")</f>
        <v>44.087400000000002</v>
      </c>
      <c r="G7" s="23">
        <f>_xll.BDH("AMZN US Equity","CHG_PCT_PERIOD","FQ1 2010","FQ1 2010","Currency=USD","Period=FQ","BEST_FPERIOD_OVERRIDE=FQ","FILING_STATUS=MR","Sort=A","Dates=H","DateFormat=P","Fill=—","Direction=H","UseDPDF=Y")</f>
        <v>0.92920000000000003</v>
      </c>
      <c r="H7" s="23">
        <f>_xll.BDH("AMZN US Equity","CHG_PCT_PERIOD","FQ2 2010","FQ2 2010","Currency=USD","Period=FQ","BEST_FPERIOD_OVERRIDE=FQ","FILING_STATUS=MR","Sort=A","Dates=H","DateFormat=P","Fill=—","Direction=H","UseDPDF=Y")</f>
        <v>-19.525700000000001</v>
      </c>
      <c r="I7" s="23">
        <f>_xll.BDH("AMZN US Equity","CHG_PCT_PERIOD","FQ3 2010","FQ3 2010","Currency=USD","Period=FQ","BEST_FPERIOD_OVERRIDE=FQ","FILING_STATUS=MR","Sort=A","Dates=H","DateFormat=P","Fill=—","Direction=H","UseDPDF=Y")</f>
        <v>43.748899999999999</v>
      </c>
      <c r="J7" s="23">
        <f>_xll.BDH("AMZN US Equity","CHG_PCT_PERIOD","FQ4 2010","FQ4 2010","Currency=USD","Period=FQ","BEST_FPERIOD_OVERRIDE=FQ","FILING_STATUS=MR","Sort=A","Dates=H","DateFormat=P","Fill=—","Direction=H","UseDPDF=Y")</f>
        <v>14.6059</v>
      </c>
      <c r="K7" s="23">
        <f>_xll.BDH("AMZN US Equity","CHG_PCT_PERIOD","FQ1 2011","FQ1 2011","Currency=USD","Period=FQ","BEST_FPERIOD_OVERRIDE=FQ","FILING_STATUS=MR","Sort=A","Dates=H","DateFormat=P","Fill=—","Direction=H","UseDPDF=Y")</f>
        <v>7.22E-2</v>
      </c>
      <c r="L7" s="23">
        <f>_xll.BDH("AMZN US Equity","CHG_PCT_PERIOD","FQ2 2011","FQ2 2011","Currency=USD","Period=FQ","BEST_FPERIOD_OVERRIDE=FQ","FILING_STATUS=MR","Sort=A","Dates=H","DateFormat=P","Fill=—","Direction=H","UseDPDF=Y")</f>
        <v>13.5236</v>
      </c>
      <c r="M7" s="23">
        <f>_xll.BDH("AMZN US Equity","CHG_PCT_PERIOD","FQ3 2011","FQ3 2011","Currency=USD","Period=FQ","BEST_FPERIOD_OVERRIDE=FQ","FILING_STATUS=MR","Sort=A","Dates=H","DateFormat=P","Fill=—","Direction=H","UseDPDF=Y")</f>
        <v>5.7411000000000003</v>
      </c>
      <c r="N7" s="23">
        <f>_xll.BDH("AMZN US Equity","CHG_PCT_PERIOD","FQ4 2011","FQ4 2011","Currency=USD","Period=FQ","BEST_FPERIOD_OVERRIDE=FQ","FILING_STATUS=MR","Sort=A","Dates=H","DateFormat=P","Fill=—","Direction=H","UseDPDF=Y")</f>
        <v>-19.946400000000001</v>
      </c>
      <c r="O7" s="23">
        <f>_xll.BDH("AMZN US Equity","CHG_PCT_PERIOD","FQ1 2012","FQ1 2012","Currency=USD","Period=FQ","BEST_FPERIOD_OVERRIDE=FQ","FILING_STATUS=MR","Sort=A","Dates=H","DateFormat=P","Fill=—","Direction=H","UseDPDF=Y")</f>
        <v>16.990200000000002</v>
      </c>
      <c r="P7" s="23">
        <f>_xll.BDH("AMZN US Equity","CHG_PCT_PERIOD","FQ2 2012","FQ2 2012","Currency=USD","Period=FQ","BEST_FPERIOD_OVERRIDE=FQ","FILING_STATUS=MR","Sort=A","Dates=H","DateFormat=P","Fill=—","Direction=H","UseDPDF=Y")</f>
        <v>12.7599</v>
      </c>
      <c r="Q7" s="23">
        <f>_xll.BDH("AMZN US Equity","CHG_PCT_PERIOD","FQ3 2012","FQ3 2012","Currency=USD","Period=FQ","BEST_FPERIOD_OVERRIDE=FQ","FILING_STATUS=MR","Sort=A","Dates=H","DateFormat=P","Fill=—","Direction=H","UseDPDF=Y")</f>
        <v>11.3729</v>
      </c>
      <c r="R7" s="23" t="str">
        <f>_xll.BDH("AMZN US Equity","CHG_PCT_PERIOD","FQ4 2012","FQ4 2012","Currency=USD","Period=FQ","BEST_FPERIOD_OVERRIDE=FQ","FILING_STATUS=MR","Sort=A","Dates=H","DateFormat=P","Fill=—","Direction=H","UseDPDF=Y")</f>
        <v>—</v>
      </c>
      <c r="S7" s="23">
        <f>_xll.BDH("AMZN US Equity","CHG_PCT_PERIOD","FQ1 2013","FQ1 2013","Currency=USD","Period=FQ","BEST_FPERIOD_OVERRIDE=FQ","FILING_STATUS=MR","Sort=A","Dates=H","DateFormat=P","Fill=—","Direction=H","UseDPDF=Y")</f>
        <v>6.2263000000000002</v>
      </c>
      <c r="T7" s="23" t="str">
        <f>_xll.BDH("AMZN US Equity","CHG_PCT_PERIOD","FQ2 2013","FQ2 2013","Currency=USD","Period=FQ","BEST_FPERIOD_OVERRIDE=FQ","FILING_STATUS=MR","Sort=A","Dates=H","DateFormat=P","Fill=—","Direction=H","UseDPDF=Y")</f>
        <v>—</v>
      </c>
      <c r="U7" s="23" t="str">
        <f>_xll.BDH("AMZN US Equity","CHG_PCT_PERIOD","FQ3 2013","FQ3 2013","Currency=USD","Period=FQ","BEST_FPERIOD_OVERRIDE=FQ","FILING_STATUS=MR","Sort=A","Dates=H","DateFormat=P","Fill=—","Direction=H","UseDPDF=Y")</f>
        <v>—</v>
      </c>
      <c r="V7" s="23">
        <f>_xll.BDH("AMZN US Equity","CHG_PCT_PERIOD","FQ4 2013","FQ4 2013","Currency=USD","Period=FQ","BEST_FPERIOD_OVERRIDE=FQ","FILING_STATUS=MR","Sort=A","Dates=H","DateFormat=P","Fill=—","Direction=H","UseDPDF=Y")</f>
        <v>27.555700000000002</v>
      </c>
      <c r="W7" s="23">
        <f>_xll.BDH("AMZN US Equity","CHG_PCT_PERIOD","FQ1 2014","FQ1 2014","Currency=USD","Period=FQ","BEST_FPERIOD_OVERRIDE=FQ","FILING_STATUS=MR","Sort=A","Dates=H","DateFormat=P","Fill=—","Direction=H","UseDPDF=Y")</f>
        <v>-15.653600000000001</v>
      </c>
      <c r="X7" s="23">
        <f>_xll.BDH("AMZN US Equity","CHG_PCT_PERIOD","FQ2 2014","FQ2 2014","Currency=USD","Period=FQ","BEST_FPERIOD_OVERRIDE=FQ","FILING_STATUS=MR","Sort=A","Dates=H","DateFormat=P","Fill=—","Direction=H","UseDPDF=Y")</f>
        <v>-3.4441999999999999</v>
      </c>
      <c r="Y7" s="23">
        <f>_xll.BDH("AMZN US Equity","CHG_PCT_PERIOD","FQ3 2014","FQ3 2014","Currency=USD","Period=FQ","BEST_FPERIOD_OVERRIDE=FQ","FILING_STATUS=MR","Sort=A","Dates=H","DateFormat=P","Fill=—","Direction=H","UseDPDF=Y")</f>
        <v>-0.72050000000000003</v>
      </c>
      <c r="Z7" s="23">
        <f>_xll.BDH("AMZN US Equity","CHG_PCT_PERIOD","FQ4 2014","FQ4 2014","Currency=USD","Period=FQ","BEST_FPERIOD_OVERRIDE=FQ","FILING_STATUS=MR","Sort=A","Dates=H","DateFormat=P","Fill=—","Direction=H","UseDPDF=Y")</f>
        <v>-3.7495000000000003</v>
      </c>
      <c r="AA7" s="23">
        <f>_xll.BDH("AMZN US Equity","CHG_PCT_PERIOD","FQ1 2015","FQ1 2015","Currency=USD","Period=FQ","BEST_FPERIOD_OVERRIDE=FQ","FILING_STATUS=MR","Sort=A","Dates=H","DateFormat=P","Fill=—","Direction=H","UseDPDF=Y")</f>
        <v>19.896899999999999</v>
      </c>
      <c r="AB7" s="23">
        <f>_xll.BDH("AMZN US Equity","CHG_PCT_PERIOD","FQ2 2015","FQ2 2015","Currency=USD","Period=FQ","BEST_FPERIOD_OVERRIDE=FQ","FILING_STATUS=MR","Sort=A","Dates=H","DateFormat=P","Fill=—","Direction=H","UseDPDF=Y")</f>
        <v>16.659500000000001</v>
      </c>
      <c r="AC7" s="23">
        <f>_xll.BDH("AMZN US Equity","CHG_PCT_PERIOD","FQ3 2015","FQ3 2015","Currency=USD","Period=FQ","BEST_FPERIOD_OVERRIDE=FQ","FILING_STATUS=MR","Sort=A","Dates=H","DateFormat=P","Fill=—","Direction=H","UseDPDF=Y")</f>
        <v>17.922599999999999</v>
      </c>
      <c r="AD7" s="23">
        <f>_xll.BDH("AMZN US Equity","CHG_PCT_PERIOD","FQ4 2015","FQ4 2015","Currency=USD","Period=FQ","BEST_FPERIOD_OVERRIDE=FQ","FILING_STATUS=MR","Sort=A","Dates=H","DateFormat=P","Fill=—","Direction=H","UseDPDF=Y")</f>
        <v>32.0381</v>
      </c>
      <c r="AE7" s="23">
        <f>_xll.BDH("AMZN US Equity","CHG_PCT_PERIOD","FQ1 2016","FQ1 2016","Currency=USD","Period=FQ","BEST_FPERIOD_OVERRIDE=FQ","FILING_STATUS=MR","Sort=A","Dates=H","DateFormat=P","Fill=—","Direction=H","UseDPDF=Y")</f>
        <v>-12.1691</v>
      </c>
      <c r="AF7" s="23">
        <f>_xll.BDH("AMZN US Equity","CHG_PCT_PERIOD","FQ2 2016","FQ2 2016","Currency=USD","Period=FQ","BEST_FPERIOD_OVERRIDE=FQ","FILING_STATUS=MR","Sort=A","Dates=H","DateFormat=P","Fill=—","Direction=H","UseDPDF=Y")</f>
        <v>20.547799999999999</v>
      </c>
      <c r="AG7" s="23">
        <f>_xll.BDH("AMZN US Equity","CHG_PCT_PERIOD","FQ3 2016","FQ3 2016","Currency=USD","Period=FQ","BEST_FPERIOD_OVERRIDE=FQ","FILING_STATUS=MR","Sort=A","Dates=H","DateFormat=P","Fill=—","Direction=H","UseDPDF=Y")</f>
        <v>17.004799999999999</v>
      </c>
      <c r="AH7" s="23">
        <f>_xll.BDH("AMZN US Equity","CHG_PCT_PERIOD","FQ4 2016","FQ4 2016","Currency=USD","Period=FQ","BEST_FPERIOD_OVERRIDE=FQ","FILING_STATUS=MR","Sort=A","Dates=H","DateFormat=P","Fill=—","Direction=H","UseDPDF=Y")</f>
        <v>-10.443</v>
      </c>
      <c r="AI7" s="23">
        <f>_xll.BDH("AMZN US Equity","CHG_PCT_PERIOD","FQ1 2017","FQ1 2017","Currency=USD","Period=FQ","BEST_FPERIOD_OVERRIDE=FQ","FILING_STATUS=MR","Sort=A","Dates=H","DateFormat=P","Fill=—","Direction=H","UseDPDF=Y")</f>
        <v>18.2258</v>
      </c>
      <c r="AJ7" s="23">
        <f>_xll.BDH("AMZN US Equity","CHG_PCT_PERIOD","FQ2 2017","FQ2 2017","Currency=USD","Period=FQ","BEST_FPERIOD_OVERRIDE=FQ","FILING_STATUS=MR","Sort=A","Dates=H","DateFormat=P","Fill=—","Direction=H","UseDPDF=Y")</f>
        <v>9.1884999999999994</v>
      </c>
      <c r="AK7" s="23">
        <f>_xll.BDH("AMZN US Equity","CHG_PCT_PERIOD","FQ3 2017","FQ3 2017","Currency=USD","Period=FQ","BEST_FPERIOD_OVERRIDE=FQ","FILING_STATUS=MR","Sort=A","Dates=H","DateFormat=P","Fill=—","Direction=H","UseDPDF=Y")</f>
        <v>-0.68700000000000006</v>
      </c>
      <c r="AL7" s="23">
        <f>_xll.BDH("AMZN US Equity","CHG_PCT_PERIOD","FQ4 2017","FQ4 2017","Currency=USD","Period=FQ","BEST_FPERIOD_OVERRIDE=FQ","FILING_STATUS=MR","Sort=A","Dates=H","DateFormat=P","Fill=—","Direction=H","UseDPDF=Y")</f>
        <v>21.648700000000002</v>
      </c>
      <c r="AM7" s="23">
        <f>_xll.BDH("AMZN US Equity","CHG_PCT_PERIOD","FQ1 2018","FQ1 2018","Currency=USD","Period=FQ","BEST_FPERIOD_OVERRIDE=FQ","FILING_STATUS=MR","Sort=A","Dates=H","DateFormat=P","Fill=—","Direction=H","UseDPDF=Y")</f>
        <v>23.760300000000001</v>
      </c>
      <c r="AN7" s="23">
        <f>_xll.BDH("AMZN US Equity","CHG_PCT_PERIOD","FQ2 2018","FQ2 2018","Currency=USD","Period=FQ","BEST_FPERIOD_OVERRIDE=FQ","FILING_STATUS=MR","Sort=A","Dates=H","DateFormat=P","Fill=—","Direction=H","UseDPDF=Y")</f>
        <v>17.443000000000001</v>
      </c>
      <c r="AO7" s="24"/>
    </row>
    <row r="8" spans="1:41" x14ac:dyDescent="0.25">
      <c r="A8" s="10" t="s">
        <v>495</v>
      </c>
      <c r="B8" s="10" t="s">
        <v>496</v>
      </c>
      <c r="C8" s="14">
        <f>_xll.BDH("AMZN US Equity","PX_OPEN","FQ1 2009","FQ1 2009","Currency=USD","Period=FQ","BEST_FPERIOD_OVERRIDE=FQ","FILING_STATUS=MR","Sort=A","Dates=H","DateFormat=P","Fill=—","Direction=H","UseDPDF=Y")</f>
        <v>51.35</v>
      </c>
      <c r="D8" s="14">
        <f>_xll.BDH("AMZN US Equity","PX_OPEN","FQ2 2009","FQ2 2009","Currency=USD","Period=FQ","BEST_FPERIOD_OVERRIDE=FQ","FILING_STATUS=MR","Sort=A","Dates=H","DateFormat=P","Fill=—","Direction=H","UseDPDF=Y")</f>
        <v>73.015000000000001</v>
      </c>
      <c r="E8" s="14">
        <f>_xll.BDH("AMZN US Equity","PX_OPEN","FQ3 2009","FQ3 2009","Currency=USD","Period=FQ","BEST_FPERIOD_OVERRIDE=FQ","FILING_STATUS=MR","Sort=A","Dates=H","DateFormat=P","Fill=—","Direction=H","UseDPDF=Y")</f>
        <v>84.42</v>
      </c>
      <c r="F8" s="14">
        <f>_xll.BDH("AMZN US Equity","PX_OPEN","FQ4 2009","FQ4 2009","Currency=USD","Period=FQ","BEST_FPERIOD_OVERRIDE=FQ","FILING_STATUS=MR","Sort=A","Dates=H","DateFormat=P","Fill=—","Direction=H","UseDPDF=Y")</f>
        <v>92.5</v>
      </c>
      <c r="G8" s="14">
        <f>_xll.BDH("AMZN US Equity","PX_OPEN","FQ1 2010","FQ1 2010","Currency=USD","Period=FQ","BEST_FPERIOD_OVERRIDE=FQ","FILING_STATUS=MR","Sort=A","Dates=H","DateFormat=P","Fill=—","Direction=H","UseDPDF=Y")</f>
        <v>136.25</v>
      </c>
      <c r="H8" s="14">
        <f>_xll.BDH("AMZN US Equity","PX_OPEN","FQ2 2010","FQ2 2010","Currency=USD","Period=FQ","BEST_FPERIOD_OVERRIDE=FQ","FILING_STATUS=MR","Sort=A","Dates=H","DateFormat=P","Fill=—","Direction=H","UseDPDF=Y")</f>
        <v>135.80000000000001</v>
      </c>
      <c r="I8" s="14">
        <f>_xll.BDH("AMZN US Equity","PX_OPEN","FQ3 2010","FQ3 2010","Currency=USD","Period=FQ","BEST_FPERIOD_OVERRIDE=FQ","FILING_STATUS=MR","Sort=A","Dates=H","DateFormat=P","Fill=—","Direction=H","UseDPDF=Y")</f>
        <v>108.9</v>
      </c>
      <c r="J8" s="14">
        <f>_xll.BDH("AMZN US Equity","PX_OPEN","FQ4 2010","FQ4 2010","Currency=USD","Period=FQ","BEST_FPERIOD_OVERRIDE=FQ","FILING_STATUS=MR","Sort=A","Dates=H","DateFormat=P","Fill=—","Direction=H","UseDPDF=Y")</f>
        <v>157.08000000000001</v>
      </c>
      <c r="K8" s="14">
        <f>_xll.BDH("AMZN US Equity","PX_OPEN","FQ1 2011","FQ1 2011","Currency=USD","Period=FQ","BEST_FPERIOD_OVERRIDE=FQ","FILING_STATUS=MR","Sort=A","Dates=H","DateFormat=P","Fill=—","Direction=H","UseDPDF=Y")</f>
        <v>181.37</v>
      </c>
      <c r="L8" s="14">
        <f>_xll.BDH("AMZN US Equity","PX_OPEN","FQ2 2011","FQ2 2011","Currency=USD","Period=FQ","BEST_FPERIOD_OVERRIDE=FQ","FILING_STATUS=MR","Sort=A","Dates=H","DateFormat=P","Fill=—","Direction=H","UseDPDF=Y")</f>
        <v>181.58</v>
      </c>
      <c r="M8" s="14">
        <f>_xll.BDH("AMZN US Equity","PX_OPEN","FQ3 2011","FQ3 2011","Currency=USD","Period=FQ","BEST_FPERIOD_OVERRIDE=FQ","FILING_STATUS=MR","Sort=A","Dates=H","DateFormat=P","Fill=—","Direction=H","UseDPDF=Y")</f>
        <v>205.55</v>
      </c>
      <c r="N8" s="14">
        <f>_xll.BDH("AMZN US Equity","PX_OPEN","FQ4 2011","FQ4 2011","Currency=USD","Period=FQ","BEST_FPERIOD_OVERRIDE=FQ","FILING_STATUS=MR","Sort=A","Dates=H","DateFormat=P","Fill=—","Direction=H","UseDPDF=Y")</f>
        <v>217.01</v>
      </c>
      <c r="O8" s="14">
        <f>_xll.BDH("AMZN US Equity","PX_OPEN","FQ1 2012","FQ1 2012","Currency=USD","Period=FQ","BEST_FPERIOD_OVERRIDE=FQ","FILING_STATUS=MR","Sort=A","Dates=H","DateFormat=P","Fill=—","Direction=H","UseDPDF=Y")</f>
        <v>175.89</v>
      </c>
      <c r="P8" s="14">
        <f>_xll.BDH("AMZN US Equity","PX_OPEN","FQ2 2012","FQ2 2012","Currency=USD","Period=FQ","BEST_FPERIOD_OVERRIDE=FQ","FILING_STATUS=MR","Sort=A","Dates=H","DateFormat=P","Fill=—","Direction=H","UseDPDF=Y")</f>
        <v>198.02</v>
      </c>
      <c r="Q8" s="14">
        <f>_xll.BDH("AMZN US Equity","PX_OPEN","FQ3 2012","FQ3 2012","Currency=USD","Period=FQ","BEST_FPERIOD_OVERRIDE=FQ","FILING_STATUS=MR","Sort=A","Dates=H","DateFormat=P","Fill=—","Direction=H","UseDPDF=Y")</f>
        <v>229.3</v>
      </c>
      <c r="R8" s="14">
        <f>_xll.BDH("AMZN US Equity","PX_OPEN","FQ4 2012","FQ4 2012","Currency=USD","Period=FQ","BEST_FPERIOD_OVERRIDE=FQ","FILING_STATUS=MR","Sort=A","Dates=H","DateFormat=P","Fill=—","Direction=H","UseDPDF=Y")</f>
        <v>255.4</v>
      </c>
      <c r="S8" s="14">
        <f>_xll.BDH("AMZN US Equity","PX_OPEN","FQ1 2013","FQ1 2013","Currency=USD","Period=FQ","BEST_FPERIOD_OVERRIDE=FQ","FILING_STATUS=MR","Sort=A","Dates=H","DateFormat=P","Fill=—","Direction=H","UseDPDF=Y")</f>
        <v>256.08</v>
      </c>
      <c r="T8" s="14">
        <f>_xll.BDH("AMZN US Equity","PX_OPEN","FQ2 2013","FQ2 2013","Currency=USD","Period=FQ","BEST_FPERIOD_OVERRIDE=FQ","FILING_STATUS=MR","Sort=A","Dates=H","DateFormat=P","Fill=—","Direction=H","UseDPDF=Y")</f>
        <v>266.98</v>
      </c>
      <c r="U8" s="14">
        <f>_xll.BDH("AMZN US Equity","PX_OPEN","FQ3 2013","FQ3 2013","Currency=USD","Period=FQ","BEST_FPERIOD_OVERRIDE=FQ","FILING_STATUS=MR","Sort=A","Dates=H","DateFormat=P","Fill=—","Direction=H","UseDPDF=Y")</f>
        <v>279</v>
      </c>
      <c r="V8" s="14">
        <f>_xll.BDH("AMZN US Equity","PX_OPEN","FQ4 2013","FQ4 2013","Currency=USD","Period=FQ","BEST_FPERIOD_OVERRIDE=FQ","FILING_STATUS=MR","Sort=A","Dates=H","DateFormat=P","Fill=—","Direction=H","UseDPDF=Y")</f>
        <v>314.22000000000003</v>
      </c>
      <c r="W8" s="14">
        <f>_xll.BDH("AMZN US Equity","PX_OPEN","FQ1 2014","FQ1 2014","Currency=USD","Period=FQ","BEST_FPERIOD_OVERRIDE=FQ","FILING_STATUS=MR","Sort=A","Dates=H","DateFormat=P","Fill=—","Direction=H","UseDPDF=Y")</f>
        <v>398.8</v>
      </c>
      <c r="X8" s="14">
        <f>_xll.BDH("AMZN US Equity","PX_OPEN","FQ2 2014","FQ2 2014","Currency=USD","Period=FQ","BEST_FPERIOD_OVERRIDE=FQ","FILING_STATUS=MR","Sort=A","Dates=H","DateFormat=P","Fill=—","Direction=H","UseDPDF=Y")</f>
        <v>338.09</v>
      </c>
      <c r="Y8" s="14">
        <f>_xll.BDH("AMZN US Equity","PX_OPEN","FQ3 2014","FQ3 2014","Currency=USD","Period=FQ","BEST_FPERIOD_OVERRIDE=FQ","FILING_STATUS=MR","Sort=A","Dates=H","DateFormat=P","Fill=—","Direction=H","UseDPDF=Y")</f>
        <v>325.86</v>
      </c>
      <c r="Z8" s="14">
        <f>_xll.BDH("AMZN US Equity","PX_OPEN","FQ4 2014","FQ4 2014","Currency=USD","Period=FQ","BEST_FPERIOD_OVERRIDE=FQ","FILING_STATUS=MR","Sort=A","Dates=H","DateFormat=P","Fill=—","Direction=H","UseDPDF=Y")</f>
        <v>322.04000000000002</v>
      </c>
      <c r="AA8" s="14">
        <f>_xll.BDH("AMZN US Equity","PX_OPEN","FQ1 2015","FQ1 2015","Currency=USD","Period=FQ","BEST_FPERIOD_OVERRIDE=FQ","FILING_STATUS=MR","Sort=A","Dates=H","DateFormat=P","Fill=—","Direction=H","UseDPDF=Y")</f>
        <v>312.58</v>
      </c>
      <c r="AB8" s="14">
        <f>_xll.BDH("AMZN US Equity","PX_OPEN","FQ2 2015","FQ2 2015","Currency=USD","Period=FQ","BEST_FPERIOD_OVERRIDE=FQ","FILING_STATUS=MR","Sort=A","Dates=H","DateFormat=P","Fill=—","Direction=H","UseDPDF=Y")</f>
        <v>372.1</v>
      </c>
      <c r="AC8" s="14">
        <f>_xll.BDH("AMZN US Equity","PX_OPEN","FQ3 2015","FQ3 2015","Currency=USD","Period=FQ","BEST_FPERIOD_OVERRIDE=FQ","FILING_STATUS=MR","Sort=A","Dates=H","DateFormat=P","Fill=—","Direction=H","UseDPDF=Y")</f>
        <v>439.35</v>
      </c>
      <c r="AD8" s="14">
        <f>_xll.BDH("AMZN US Equity","PX_OPEN","FQ4 2015","FQ4 2015","Currency=USD","Period=FQ","BEST_FPERIOD_OVERRIDE=FQ","FILING_STATUS=MR","Sort=A","Dates=H","DateFormat=P","Fill=—","Direction=H","UseDPDF=Y")</f>
        <v>511</v>
      </c>
      <c r="AE8" s="14">
        <f>_xll.BDH("AMZN US Equity","PX_OPEN","FQ1 2016","FQ1 2016","Currency=USD","Period=FQ","BEST_FPERIOD_OVERRIDE=FQ","FILING_STATUS=MR","Sort=A","Dates=H","DateFormat=P","Fill=—","Direction=H","UseDPDF=Y")</f>
        <v>656.29</v>
      </c>
      <c r="AF8" s="14">
        <f>_xll.BDH("AMZN US Equity","PX_OPEN","FQ2 2016","FQ2 2016","Currency=USD","Period=FQ","BEST_FPERIOD_OVERRIDE=FQ","FILING_STATUS=MR","Sort=A","Dates=H","DateFormat=P","Fill=—","Direction=H","UseDPDF=Y")</f>
        <v>590.49</v>
      </c>
      <c r="AG8" s="14">
        <f>_xll.BDH("AMZN US Equity","PX_OPEN","FQ3 2016","FQ3 2016","Currency=USD","Period=FQ","BEST_FPERIOD_OVERRIDE=FQ","FILING_STATUS=MR","Sort=A","Dates=H","DateFormat=P","Fill=—","Direction=H","UseDPDF=Y")</f>
        <v>717.32</v>
      </c>
      <c r="AH8" s="14">
        <f>_xll.BDH("AMZN US Equity","PX_OPEN","FQ4 2016","FQ4 2016","Currency=USD","Period=FQ","BEST_FPERIOD_OVERRIDE=FQ","FILING_STATUS=MR","Sort=A","Dates=H","DateFormat=P","Fill=—","Direction=H","UseDPDF=Y")</f>
        <v>836</v>
      </c>
      <c r="AI8" s="14">
        <f>_xll.BDH("AMZN US Equity","PX_OPEN","FQ1 2017","FQ1 2017","Currency=USD","Period=FQ","BEST_FPERIOD_OVERRIDE=FQ","FILING_STATUS=MR","Sort=A","Dates=H","DateFormat=P","Fill=—","Direction=H","UseDPDF=Y")</f>
        <v>757.92</v>
      </c>
      <c r="AJ8" s="14">
        <f>_xll.BDH("AMZN US Equity","PX_OPEN","FQ2 2017","FQ2 2017","Currency=USD","Period=FQ","BEST_FPERIOD_OVERRIDE=FQ","FILING_STATUS=MR","Sort=A","Dates=H","DateFormat=P","Fill=—","Direction=H","UseDPDF=Y")</f>
        <v>888</v>
      </c>
      <c r="AK8" s="14">
        <f>_xll.BDH("AMZN US Equity","PX_OPEN","FQ3 2017","FQ3 2017","Currency=USD","Period=FQ","BEST_FPERIOD_OVERRIDE=FQ","FILING_STATUS=MR","Sort=A","Dates=H","DateFormat=P","Fill=—","Direction=H","UseDPDF=Y")</f>
        <v>972.79</v>
      </c>
      <c r="AL8" s="14">
        <f>_xll.BDH("AMZN US Equity","PX_OPEN","FQ4 2017","FQ4 2017","Currency=USD","Period=FQ","BEST_FPERIOD_OVERRIDE=FQ","FILING_STATUS=MR","Sort=A","Dates=H","DateFormat=P","Fill=—","Direction=H","UseDPDF=Y")</f>
        <v>964</v>
      </c>
      <c r="AM8" s="14">
        <f>_xll.BDH("AMZN US Equity","PX_OPEN","FQ1 2018","FQ1 2018","Currency=USD","Period=FQ","BEST_FPERIOD_OVERRIDE=FQ","FILING_STATUS=MR","Sort=A","Dates=H","DateFormat=P","Fill=—","Direction=H","UseDPDF=Y")</f>
        <v>1172</v>
      </c>
      <c r="AN8" s="14">
        <f>_xll.BDH("AMZN US Equity","PX_OPEN","FQ2 2018","FQ2 2018","Currency=USD","Period=FQ","BEST_FPERIOD_OVERRIDE=FQ","FILING_STATUS=MR","Sort=A","Dates=H","DateFormat=P","Fill=—","Direction=H","UseDPDF=Y")</f>
        <v>1417.62</v>
      </c>
      <c r="AO8" s="15">
        <v>1742.23999023438</v>
      </c>
    </row>
    <row r="9" spans="1:41" x14ac:dyDescent="0.25">
      <c r="A9" s="10" t="s">
        <v>497</v>
      </c>
      <c r="B9" s="10" t="s">
        <v>498</v>
      </c>
      <c r="C9" s="14">
        <f>_xll.BDH("AMZN US Equity","PX_HIGH","FQ1 2009","FQ1 2009","Currency=USD","Period=FQ","BEST_FPERIOD_OVERRIDE=FQ","FILING_STATUS=MR","Sort=A","Dates=H","DateFormat=P","Fill=—","Direction=H","UseDPDF=Y")</f>
        <v>75.61</v>
      </c>
      <c r="D9" s="14">
        <f>_xll.BDH("AMZN US Equity","PX_HIGH","FQ2 2009","FQ2 2009","Currency=USD","Period=FQ","BEST_FPERIOD_OVERRIDE=FQ","FILING_STATUS=MR","Sort=A","Dates=H","DateFormat=P","Fill=—","Direction=H","UseDPDF=Y")</f>
        <v>88.56</v>
      </c>
      <c r="E9" s="14">
        <f>_xll.BDH("AMZN US Equity","PX_HIGH","FQ3 2009","FQ3 2009","Currency=USD","Period=FQ","BEST_FPERIOD_OVERRIDE=FQ","FILING_STATUS=MR","Sort=A","Dates=H","DateFormat=P","Fill=—","Direction=H","UseDPDF=Y")</f>
        <v>94.5</v>
      </c>
      <c r="F9" s="14">
        <f>_xll.BDH("AMZN US Equity","PX_HIGH","FQ4 2009","FQ4 2009","Currency=USD","Period=FQ","BEST_FPERIOD_OVERRIDE=FQ","FILING_STATUS=MR","Sort=A","Dates=H","DateFormat=P","Fill=—","Direction=H","UseDPDF=Y")</f>
        <v>145.91</v>
      </c>
      <c r="G9" s="14">
        <f>_xll.BDH("AMZN US Equity","PX_HIGH","FQ1 2010","FQ1 2010","Currency=USD","Period=FQ","BEST_FPERIOD_OVERRIDE=FQ","FILING_STATUS=MR","Sort=A","Dates=H","DateFormat=P","Fill=—","Direction=H","UseDPDF=Y")</f>
        <v>138.19</v>
      </c>
      <c r="H9" s="14">
        <f>_xll.BDH("AMZN US Equity","PX_HIGH","FQ2 2010","FQ2 2010","Currency=USD","Period=FQ","BEST_FPERIOD_OVERRIDE=FQ","FILING_STATUS=MR","Sort=A","Dates=H","DateFormat=P","Fill=—","Direction=H","UseDPDF=Y")</f>
        <v>151.09</v>
      </c>
      <c r="I9" s="14">
        <f>_xll.BDH("AMZN US Equity","PX_HIGH","FQ3 2010","FQ3 2010","Currency=USD","Period=FQ","BEST_FPERIOD_OVERRIDE=FQ","FILING_STATUS=MR","Sort=A","Dates=H","DateFormat=P","Fill=—","Direction=H","UseDPDF=Y")</f>
        <v>161.78</v>
      </c>
      <c r="J9" s="14">
        <f>_xll.BDH("AMZN US Equity","PX_HIGH","FQ4 2010","FQ4 2010","Currency=USD","Period=FQ","BEST_FPERIOD_OVERRIDE=FQ","FILING_STATUS=MR","Sort=A","Dates=H","DateFormat=P","Fill=—","Direction=H","UseDPDF=Y")</f>
        <v>185.65</v>
      </c>
      <c r="K9" s="14">
        <f>_xll.BDH("AMZN US Equity","PX_HIGH","FQ1 2011","FQ1 2011","Currency=USD","Period=FQ","BEST_FPERIOD_OVERRIDE=FQ","FILING_STATUS=MR","Sort=A","Dates=H","DateFormat=P","Fill=—","Direction=H","UseDPDF=Y")</f>
        <v>191.6</v>
      </c>
      <c r="L9" s="14">
        <f>_xll.BDH("AMZN US Equity","PX_HIGH","FQ2 2011","FQ2 2011","Currency=USD","Period=FQ","BEST_FPERIOD_OVERRIDE=FQ","FILING_STATUS=MR","Sort=A","Dates=H","DateFormat=P","Fill=—","Direction=H","UseDPDF=Y")</f>
        <v>206.39</v>
      </c>
      <c r="M9" s="14">
        <f>_xll.BDH("AMZN US Equity","PX_HIGH","FQ3 2011","FQ3 2011","Currency=USD","Period=FQ","BEST_FPERIOD_OVERRIDE=FQ","FILING_STATUS=MR","Sort=A","Dates=H","DateFormat=P","Fill=—","Direction=H","UseDPDF=Y")</f>
        <v>244</v>
      </c>
      <c r="N9" s="14">
        <f>_xll.BDH("AMZN US Equity","PX_HIGH","FQ4 2011","FQ4 2011","Currency=USD","Period=FQ","BEST_FPERIOD_OVERRIDE=FQ","FILING_STATUS=MR","Sort=A","Dates=H","DateFormat=P","Fill=—","Direction=H","UseDPDF=Y")</f>
        <v>246.71</v>
      </c>
      <c r="O9" s="14">
        <f>_xll.BDH("AMZN US Equity","PX_HIGH","FQ1 2012","FQ1 2012","Currency=USD","Period=FQ","BEST_FPERIOD_OVERRIDE=FQ","FILING_STATUS=MR","Sort=A","Dates=H","DateFormat=P","Fill=—","Direction=H","UseDPDF=Y")</f>
        <v>209.85</v>
      </c>
      <c r="P9" s="14">
        <f>_xll.BDH("AMZN US Equity","PX_HIGH","FQ2 2012","FQ2 2012","Currency=USD","Period=FQ","BEST_FPERIOD_OVERRIDE=FQ","FILING_STATUS=MR","Sort=A","Dates=H","DateFormat=P","Fill=—","Direction=H","UseDPDF=Y")</f>
        <v>233.84</v>
      </c>
      <c r="Q9" s="14">
        <f>_xll.BDH("AMZN US Equity","PX_HIGH","FQ3 2012","FQ3 2012","Currency=USD","Period=FQ","BEST_FPERIOD_OVERRIDE=FQ","FILING_STATUS=MR","Sort=A","Dates=H","DateFormat=P","Fill=—","Direction=H","UseDPDF=Y")</f>
        <v>264.11</v>
      </c>
      <c r="R9" s="14">
        <f>_xll.BDH("AMZN US Equity","PX_HIGH","FQ4 2012","FQ4 2012","Currency=USD","Period=FQ","BEST_FPERIOD_OVERRIDE=FQ","FILING_STATUS=MR","Sort=A","Dates=H","DateFormat=P","Fill=—","Direction=H","UseDPDF=Y")</f>
        <v>263.11</v>
      </c>
      <c r="S9" s="14">
        <f>_xll.BDH("AMZN US Equity","PX_HIGH","FQ1 2013","FQ1 2013","Currency=USD","Period=FQ","BEST_FPERIOD_OVERRIDE=FQ","FILING_STATUS=MR","Sort=A","Dates=H","DateFormat=P","Fill=—","Direction=H","UseDPDF=Y")</f>
        <v>284.72000000000003</v>
      </c>
      <c r="T9" s="14">
        <f>_xll.BDH("AMZN US Equity","PX_HIGH","FQ2 2013","FQ2 2013","Currency=USD","Period=FQ","BEST_FPERIOD_OVERRIDE=FQ","FILING_STATUS=MR","Sort=A","Dates=H","DateFormat=P","Fill=—","Direction=H","UseDPDF=Y")</f>
        <v>283.33999999999997</v>
      </c>
      <c r="U9" s="14">
        <f>_xll.BDH("AMZN US Equity","PX_HIGH","FQ3 2013","FQ3 2013","Currency=USD","Period=FQ","BEST_FPERIOD_OVERRIDE=FQ","FILING_STATUS=MR","Sort=A","Dates=H","DateFormat=P","Fill=—","Direction=H","UseDPDF=Y")</f>
        <v>320.57</v>
      </c>
      <c r="V9" s="14">
        <f>_xll.BDH("AMZN US Equity","PX_HIGH","FQ4 2013","FQ4 2013","Currency=USD","Period=FQ","BEST_FPERIOD_OVERRIDE=FQ","FILING_STATUS=MR","Sort=A","Dates=H","DateFormat=P","Fill=—","Direction=H","UseDPDF=Y")</f>
        <v>405.63</v>
      </c>
      <c r="W9" s="14">
        <f>_xll.BDH("AMZN US Equity","PX_HIGH","FQ1 2014","FQ1 2014","Currency=USD","Period=FQ","BEST_FPERIOD_OVERRIDE=FQ","FILING_STATUS=MR","Sort=A","Dates=H","DateFormat=P","Fill=—","Direction=H","UseDPDF=Y")</f>
        <v>408.06</v>
      </c>
      <c r="X9" s="14">
        <f>_xll.BDH("AMZN US Equity","PX_HIGH","FQ2 2014","FQ2 2014","Currency=USD","Period=FQ","BEST_FPERIOD_OVERRIDE=FQ","FILING_STATUS=MR","Sort=A","Dates=H","DateFormat=P","Fill=—","Direction=H","UseDPDF=Y")</f>
        <v>348.29500000000002</v>
      </c>
      <c r="Y9" s="14">
        <f>_xll.BDH("AMZN US Equity","PX_HIGH","FQ3 2014","FQ3 2014","Currency=USD","Period=FQ","BEST_FPERIOD_OVERRIDE=FQ","FILING_STATUS=MR","Sort=A","Dates=H","DateFormat=P","Fill=—","Direction=H","UseDPDF=Y")</f>
        <v>364.85</v>
      </c>
      <c r="Z9" s="14">
        <f>_xll.BDH("AMZN US Equity","PX_HIGH","FQ4 2014","FQ4 2014","Currency=USD","Period=FQ","BEST_FPERIOD_OVERRIDE=FQ","FILING_STATUS=MR","Sort=A","Dates=H","DateFormat=P","Fill=—","Direction=H","UseDPDF=Y")</f>
        <v>341.26</v>
      </c>
      <c r="AA9" s="14">
        <f>_xll.BDH("AMZN US Equity","PX_HIGH","FQ1 2015","FQ1 2015","Currency=USD","Period=FQ","BEST_FPERIOD_OVERRIDE=FQ","FILING_STATUS=MR","Sort=A","Dates=H","DateFormat=P","Fill=—","Direction=H","UseDPDF=Y")</f>
        <v>389.37</v>
      </c>
      <c r="AB9" s="14">
        <f>_xll.BDH("AMZN US Equity","PX_HIGH","FQ2 2015","FQ2 2015","Currency=USD","Period=FQ","BEST_FPERIOD_OVERRIDE=FQ","FILING_STATUS=MR","Sort=A","Dates=H","DateFormat=P","Fill=—","Direction=H","UseDPDF=Y")</f>
        <v>452.65</v>
      </c>
      <c r="AC9" s="14">
        <f>_xll.BDH("AMZN US Equity","PX_HIGH","FQ3 2015","FQ3 2015","Currency=USD","Period=FQ","BEST_FPERIOD_OVERRIDE=FQ","FILING_STATUS=MR","Sort=A","Dates=H","DateFormat=P","Fill=—","Direction=H","UseDPDF=Y")</f>
        <v>580.57000000000005</v>
      </c>
      <c r="AD9" s="14">
        <f>_xll.BDH("AMZN US Equity","PX_HIGH","FQ4 2015","FQ4 2015","Currency=USD","Period=FQ","BEST_FPERIOD_OVERRIDE=FQ","FILING_STATUS=MR","Sort=A","Dates=H","DateFormat=P","Fill=—","Direction=H","UseDPDF=Y")</f>
        <v>696.44</v>
      </c>
      <c r="AE9" s="14">
        <f>_xll.BDH("AMZN US Equity","PX_HIGH","FQ1 2016","FQ1 2016","Currency=USD","Period=FQ","BEST_FPERIOD_OVERRIDE=FQ","FILING_STATUS=MR","Sort=A","Dates=H","DateFormat=P","Fill=—","Direction=H","UseDPDF=Y")</f>
        <v>657.71500000000003</v>
      </c>
      <c r="AF9" s="14">
        <f>_xll.BDH("AMZN US Equity","PX_HIGH","FQ2 2016","FQ2 2016","Currency=USD","Period=FQ","BEST_FPERIOD_OVERRIDE=FQ","FILING_STATUS=MR","Sort=A","Dates=H","DateFormat=P","Fill=—","Direction=H","UseDPDF=Y")</f>
        <v>731.5</v>
      </c>
      <c r="AG9" s="14">
        <f>_xll.BDH("AMZN US Equity","PX_HIGH","FQ3 2016","FQ3 2016","Currency=USD","Period=FQ","BEST_FPERIOD_OVERRIDE=FQ","FILING_STATUS=MR","Sort=A","Dates=H","DateFormat=P","Fill=—","Direction=H","UseDPDF=Y")</f>
        <v>839.95</v>
      </c>
      <c r="AH9" s="14">
        <f>_xll.BDH("AMZN US Equity","PX_HIGH","FQ4 2016","FQ4 2016","Currency=USD","Period=FQ","BEST_FPERIOD_OVERRIDE=FQ","FILING_STATUS=MR","Sort=A","Dates=H","DateFormat=P","Fill=—","Direction=H","UseDPDF=Y")</f>
        <v>847.21</v>
      </c>
      <c r="AI9" s="14">
        <f>_xll.BDH("AMZN US Equity","PX_HIGH","FQ1 2017","FQ1 2017","Currency=USD","Period=FQ","BEST_FPERIOD_OVERRIDE=FQ","FILING_STATUS=MR","Sort=A","Dates=H","DateFormat=P","Fill=—","Direction=H","UseDPDF=Y")</f>
        <v>890.35</v>
      </c>
      <c r="AJ9" s="14">
        <f>_xll.BDH("AMZN US Equity","PX_HIGH","FQ2 2017","FQ2 2017","Currency=USD","Period=FQ","BEST_FPERIOD_OVERRIDE=FQ","FILING_STATUS=MR","Sort=A","Dates=H","DateFormat=P","Fill=—","Direction=H","UseDPDF=Y")</f>
        <v>1017</v>
      </c>
      <c r="AK9" s="14">
        <f>_xll.BDH("AMZN US Equity","PX_HIGH","FQ3 2017","FQ3 2017","Currency=USD","Period=FQ","BEST_FPERIOD_OVERRIDE=FQ","FILING_STATUS=MR","Sort=A","Dates=H","DateFormat=P","Fill=—","Direction=H","UseDPDF=Y")</f>
        <v>1083.31</v>
      </c>
      <c r="AL9" s="14">
        <f>_xll.BDH("AMZN US Equity","PX_HIGH","FQ4 2017","FQ4 2017","Currency=USD","Period=FQ","BEST_FPERIOD_OVERRIDE=FQ","FILING_STATUS=MR","Sort=A","Dates=H","DateFormat=P","Fill=—","Direction=H","UseDPDF=Y")</f>
        <v>1213.4100000000001</v>
      </c>
      <c r="AM9" s="14">
        <f>_xll.BDH("AMZN US Equity","PX_HIGH","FQ1 2018","FQ1 2018","Currency=USD","Period=FQ","BEST_FPERIOD_OVERRIDE=FQ","FILING_STATUS=MR","Sort=A","Dates=H","DateFormat=P","Fill=—","Direction=H","UseDPDF=Y")</f>
        <v>1617.54</v>
      </c>
      <c r="AN9" s="14">
        <f>_xll.BDH("AMZN US Equity","PX_HIGH","FQ2 2018","FQ2 2018","Currency=USD","Period=FQ","BEST_FPERIOD_OVERRIDE=FQ","FILING_STATUS=MR","Sort=A","Dates=H","DateFormat=P","Fill=—","Direction=H","UseDPDF=Y")</f>
        <v>1763.1</v>
      </c>
      <c r="AO9" s="15">
        <v>1752.19995117188</v>
      </c>
    </row>
    <row r="10" spans="1:41" x14ac:dyDescent="0.25">
      <c r="A10" s="10" t="s">
        <v>499</v>
      </c>
      <c r="B10" s="10" t="s">
        <v>500</v>
      </c>
      <c r="C10" s="14">
        <f>_xll.BDH("AMZN US Equity","PX_LOW","FQ1 2009","FQ1 2009","Currency=USD","Period=FQ","BEST_FPERIOD_OVERRIDE=FQ","FILING_STATUS=MR","Sort=A","Dates=H","DateFormat=P","Fill=—","Direction=H","UseDPDF=Y")</f>
        <v>47.63</v>
      </c>
      <c r="D10" s="14">
        <f>_xll.BDH("AMZN US Equity","PX_LOW","FQ2 2009","FQ2 2009","Currency=USD","Period=FQ","BEST_FPERIOD_OVERRIDE=FQ","FILING_STATUS=MR","Sort=A","Dates=H","DateFormat=P","Fill=—","Direction=H","UseDPDF=Y")</f>
        <v>71.709999999999994</v>
      </c>
      <c r="E10" s="14">
        <f>_xll.BDH("AMZN US Equity","PX_LOW","FQ3 2009","FQ3 2009","Currency=USD","Period=FQ","BEST_FPERIOD_OVERRIDE=FQ","FILING_STATUS=MR","Sort=A","Dates=H","DateFormat=P","Fill=—","Direction=H","UseDPDF=Y")</f>
        <v>75.41</v>
      </c>
      <c r="F10" s="14">
        <f>_xll.BDH("AMZN US Equity","PX_LOW","FQ4 2009","FQ4 2009","Currency=USD","Period=FQ","BEST_FPERIOD_OVERRIDE=FQ","FILING_STATUS=MR","Sort=A","Dates=H","DateFormat=P","Fill=—","Direction=H","UseDPDF=Y")</f>
        <v>88.27</v>
      </c>
      <c r="G10" s="14">
        <f>_xll.BDH("AMZN US Equity","PX_LOW","FQ1 2010","FQ1 2010","Currency=USD","Period=FQ","BEST_FPERIOD_OVERRIDE=FQ","FILING_STATUS=MR","Sort=A","Dates=H","DateFormat=P","Fill=—","Direction=H","UseDPDF=Y")</f>
        <v>113.82</v>
      </c>
      <c r="H10" s="14">
        <f>_xll.BDH("AMZN US Equity","PX_LOW","FQ2 2010","FQ2 2010","Currency=USD","Period=FQ","BEST_FPERIOD_OVERRIDE=FQ","FILING_STATUS=MR","Sort=A","Dates=H","DateFormat=P","Fill=—","Direction=H","UseDPDF=Y")</f>
        <v>106.01</v>
      </c>
      <c r="I10" s="14">
        <f>_xll.BDH("AMZN US Equity","PX_LOW","FQ3 2010","FQ3 2010","Currency=USD","Period=FQ","BEST_FPERIOD_OVERRIDE=FQ","FILING_STATUS=MR","Sort=A","Dates=H","DateFormat=P","Fill=—","Direction=H","UseDPDF=Y")</f>
        <v>105.8</v>
      </c>
      <c r="J10" s="14">
        <f>_xll.BDH("AMZN US Equity","PX_LOW","FQ4 2010","FQ4 2010","Currency=USD","Period=FQ","BEST_FPERIOD_OVERRIDE=FQ","FILING_STATUS=MR","Sort=A","Dates=H","DateFormat=P","Fill=—","Direction=H","UseDPDF=Y")</f>
        <v>151.4</v>
      </c>
      <c r="K10" s="14">
        <f>_xll.BDH("AMZN US Equity","PX_LOW","FQ1 2011","FQ1 2011","Currency=USD","Period=FQ","BEST_FPERIOD_OVERRIDE=FQ","FILING_STATUS=MR","Sort=A","Dates=H","DateFormat=P","Fill=—","Direction=H","UseDPDF=Y")</f>
        <v>160.59</v>
      </c>
      <c r="L10" s="14">
        <f>_xll.BDH("AMZN US Equity","PX_LOW","FQ2 2011","FQ2 2011","Currency=USD","Period=FQ","BEST_FPERIOD_OVERRIDE=FQ","FILING_STATUS=MR","Sort=A","Dates=H","DateFormat=P","Fill=—","Direction=H","UseDPDF=Y")</f>
        <v>175.37</v>
      </c>
      <c r="M10" s="14">
        <f>_xll.BDH("AMZN US Equity","PX_LOW","FQ3 2011","FQ3 2011","Currency=USD","Period=FQ","BEST_FPERIOD_OVERRIDE=FQ","FILING_STATUS=MR","Sort=A","Dates=H","DateFormat=P","Fill=—","Direction=H","UseDPDF=Y")</f>
        <v>177.1</v>
      </c>
      <c r="N10" s="14">
        <f>_xll.BDH("AMZN US Equity","PX_LOW","FQ4 2011","FQ4 2011","Currency=USD","Period=FQ","BEST_FPERIOD_OVERRIDE=FQ","FILING_STATUS=MR","Sort=A","Dates=H","DateFormat=P","Fill=—","Direction=H","UseDPDF=Y")</f>
        <v>166.97</v>
      </c>
      <c r="O10" s="14">
        <f>_xll.BDH("AMZN US Equity","PX_LOW","FQ1 2012","FQ1 2012","Currency=USD","Period=FQ","BEST_FPERIOD_OVERRIDE=FQ","FILING_STATUS=MR","Sort=A","Dates=H","DateFormat=P","Fill=—","Direction=H","UseDPDF=Y")</f>
        <v>172</v>
      </c>
      <c r="P10" s="14">
        <f>_xll.BDH("AMZN US Equity","PX_LOW","FQ2 2012","FQ2 2012","Currency=USD","Period=FQ","BEST_FPERIOD_OVERRIDE=FQ","FILING_STATUS=MR","Sort=A","Dates=H","DateFormat=P","Fill=—","Direction=H","UseDPDF=Y")</f>
        <v>183.65</v>
      </c>
      <c r="Q10" s="14">
        <f>_xll.BDH("AMZN US Equity","PX_LOW","FQ3 2012","FQ3 2012","Currency=USD","Period=FQ","BEST_FPERIOD_OVERRIDE=FQ","FILING_STATUS=MR","Sort=A","Dates=H","DateFormat=P","Fill=—","Direction=H","UseDPDF=Y")</f>
        <v>212.61</v>
      </c>
      <c r="R10" s="14">
        <f>_xll.BDH("AMZN US Equity","PX_LOW","FQ4 2012","FQ4 2012","Currency=USD","Period=FQ","BEST_FPERIOD_OVERRIDE=FQ","FILING_STATUS=MR","Sort=A","Dates=H","DateFormat=P","Fill=—","Direction=H","UseDPDF=Y")</f>
        <v>218.18</v>
      </c>
      <c r="S10" s="14">
        <f>_xll.BDH("AMZN US Equity","PX_LOW","FQ1 2013","FQ1 2013","Currency=USD","Period=FQ","BEST_FPERIOD_OVERRIDE=FQ","FILING_STATUS=MR","Sort=A","Dates=H","DateFormat=P","Fill=—","Direction=H","UseDPDF=Y")</f>
        <v>252.07</v>
      </c>
      <c r="T10" s="14">
        <f>_xll.BDH("AMZN US Equity","PX_LOW","FQ2 2013","FQ2 2013","Currency=USD","Period=FQ","BEST_FPERIOD_OVERRIDE=FQ","FILING_STATUS=MR","Sort=A","Dates=H","DateFormat=P","Fill=—","Direction=H","UseDPDF=Y")</f>
        <v>245.75</v>
      </c>
      <c r="U10" s="14">
        <f>_xll.BDH("AMZN US Equity","PX_LOW","FQ3 2013","FQ3 2013","Currency=USD","Period=FQ","BEST_FPERIOD_OVERRIDE=FQ","FILING_STATUS=MR","Sort=A","Dates=H","DateFormat=P","Fill=—","Direction=H","UseDPDF=Y")</f>
        <v>277.16000000000003</v>
      </c>
      <c r="V10" s="14">
        <f>_xll.BDH("AMZN US Equity","PX_LOW","FQ4 2013","FQ4 2013","Currency=USD","Period=FQ","BEST_FPERIOD_OVERRIDE=FQ","FILING_STATUS=MR","Sort=A","Dates=H","DateFormat=P","Fill=—","Direction=H","UseDPDF=Y")</f>
        <v>296.50299999999999</v>
      </c>
      <c r="W10" s="14">
        <f>_xll.BDH("AMZN US Equity","PX_LOW","FQ1 2014","FQ1 2014","Currency=USD","Period=FQ","BEST_FPERIOD_OVERRIDE=FQ","FILING_STATUS=MR","Sort=A","Dates=H","DateFormat=P","Fill=—","Direction=H","UseDPDF=Y")</f>
        <v>330.88</v>
      </c>
      <c r="X10" s="14">
        <f>_xll.BDH("AMZN US Equity","PX_LOW","FQ2 2014","FQ2 2014","Currency=USD","Period=FQ","BEST_FPERIOD_OVERRIDE=FQ","FILING_STATUS=MR","Sort=A","Dates=H","DateFormat=P","Fill=—","Direction=H","UseDPDF=Y")</f>
        <v>284.38</v>
      </c>
      <c r="Y10" s="14">
        <f>_xll.BDH("AMZN US Equity","PX_LOW","FQ3 2014","FQ3 2014","Currency=USD","Period=FQ","BEST_FPERIOD_OVERRIDE=FQ","FILING_STATUS=MR","Sort=A","Dates=H","DateFormat=P","Fill=—","Direction=H","UseDPDF=Y")</f>
        <v>304.58800000000002</v>
      </c>
      <c r="Z10" s="14">
        <f>_xll.BDH("AMZN US Equity","PX_LOW","FQ4 2014","FQ4 2014","Currency=USD","Period=FQ","BEST_FPERIOD_OVERRIDE=FQ","FILING_STATUS=MR","Sort=A","Dates=H","DateFormat=P","Fill=—","Direction=H","UseDPDF=Y")</f>
        <v>284</v>
      </c>
      <c r="AA10" s="14">
        <f>_xll.BDH("AMZN US Equity","PX_LOW","FQ1 2015","FQ1 2015","Currency=USD","Period=FQ","BEST_FPERIOD_OVERRIDE=FQ","FILING_STATUS=MR","Sort=A","Dates=H","DateFormat=P","Fill=—","Direction=H","UseDPDF=Y")</f>
        <v>285.25</v>
      </c>
      <c r="AB10" s="14">
        <f>_xll.BDH("AMZN US Equity","PX_LOW","FQ2 2015","FQ2 2015","Currency=USD","Period=FQ","BEST_FPERIOD_OVERRIDE=FQ","FILING_STATUS=MR","Sort=A","Dates=H","DateFormat=P","Fill=—","Direction=H","UseDPDF=Y")</f>
        <v>368.34</v>
      </c>
      <c r="AC10" s="14">
        <f>_xll.BDH("AMZN US Equity","PX_LOW","FQ3 2015","FQ3 2015","Currency=USD","Period=FQ","BEST_FPERIOD_OVERRIDE=FQ","FILING_STATUS=MR","Sort=A","Dates=H","DateFormat=P","Fill=—","Direction=H","UseDPDF=Y")</f>
        <v>425.57</v>
      </c>
      <c r="AD10" s="14">
        <f>_xll.BDH("AMZN US Equity","PX_LOW","FQ4 2015","FQ4 2015","Currency=USD","Period=FQ","BEST_FPERIOD_OVERRIDE=FQ","FILING_STATUS=MR","Sort=A","Dates=H","DateFormat=P","Fill=—","Direction=H","UseDPDF=Y")</f>
        <v>506</v>
      </c>
      <c r="AE10" s="14">
        <f>_xll.BDH("AMZN US Equity","PX_LOW","FQ1 2016","FQ1 2016","Currency=USD","Period=FQ","BEST_FPERIOD_OVERRIDE=FQ","FILING_STATUS=MR","Sort=A","Dates=H","DateFormat=P","Fill=—","Direction=H","UseDPDF=Y")</f>
        <v>474</v>
      </c>
      <c r="AF10" s="14">
        <f>_xll.BDH("AMZN US Equity","PX_LOW","FQ2 2016","FQ2 2016","Currency=USD","Period=FQ","BEST_FPERIOD_OVERRIDE=FQ","FILING_STATUS=MR","Sort=A","Dates=H","DateFormat=P","Fill=—","Direction=H","UseDPDF=Y")</f>
        <v>585.25</v>
      </c>
      <c r="AG10" s="14">
        <f>_xll.BDH("AMZN US Equity","PX_LOW","FQ3 2016","FQ3 2016","Currency=USD","Period=FQ","BEST_FPERIOD_OVERRIDE=FQ","FILING_STATUS=MR","Sort=A","Dates=H","DateFormat=P","Fill=—","Direction=H","UseDPDF=Y")</f>
        <v>716.54</v>
      </c>
      <c r="AH10" s="14">
        <f>_xll.BDH("AMZN US Equity","PX_LOW","FQ4 2016","FQ4 2016","Currency=USD","Period=FQ","BEST_FPERIOD_OVERRIDE=FQ","FILING_STATUS=MR","Sort=A","Dates=H","DateFormat=P","Fill=—","Direction=H","UseDPDF=Y")</f>
        <v>710.1</v>
      </c>
      <c r="AI10" s="14">
        <f>_xll.BDH("AMZN US Equity","PX_LOW","FQ1 2017","FQ1 2017","Currency=USD","Period=FQ","BEST_FPERIOD_OVERRIDE=FQ","FILING_STATUS=MR","Sort=A","Dates=H","DateFormat=P","Fill=—","Direction=H","UseDPDF=Y")</f>
        <v>747.7</v>
      </c>
      <c r="AJ10" s="14">
        <f>_xll.BDH("AMZN US Equity","PX_LOW","FQ2 2017","FQ2 2017","Currency=USD","Period=FQ","BEST_FPERIOD_OVERRIDE=FQ","FILING_STATUS=MR","Sort=A","Dates=H","DateFormat=P","Fill=—","Direction=H","UseDPDF=Y")</f>
        <v>884.49</v>
      </c>
      <c r="AK10" s="14">
        <f>_xll.BDH("AMZN US Equity","PX_LOW","FQ3 2017","FQ3 2017","Currency=USD","Period=FQ","BEST_FPERIOD_OVERRIDE=FQ","FILING_STATUS=MR","Sort=A","Dates=H","DateFormat=P","Fill=—","Direction=H","UseDPDF=Y")</f>
        <v>931.75</v>
      </c>
      <c r="AL10" s="14">
        <f>_xll.BDH("AMZN US Equity","PX_LOW","FQ4 2017","FQ4 2017","Currency=USD","Period=FQ","BEST_FPERIOD_OVERRIDE=FQ","FILING_STATUS=MR","Sort=A","Dates=H","DateFormat=P","Fill=—","Direction=H","UseDPDF=Y")</f>
        <v>950.37</v>
      </c>
      <c r="AM10" s="14">
        <f>_xll.BDH("AMZN US Equity","PX_LOW","FQ1 2018","FQ1 2018","Currency=USD","Period=FQ","BEST_FPERIOD_OVERRIDE=FQ","FILING_STATUS=MR","Sort=A","Dates=H","DateFormat=P","Fill=—","Direction=H","UseDPDF=Y")</f>
        <v>1170.51</v>
      </c>
      <c r="AN10" s="14">
        <f>_xll.BDH("AMZN US Equity","PX_LOW","FQ2 2018","FQ2 2018","Currency=USD","Period=FQ","BEST_FPERIOD_OVERRIDE=FQ","FILING_STATUS=MR","Sort=A","Dates=H","DateFormat=P","Fill=—","Direction=H","UseDPDF=Y")</f>
        <v>1352.88</v>
      </c>
      <c r="AO10" s="15">
        <v>1726.16003417969</v>
      </c>
    </row>
    <row r="11" spans="1:41" x14ac:dyDescent="0.25">
      <c r="A11" s="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9"/>
    </row>
    <row r="12" spans="1:41" x14ac:dyDescent="0.25">
      <c r="A12" s="6" t="s">
        <v>501</v>
      </c>
      <c r="B12" s="6" t="s">
        <v>502</v>
      </c>
      <c r="C12" s="17">
        <f>_xll.BDH("AMZN US Equity","HISTORICAL_MARKET_CAP","FQ1 2009","FQ1 2009","Currency=USD","Period=FQ","BEST_FPERIOD_OVERRIDE=FQ","FILING_STATUS=MR","SCALING_FORMAT=MLN","Sort=A","Dates=H","DateFormat=P","Fill=—","Direction=H","UseDPDF=Y")</f>
        <v>31505.759999999998</v>
      </c>
      <c r="D12" s="17">
        <f>_xll.BDH("AMZN US Equity","HISTORICAL_MARKET_CAP","FQ2 2009","FQ2 2009","Currency=USD","Period=FQ","BEST_FPERIOD_OVERRIDE=FQ","FILING_STATUS=MR","SCALING_FORMAT=MLN","Sort=A","Dates=H","DateFormat=P","Fill=—","Direction=H","UseDPDF=Y")</f>
        <v>36141.120000000003</v>
      </c>
      <c r="E12" s="17">
        <f>_xll.BDH("AMZN US Equity","HISTORICAL_MARKET_CAP","FQ3 2009","FQ3 2009","Currency=USD","Period=FQ","BEST_FPERIOD_OVERRIDE=FQ","FILING_STATUS=MR","SCALING_FORMAT=MLN","Sort=A","Dates=H","DateFormat=P","Fill=—","Direction=H","UseDPDF=Y")</f>
        <v>40424.879999999997</v>
      </c>
      <c r="F12" s="17">
        <f>_xll.BDH("AMZN US Equity","HISTORICAL_MARKET_CAP","FQ4 2009","FQ4 2009","Currency=USD","Period=FQ","BEST_FPERIOD_OVERRIDE=FQ","FILING_STATUS=MR","SCALING_FORMAT=MLN","Sort=A","Dates=H","DateFormat=P","Fill=—","Direction=H","UseDPDF=Y")</f>
        <v>59726.879999999997</v>
      </c>
      <c r="G12" s="17">
        <f>_xll.BDH("AMZN US Equity","HISTORICAL_MARKET_CAP","FQ1 2010","FQ1 2010","Currency=USD","Period=FQ","BEST_FPERIOD_OVERRIDE=FQ","FILING_STATUS=MR","SCALING_FORMAT=MLN","Sort=A","Dates=H","DateFormat=P","Fill=—","Direction=H","UseDPDF=Y")</f>
        <v>60553.42</v>
      </c>
      <c r="H12" s="17">
        <f>_xll.BDH("AMZN US Equity","HISTORICAL_MARKET_CAP","FQ2 2010","FQ2 2010","Currency=USD","Period=FQ","BEST_FPERIOD_OVERRIDE=FQ","FILING_STATUS=MR","SCALING_FORMAT=MLN","Sort=A","Dates=H","DateFormat=P","Fill=—","Direction=H","UseDPDF=Y")</f>
        <v>48948.480000000003</v>
      </c>
      <c r="I12" s="17">
        <f>_xll.BDH("AMZN US Equity","HISTORICAL_MARKET_CAP","FQ3 2010","FQ3 2010","Currency=USD","Period=FQ","BEST_FPERIOD_OVERRIDE=FQ","FILING_STATUS=MR","SCALING_FORMAT=MLN","Sort=A","Dates=H","DateFormat=P","Fill=—","Direction=H","UseDPDF=Y")</f>
        <v>70519.94</v>
      </c>
      <c r="J12" s="17">
        <f>_xll.BDH("AMZN US Equity","HISTORICAL_MARKET_CAP","FQ4 2010","FQ4 2010","Currency=USD","Period=FQ","BEST_FPERIOD_OVERRIDE=FQ","FILING_STATUS=MR","SCALING_FORMAT=MLN","Sort=A","Dates=H","DateFormat=P","Fill=—","Direction=H","UseDPDF=Y")</f>
        <v>81180</v>
      </c>
      <c r="K12" s="17">
        <f>_xll.BDH("AMZN US Equity","HISTORICAL_MARKET_CAP","FQ1 2011","FQ1 2011","Currency=USD","Period=FQ","BEST_FPERIOD_OVERRIDE=FQ","FILING_STATUS=MR","SCALING_FORMAT=MLN","Sort=A","Dates=H","DateFormat=P","Fill=—","Direction=H","UseDPDF=Y")</f>
        <v>81418.759999999995</v>
      </c>
      <c r="L12" s="17">
        <f>_xll.BDH("AMZN US Equity","HISTORICAL_MARKET_CAP","FQ2 2011","FQ2 2011","Currency=USD","Period=FQ","BEST_FPERIOD_OVERRIDE=FQ","FILING_STATUS=MR","SCALING_FORMAT=MLN","Sort=A","Dates=H","DateFormat=P","Fill=—","Direction=H","UseDPDF=Y")</f>
        <v>92838.46</v>
      </c>
      <c r="M12" s="17">
        <f>_xll.BDH("AMZN US Equity","HISTORICAL_MARKET_CAP","FQ3 2011","FQ3 2011","Currency=USD","Period=FQ","BEST_FPERIOD_OVERRIDE=FQ","FILING_STATUS=MR","SCALING_FORMAT=MLN","Sort=A","Dates=H","DateFormat=P","Fill=—","Direction=H","UseDPDF=Y")</f>
        <v>98384.65</v>
      </c>
      <c r="N12" s="17">
        <f>_xll.BDH("AMZN US Equity","HISTORICAL_MARKET_CAP","FQ4 2011","FQ4 2011","Currency=USD","Period=FQ","BEST_FPERIOD_OVERRIDE=FQ","FILING_STATUS=MR","SCALING_FORMAT=MLN","Sort=A","Dates=H","DateFormat=P","Fill=—","Direction=H","UseDPDF=Y")</f>
        <v>78760.5</v>
      </c>
      <c r="O12" s="17">
        <f>_xll.BDH("AMZN US Equity","HISTORICAL_MARKET_CAP","FQ1 2012","FQ1 2012","Currency=USD","Period=FQ","BEST_FPERIOD_OVERRIDE=FQ","FILING_STATUS=MR","SCALING_FORMAT=MLN","Sort=A","Dates=H","DateFormat=P","Fill=—","Direction=H","UseDPDF=Y")</f>
        <v>91129.5</v>
      </c>
      <c r="P12" s="17">
        <f>_xll.BDH("AMZN US Equity","HISTORICAL_MARKET_CAP","FQ2 2012","FQ2 2012","Currency=USD","Period=FQ","BEST_FPERIOD_OVERRIDE=FQ","FILING_STATUS=MR","SCALING_FORMAT=MLN","Sort=A","Dates=H","DateFormat=P","Fill=—","Direction=H","UseDPDF=Y")</f>
        <v>103214.2</v>
      </c>
      <c r="Q12" s="17">
        <f>_xll.BDH("AMZN US Equity","HISTORICAL_MARKET_CAP","FQ3 2012","FQ3 2012","Currency=USD","Period=FQ","BEST_FPERIOD_OVERRIDE=FQ","FILING_STATUS=MR","SCALING_FORMAT=MLN","Sort=A","Dates=H","DateFormat=P","Fill=—","Direction=H","UseDPDF=Y")</f>
        <v>115206.96</v>
      </c>
      <c r="R12" s="17">
        <f>_xll.BDH("AMZN US Equity","HISTORICAL_MARKET_CAP","FQ4 2012","FQ4 2012","Currency=USD","Period=FQ","BEST_FPERIOD_OVERRIDE=FQ","FILING_STATUS=MR","SCALING_FORMAT=MLN","Sort=A","Dates=H","DateFormat=P","Fill=—","Direction=H","UseDPDF=Y")</f>
        <v>113894.98</v>
      </c>
      <c r="S12" s="17">
        <f>_xll.BDH("AMZN US Equity","HISTORICAL_MARKET_CAP","FQ1 2013","FQ1 2013","Currency=USD","Period=FQ","BEST_FPERIOD_OVERRIDE=FQ","FILING_STATUS=MR","SCALING_FORMAT=MLN","Sort=A","Dates=H","DateFormat=P","Fill=—","Direction=H","UseDPDF=Y")</f>
        <v>121252.95</v>
      </c>
      <c r="T12" s="17">
        <f>_xll.BDH("AMZN US Equity","HISTORICAL_MARKET_CAP","FQ2 2013","FQ2 2013","Currency=USD","Period=FQ","BEST_FPERIOD_OVERRIDE=FQ","FILING_STATUS=MR","SCALING_FORMAT=MLN","Sort=A","Dates=H","DateFormat=P","Fill=—","Direction=H","UseDPDF=Y")</f>
        <v>126904.33</v>
      </c>
      <c r="U12" s="17">
        <f>_xll.BDH("AMZN US Equity","HISTORICAL_MARKET_CAP","FQ3 2013","FQ3 2013","Currency=USD","Period=FQ","BEST_FPERIOD_OVERRIDE=FQ","FILING_STATUS=MR","SCALING_FORMAT=MLN","Sort=A","Dates=H","DateFormat=P","Fill=—","Direction=H","UseDPDF=Y")</f>
        <v>143189.12</v>
      </c>
      <c r="V12" s="17">
        <f>_xll.BDH("AMZN US Equity","HISTORICAL_MARKET_CAP","FQ4 2013","FQ4 2013","Currency=USD","Period=FQ","BEST_FPERIOD_OVERRIDE=FQ","FILING_STATUS=MR","SCALING_FORMAT=MLN","Sort=A","Dates=H","DateFormat=P","Fill=—","Direction=H","UseDPDF=Y")</f>
        <v>183044.61</v>
      </c>
      <c r="W12" s="17">
        <f>_xll.BDH("AMZN US Equity","HISTORICAL_MARKET_CAP","FQ1 2014","FQ1 2014","Currency=USD","Period=FQ","BEST_FPERIOD_OVERRIDE=FQ","FILING_STATUS=MR","SCALING_FORMAT=MLN","Sort=A","Dates=H","DateFormat=P","Fill=—","Direction=H","UseDPDF=Y")</f>
        <v>154727.9</v>
      </c>
      <c r="X12" s="17">
        <f>_xll.BDH("AMZN US Equity","HISTORICAL_MARKET_CAP","FQ2 2014","FQ2 2014","Currency=USD","Period=FQ","BEST_FPERIOD_OVERRIDE=FQ","FILING_STATUS=MR","SCALING_FORMAT=MLN","Sort=A","Dates=H","DateFormat=P","Fill=—","Direction=H","UseDPDF=Y")</f>
        <v>150048.35999999999</v>
      </c>
      <c r="Y12" s="17">
        <f>_xll.BDH("AMZN US Equity","HISTORICAL_MARKET_CAP","FQ3 2014","FQ3 2014","Currency=USD","Period=FQ","BEST_FPERIOD_OVERRIDE=FQ","FILING_STATUS=MR","SCALING_FORMAT=MLN","Sort=A","Dates=H","DateFormat=P","Fill=—","Direction=H","UseDPDF=Y")</f>
        <v>149289.72</v>
      </c>
      <c r="Z12" s="17">
        <f>_xll.BDH("AMZN US Equity","HISTORICAL_MARKET_CAP","FQ4 2014","FQ4 2014","Currency=USD","Period=FQ","BEST_FPERIOD_OVERRIDE=FQ","FILING_STATUS=MR","SCALING_FORMAT=MLN","Sort=A","Dates=H","DateFormat=P","Fill=—","Direction=H","UseDPDF=Y")</f>
        <v>144312.75</v>
      </c>
      <c r="AA12" s="17">
        <f>_xll.BDH("AMZN US Equity","HISTORICAL_MARKET_CAP","FQ1 2015","FQ1 2015","Currency=USD","Period=FQ","BEST_FPERIOD_OVERRIDE=FQ","FILING_STATUS=MR","SCALING_FORMAT=MLN","Sort=A","Dates=H","DateFormat=P","Fill=—","Direction=H","UseDPDF=Y")</f>
        <v>173398.6</v>
      </c>
      <c r="AB12" s="17">
        <f>_xll.BDH("AMZN US Equity","HISTORICAL_MARKET_CAP","FQ2 2015","FQ2 2015","Currency=USD","Period=FQ","BEST_FPERIOD_OVERRIDE=FQ","FILING_STATUS=MR","SCALING_FORMAT=MLN","Sort=A","Dates=H","DateFormat=P","Fill=—","Direction=H","UseDPDF=Y")</f>
        <v>203154.12</v>
      </c>
      <c r="AC12" s="17">
        <f>_xll.BDH("AMZN US Equity","HISTORICAL_MARKET_CAP","FQ3 2015","FQ3 2015","Currency=USD","Period=FQ","BEST_FPERIOD_OVERRIDE=FQ","FILING_STATUS=MR","SCALING_FORMAT=MLN","Sort=A","Dates=H","DateFormat=P","Fill=—","Direction=H","UseDPDF=Y")</f>
        <v>240076.41</v>
      </c>
      <c r="AD12" s="17">
        <f>_xll.BDH("AMZN US Equity","HISTORICAL_MARKET_CAP","FQ4 2015","FQ4 2015","Currency=USD","Period=FQ","BEST_FPERIOD_OVERRIDE=FQ","FILING_STATUS=MR","SCALING_FORMAT=MLN","Sort=A","Dates=H","DateFormat=P","Fill=—","Direction=H","UseDPDF=Y")</f>
        <v>318344.19</v>
      </c>
      <c r="AE12" s="17">
        <f>_xll.BDH("AMZN US Equity","HISTORICAL_MARKET_CAP","FQ1 2016","FQ1 2016","Currency=USD","Period=FQ","BEST_FPERIOD_OVERRIDE=FQ","FILING_STATUS=MR","SCALING_FORMAT=MLN","Sort=A","Dates=H","DateFormat=P","Fill=—","Direction=H","UseDPDF=Y")</f>
        <v>280198.08</v>
      </c>
      <c r="AF12" s="17">
        <f>_xll.BDH("AMZN US Equity","HISTORICAL_MARKET_CAP","FQ2 2016","FQ2 2016","Currency=USD","Period=FQ","BEST_FPERIOD_OVERRIDE=FQ","FILING_STATUS=MR","SCALING_FORMAT=MLN","Sort=A","Dates=H","DateFormat=P","Fill=—","Direction=H","UseDPDF=Y")</f>
        <v>339203.88</v>
      </c>
      <c r="AG12" s="17">
        <f>_xll.BDH("AMZN US Equity","HISTORICAL_MARKET_CAP","FQ3 2016","FQ3 2016","Currency=USD","Period=FQ","BEST_FPERIOD_OVERRIDE=FQ","FILING_STATUS=MR","SCALING_FORMAT=MLN","Sort=A","Dates=H","DateFormat=P","Fill=—","Direction=H","UseDPDF=Y")</f>
        <v>397722.25</v>
      </c>
      <c r="AH12" s="17">
        <f>_xll.BDH("AMZN US Equity","HISTORICAL_MARKET_CAP","FQ4 2016","FQ4 2016","Currency=USD","Period=FQ","BEST_FPERIOD_OVERRIDE=FQ","FILING_STATUS=MR","SCALING_FORMAT=MLN","Sort=A","Dates=H","DateFormat=P","Fill=—","Direction=H","UseDPDF=Y")</f>
        <v>357687.99</v>
      </c>
      <c r="AI12" s="17">
        <f>_xll.BDH("AMZN US Equity","HISTORICAL_MARKET_CAP","FQ1 2017","FQ1 2017","Currency=USD","Period=FQ","BEST_FPERIOD_OVERRIDE=FQ","FILING_STATUS=MR","SCALING_FORMAT=MLN","Sort=A","Dates=H","DateFormat=P","Fill=—","Direction=H","UseDPDF=Y")</f>
        <v>423766.12</v>
      </c>
      <c r="AJ12" s="17">
        <f>_xll.BDH("AMZN US Equity","HISTORICAL_MARKET_CAP","FQ2 2017","FQ2 2017","Currency=USD","Period=FQ","BEST_FPERIOD_OVERRIDE=FQ","FILING_STATUS=MR","SCALING_FORMAT=MLN","Sort=A","Dates=H","DateFormat=P","Fill=—","Direction=H","UseDPDF=Y")</f>
        <v>464640</v>
      </c>
      <c r="AK12" s="17">
        <f>_xll.BDH("AMZN US Equity","HISTORICAL_MARKET_CAP","FQ3 2017","FQ3 2017","Currency=USD","Period=FQ","BEST_FPERIOD_OVERRIDE=FQ","FILING_STATUS=MR","SCALING_FORMAT=MLN","Sort=A","Dates=H","DateFormat=P","Fill=—","Direction=H","UseDPDF=Y")</f>
        <v>463370.7</v>
      </c>
      <c r="AL12" s="17">
        <f>_xll.BDH("AMZN US Equity","HISTORICAL_MARKET_CAP","FQ4 2017","FQ4 2017","Currency=USD","Period=FQ","BEST_FPERIOD_OVERRIDE=FQ","FILING_STATUS=MR","SCALING_FORMAT=MLN","Sort=A","Dates=H","DateFormat=P","Fill=—","Direction=H","UseDPDF=Y")</f>
        <v>566023.48</v>
      </c>
      <c r="AM12" s="17">
        <f>_xll.BDH("AMZN US Equity","HISTORICAL_MARKET_CAP","FQ1 2018","FQ1 2018","Currency=USD","Period=FQ","BEST_FPERIOD_OVERRIDE=FQ","FILING_STATUS=MR","SCALING_FORMAT=MLN","Sort=A","Dates=H","DateFormat=P","Fill=—","Direction=H","UseDPDF=Y")</f>
        <v>700512.56</v>
      </c>
      <c r="AN12" s="17">
        <f>_xll.BDH("AMZN US Equity","HISTORICAL_MARKET_CAP","FQ2 2018","FQ2 2018","Currency=USD","Period=FQ","BEST_FPERIOD_OVERRIDE=FQ","FILING_STATUS=MR","SCALING_FORMAT=MLN","Sort=A","Dates=H","DateFormat=P","Fill=—","Direction=H","UseDPDF=Y")</f>
        <v>827802.6</v>
      </c>
      <c r="AO12" s="20">
        <v>851983.87023925502</v>
      </c>
    </row>
    <row r="13" spans="1:41" x14ac:dyDescent="0.25">
      <c r="A13" s="10" t="s">
        <v>503</v>
      </c>
      <c r="B13" s="10" t="s">
        <v>504</v>
      </c>
      <c r="C13" s="14">
        <f>_xll.BDH("AMZN US Equity","EQY_SH_OUT","FQ1 2009","FQ1 2009","Currency=USD","Period=FQ","BEST_FPERIOD_OVERRIDE=FQ","FILING_STATUS=MR","Sort=A","Dates=H","DateFormat=P","Fill=—","Direction=H","UseDPDF=Y")</f>
        <v>428.58300000000003</v>
      </c>
      <c r="D13" s="14">
        <f>_xll.BDH("AMZN US Equity","EQY_SH_OUT","FQ2 2009","FQ2 2009","Currency=USD","Period=FQ","BEST_FPERIOD_OVERRIDE=FQ","FILING_STATUS=MR","Sort=A","Dates=H","DateFormat=P","Fill=—","Direction=H","UseDPDF=Y")</f>
        <v>429.64800000000002</v>
      </c>
      <c r="E13" s="14">
        <f>_xll.BDH("AMZN US Equity","EQY_SH_OUT","FQ3 2009","FQ3 2009","Currency=USD","Period=FQ","BEST_FPERIOD_OVERRIDE=FQ","FILING_STATUS=MR","Sort=A","Dates=H","DateFormat=P","Fill=—","Direction=H","UseDPDF=Y")</f>
        <v>431.80700000000002</v>
      </c>
      <c r="F13" s="14">
        <f>_xll.BDH("AMZN US Equity","EQY_SH_OUT","FQ4 2009","FQ4 2009","Currency=USD","Period=FQ","BEST_FPERIOD_OVERRIDE=FQ","FILING_STATUS=MR","Sort=A","Dates=H","DateFormat=P","Fill=—","Direction=H","UseDPDF=Y")</f>
        <v>432.983</v>
      </c>
      <c r="G13" s="14">
        <f>_xll.BDH("AMZN US Equity","EQY_SH_OUT","FQ1 2010","FQ1 2010","Currency=USD","Period=FQ","BEST_FPERIOD_OVERRIDE=FQ","FILING_STATUS=MR","Sort=A","Dates=H","DateFormat=P","Fill=—","Direction=H","UseDPDF=Y")</f>
        <v>444.54599999999999</v>
      </c>
      <c r="H13" s="14">
        <f>_xll.BDH("AMZN US Equity","EQY_SH_OUT","FQ2 2010","FQ2 2010","Currency=USD","Period=FQ","BEST_FPERIOD_OVERRIDE=FQ","FILING_STATUS=MR","Sort=A","Dates=H","DateFormat=P","Fill=—","Direction=H","UseDPDF=Y")</f>
        <v>445.67200000000003</v>
      </c>
      <c r="I13" s="14">
        <f>_xll.BDH("AMZN US Equity","EQY_SH_OUT","FQ3 2010","FQ3 2010","Currency=USD","Period=FQ","BEST_FPERIOD_OVERRIDE=FQ","FILING_STATUS=MR","Sort=A","Dates=H","DateFormat=P","Fill=—","Direction=H","UseDPDF=Y")</f>
        <v>447.82499999999999</v>
      </c>
      <c r="J13" s="14">
        <f>_xll.BDH("AMZN US Equity","EQY_SH_OUT","FQ4 2010","FQ4 2010","Currency=USD","Period=FQ","BEST_FPERIOD_OVERRIDE=FQ","FILING_STATUS=MR","Sort=A","Dates=H","DateFormat=P","Fill=—","Direction=H","UseDPDF=Y")</f>
        <v>448.83699999999999</v>
      </c>
      <c r="K13" s="14">
        <f>_xll.BDH("AMZN US Equity","EQY_SH_OUT","FQ1 2011","FQ1 2011","Currency=USD","Period=FQ","BEST_FPERIOD_OVERRIDE=FQ","FILING_STATUS=MR","Sort=A","Dates=H","DateFormat=P","Fill=—","Direction=H","UseDPDF=Y")</f>
        <v>451.00400000000002</v>
      </c>
      <c r="L13" s="14">
        <f>_xll.BDH("AMZN US Equity","EQY_SH_OUT","FQ2 2011","FQ2 2011","Currency=USD","Period=FQ","BEST_FPERIOD_OVERRIDE=FQ","FILING_STATUS=MR","Sort=A","Dates=H","DateFormat=P","Fill=—","Direction=H","UseDPDF=Y")</f>
        <v>452.04300000000001</v>
      </c>
      <c r="M13" s="14">
        <f>_xll.BDH("AMZN US Equity","EQY_SH_OUT","FQ3 2011","FQ3 2011","Currency=USD","Period=FQ","BEST_FPERIOD_OVERRIDE=FQ","FILING_STATUS=MR","Sort=A","Dates=H","DateFormat=P","Fill=—","Direction=H","UseDPDF=Y")</f>
        <v>453.935</v>
      </c>
      <c r="N13" s="14">
        <f>_xll.BDH("AMZN US Equity","EQY_SH_OUT","FQ4 2011","FQ4 2011","Currency=USD","Period=FQ","BEST_FPERIOD_OVERRIDE=FQ","FILING_STATUS=MR","Sort=A","Dates=H","DateFormat=P","Fill=—","Direction=H","UseDPDF=Y")</f>
        <v>454.75400000000002</v>
      </c>
      <c r="O13" s="14">
        <f>_xll.BDH("AMZN US Equity","EQY_SH_OUT","FQ1 2012","FQ1 2012","Currency=USD","Period=FQ","BEST_FPERIOD_OVERRIDE=FQ","FILING_STATUS=MR","Sort=A","Dates=H","DateFormat=P","Fill=—","Direction=H","UseDPDF=Y")</f>
        <v>455.06900000000002</v>
      </c>
      <c r="P13" s="14">
        <f>_xll.BDH("AMZN US Equity","EQY_SH_OUT","FQ2 2012","FQ2 2012","Currency=USD","Period=FQ","BEST_FPERIOD_OVERRIDE=FQ","FILING_STATUS=MR","Sort=A","Dates=H","DateFormat=P","Fill=—","Direction=H","UseDPDF=Y")</f>
        <v>450.52600000000001</v>
      </c>
      <c r="Q13" s="14">
        <f>_xll.BDH("AMZN US Equity","EQY_SH_OUT","FQ3 2012","FQ3 2012","Currency=USD","Period=FQ","BEST_FPERIOD_OVERRIDE=FQ","FILING_STATUS=MR","Sort=A","Dates=H","DateFormat=P","Fill=—","Direction=H","UseDPDF=Y")</f>
        <v>452.065</v>
      </c>
      <c r="R13" s="14">
        <f>_xll.BDH("AMZN US Equity","EQY_SH_OUT","FQ4 2012","FQ4 2012","Currency=USD","Period=FQ","BEST_FPERIOD_OVERRIDE=FQ","FILING_STATUS=MR","Sort=A","Dates=H","DateFormat=P","Fill=—","Direction=H","UseDPDF=Y")</f>
        <v>452.95800000000003</v>
      </c>
      <c r="S13" s="14">
        <f>_xll.BDH("AMZN US Equity","EQY_SH_OUT","FQ1 2013","FQ1 2013","Currency=USD","Period=FQ","BEST_FPERIOD_OVERRIDE=FQ","FILING_STATUS=MR","Sort=A","Dates=H","DateFormat=P","Fill=—","Direction=H","UseDPDF=Y")</f>
        <v>454.55099999999999</v>
      </c>
      <c r="T13" s="14">
        <f>_xll.BDH("AMZN US Equity","EQY_SH_OUT","FQ2 2013","FQ2 2013","Currency=USD","Period=FQ","BEST_FPERIOD_OVERRIDE=FQ","FILING_STATUS=MR","Sort=A","Dates=H","DateFormat=P","Fill=—","Direction=H","UseDPDF=Y")</f>
        <v>455.24299999999999</v>
      </c>
      <c r="U13" s="14">
        <f>_xll.BDH("AMZN US Equity","EQY_SH_OUT","FQ3 2013","FQ3 2013","Currency=USD","Period=FQ","BEST_FPERIOD_OVERRIDE=FQ","FILING_STATUS=MR","Sort=A","Dates=H","DateFormat=P","Fill=—","Direction=H","UseDPDF=Y")</f>
        <v>456.88400000000001</v>
      </c>
      <c r="V13" s="14">
        <f>_xll.BDH("AMZN US Equity","EQY_SH_OUT","FQ4 2013","FQ4 2013","Currency=USD","Period=FQ","BEST_FPERIOD_OVERRIDE=FQ","FILING_STATUS=MR","Sort=A","Dates=H","DateFormat=P","Fill=—","Direction=H","UseDPDF=Y")</f>
        <v>457.73399999999998</v>
      </c>
      <c r="W13" s="14">
        <f>_xll.BDH("AMZN US Equity","EQY_SH_OUT","FQ1 2014","FQ1 2014","Currency=USD","Period=FQ","BEST_FPERIOD_OVERRIDE=FQ","FILING_STATUS=MR","Sort=A","Dates=H","DateFormat=P","Fill=—","Direction=H","UseDPDF=Y")</f>
        <v>459.26499999999999</v>
      </c>
      <c r="X13" s="14">
        <f>_xll.BDH("AMZN US Equity","EQY_SH_OUT","FQ2 2014","FQ2 2014","Currency=USD","Period=FQ","BEST_FPERIOD_OVERRIDE=FQ","FILING_STATUS=MR","Sort=A","Dates=H","DateFormat=P","Fill=—","Direction=H","UseDPDF=Y")</f>
        <v>460.16699999999997</v>
      </c>
      <c r="Y13" s="14">
        <f>_xll.BDH("AMZN US Equity","EQY_SH_OUT","FQ3 2014","FQ3 2014","Currency=USD","Period=FQ","BEST_FPERIOD_OVERRIDE=FQ","FILING_STATUS=MR","Sort=A","Dates=H","DateFormat=P","Fill=—","Direction=H","UseDPDF=Y")</f>
        <v>462.036</v>
      </c>
      <c r="Z13" s="14">
        <f>_xll.BDH("AMZN US Equity","EQY_SH_OUT","FQ4 2014","FQ4 2014","Currency=USD","Period=FQ","BEST_FPERIOD_OVERRIDE=FQ","FILING_STATUS=MR","Sort=A","Dates=H","DateFormat=P","Fill=—","Direction=H","UseDPDF=Y")</f>
        <v>463.00599999999997</v>
      </c>
      <c r="AA13" s="14">
        <f>_xll.BDH("AMZN US Equity","EQY_SH_OUT","FQ1 2015","FQ1 2015","Currency=USD","Period=FQ","BEST_FPERIOD_OVERRIDE=FQ","FILING_STATUS=MR","Sort=A","Dates=H","DateFormat=P","Fill=—","Direction=H","UseDPDF=Y")</f>
        <v>464.38400000000001</v>
      </c>
      <c r="AB13" s="14">
        <f>_xll.BDH("AMZN US Equity","EQY_SH_OUT","FQ2 2015","FQ2 2015","Currency=USD","Period=FQ","BEST_FPERIOD_OVERRIDE=FQ","FILING_STATUS=MR","Sort=A","Dates=H","DateFormat=P","Fill=—","Direction=H","UseDPDF=Y")</f>
        <v>465.68099999999998</v>
      </c>
      <c r="AC13" s="14">
        <f>_xll.BDH("AMZN US Equity","EQY_SH_OUT","FQ3 2015","FQ3 2015","Currency=USD","Period=FQ","BEST_FPERIOD_OVERRIDE=FQ","FILING_STATUS=MR","Sort=A","Dates=H","DateFormat=P","Fill=—","Direction=H","UseDPDF=Y")</f>
        <v>467.71</v>
      </c>
      <c r="AD13" s="14">
        <f>_xll.BDH("AMZN US Equity","EQY_SH_OUT","FQ4 2015","FQ4 2015","Currency=USD","Period=FQ","BEST_FPERIOD_OVERRIDE=FQ","FILING_STATUS=MR","Sort=A","Dates=H","DateFormat=P","Fill=—","Direction=H","UseDPDF=Y")</f>
        <v>468.762</v>
      </c>
      <c r="AE13" s="14">
        <f>_xll.BDH("AMZN US Equity","EQY_SH_OUT","FQ1 2016","FQ1 2016","Currency=USD","Period=FQ","BEST_FPERIOD_OVERRIDE=FQ","FILING_STATUS=MR","Sort=A","Dates=H","DateFormat=P","Fill=—","Direction=H","UseDPDF=Y")</f>
        <v>470.84199999999998</v>
      </c>
      <c r="AF13" s="14">
        <f>_xll.BDH("AMZN US Equity","EQY_SH_OUT","FQ2 2016","FQ2 2016","Currency=USD","Period=FQ","BEST_FPERIOD_OVERRIDE=FQ","FILING_STATUS=MR","Sort=A","Dates=H","DateFormat=P","Fill=—","Direction=H","UseDPDF=Y")</f>
        <v>471.82799999999997</v>
      </c>
      <c r="AG13" s="14">
        <f>_xll.BDH("AMZN US Equity","EQY_SH_OUT","FQ3 2016","FQ3 2016","Currency=USD","Period=FQ","BEST_FPERIOD_OVERRIDE=FQ","FILING_STATUS=MR","Sort=A","Dates=H","DateFormat=P","Fill=—","Direction=H","UseDPDF=Y")</f>
        <v>474.07400000000001</v>
      </c>
      <c r="AH13" s="14">
        <f>_xll.BDH("AMZN US Equity","EQY_SH_OUT","FQ4 2016","FQ4 2016","Currency=USD","Period=FQ","BEST_FPERIOD_OVERRIDE=FQ","FILING_STATUS=MR","Sort=A","Dates=H","DateFormat=P","Fill=—","Direction=H","UseDPDF=Y")</f>
        <v>475.16699999999997</v>
      </c>
      <c r="AI13" s="14">
        <f>_xll.BDH("AMZN US Equity","EQY_SH_OUT","FQ1 2017","FQ1 2017","Currency=USD","Period=FQ","BEST_FPERIOD_OVERRIDE=FQ","FILING_STATUS=MR","Sort=A","Dates=H","DateFormat=P","Fill=—","Direction=H","UseDPDF=Y")</f>
        <v>477.17099999999999</v>
      </c>
      <c r="AJ13" s="14">
        <f>_xll.BDH("AMZN US Equity","EQY_SH_OUT","FQ2 2017","FQ2 2017","Currency=USD","Period=FQ","BEST_FPERIOD_OVERRIDE=FQ","FILING_STATUS=MR","Sort=A","Dates=H","DateFormat=P","Fill=—","Direction=H","UseDPDF=Y")</f>
        <v>477.97500000000002</v>
      </c>
      <c r="AK13" s="14">
        <f>_xll.BDH("AMZN US Equity","EQY_SH_OUT","FQ3 2017","FQ3 2017","Currency=USD","Period=FQ","BEST_FPERIOD_OVERRIDE=FQ","FILING_STATUS=MR","Sort=A","Dates=H","DateFormat=P","Fill=—","Direction=H","UseDPDF=Y")</f>
        <v>480.38</v>
      </c>
      <c r="AL13" s="14">
        <f>_xll.BDH("AMZN US Equity","EQY_SH_OUT","FQ4 2017","FQ4 2017","Currency=USD","Period=FQ","BEST_FPERIOD_OVERRIDE=FQ","FILING_STATUS=MR","Sort=A","Dates=H","DateFormat=P","Fill=—","Direction=H","UseDPDF=Y")</f>
        <v>481.87200000000001</v>
      </c>
      <c r="AM13" s="14">
        <f>_xll.BDH("AMZN US Equity","EQY_SH_OUT","FQ1 2018","FQ1 2018","Currency=USD","Period=FQ","BEST_FPERIOD_OVERRIDE=FQ","FILING_STATUS=MR","Sort=A","Dates=H","DateFormat=P","Fill=—","Direction=H","UseDPDF=Y")</f>
        <v>484.10700000000003</v>
      </c>
      <c r="AN13" s="14">
        <f>_xll.BDH("AMZN US Equity","EQY_SH_OUT","FQ2 2018","FQ2 2018","Currency=USD","Period=FQ","BEST_FPERIOD_OVERRIDE=FQ","FILING_STATUS=MR","Sort=A","Dates=H","DateFormat=P","Fill=—","Direction=H","UseDPDF=Y")</f>
        <v>485.22699999999998</v>
      </c>
      <c r="AO13" s="15">
        <v>487.74119999999999</v>
      </c>
    </row>
    <row r="14" spans="1:41" x14ac:dyDescent="0.25">
      <c r="A14" s="10" t="s">
        <v>505</v>
      </c>
      <c r="B14" s="10" t="s">
        <v>506</v>
      </c>
      <c r="C14" s="14">
        <f>_xll.BDH("AMZN US Equity","EQY_FLOAT","FQ1 2009","FQ1 2009","Currency=USD","Period=FQ","BEST_FPERIOD_OVERRIDE=FQ","FILING_STATUS=MR","Sort=A","Dates=H","DateFormat=P","Fill=—","Direction=H","UseDPDF=Y")</f>
        <v>327.815</v>
      </c>
      <c r="D14" s="14">
        <f>_xll.BDH("AMZN US Equity","EQY_FLOAT","FQ2 2009","FQ2 2009","Currency=USD","Period=FQ","BEST_FPERIOD_OVERRIDE=FQ","FILING_STATUS=MR","Sort=A","Dates=H","DateFormat=P","Fill=—","Direction=H","UseDPDF=Y")</f>
        <v>329.94</v>
      </c>
      <c r="E14" s="14">
        <f>_xll.BDH("AMZN US Equity","EQY_FLOAT","FQ3 2009","FQ3 2009","Currency=USD","Period=FQ","BEST_FPERIOD_OVERRIDE=FQ","FILING_STATUS=MR","Sort=A","Dates=H","DateFormat=P","Fill=—","Direction=H","UseDPDF=Y")</f>
        <v>334.101</v>
      </c>
      <c r="F14" s="14">
        <f>_xll.BDH("AMZN US Equity","EQY_FLOAT","FQ4 2009","FQ4 2009","Currency=USD","Period=FQ","BEST_FPERIOD_OVERRIDE=FQ","FILING_STATUS=MR","Sort=A","Dates=H","DateFormat=P","Fill=—","Direction=H","UseDPDF=Y")</f>
        <v>335.37</v>
      </c>
      <c r="G14" s="14">
        <f>_xll.BDH("AMZN US Equity","EQY_FLOAT","FQ1 2010","FQ1 2010","Currency=USD","Period=FQ","BEST_FPERIOD_OVERRIDE=FQ","FILING_STATUS=MR","Sort=A","Dates=H","DateFormat=P","Fill=—","Direction=H","UseDPDF=Y")</f>
        <v>348.935</v>
      </c>
      <c r="H14" s="14">
        <f>_xll.BDH("AMZN US Equity","EQY_FLOAT","FQ2 2010","FQ2 2010","Currency=USD","Period=FQ","BEST_FPERIOD_OVERRIDE=FQ","FILING_STATUS=MR","Sort=A","Dates=H","DateFormat=P","Fill=—","Direction=H","UseDPDF=Y")</f>
        <v>352.05500000000001</v>
      </c>
      <c r="I14" s="14">
        <f>_xll.BDH("AMZN US Equity","EQY_FLOAT","FQ3 2010","FQ3 2010","Currency=USD","Period=FQ","BEST_FPERIOD_OVERRIDE=FQ","FILING_STATUS=MR","Sort=A","Dates=H","DateFormat=P","Fill=—","Direction=H","UseDPDF=Y")</f>
        <v>355.27499999999998</v>
      </c>
      <c r="J14" s="14">
        <f>_xll.BDH("AMZN US Equity","EQY_FLOAT","FQ4 2010","FQ4 2010","Currency=USD","Period=FQ","BEST_FPERIOD_OVERRIDE=FQ","FILING_STATUS=MR","Sort=A","Dates=H","DateFormat=P","Fill=—","Direction=H","UseDPDF=Y")</f>
        <v>357.21300000000002</v>
      </c>
      <c r="K14" s="14">
        <f>_xll.BDH("AMZN US Equity","EQY_FLOAT","FQ1 2011","FQ1 2011","Currency=USD","Period=FQ","BEST_FPERIOD_OVERRIDE=FQ","FILING_STATUS=MR","Sort=A","Dates=H","DateFormat=P","Fill=—","Direction=H","UseDPDF=Y")</f>
        <v>359.38900000000001</v>
      </c>
      <c r="L14" s="14">
        <f>_xll.BDH("AMZN US Equity","EQY_FLOAT","FQ2 2011","FQ2 2011","Currency=USD","Period=FQ","BEST_FPERIOD_OVERRIDE=FQ","FILING_STATUS=MR","Sort=A","Dates=H","DateFormat=P","Fill=—","Direction=H","UseDPDF=Y")</f>
        <v>363.358</v>
      </c>
      <c r="M14" s="14">
        <f>_xll.BDH("AMZN US Equity","EQY_FLOAT","FQ3 2011","FQ3 2011","Currency=USD","Period=FQ","BEST_FPERIOD_OVERRIDE=FQ","FILING_STATUS=MR","Sort=A","Dates=H","DateFormat=P","Fill=—","Direction=H","UseDPDF=Y")</f>
        <v>365.279</v>
      </c>
      <c r="N14" s="14">
        <f>_xll.BDH("AMZN US Equity","EQY_FLOAT","FQ4 2011","FQ4 2011","Currency=USD","Period=FQ","BEST_FPERIOD_OVERRIDE=FQ","FILING_STATUS=MR","Sort=A","Dates=H","DateFormat=P","Fill=—","Direction=H","UseDPDF=Y")</f>
        <v>366.07</v>
      </c>
      <c r="O14" s="14">
        <f>_xll.BDH("AMZN US Equity","EQY_FLOAT","FQ1 2012","FQ1 2012","Currency=USD","Period=FQ","BEST_FPERIOD_OVERRIDE=FQ","FILING_STATUS=MR","Sort=A","Dates=H","DateFormat=P","Fill=—","Direction=H","UseDPDF=Y")</f>
        <v>366.47399999999999</v>
      </c>
      <c r="P14" s="14">
        <f>_xll.BDH("AMZN US Equity","EQY_FLOAT","FQ2 2012","FQ2 2012","Currency=USD","Period=FQ","BEST_FPERIOD_OVERRIDE=FQ","FILING_STATUS=MR","Sort=A","Dates=H","DateFormat=P","Fill=—","Direction=H","UseDPDF=Y")</f>
        <v>361.923</v>
      </c>
      <c r="Q14" s="14">
        <f>_xll.BDH("AMZN US Equity","EQY_FLOAT","FQ3 2012","FQ3 2012","Currency=USD","Period=FQ","BEST_FPERIOD_OVERRIDE=FQ","FILING_STATUS=MR","Sort=A","Dates=H","DateFormat=P","Fill=—","Direction=H","UseDPDF=Y")</f>
        <v>363.44299999999998</v>
      </c>
      <c r="R14" s="14">
        <f>_xll.BDH("AMZN US Equity","EQY_FLOAT","FQ4 2012","FQ4 2012","Currency=USD","Period=FQ","BEST_FPERIOD_OVERRIDE=FQ","FILING_STATUS=MR","Sort=A","Dates=H","DateFormat=P","Fill=—","Direction=H","UseDPDF=Y")</f>
        <v>365.12299999999999</v>
      </c>
      <c r="S14" s="14">
        <f>_xll.BDH("AMZN US Equity","EQY_FLOAT","FQ1 2013","FQ1 2013","Currency=USD","Period=FQ","BEST_FPERIOD_OVERRIDE=FQ","FILING_STATUS=MR","Sort=A","Dates=H","DateFormat=P","Fill=—","Direction=H","UseDPDF=Y")</f>
        <v>366.916</v>
      </c>
      <c r="T14" s="14">
        <f>_xll.BDH("AMZN US Equity","EQY_FLOAT","FQ2 2013","FQ2 2013","Currency=USD","Period=FQ","BEST_FPERIOD_OVERRIDE=FQ","FILING_STATUS=MR","Sort=A","Dates=H","DateFormat=P","Fill=—","Direction=H","UseDPDF=Y")</f>
        <v>367.601</v>
      </c>
      <c r="U14" s="14">
        <f>_xll.BDH("AMZN US Equity","EQY_FLOAT","FQ3 2013","FQ3 2013","Currency=USD","Period=FQ","BEST_FPERIOD_OVERRIDE=FQ","FILING_STATUS=MR","Sort=A","Dates=H","DateFormat=P","Fill=—","Direction=H","UseDPDF=Y")</f>
        <v>370.24799999999999</v>
      </c>
      <c r="V14" s="14">
        <f>_xll.BDH("AMZN US Equity","EQY_FLOAT","FQ4 2013","FQ4 2013","Currency=USD","Period=FQ","BEST_FPERIOD_OVERRIDE=FQ","FILING_STATUS=MR","Sort=A","Dates=H","DateFormat=P","Fill=—","Direction=H","UseDPDF=Y")</f>
        <v>372.149</v>
      </c>
      <c r="W14" s="14">
        <f>_xll.BDH("AMZN US Equity","EQY_FLOAT","FQ1 2014","FQ1 2014","Currency=USD","Period=FQ","BEST_FPERIOD_OVERRIDE=FQ","FILING_STATUS=MR","Sort=A","Dates=H","DateFormat=P","Fill=—","Direction=H","UseDPDF=Y")</f>
        <v>374.66500000000002</v>
      </c>
      <c r="X14" s="14">
        <f>_xll.BDH("AMZN US Equity","EQY_FLOAT","FQ2 2014","FQ2 2014","Currency=USD","Period=FQ","BEST_FPERIOD_OVERRIDE=FQ","FILING_STATUS=MR","Sort=A","Dates=H","DateFormat=P","Fill=—","Direction=H","UseDPDF=Y")</f>
        <v>375.59399999999999</v>
      </c>
      <c r="Y14" s="14">
        <f>_xll.BDH("AMZN US Equity","EQY_FLOAT","FQ3 2014","FQ3 2014","Currency=USD","Period=FQ","BEST_FPERIOD_OVERRIDE=FQ","FILING_STATUS=MR","Sort=A","Dates=H","DateFormat=P","Fill=—","Direction=H","UseDPDF=Y")</f>
        <v>377.44900000000001</v>
      </c>
      <c r="Z14" s="14">
        <f>_xll.BDH("AMZN US Equity","EQY_FLOAT","FQ4 2014","FQ4 2014","Currency=USD","Period=FQ","BEST_FPERIOD_OVERRIDE=FQ","FILING_STATUS=MR","Sort=A","Dates=H","DateFormat=P","Fill=—","Direction=H","UseDPDF=Y")</f>
        <v>378.41800000000001</v>
      </c>
      <c r="AA14" s="14">
        <f>_xll.BDH("AMZN US Equity","EQY_FLOAT","FQ1 2015","FQ1 2015","Currency=USD","Period=FQ","BEST_FPERIOD_OVERRIDE=FQ","FILING_STATUS=MR","Sort=A","Dates=H","DateFormat=P","Fill=—","Direction=H","UseDPDF=Y")</f>
        <v>379.846</v>
      </c>
      <c r="AB14" s="14">
        <f>_xll.BDH("AMZN US Equity","EQY_FLOAT","FQ2 2015","FQ2 2015","Currency=USD","Period=FQ","BEST_FPERIOD_OVERRIDE=FQ","FILING_STATUS=MR","Sort=A","Dates=H","DateFormat=P","Fill=—","Direction=H","UseDPDF=Y")</f>
        <v>381.23599999999999</v>
      </c>
      <c r="AC14" s="14">
        <f>_xll.BDH("AMZN US Equity","EQY_FLOAT","FQ3 2015","FQ3 2015","Currency=USD","Period=FQ","BEST_FPERIOD_OVERRIDE=FQ","FILING_STATUS=MR","Sort=A","Dates=H","DateFormat=P","Fill=—","Direction=H","UseDPDF=Y")</f>
        <v>384.29500000000002</v>
      </c>
      <c r="AD14" s="14">
        <f>_xll.BDH("AMZN US Equity","EQY_FLOAT","FQ4 2015","FQ4 2015","Currency=USD","Period=FQ","BEST_FPERIOD_OVERRIDE=FQ","FILING_STATUS=MR","Sort=A","Dates=H","DateFormat=P","Fill=—","Direction=H","UseDPDF=Y")</f>
        <v>385.37599999999998</v>
      </c>
      <c r="AE14" s="14">
        <f>_xll.BDH("AMZN US Equity","EQY_FLOAT","FQ1 2016","FQ1 2016","Currency=USD","Period=FQ","BEST_FPERIOD_OVERRIDE=FQ","FILING_STATUS=MR","Sort=A","Dates=H","DateFormat=P","Fill=—","Direction=H","UseDPDF=Y")</f>
        <v>387.46199999999999</v>
      </c>
      <c r="AF14" s="14">
        <f>_xll.BDH("AMZN US Equity","EQY_FLOAT","FQ2 2016","FQ2 2016","Currency=USD","Period=FQ","BEST_FPERIOD_OVERRIDE=FQ","FILING_STATUS=MR","Sort=A","Dates=H","DateFormat=P","Fill=—","Direction=H","UseDPDF=Y")</f>
        <v>389.47800000000001</v>
      </c>
      <c r="AG14" s="14">
        <f>_xll.BDH("AMZN US Equity","EQY_FLOAT","FQ3 2016","FQ3 2016","Currency=USD","Period=FQ","BEST_FPERIOD_OVERRIDE=FQ","FILING_STATUS=MR","Sort=A","Dates=H","DateFormat=P","Fill=—","Direction=H","UseDPDF=Y")</f>
        <v>392.74099999999999</v>
      </c>
      <c r="AH14" s="14">
        <f>_xll.BDH("AMZN US Equity","EQY_FLOAT","FQ4 2016","FQ4 2016","Currency=USD","Period=FQ","BEST_FPERIOD_OVERRIDE=FQ","FILING_STATUS=MR","Sort=A","Dates=H","DateFormat=P","Fill=—","Direction=H","UseDPDF=Y")</f>
        <v>393.834</v>
      </c>
      <c r="AI14" s="14">
        <f>_xll.BDH("AMZN US Equity","EQY_FLOAT","FQ1 2017","FQ1 2017","Currency=USD","Period=FQ","BEST_FPERIOD_OVERRIDE=FQ","FILING_STATUS=MR","Sort=A","Dates=H","DateFormat=P","Fill=—","Direction=H","UseDPDF=Y")</f>
        <v>395.84500000000003</v>
      </c>
      <c r="AJ14" s="14">
        <f>_xll.BDH("AMZN US Equity","EQY_FLOAT","FQ2 2017","FQ2 2017","Currency=USD","Period=FQ","BEST_FPERIOD_OVERRIDE=FQ","FILING_STATUS=MR","Sort=A","Dates=H","DateFormat=P","Fill=—","Direction=H","UseDPDF=Y")</f>
        <v>397.69600000000003</v>
      </c>
      <c r="AK14" s="14">
        <f>_xll.BDH("AMZN US Equity","EQY_FLOAT","FQ3 2017","FQ3 2017","Currency=USD","Period=FQ","BEST_FPERIOD_OVERRIDE=FQ","FILING_STATUS=MR","Sort=A","Dates=H","DateFormat=P","Fill=—","Direction=H","UseDPDF=Y")</f>
        <v>400.09300000000002</v>
      </c>
      <c r="AL14" s="14">
        <f>_xll.BDH("AMZN US Equity","EQY_FLOAT","FQ4 2017","FQ4 2017","Currency=USD","Period=FQ","BEST_FPERIOD_OVERRIDE=FQ","FILING_STATUS=MR","Sort=A","Dates=H","DateFormat=P","Fill=—","Direction=H","UseDPDF=Y")</f>
        <v>402.58300000000003</v>
      </c>
      <c r="AM14" s="14">
        <f>_xll.BDH("AMZN US Equity","EQY_FLOAT","FQ1 2018","FQ1 2018","Currency=USD","Period=FQ","BEST_FPERIOD_OVERRIDE=FQ","FILING_STATUS=MR","Sort=A","Dates=H","DateFormat=P","Fill=—","Direction=H","UseDPDF=Y")</f>
        <v>404.834</v>
      </c>
      <c r="AN14" s="14">
        <f>_xll.BDH("AMZN US Equity","EQY_FLOAT","FQ2 2018","FQ2 2018","Currency=USD","Period=FQ","BEST_FPERIOD_OVERRIDE=FQ","FILING_STATUS=MR","Sort=A","Dates=H","DateFormat=P","Fill=—","Direction=H","UseDPDF=Y")</f>
        <v>405.952</v>
      </c>
      <c r="AO14" s="15">
        <v>408.48540000000003</v>
      </c>
    </row>
    <row r="15" spans="1:41" x14ac:dyDescent="0.25">
      <c r="A15" s="7" t="s">
        <v>207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- Adjusted</vt:lpstr>
      <vt:lpstr>Bal Sheet - Standardized</vt:lpstr>
      <vt:lpstr>Cash Flow - Standardized</vt:lpstr>
      <vt:lpstr>Per Share</vt:lpstr>
      <vt:lpstr>Stock 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Yamin Tang</cp:lastModifiedBy>
  <dcterms:created xsi:type="dcterms:W3CDTF">2013-04-03T15:49:21Z</dcterms:created>
  <dcterms:modified xsi:type="dcterms:W3CDTF">2018-10-23T14:27:05Z</dcterms:modified>
</cp:coreProperties>
</file>