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tang26\Desktop\original data from Bloomberg\exxon mobile\"/>
    </mc:Choice>
  </mc:AlternateContent>
  <bookViews>
    <workbookView xWindow="10395" yWindow="-105" windowWidth="14850" windowHeight="12735"/>
  </bookViews>
  <sheets>
    <sheet name="Income - Adjusted" sheetId="2" r:id="rId1"/>
    <sheet name="Bal Sheet - Standardized" sheetId="3" r:id="rId2"/>
    <sheet name="Cash Flow - Standardized" sheetId="4" r:id="rId3"/>
    <sheet name="Per Share" sheetId="5" r:id="rId4"/>
    <sheet name="Stock Value" sheetId="6" r:id="rId5"/>
  </sheets>
  <calcPr calcId="152511"/>
</workbook>
</file>

<file path=xl/calcChain.xml><?xml version="1.0" encoding="utf-8"?>
<calcChain xmlns="http://schemas.openxmlformats.org/spreadsheetml/2006/main">
  <c r="AJ13" i="6" l="1"/>
  <c r="AB13" i="6"/>
  <c r="T13" i="6"/>
  <c r="L13" i="6"/>
  <c r="D13" i="6"/>
  <c r="AD12" i="6"/>
  <c r="V12" i="6"/>
  <c r="N12" i="6"/>
  <c r="F12" i="6"/>
  <c r="AF10" i="6"/>
  <c r="X10" i="6"/>
  <c r="P10" i="6"/>
  <c r="H10" i="6"/>
  <c r="AH9" i="6"/>
  <c r="Z9" i="6"/>
  <c r="R9" i="6"/>
  <c r="J9" i="6"/>
  <c r="AJ8" i="6"/>
  <c r="AB8" i="6"/>
  <c r="T8" i="6"/>
  <c r="L8" i="6"/>
  <c r="D8" i="6"/>
  <c r="AD7" i="6"/>
  <c r="V7" i="6"/>
  <c r="N7" i="6"/>
  <c r="F7" i="6"/>
  <c r="AF6" i="6"/>
  <c r="X6" i="6"/>
  <c r="P6" i="6"/>
  <c r="H6" i="6"/>
  <c r="AH26" i="5"/>
  <c r="Z26" i="5"/>
  <c r="R26" i="5"/>
  <c r="J26" i="5"/>
  <c r="AJ25" i="5"/>
  <c r="AB25" i="5"/>
  <c r="T25" i="5"/>
  <c r="L25" i="5"/>
  <c r="D25" i="5"/>
  <c r="AD23" i="5"/>
  <c r="V23" i="5"/>
  <c r="N23" i="5"/>
  <c r="F23" i="5"/>
  <c r="AF22" i="5"/>
  <c r="X22" i="5"/>
  <c r="P22" i="5"/>
  <c r="H22" i="5"/>
  <c r="AH20" i="5"/>
  <c r="Z20" i="5"/>
  <c r="R20" i="5"/>
  <c r="J20" i="5"/>
  <c r="AJ19" i="5"/>
  <c r="AB19" i="5"/>
  <c r="T19" i="5"/>
  <c r="L19" i="5"/>
  <c r="D19" i="5"/>
  <c r="AD18" i="5"/>
  <c r="V18" i="5"/>
  <c r="N18" i="5"/>
  <c r="F18" i="5"/>
  <c r="AF17" i="5"/>
  <c r="X17" i="5"/>
  <c r="P17" i="5"/>
  <c r="H17" i="5"/>
  <c r="AH16" i="5"/>
  <c r="Z16" i="5"/>
  <c r="R16" i="5"/>
  <c r="J16" i="5"/>
  <c r="AJ15" i="5"/>
  <c r="AB15" i="5"/>
  <c r="T15" i="5"/>
  <c r="L15" i="5"/>
  <c r="D15" i="5"/>
  <c r="AD14" i="5"/>
  <c r="V14" i="5"/>
  <c r="N14" i="5"/>
  <c r="F14" i="5"/>
  <c r="AF13" i="5"/>
  <c r="X13" i="5"/>
  <c r="P13" i="5"/>
  <c r="H13" i="5"/>
  <c r="AH12" i="5"/>
  <c r="Z12" i="5"/>
  <c r="R12" i="5"/>
  <c r="J12" i="5"/>
  <c r="AJ11" i="5"/>
  <c r="AB11" i="5"/>
  <c r="T11" i="5"/>
  <c r="L11" i="5"/>
  <c r="D11" i="5"/>
  <c r="AD8" i="5"/>
  <c r="V8" i="5"/>
  <c r="N8" i="5"/>
  <c r="F8" i="5"/>
  <c r="AF7" i="5"/>
  <c r="X7" i="5"/>
  <c r="P7" i="5"/>
  <c r="H7" i="5"/>
  <c r="AH6" i="5"/>
  <c r="Z6" i="5"/>
  <c r="R6" i="5"/>
  <c r="J6" i="5"/>
  <c r="AJ45" i="4"/>
  <c r="AB45" i="4"/>
  <c r="T45" i="4"/>
  <c r="L45" i="4"/>
  <c r="D45" i="4"/>
  <c r="AD44" i="4"/>
  <c r="V44" i="4"/>
  <c r="N44" i="4"/>
  <c r="F44" i="4"/>
  <c r="AF43" i="4"/>
  <c r="X43" i="4"/>
  <c r="P43" i="4"/>
  <c r="H43" i="4"/>
  <c r="AH42" i="4"/>
  <c r="Z42" i="4"/>
  <c r="R42" i="4"/>
  <c r="J42" i="4"/>
  <c r="AJ41" i="4"/>
  <c r="AB41" i="4"/>
  <c r="T41" i="4"/>
  <c r="L41" i="4"/>
  <c r="D41" i="4"/>
  <c r="AD40" i="4"/>
  <c r="V40" i="4"/>
  <c r="AI13" i="6"/>
  <c r="AA13" i="6"/>
  <c r="S13" i="6"/>
  <c r="K13" i="6"/>
  <c r="C13" i="6"/>
  <c r="AC12" i="6"/>
  <c r="U12" i="6"/>
  <c r="M12" i="6"/>
  <c r="E12" i="6"/>
  <c r="AE10" i="6"/>
  <c r="W10" i="6"/>
  <c r="O10" i="6"/>
  <c r="G10" i="6"/>
  <c r="AG9" i="6"/>
  <c r="Y9" i="6"/>
  <c r="Q9" i="6"/>
  <c r="I9" i="6"/>
  <c r="AI8" i="6"/>
  <c r="AA8" i="6"/>
  <c r="S8" i="6"/>
  <c r="K8" i="6"/>
  <c r="C8" i="6"/>
  <c r="AC7" i="6"/>
  <c r="U7" i="6"/>
  <c r="M7" i="6"/>
  <c r="E7" i="6"/>
  <c r="AE6" i="6"/>
  <c r="W6" i="6"/>
  <c r="O6" i="6"/>
  <c r="G6" i="6"/>
  <c r="AG26" i="5"/>
  <c r="Y26" i="5"/>
  <c r="Q26" i="5"/>
  <c r="I26" i="5"/>
  <c r="AI25" i="5"/>
  <c r="AA25" i="5"/>
  <c r="S25" i="5"/>
  <c r="K25" i="5"/>
  <c r="C25" i="5"/>
  <c r="AC23" i="5"/>
  <c r="U23" i="5"/>
  <c r="M23" i="5"/>
  <c r="E23" i="5"/>
  <c r="AE22" i="5"/>
  <c r="W22" i="5"/>
  <c r="O22" i="5"/>
  <c r="G22" i="5"/>
  <c r="AG20" i="5"/>
  <c r="Y20" i="5"/>
  <c r="Q20" i="5"/>
  <c r="I20" i="5"/>
  <c r="AI19" i="5"/>
  <c r="AA19" i="5"/>
  <c r="S19" i="5"/>
  <c r="K19" i="5"/>
  <c r="C19" i="5"/>
  <c r="AC18" i="5"/>
  <c r="U18" i="5"/>
  <c r="M18" i="5"/>
  <c r="E18" i="5"/>
  <c r="AE17" i="5"/>
  <c r="W17" i="5"/>
  <c r="O17" i="5"/>
  <c r="G17" i="5"/>
  <c r="AG16" i="5"/>
  <c r="Y16" i="5"/>
  <c r="Q16" i="5"/>
  <c r="I16" i="5"/>
  <c r="AI15" i="5"/>
  <c r="AA15" i="5"/>
  <c r="S15" i="5"/>
  <c r="K15" i="5"/>
  <c r="C15" i="5"/>
  <c r="AC14" i="5"/>
  <c r="U14" i="5"/>
  <c r="M14" i="5"/>
  <c r="E14" i="5"/>
  <c r="AE13" i="5"/>
  <c r="W13" i="5"/>
  <c r="O13" i="5"/>
  <c r="G13" i="5"/>
  <c r="AG12" i="5"/>
  <c r="Y12" i="5"/>
  <c r="Q12" i="5"/>
  <c r="I12" i="5"/>
  <c r="AI11" i="5"/>
  <c r="AA11" i="5"/>
  <c r="S11" i="5"/>
  <c r="K11" i="5"/>
  <c r="C11" i="5"/>
  <c r="AC8" i="5"/>
  <c r="U8" i="5"/>
  <c r="M8" i="5"/>
  <c r="E8" i="5"/>
  <c r="AE7" i="5"/>
  <c r="W7" i="5"/>
  <c r="O7" i="5"/>
  <c r="G7" i="5"/>
  <c r="AG6" i="5"/>
  <c r="Y6" i="5"/>
  <c r="Q6" i="5"/>
  <c r="I6" i="5"/>
  <c r="AI45" i="4"/>
  <c r="AA45" i="4"/>
  <c r="S45" i="4"/>
  <c r="K45" i="4"/>
  <c r="C45" i="4"/>
  <c r="AC44" i="4"/>
  <c r="U44" i="4"/>
  <c r="M44" i="4"/>
  <c r="E44" i="4"/>
  <c r="AE43" i="4"/>
  <c r="W43" i="4"/>
  <c r="O43" i="4"/>
  <c r="G43" i="4"/>
  <c r="AG42" i="4"/>
  <c r="Y42" i="4"/>
  <c r="Q42" i="4"/>
  <c r="I42" i="4"/>
  <c r="AI41" i="4"/>
  <c r="AA41" i="4"/>
  <c r="S41" i="4"/>
  <c r="K41" i="4"/>
  <c r="C41" i="4"/>
  <c r="AC40" i="4"/>
  <c r="U40" i="4"/>
  <c r="M40" i="4"/>
  <c r="AH13" i="6"/>
  <c r="Z13" i="6"/>
  <c r="R13" i="6"/>
  <c r="J13" i="6"/>
  <c r="AJ12" i="6"/>
  <c r="AB12" i="6"/>
  <c r="T12" i="6"/>
  <c r="L12" i="6"/>
  <c r="D12" i="6"/>
  <c r="AD10" i="6"/>
  <c r="V10" i="6"/>
  <c r="N10" i="6"/>
  <c r="F10" i="6"/>
  <c r="AF9" i="6"/>
  <c r="X9" i="6"/>
  <c r="P9" i="6"/>
  <c r="H9" i="6"/>
  <c r="AH8" i="6"/>
  <c r="Z8" i="6"/>
  <c r="R8" i="6"/>
  <c r="J8" i="6"/>
  <c r="AJ7" i="6"/>
  <c r="AB7" i="6"/>
  <c r="T7" i="6"/>
  <c r="L7" i="6"/>
  <c r="D7" i="6"/>
  <c r="AD6" i="6"/>
  <c r="V6" i="6"/>
  <c r="N6" i="6"/>
  <c r="F6" i="6"/>
  <c r="AF26" i="5"/>
  <c r="X26" i="5"/>
  <c r="P26" i="5"/>
  <c r="H26" i="5"/>
  <c r="AH25" i="5"/>
  <c r="Z25" i="5"/>
  <c r="R25" i="5"/>
  <c r="J25" i="5"/>
  <c r="AJ23" i="5"/>
  <c r="AB23" i="5"/>
  <c r="T23" i="5"/>
  <c r="L23" i="5"/>
  <c r="D23" i="5"/>
  <c r="AD22" i="5"/>
  <c r="V22" i="5"/>
  <c r="N22" i="5"/>
  <c r="F22" i="5"/>
  <c r="AF20" i="5"/>
  <c r="X20" i="5"/>
  <c r="P20" i="5"/>
  <c r="H20" i="5"/>
  <c r="AH19" i="5"/>
  <c r="Z19" i="5"/>
  <c r="R19" i="5"/>
  <c r="J19" i="5"/>
  <c r="AJ18" i="5"/>
  <c r="AB18" i="5"/>
  <c r="T18" i="5"/>
  <c r="L18" i="5"/>
  <c r="D18" i="5"/>
  <c r="AD17" i="5"/>
  <c r="V17" i="5"/>
  <c r="N17" i="5"/>
  <c r="F17" i="5"/>
  <c r="AF16" i="5"/>
  <c r="X16" i="5"/>
  <c r="P16" i="5"/>
  <c r="H16" i="5"/>
  <c r="AH15" i="5"/>
  <c r="Z15" i="5"/>
  <c r="R15" i="5"/>
  <c r="J15" i="5"/>
  <c r="AJ14" i="5"/>
  <c r="AB14" i="5"/>
  <c r="T14" i="5"/>
  <c r="L14" i="5"/>
  <c r="D14" i="5"/>
  <c r="AD13" i="5"/>
  <c r="V13" i="5"/>
  <c r="N13" i="5"/>
  <c r="F13" i="5"/>
  <c r="AF12" i="5"/>
  <c r="X12" i="5"/>
  <c r="P12" i="5"/>
  <c r="H12" i="5"/>
  <c r="AH11" i="5"/>
  <c r="Z11" i="5"/>
  <c r="R11" i="5"/>
  <c r="J11" i="5"/>
  <c r="AJ8" i="5"/>
  <c r="AB8" i="5"/>
  <c r="T8" i="5"/>
  <c r="L8" i="5"/>
  <c r="D8" i="5"/>
  <c r="AD7" i="5"/>
  <c r="V7" i="5"/>
  <c r="N7" i="5"/>
  <c r="F7" i="5"/>
  <c r="AF6" i="5"/>
  <c r="X6" i="5"/>
  <c r="P6" i="5"/>
  <c r="H6" i="5"/>
  <c r="AH45" i="4"/>
  <c r="Z45" i="4"/>
  <c r="R45" i="4"/>
  <c r="J45" i="4"/>
  <c r="AJ44" i="4"/>
  <c r="AB44" i="4"/>
  <c r="T44" i="4"/>
  <c r="L44" i="4"/>
  <c r="D44" i="4"/>
  <c r="AD43" i="4"/>
  <c r="V43" i="4"/>
  <c r="N43" i="4"/>
  <c r="F43" i="4"/>
  <c r="AF42" i="4"/>
  <c r="X42" i="4"/>
  <c r="P42" i="4"/>
  <c r="H42" i="4"/>
  <c r="AH41" i="4"/>
  <c r="Z41" i="4"/>
  <c r="R41" i="4"/>
  <c r="J41" i="4"/>
  <c r="AJ40" i="4"/>
  <c r="AB40" i="4"/>
  <c r="T40" i="4"/>
  <c r="L40" i="4"/>
  <c r="AG13" i="6"/>
  <c r="Y13" i="6"/>
  <c r="Q13" i="6"/>
  <c r="I13" i="6"/>
  <c r="AI12" i="6"/>
  <c r="AA12" i="6"/>
  <c r="S12" i="6"/>
  <c r="K12" i="6"/>
  <c r="C12" i="6"/>
  <c r="AC10" i="6"/>
  <c r="U10" i="6"/>
  <c r="M10" i="6"/>
  <c r="E10" i="6"/>
  <c r="AE9" i="6"/>
  <c r="W9" i="6"/>
  <c r="O9" i="6"/>
  <c r="G9" i="6"/>
  <c r="AG8" i="6"/>
  <c r="Y8" i="6"/>
  <c r="Q8" i="6"/>
  <c r="I8" i="6"/>
  <c r="AI7" i="6"/>
  <c r="AA7" i="6"/>
  <c r="S7" i="6"/>
  <c r="K7" i="6"/>
  <c r="C7" i="6"/>
  <c r="AC6" i="6"/>
  <c r="U6" i="6"/>
  <c r="M6" i="6"/>
  <c r="E6" i="6"/>
  <c r="AE26" i="5"/>
  <c r="W26" i="5"/>
  <c r="O26" i="5"/>
  <c r="G26" i="5"/>
  <c r="AG25" i="5"/>
  <c r="Y25" i="5"/>
  <c r="Q25" i="5"/>
  <c r="I25" i="5"/>
  <c r="AI23" i="5"/>
  <c r="AA23" i="5"/>
  <c r="S23" i="5"/>
  <c r="K23" i="5"/>
  <c r="C23" i="5"/>
  <c r="AC22" i="5"/>
  <c r="U22" i="5"/>
  <c r="M22" i="5"/>
  <c r="E22" i="5"/>
  <c r="AE20" i="5"/>
  <c r="W20" i="5"/>
  <c r="O20" i="5"/>
  <c r="G20" i="5"/>
  <c r="AG19" i="5"/>
  <c r="Y19" i="5"/>
  <c r="Q19" i="5"/>
  <c r="I19" i="5"/>
  <c r="AI18" i="5"/>
  <c r="AA18" i="5"/>
  <c r="S18" i="5"/>
  <c r="K18" i="5"/>
  <c r="C18" i="5"/>
  <c r="AC17" i="5"/>
  <c r="U17" i="5"/>
  <c r="M17" i="5"/>
  <c r="E17" i="5"/>
  <c r="AE16" i="5"/>
  <c r="W16" i="5"/>
  <c r="O16" i="5"/>
  <c r="G16" i="5"/>
  <c r="AG15" i="5"/>
  <c r="Y15" i="5"/>
  <c r="Q15" i="5"/>
  <c r="I15" i="5"/>
  <c r="AI14" i="5"/>
  <c r="AA14" i="5"/>
  <c r="S14" i="5"/>
  <c r="K14" i="5"/>
  <c r="C14" i="5"/>
  <c r="AC13" i="5"/>
  <c r="U13" i="5"/>
  <c r="M13" i="5"/>
  <c r="E13" i="5"/>
  <c r="AE12" i="5"/>
  <c r="W12" i="5"/>
  <c r="O12" i="5"/>
  <c r="G12" i="5"/>
  <c r="AG11" i="5"/>
  <c r="Y11" i="5"/>
  <c r="Q11" i="5"/>
  <c r="I11" i="5"/>
  <c r="AI8" i="5"/>
  <c r="AA8" i="5"/>
  <c r="S8" i="5"/>
  <c r="K8" i="5"/>
  <c r="C8" i="5"/>
  <c r="AC7" i="5"/>
  <c r="U7" i="5"/>
  <c r="M7" i="5"/>
  <c r="E7" i="5"/>
  <c r="AE6" i="5"/>
  <c r="W6" i="5"/>
  <c r="O6" i="5"/>
  <c r="G6" i="5"/>
  <c r="AG45" i="4"/>
  <c r="Y45" i="4"/>
  <c r="Q45" i="4"/>
  <c r="I45" i="4"/>
  <c r="AI44" i="4"/>
  <c r="AA44" i="4"/>
  <c r="S44" i="4"/>
  <c r="K44" i="4"/>
  <c r="C44" i="4"/>
  <c r="AC43" i="4"/>
  <c r="U43" i="4"/>
  <c r="M43" i="4"/>
  <c r="E43" i="4"/>
  <c r="AE42" i="4"/>
  <c r="W42" i="4"/>
  <c r="O42" i="4"/>
  <c r="G42" i="4"/>
  <c r="AG41" i="4"/>
  <c r="Y41" i="4"/>
  <c r="Q41" i="4"/>
  <c r="I41" i="4"/>
  <c r="AI40" i="4"/>
  <c r="AA40" i="4"/>
  <c r="S40" i="4"/>
  <c r="K40" i="4"/>
  <c r="AF13" i="6"/>
  <c r="X13" i="6"/>
  <c r="P13" i="6"/>
  <c r="H13" i="6"/>
  <c r="AH12" i="6"/>
  <c r="Z12" i="6"/>
  <c r="R12" i="6"/>
  <c r="J12" i="6"/>
  <c r="AJ10" i="6"/>
  <c r="AB10" i="6"/>
  <c r="T10" i="6"/>
  <c r="L10" i="6"/>
  <c r="D10" i="6"/>
  <c r="AD9" i="6"/>
  <c r="V9" i="6"/>
  <c r="N9" i="6"/>
  <c r="F9" i="6"/>
  <c r="AF8" i="6"/>
  <c r="X8" i="6"/>
  <c r="P8" i="6"/>
  <c r="H8" i="6"/>
  <c r="AH7" i="6"/>
  <c r="Z7" i="6"/>
  <c r="R7" i="6"/>
  <c r="J7" i="6"/>
  <c r="AJ6" i="6"/>
  <c r="AB6" i="6"/>
  <c r="T6" i="6"/>
  <c r="L6" i="6"/>
  <c r="D6" i="6"/>
  <c r="AD26" i="5"/>
  <c r="V26" i="5"/>
  <c r="N26" i="5"/>
  <c r="F26" i="5"/>
  <c r="AF25" i="5"/>
  <c r="X25" i="5"/>
  <c r="P25" i="5"/>
  <c r="H25" i="5"/>
  <c r="AH23" i="5"/>
  <c r="Z23" i="5"/>
  <c r="R23" i="5"/>
  <c r="J23" i="5"/>
  <c r="AJ22" i="5"/>
  <c r="AB22" i="5"/>
  <c r="T22" i="5"/>
  <c r="L22" i="5"/>
  <c r="D22" i="5"/>
  <c r="AD20" i="5"/>
  <c r="V20" i="5"/>
  <c r="N20" i="5"/>
  <c r="F20" i="5"/>
  <c r="AF19" i="5"/>
  <c r="X19" i="5"/>
  <c r="P19" i="5"/>
  <c r="H19" i="5"/>
  <c r="AH18" i="5"/>
  <c r="Z18" i="5"/>
  <c r="R18" i="5"/>
  <c r="J18" i="5"/>
  <c r="AJ17" i="5"/>
  <c r="AB17" i="5"/>
  <c r="T17" i="5"/>
  <c r="L17" i="5"/>
  <c r="D17" i="5"/>
  <c r="AD16" i="5"/>
  <c r="V16" i="5"/>
  <c r="N16" i="5"/>
  <c r="F16" i="5"/>
  <c r="AF15" i="5"/>
  <c r="X15" i="5"/>
  <c r="P15" i="5"/>
  <c r="H15" i="5"/>
  <c r="AH14" i="5"/>
  <c r="Z14" i="5"/>
  <c r="R14" i="5"/>
  <c r="J14" i="5"/>
  <c r="AJ13" i="5"/>
  <c r="AB13" i="5"/>
  <c r="T13" i="5"/>
  <c r="L13" i="5"/>
  <c r="D13" i="5"/>
  <c r="AD12" i="5"/>
  <c r="V12" i="5"/>
  <c r="N12" i="5"/>
  <c r="F12" i="5"/>
  <c r="AF11" i="5"/>
  <c r="X11" i="5"/>
  <c r="P11" i="5"/>
  <c r="H11" i="5"/>
  <c r="AH8" i="5"/>
  <c r="Z8" i="5"/>
  <c r="R8" i="5"/>
  <c r="J8" i="5"/>
  <c r="AJ7" i="5"/>
  <c r="AB7" i="5"/>
  <c r="T7" i="5"/>
  <c r="L7" i="5"/>
  <c r="D7" i="5"/>
  <c r="AD6" i="5"/>
  <c r="V6" i="5"/>
  <c r="N6" i="5"/>
  <c r="F6" i="5"/>
  <c r="AF45" i="4"/>
  <c r="X45" i="4"/>
  <c r="P45" i="4"/>
  <c r="H45" i="4"/>
  <c r="AH44" i="4"/>
  <c r="Z44" i="4"/>
  <c r="R44" i="4"/>
  <c r="J44" i="4"/>
  <c r="AJ43" i="4"/>
  <c r="AB43" i="4"/>
  <c r="T43" i="4"/>
  <c r="L43" i="4"/>
  <c r="D43" i="4"/>
  <c r="AD42" i="4"/>
  <c r="V42" i="4"/>
  <c r="N42" i="4"/>
  <c r="F42" i="4"/>
  <c r="AF41" i="4"/>
  <c r="X41" i="4"/>
  <c r="P41" i="4"/>
  <c r="H41" i="4"/>
  <c r="AH40" i="4"/>
  <c r="Z40" i="4"/>
  <c r="R40" i="4"/>
  <c r="J40" i="4"/>
  <c r="AE13" i="6"/>
  <c r="W13" i="6"/>
  <c r="O13" i="6"/>
  <c r="G13" i="6"/>
  <c r="AG12" i="6"/>
  <c r="Y12" i="6"/>
  <c r="Q12" i="6"/>
  <c r="I12" i="6"/>
  <c r="AI10" i="6"/>
  <c r="AA10" i="6"/>
  <c r="S10" i="6"/>
  <c r="K10" i="6"/>
  <c r="C10" i="6"/>
  <c r="AC9" i="6"/>
  <c r="U9" i="6"/>
  <c r="M9" i="6"/>
  <c r="E9" i="6"/>
  <c r="AE8" i="6"/>
  <c r="W8" i="6"/>
  <c r="O8" i="6"/>
  <c r="G8" i="6"/>
  <c r="AG7" i="6"/>
  <c r="Y7" i="6"/>
  <c r="Q7" i="6"/>
  <c r="I7" i="6"/>
  <c r="AI6" i="6"/>
  <c r="AA6" i="6"/>
  <c r="S6" i="6"/>
  <c r="K6" i="6"/>
  <c r="C6" i="6"/>
  <c r="AC26" i="5"/>
  <c r="U26" i="5"/>
  <c r="M26" i="5"/>
  <c r="E26" i="5"/>
  <c r="AE25" i="5"/>
  <c r="W25" i="5"/>
  <c r="O25" i="5"/>
  <c r="G25" i="5"/>
  <c r="AG23" i="5"/>
  <c r="Y23" i="5"/>
  <c r="Q23" i="5"/>
  <c r="I23" i="5"/>
  <c r="AI22" i="5"/>
  <c r="AA22" i="5"/>
  <c r="S22" i="5"/>
  <c r="K22" i="5"/>
  <c r="C22" i="5"/>
  <c r="AC20" i="5"/>
  <c r="U20" i="5"/>
  <c r="M20" i="5"/>
  <c r="E20" i="5"/>
  <c r="AE19" i="5"/>
  <c r="W19" i="5"/>
  <c r="O19" i="5"/>
  <c r="G19" i="5"/>
  <c r="AG18" i="5"/>
  <c r="Y18" i="5"/>
  <c r="Q18" i="5"/>
  <c r="I18" i="5"/>
  <c r="AI17" i="5"/>
  <c r="AA17" i="5"/>
  <c r="S17" i="5"/>
  <c r="K17" i="5"/>
  <c r="C17" i="5"/>
  <c r="AC16" i="5"/>
  <c r="U16" i="5"/>
  <c r="M16" i="5"/>
  <c r="E16" i="5"/>
  <c r="AE15" i="5"/>
  <c r="W15" i="5"/>
  <c r="O15" i="5"/>
  <c r="G15" i="5"/>
  <c r="AG14" i="5"/>
  <c r="Y14" i="5"/>
  <c r="Q14" i="5"/>
  <c r="I14" i="5"/>
  <c r="AI13" i="5"/>
  <c r="AA13" i="5"/>
  <c r="S13" i="5"/>
  <c r="K13" i="5"/>
  <c r="C13" i="5"/>
  <c r="AC12" i="5"/>
  <c r="U12" i="5"/>
  <c r="M12" i="5"/>
  <c r="E12" i="5"/>
  <c r="AE11" i="5"/>
  <c r="W11" i="5"/>
  <c r="O11" i="5"/>
  <c r="G11" i="5"/>
  <c r="AG8" i="5"/>
  <c r="Y8" i="5"/>
  <c r="Q8" i="5"/>
  <c r="I8" i="5"/>
  <c r="AI7" i="5"/>
  <c r="AA7" i="5"/>
  <c r="S7" i="5"/>
  <c r="K7" i="5"/>
  <c r="C7" i="5"/>
  <c r="AC6" i="5"/>
  <c r="U6" i="5"/>
  <c r="M6" i="5"/>
  <c r="E6" i="5"/>
  <c r="AE45" i="4"/>
  <c r="W45" i="4"/>
  <c r="O45" i="4"/>
  <c r="G45" i="4"/>
  <c r="AG44" i="4"/>
  <c r="Y44" i="4"/>
  <c r="Q44" i="4"/>
  <c r="I44" i="4"/>
  <c r="AI43" i="4"/>
  <c r="AA43" i="4"/>
  <c r="S43" i="4"/>
  <c r="K43" i="4"/>
  <c r="C43" i="4"/>
  <c r="AC42" i="4"/>
  <c r="U42" i="4"/>
  <c r="M42" i="4"/>
  <c r="E42" i="4"/>
  <c r="AE41" i="4"/>
  <c r="W41" i="4"/>
  <c r="O41" i="4"/>
  <c r="G41" i="4"/>
  <c r="AG40" i="4"/>
  <c r="Y40" i="4"/>
  <c r="Q40" i="4"/>
  <c r="I40" i="4"/>
  <c r="AD13" i="6"/>
  <c r="V13" i="6"/>
  <c r="N13" i="6"/>
  <c r="F13" i="6"/>
  <c r="AF12" i="6"/>
  <c r="X12" i="6"/>
  <c r="P12" i="6"/>
  <c r="H12" i="6"/>
  <c r="AH10" i="6"/>
  <c r="Z10" i="6"/>
  <c r="R10" i="6"/>
  <c r="J10" i="6"/>
  <c r="AJ9" i="6"/>
  <c r="AB9" i="6"/>
  <c r="T9" i="6"/>
  <c r="L9" i="6"/>
  <c r="D9" i="6"/>
  <c r="AD8" i="6"/>
  <c r="V8" i="6"/>
  <c r="N8" i="6"/>
  <c r="F8" i="6"/>
  <c r="AF7" i="6"/>
  <c r="X7" i="6"/>
  <c r="P7" i="6"/>
  <c r="H7" i="6"/>
  <c r="AH6" i="6"/>
  <c r="Z6" i="6"/>
  <c r="R6" i="6"/>
  <c r="J6" i="6"/>
  <c r="AJ26" i="5"/>
  <c r="AB26" i="5"/>
  <c r="T26" i="5"/>
  <c r="L26" i="5"/>
  <c r="D26" i="5"/>
  <c r="AD25" i="5"/>
  <c r="V25" i="5"/>
  <c r="N25" i="5"/>
  <c r="F25" i="5"/>
  <c r="AF23" i="5"/>
  <c r="X23" i="5"/>
  <c r="P23" i="5"/>
  <c r="H23" i="5"/>
  <c r="AH22" i="5"/>
  <c r="Z22" i="5"/>
  <c r="R22" i="5"/>
  <c r="J22" i="5"/>
  <c r="AJ20" i="5"/>
  <c r="AB20" i="5"/>
  <c r="T20" i="5"/>
  <c r="L20" i="5"/>
  <c r="D20" i="5"/>
  <c r="AD19" i="5"/>
  <c r="V19" i="5"/>
  <c r="N19" i="5"/>
  <c r="F19" i="5"/>
  <c r="AF18" i="5"/>
  <c r="X18" i="5"/>
  <c r="P18" i="5"/>
  <c r="H18" i="5"/>
  <c r="AH17" i="5"/>
  <c r="Z17" i="5"/>
  <c r="R17" i="5"/>
  <c r="J17" i="5"/>
  <c r="AJ16" i="5"/>
  <c r="AB16" i="5"/>
  <c r="T16" i="5"/>
  <c r="L16" i="5"/>
  <c r="D16" i="5"/>
  <c r="AD15" i="5"/>
  <c r="V15" i="5"/>
  <c r="N15" i="5"/>
  <c r="F15" i="5"/>
  <c r="AF14" i="5"/>
  <c r="X14" i="5"/>
  <c r="P14" i="5"/>
  <c r="H14" i="5"/>
  <c r="AH13" i="5"/>
  <c r="Z13" i="5"/>
  <c r="R13" i="5"/>
  <c r="J13" i="5"/>
  <c r="AJ12" i="5"/>
  <c r="AB12" i="5"/>
  <c r="T12" i="5"/>
  <c r="L12" i="5"/>
  <c r="D12" i="5"/>
  <c r="AD11" i="5"/>
  <c r="V11" i="5"/>
  <c r="N11" i="5"/>
  <c r="F11" i="5"/>
  <c r="AF8" i="5"/>
  <c r="X8" i="5"/>
  <c r="P8" i="5"/>
  <c r="H8" i="5"/>
  <c r="AH7" i="5"/>
  <c r="Z7" i="5"/>
  <c r="R7" i="5"/>
  <c r="J7" i="5"/>
  <c r="AJ6" i="5"/>
  <c r="AB6" i="5"/>
  <c r="T6" i="5"/>
  <c r="L6" i="5"/>
  <c r="D6" i="5"/>
  <c r="AD45" i="4"/>
  <c r="V45" i="4"/>
  <c r="N45" i="4"/>
  <c r="F45" i="4"/>
  <c r="AF44" i="4"/>
  <c r="X44" i="4"/>
  <c r="P44" i="4"/>
  <c r="H44" i="4"/>
  <c r="AH43" i="4"/>
  <c r="Z43" i="4"/>
  <c r="R43" i="4"/>
  <c r="J43" i="4"/>
  <c r="AJ42" i="4"/>
  <c r="AB42" i="4"/>
  <c r="T42" i="4"/>
  <c r="L42" i="4"/>
  <c r="D42" i="4"/>
  <c r="AD41" i="4"/>
  <c r="V41" i="4"/>
  <c r="N41" i="4"/>
  <c r="F41" i="4"/>
  <c r="AF40" i="4"/>
  <c r="X40" i="4"/>
  <c r="P40" i="4"/>
  <c r="H40" i="4"/>
  <c r="AC13" i="6"/>
  <c r="AG10" i="6"/>
  <c r="C9" i="6"/>
  <c r="G7" i="6"/>
  <c r="K26" i="5"/>
  <c r="O23" i="5"/>
  <c r="S20" i="5"/>
  <c r="W18" i="5"/>
  <c r="AA16" i="5"/>
  <c r="AE14" i="5"/>
  <c r="AI12" i="5"/>
  <c r="E11" i="5"/>
  <c r="I7" i="5"/>
  <c r="M45" i="4"/>
  <c r="Q43" i="4"/>
  <c r="U41" i="4"/>
  <c r="F40" i="4"/>
  <c r="AF39" i="4"/>
  <c r="X39" i="4"/>
  <c r="P39" i="4"/>
  <c r="H39" i="4"/>
  <c r="AH38" i="4"/>
  <c r="Z38" i="4"/>
  <c r="R38" i="4"/>
  <c r="J38" i="4"/>
  <c r="AJ34" i="4"/>
  <c r="AB34" i="4"/>
  <c r="T34" i="4"/>
  <c r="L34" i="4"/>
  <c r="D34" i="4"/>
  <c r="AD31" i="4"/>
  <c r="V31" i="4"/>
  <c r="N31" i="4"/>
  <c r="F31" i="4"/>
  <c r="AF30" i="4"/>
  <c r="X30" i="4"/>
  <c r="P30" i="4"/>
  <c r="H30" i="4"/>
  <c r="AH29" i="4"/>
  <c r="Z29" i="4"/>
  <c r="R29" i="4"/>
  <c r="J29" i="4"/>
  <c r="AJ28" i="4"/>
  <c r="AB28" i="4"/>
  <c r="T28" i="4"/>
  <c r="L28" i="4"/>
  <c r="D28" i="4"/>
  <c r="AD27" i="4"/>
  <c r="V27" i="4"/>
  <c r="N27" i="4"/>
  <c r="F27" i="4"/>
  <c r="AF26" i="4"/>
  <c r="X26" i="4"/>
  <c r="P26" i="4"/>
  <c r="H26" i="4"/>
  <c r="AH23" i="4"/>
  <c r="Z23" i="4"/>
  <c r="R23" i="4"/>
  <c r="J23" i="4"/>
  <c r="AJ22" i="4"/>
  <c r="AB22" i="4"/>
  <c r="T22" i="4"/>
  <c r="L22" i="4"/>
  <c r="D22" i="4"/>
  <c r="AD21" i="4"/>
  <c r="V21" i="4"/>
  <c r="N21" i="4"/>
  <c r="F21" i="4"/>
  <c r="AF20" i="4"/>
  <c r="X20" i="4"/>
  <c r="P20" i="4"/>
  <c r="H20" i="4"/>
  <c r="AH19" i="4"/>
  <c r="Z19" i="4"/>
  <c r="R19" i="4"/>
  <c r="J19" i="4"/>
  <c r="AJ18" i="4"/>
  <c r="AB18" i="4"/>
  <c r="T18" i="4"/>
  <c r="L18" i="4"/>
  <c r="D18" i="4"/>
  <c r="AD17" i="4"/>
  <c r="V17" i="4"/>
  <c r="N17" i="4"/>
  <c r="F17" i="4"/>
  <c r="AF16" i="4"/>
  <c r="X16" i="4"/>
  <c r="P16" i="4"/>
  <c r="H16" i="4"/>
  <c r="AH13" i="4"/>
  <c r="Z13" i="4"/>
  <c r="R13" i="4"/>
  <c r="J13" i="4"/>
  <c r="AJ12" i="4"/>
  <c r="AB12" i="4"/>
  <c r="T12" i="4"/>
  <c r="L12" i="4"/>
  <c r="D12" i="4"/>
  <c r="AD11" i="4"/>
  <c r="V11" i="4"/>
  <c r="N11" i="4"/>
  <c r="F11" i="4"/>
  <c r="AF10" i="4"/>
  <c r="X10" i="4"/>
  <c r="P10" i="4"/>
  <c r="H10" i="4"/>
  <c r="AH9" i="4"/>
  <c r="Z9" i="4"/>
  <c r="R9" i="4"/>
  <c r="J9" i="4"/>
  <c r="AJ8" i="4"/>
  <c r="AB8" i="4"/>
  <c r="T8" i="4"/>
  <c r="L8" i="4"/>
  <c r="D8" i="4"/>
  <c r="AD7" i="4"/>
  <c r="V7" i="4"/>
  <c r="N7" i="4"/>
  <c r="F7" i="4"/>
  <c r="AF55" i="3"/>
  <c r="X55" i="3"/>
  <c r="P55" i="3"/>
  <c r="H55" i="3"/>
  <c r="AH54" i="3"/>
  <c r="Z54" i="3"/>
  <c r="R54" i="3"/>
  <c r="J54" i="3"/>
  <c r="U13" i="6"/>
  <c r="Y10" i="6"/>
  <c r="AC8" i="6"/>
  <c r="AG6" i="6"/>
  <c r="C26" i="5"/>
  <c r="G23" i="5"/>
  <c r="K20" i="5"/>
  <c r="O18" i="5"/>
  <c r="S16" i="5"/>
  <c r="W14" i="5"/>
  <c r="AA12" i="5"/>
  <c r="AE8" i="5"/>
  <c r="AI6" i="5"/>
  <c r="E45" i="4"/>
  <c r="I43" i="4"/>
  <c r="M41" i="4"/>
  <c r="E40" i="4"/>
  <c r="AE39" i="4"/>
  <c r="W39" i="4"/>
  <c r="O39" i="4"/>
  <c r="G39" i="4"/>
  <c r="AG38" i="4"/>
  <c r="Y38" i="4"/>
  <c r="Q38" i="4"/>
  <c r="I38" i="4"/>
  <c r="AI34" i="4"/>
  <c r="AA34" i="4"/>
  <c r="S34" i="4"/>
  <c r="K34" i="4"/>
  <c r="C34" i="4"/>
  <c r="AC31" i="4"/>
  <c r="U31" i="4"/>
  <c r="M31" i="4"/>
  <c r="E31" i="4"/>
  <c r="AE30" i="4"/>
  <c r="W30" i="4"/>
  <c r="O30" i="4"/>
  <c r="G30" i="4"/>
  <c r="AG29" i="4"/>
  <c r="Y29" i="4"/>
  <c r="Q29" i="4"/>
  <c r="I29" i="4"/>
  <c r="AI28" i="4"/>
  <c r="AA28" i="4"/>
  <c r="S28" i="4"/>
  <c r="K28" i="4"/>
  <c r="C28" i="4"/>
  <c r="AC27" i="4"/>
  <c r="U27" i="4"/>
  <c r="M27" i="4"/>
  <c r="E27" i="4"/>
  <c r="AE26" i="4"/>
  <c r="W26" i="4"/>
  <c r="O26" i="4"/>
  <c r="G26" i="4"/>
  <c r="AG23" i="4"/>
  <c r="Y23" i="4"/>
  <c r="Q23" i="4"/>
  <c r="I23" i="4"/>
  <c r="AI22" i="4"/>
  <c r="AA22" i="4"/>
  <c r="S22" i="4"/>
  <c r="K22" i="4"/>
  <c r="C22" i="4"/>
  <c r="AC21" i="4"/>
  <c r="U21" i="4"/>
  <c r="M21" i="4"/>
  <c r="E21" i="4"/>
  <c r="AE20" i="4"/>
  <c r="W20" i="4"/>
  <c r="O20" i="4"/>
  <c r="G20" i="4"/>
  <c r="AG19" i="4"/>
  <c r="Y19" i="4"/>
  <c r="Q19" i="4"/>
  <c r="I19" i="4"/>
  <c r="AI18" i="4"/>
  <c r="AA18" i="4"/>
  <c r="S18" i="4"/>
  <c r="K18" i="4"/>
  <c r="C18" i="4"/>
  <c r="AC17" i="4"/>
  <c r="U17" i="4"/>
  <c r="M17" i="4"/>
  <c r="E17" i="4"/>
  <c r="AE16" i="4"/>
  <c r="W16" i="4"/>
  <c r="O16" i="4"/>
  <c r="G16" i="4"/>
  <c r="AG13" i="4"/>
  <c r="Y13" i="4"/>
  <c r="Q13" i="4"/>
  <c r="I13" i="4"/>
  <c r="AI12" i="4"/>
  <c r="AA12" i="4"/>
  <c r="S12" i="4"/>
  <c r="K12" i="4"/>
  <c r="C12" i="4"/>
  <c r="AC11" i="4"/>
  <c r="U11" i="4"/>
  <c r="M11" i="4"/>
  <c r="E11" i="4"/>
  <c r="AE10" i="4"/>
  <c r="W10" i="4"/>
  <c r="O10" i="4"/>
  <c r="G10" i="4"/>
  <c r="AG9" i="4"/>
  <c r="Y9" i="4"/>
  <c r="Q9" i="4"/>
  <c r="I9" i="4"/>
  <c r="AI8" i="4"/>
  <c r="AA8" i="4"/>
  <c r="S8" i="4"/>
  <c r="K8" i="4"/>
  <c r="C8" i="4"/>
  <c r="AC7" i="4"/>
  <c r="U7" i="4"/>
  <c r="M7" i="4"/>
  <c r="E7" i="4"/>
  <c r="AE55" i="3"/>
  <c r="W55" i="3"/>
  <c r="O55" i="3"/>
  <c r="G55" i="3"/>
  <c r="M13" i="6"/>
  <c r="Q10" i="6"/>
  <c r="U8" i="6"/>
  <c r="Y6" i="6"/>
  <c r="AC25" i="5"/>
  <c r="AG22" i="5"/>
  <c r="C20" i="5"/>
  <c r="G18" i="5"/>
  <c r="K16" i="5"/>
  <c r="O14" i="5"/>
  <c r="S12" i="5"/>
  <c r="W8" i="5"/>
  <c r="AA6" i="5"/>
  <c r="AE44" i="4"/>
  <c r="AI42" i="4"/>
  <c r="E41" i="4"/>
  <c r="D40" i="4"/>
  <c r="AD39" i="4"/>
  <c r="V39" i="4"/>
  <c r="N39" i="4"/>
  <c r="F39" i="4"/>
  <c r="AF38" i="4"/>
  <c r="X38" i="4"/>
  <c r="P38" i="4"/>
  <c r="H38" i="4"/>
  <c r="AH34" i="4"/>
  <c r="Z34" i="4"/>
  <c r="R34" i="4"/>
  <c r="J34" i="4"/>
  <c r="AJ31" i="4"/>
  <c r="AB31" i="4"/>
  <c r="T31" i="4"/>
  <c r="L31" i="4"/>
  <c r="D31" i="4"/>
  <c r="AD30" i="4"/>
  <c r="V30" i="4"/>
  <c r="N30" i="4"/>
  <c r="F30" i="4"/>
  <c r="AF29" i="4"/>
  <c r="X29" i="4"/>
  <c r="P29" i="4"/>
  <c r="H29" i="4"/>
  <c r="AH28" i="4"/>
  <c r="Z28" i="4"/>
  <c r="R28" i="4"/>
  <c r="J28" i="4"/>
  <c r="AJ27" i="4"/>
  <c r="AB27" i="4"/>
  <c r="T27" i="4"/>
  <c r="L27" i="4"/>
  <c r="D27" i="4"/>
  <c r="AD26" i="4"/>
  <c r="V26" i="4"/>
  <c r="N26" i="4"/>
  <c r="F26" i="4"/>
  <c r="AF23" i="4"/>
  <c r="X23" i="4"/>
  <c r="P23" i="4"/>
  <c r="H23" i="4"/>
  <c r="AH22" i="4"/>
  <c r="Z22" i="4"/>
  <c r="R22" i="4"/>
  <c r="J22" i="4"/>
  <c r="AJ21" i="4"/>
  <c r="AB21" i="4"/>
  <c r="T21" i="4"/>
  <c r="L21" i="4"/>
  <c r="D21" i="4"/>
  <c r="AD20" i="4"/>
  <c r="V20" i="4"/>
  <c r="N20" i="4"/>
  <c r="F20" i="4"/>
  <c r="AF19" i="4"/>
  <c r="X19" i="4"/>
  <c r="P19" i="4"/>
  <c r="H19" i="4"/>
  <c r="AH18" i="4"/>
  <c r="Z18" i="4"/>
  <c r="R18" i="4"/>
  <c r="J18" i="4"/>
  <c r="AJ17" i="4"/>
  <c r="AB17" i="4"/>
  <c r="T17" i="4"/>
  <c r="L17" i="4"/>
  <c r="D17" i="4"/>
  <c r="AD16" i="4"/>
  <c r="V16" i="4"/>
  <c r="N16" i="4"/>
  <c r="F16" i="4"/>
  <c r="AF13" i="4"/>
  <c r="X13" i="4"/>
  <c r="P13" i="4"/>
  <c r="H13" i="4"/>
  <c r="AH12" i="4"/>
  <c r="Z12" i="4"/>
  <c r="R12" i="4"/>
  <c r="J12" i="4"/>
  <c r="AJ11" i="4"/>
  <c r="AB11" i="4"/>
  <c r="T11" i="4"/>
  <c r="L11" i="4"/>
  <c r="D11" i="4"/>
  <c r="AD10" i="4"/>
  <c r="V10" i="4"/>
  <c r="N10" i="4"/>
  <c r="F10" i="4"/>
  <c r="E13" i="6"/>
  <c r="I10" i="6"/>
  <c r="M8" i="6"/>
  <c r="Q6" i="6"/>
  <c r="U25" i="5"/>
  <c r="Y22" i="5"/>
  <c r="AC19" i="5"/>
  <c r="AG17" i="5"/>
  <c r="C16" i="5"/>
  <c r="G14" i="5"/>
  <c r="K12" i="5"/>
  <c r="O8" i="5"/>
  <c r="S6" i="5"/>
  <c r="W44" i="4"/>
  <c r="AA42" i="4"/>
  <c r="AE40" i="4"/>
  <c r="C40" i="4"/>
  <c r="AC39" i="4"/>
  <c r="U39" i="4"/>
  <c r="M39" i="4"/>
  <c r="E39" i="4"/>
  <c r="AE38" i="4"/>
  <c r="W38" i="4"/>
  <c r="O38" i="4"/>
  <c r="G38" i="4"/>
  <c r="AG34" i="4"/>
  <c r="Y34" i="4"/>
  <c r="Q34" i="4"/>
  <c r="I34" i="4"/>
  <c r="AI31" i="4"/>
  <c r="AA31" i="4"/>
  <c r="S31" i="4"/>
  <c r="K31" i="4"/>
  <c r="C31" i="4"/>
  <c r="AC30" i="4"/>
  <c r="U30" i="4"/>
  <c r="M30" i="4"/>
  <c r="E30" i="4"/>
  <c r="AE29" i="4"/>
  <c r="W29" i="4"/>
  <c r="O29" i="4"/>
  <c r="G29" i="4"/>
  <c r="AG28" i="4"/>
  <c r="Y28" i="4"/>
  <c r="Q28" i="4"/>
  <c r="I28" i="4"/>
  <c r="AI27" i="4"/>
  <c r="AA27" i="4"/>
  <c r="S27" i="4"/>
  <c r="K27" i="4"/>
  <c r="C27" i="4"/>
  <c r="AC26" i="4"/>
  <c r="U26" i="4"/>
  <c r="M26" i="4"/>
  <c r="E26" i="4"/>
  <c r="AE23" i="4"/>
  <c r="W23" i="4"/>
  <c r="O23" i="4"/>
  <c r="G23" i="4"/>
  <c r="AG22" i="4"/>
  <c r="Y22" i="4"/>
  <c r="Q22" i="4"/>
  <c r="I22" i="4"/>
  <c r="AI21" i="4"/>
  <c r="AA21" i="4"/>
  <c r="S21" i="4"/>
  <c r="K21" i="4"/>
  <c r="C21" i="4"/>
  <c r="AC20" i="4"/>
  <c r="U20" i="4"/>
  <c r="M20" i="4"/>
  <c r="E20" i="4"/>
  <c r="AE19" i="4"/>
  <c r="W19" i="4"/>
  <c r="O19" i="4"/>
  <c r="G19" i="4"/>
  <c r="AG18" i="4"/>
  <c r="Y18" i="4"/>
  <c r="Q18" i="4"/>
  <c r="I18" i="4"/>
  <c r="AI17" i="4"/>
  <c r="AA17" i="4"/>
  <c r="S17" i="4"/>
  <c r="K17" i="4"/>
  <c r="C17" i="4"/>
  <c r="AC16" i="4"/>
  <c r="U16" i="4"/>
  <c r="M16" i="4"/>
  <c r="E16" i="4"/>
  <c r="AE13" i="4"/>
  <c r="W13" i="4"/>
  <c r="O13" i="4"/>
  <c r="G13" i="4"/>
  <c r="AG12" i="4"/>
  <c r="Y12" i="4"/>
  <c r="Q12" i="4"/>
  <c r="I12" i="4"/>
  <c r="AI11" i="4"/>
  <c r="AA11" i="4"/>
  <c r="S11" i="4"/>
  <c r="K11" i="4"/>
  <c r="C11" i="4"/>
  <c r="AC10" i="4"/>
  <c r="U10" i="4"/>
  <c r="M10" i="4"/>
  <c r="E10" i="4"/>
  <c r="AE9" i="4"/>
  <c r="W9" i="4"/>
  <c r="O9" i="4"/>
  <c r="G9" i="4"/>
  <c r="AG8" i="4"/>
  <c r="Y8" i="4"/>
  <c r="Q8" i="4"/>
  <c r="I8" i="4"/>
  <c r="AI7" i="4"/>
  <c r="AA7" i="4"/>
  <c r="S7" i="4"/>
  <c r="K7" i="4"/>
  <c r="C7" i="4"/>
  <c r="AC55" i="3"/>
  <c r="U55" i="3"/>
  <c r="AE12" i="6"/>
  <c r="AI9" i="6"/>
  <c r="E8" i="6"/>
  <c r="I6" i="6"/>
  <c r="M25" i="5"/>
  <c r="Q22" i="5"/>
  <c r="U19" i="5"/>
  <c r="Y17" i="5"/>
  <c r="AC15" i="5"/>
  <c r="AG13" i="5"/>
  <c r="C12" i="5"/>
  <c r="G8" i="5"/>
  <c r="K6" i="5"/>
  <c r="O44" i="4"/>
  <c r="S42" i="4"/>
  <c r="W40" i="4"/>
  <c r="AJ39" i="4"/>
  <c r="AB39" i="4"/>
  <c r="T39" i="4"/>
  <c r="L39" i="4"/>
  <c r="D39" i="4"/>
  <c r="AD38" i="4"/>
  <c r="V38" i="4"/>
  <c r="N38" i="4"/>
  <c r="F38" i="4"/>
  <c r="AF34" i="4"/>
  <c r="X34" i="4"/>
  <c r="P34" i="4"/>
  <c r="H34" i="4"/>
  <c r="AH31" i="4"/>
  <c r="Z31" i="4"/>
  <c r="R31" i="4"/>
  <c r="J31" i="4"/>
  <c r="AJ30" i="4"/>
  <c r="AB30" i="4"/>
  <c r="T30" i="4"/>
  <c r="L30" i="4"/>
  <c r="D30" i="4"/>
  <c r="AD29" i="4"/>
  <c r="V29" i="4"/>
  <c r="N29" i="4"/>
  <c r="F29" i="4"/>
  <c r="AF28" i="4"/>
  <c r="X28" i="4"/>
  <c r="P28" i="4"/>
  <c r="H28" i="4"/>
  <c r="AH27" i="4"/>
  <c r="W12" i="6"/>
  <c r="O7" i="6"/>
  <c r="AI20" i="5"/>
  <c r="U15" i="5"/>
  <c r="M11" i="5"/>
  <c r="AG43" i="4"/>
  <c r="AI39" i="4"/>
  <c r="Q39" i="4"/>
  <c r="AB38" i="4"/>
  <c r="E38" i="4"/>
  <c r="U34" i="4"/>
  <c r="AF31" i="4"/>
  <c r="I31" i="4"/>
  <c r="Y30" i="4"/>
  <c r="AJ29" i="4"/>
  <c r="M29" i="4"/>
  <c r="AC28" i="4"/>
  <c r="F28" i="4"/>
  <c r="W27" i="4"/>
  <c r="G27" i="4"/>
  <c r="Y26" i="4"/>
  <c r="I26" i="4"/>
  <c r="AA23" i="4"/>
  <c r="K23" i="4"/>
  <c r="AC22" i="4"/>
  <c r="M22" i="4"/>
  <c r="AE21" i="4"/>
  <c r="O21" i="4"/>
  <c r="AG20" i="4"/>
  <c r="Q20" i="4"/>
  <c r="AI19" i="4"/>
  <c r="S19" i="4"/>
  <c r="C19" i="4"/>
  <c r="U18" i="4"/>
  <c r="E18" i="4"/>
  <c r="W17" i="4"/>
  <c r="G17" i="4"/>
  <c r="Y16" i="4"/>
  <c r="I16" i="4"/>
  <c r="AA13" i="4"/>
  <c r="K13" i="4"/>
  <c r="AC12" i="4"/>
  <c r="M12" i="4"/>
  <c r="AE11" i="4"/>
  <c r="O11" i="4"/>
  <c r="AG10" i="4"/>
  <c r="Q10" i="4"/>
  <c r="AI9" i="4"/>
  <c r="U9" i="4"/>
  <c r="H9" i="4"/>
  <c r="AD8" i="4"/>
  <c r="P8" i="4"/>
  <c r="E8" i="4"/>
  <c r="Y7" i="4"/>
  <c r="L7" i="4"/>
  <c r="AH55" i="3"/>
  <c r="T55" i="3"/>
  <c r="J55" i="3"/>
  <c r="AG54" i="3"/>
  <c r="X54" i="3"/>
  <c r="O54" i="3"/>
  <c r="F54" i="3"/>
  <c r="AF53" i="3"/>
  <c r="X53" i="3"/>
  <c r="P53" i="3"/>
  <c r="H53" i="3"/>
  <c r="AH52" i="3"/>
  <c r="Z52" i="3"/>
  <c r="R52" i="3"/>
  <c r="J52" i="3"/>
  <c r="AJ51" i="3"/>
  <c r="AB51" i="3"/>
  <c r="T51" i="3"/>
  <c r="L51" i="3"/>
  <c r="D51" i="3"/>
  <c r="AD50" i="3"/>
  <c r="V50" i="3"/>
  <c r="N50" i="3"/>
  <c r="F50" i="3"/>
  <c r="AF49" i="3"/>
  <c r="X49" i="3"/>
  <c r="P49" i="3"/>
  <c r="H49" i="3"/>
  <c r="AH45" i="3"/>
  <c r="Z45" i="3"/>
  <c r="R45" i="3"/>
  <c r="J45" i="3"/>
  <c r="AJ44" i="3"/>
  <c r="AB44" i="3"/>
  <c r="T44" i="3"/>
  <c r="L44" i="3"/>
  <c r="D44" i="3"/>
  <c r="AD43" i="3"/>
  <c r="V43" i="3"/>
  <c r="N43" i="3"/>
  <c r="F43" i="3"/>
  <c r="AF42" i="3"/>
  <c r="X42" i="3"/>
  <c r="P42" i="3"/>
  <c r="H42" i="3"/>
  <c r="AH41" i="3"/>
  <c r="Z41" i="3"/>
  <c r="R41" i="3"/>
  <c r="J41" i="3"/>
  <c r="AJ40" i="3"/>
  <c r="AB40" i="3"/>
  <c r="T40" i="3"/>
  <c r="L40" i="3"/>
  <c r="D40" i="3"/>
  <c r="AD39" i="3"/>
  <c r="V39" i="3"/>
  <c r="N39" i="3"/>
  <c r="F39" i="3"/>
  <c r="AF38" i="3"/>
  <c r="X38" i="3"/>
  <c r="P38" i="3"/>
  <c r="H38" i="3"/>
  <c r="AH37" i="3"/>
  <c r="Z37" i="3"/>
  <c r="R37" i="3"/>
  <c r="J37" i="3"/>
  <c r="AJ36" i="3"/>
  <c r="AB36" i="3"/>
  <c r="T36" i="3"/>
  <c r="L36" i="3"/>
  <c r="D36" i="3"/>
  <c r="AD35" i="3"/>
  <c r="V35" i="3"/>
  <c r="N35" i="3"/>
  <c r="F35" i="3"/>
  <c r="O12" i="6"/>
  <c r="AI26" i="5"/>
  <c r="AA20" i="5"/>
  <c r="M15" i="5"/>
  <c r="AG7" i="5"/>
  <c r="Y43" i="4"/>
  <c r="AH39" i="4"/>
  <c r="K39" i="4"/>
  <c r="AA38" i="4"/>
  <c r="D38" i="4"/>
  <c r="O34" i="4"/>
  <c r="AE31" i="4"/>
  <c r="H31" i="4"/>
  <c r="S30" i="4"/>
  <c r="AI29" i="4"/>
  <c r="L29" i="4"/>
  <c r="W28" i="4"/>
  <c r="E28" i="4"/>
  <c r="R27" i="4"/>
  <c r="AJ26" i="4"/>
  <c r="T26" i="4"/>
  <c r="D26" i="4"/>
  <c r="V23" i="4"/>
  <c r="F23" i="4"/>
  <c r="X22" i="4"/>
  <c r="H22" i="4"/>
  <c r="Z21" i="4"/>
  <c r="J21" i="4"/>
  <c r="AB20" i="4"/>
  <c r="L20" i="4"/>
  <c r="AD19" i="4"/>
  <c r="N19" i="4"/>
  <c r="AF18" i="4"/>
  <c r="P18" i="4"/>
  <c r="AH17" i="4"/>
  <c r="R17" i="4"/>
  <c r="AJ16" i="4"/>
  <c r="T16" i="4"/>
  <c r="D16" i="4"/>
  <c r="V13" i="4"/>
  <c r="F13" i="4"/>
  <c r="X12" i="4"/>
  <c r="H12" i="4"/>
  <c r="Z11" i="4"/>
  <c r="J11" i="4"/>
  <c r="AB10" i="4"/>
  <c r="L10" i="4"/>
  <c r="AF9" i="4"/>
  <c r="T9" i="4"/>
  <c r="F9" i="4"/>
  <c r="AC8" i="4"/>
  <c r="O8" i="4"/>
  <c r="AJ7" i="4"/>
  <c r="X7" i="4"/>
  <c r="J7" i="4"/>
  <c r="AG55" i="3"/>
  <c r="S55" i="3"/>
  <c r="I55" i="3"/>
  <c r="AF54" i="3"/>
  <c r="W54" i="3"/>
  <c r="N54" i="3"/>
  <c r="E54" i="3"/>
  <c r="AE53" i="3"/>
  <c r="W53" i="3"/>
  <c r="O53" i="3"/>
  <c r="G53" i="3"/>
  <c r="AG52" i="3"/>
  <c r="Y52" i="3"/>
  <c r="Q52" i="3"/>
  <c r="I52" i="3"/>
  <c r="AI51" i="3"/>
  <c r="AA51" i="3"/>
  <c r="S51" i="3"/>
  <c r="K51" i="3"/>
  <c r="C51" i="3"/>
  <c r="AC50" i="3"/>
  <c r="U50" i="3"/>
  <c r="M50" i="3"/>
  <c r="E50" i="3"/>
  <c r="AE49" i="3"/>
  <c r="W49" i="3"/>
  <c r="O49" i="3"/>
  <c r="G49" i="3"/>
  <c r="AG45" i="3"/>
  <c r="Y45" i="3"/>
  <c r="Q45" i="3"/>
  <c r="I45" i="3"/>
  <c r="AI44" i="3"/>
  <c r="AA44" i="3"/>
  <c r="S44" i="3"/>
  <c r="K44" i="3"/>
  <c r="C44" i="3"/>
  <c r="AC43" i="3"/>
  <c r="U43" i="3"/>
  <c r="M43" i="3"/>
  <c r="E43" i="3"/>
  <c r="AE42" i="3"/>
  <c r="W42" i="3"/>
  <c r="O42" i="3"/>
  <c r="G42" i="3"/>
  <c r="AG41" i="3"/>
  <c r="Y41" i="3"/>
  <c r="Q41" i="3"/>
  <c r="I41" i="3"/>
  <c r="AI40" i="3"/>
  <c r="AA40" i="3"/>
  <c r="S40" i="3"/>
  <c r="K40" i="3"/>
  <c r="C40" i="3"/>
  <c r="AC39" i="3"/>
  <c r="U39" i="3"/>
  <c r="M39" i="3"/>
  <c r="E39" i="3"/>
  <c r="AE38" i="3"/>
  <c r="W38" i="3"/>
  <c r="O38" i="3"/>
  <c r="G38" i="3"/>
  <c r="AG37" i="3"/>
  <c r="Y37" i="3"/>
  <c r="Q37" i="3"/>
  <c r="I37" i="3"/>
  <c r="AI36" i="3"/>
  <c r="AA36" i="3"/>
  <c r="S36" i="3"/>
  <c r="K36" i="3"/>
  <c r="C36" i="3"/>
  <c r="AC35" i="3"/>
  <c r="G12" i="6"/>
  <c r="AA26" i="5"/>
  <c r="M19" i="5"/>
  <c r="E15" i="5"/>
  <c r="Y7" i="5"/>
  <c r="K42" i="4"/>
  <c r="AG39" i="4"/>
  <c r="J39" i="4"/>
  <c r="U38" i="4"/>
  <c r="C38" i="4"/>
  <c r="N34" i="4"/>
  <c r="Y31" i="4"/>
  <c r="G31" i="4"/>
  <c r="R30" i="4"/>
  <c r="AC29" i="4"/>
  <c r="K29" i="4"/>
  <c r="V28" i="4"/>
  <c r="AG27" i="4"/>
  <c r="Q27" i="4"/>
  <c r="AI26" i="4"/>
  <c r="S26" i="4"/>
  <c r="C26" i="4"/>
  <c r="U23" i="4"/>
  <c r="E23" i="4"/>
  <c r="W22" i="4"/>
  <c r="G22" i="4"/>
  <c r="Y21" i="4"/>
  <c r="I21" i="4"/>
  <c r="AA20" i="4"/>
  <c r="K20" i="4"/>
  <c r="AC19" i="4"/>
  <c r="M19" i="4"/>
  <c r="AE18" i="4"/>
  <c r="O18" i="4"/>
  <c r="AG17" i="4"/>
  <c r="Q17" i="4"/>
  <c r="AI16" i="4"/>
  <c r="S16" i="4"/>
  <c r="C16" i="4"/>
  <c r="U13" i="4"/>
  <c r="E13" i="4"/>
  <c r="W12" i="4"/>
  <c r="G12" i="4"/>
  <c r="Y11" i="4"/>
  <c r="I11" i="4"/>
  <c r="AA10" i="4"/>
  <c r="K10" i="4"/>
  <c r="AD9" i="4"/>
  <c r="S9" i="4"/>
  <c r="E9" i="4"/>
  <c r="Z8" i="4"/>
  <c r="N8" i="4"/>
  <c r="AH7" i="4"/>
  <c r="W7" i="4"/>
  <c r="I7" i="4"/>
  <c r="AD55" i="3"/>
  <c r="R55" i="3"/>
  <c r="F55" i="3"/>
  <c r="AE54" i="3"/>
  <c r="V54" i="3"/>
  <c r="M54" i="3"/>
  <c r="D54" i="3"/>
  <c r="AD53" i="3"/>
  <c r="V53" i="3"/>
  <c r="N53" i="3"/>
  <c r="F53" i="3"/>
  <c r="AF52" i="3"/>
  <c r="X52" i="3"/>
  <c r="P52" i="3"/>
  <c r="H52" i="3"/>
  <c r="AH51" i="3"/>
  <c r="Z51" i="3"/>
  <c r="R51" i="3"/>
  <c r="J51" i="3"/>
  <c r="AJ50" i="3"/>
  <c r="AB50" i="3"/>
  <c r="T50" i="3"/>
  <c r="L50" i="3"/>
  <c r="D50" i="3"/>
  <c r="AD49" i="3"/>
  <c r="V49" i="3"/>
  <c r="N49" i="3"/>
  <c r="F49" i="3"/>
  <c r="AF45" i="3"/>
  <c r="X45" i="3"/>
  <c r="P45" i="3"/>
  <c r="H45" i="3"/>
  <c r="AH44" i="3"/>
  <c r="Z44" i="3"/>
  <c r="R44" i="3"/>
  <c r="J44" i="3"/>
  <c r="AJ43" i="3"/>
  <c r="AB43" i="3"/>
  <c r="T43" i="3"/>
  <c r="L43" i="3"/>
  <c r="D43" i="3"/>
  <c r="AD42" i="3"/>
  <c r="V42" i="3"/>
  <c r="N42" i="3"/>
  <c r="F42" i="3"/>
  <c r="AF41" i="3"/>
  <c r="X41" i="3"/>
  <c r="P41" i="3"/>
  <c r="H41" i="3"/>
  <c r="AH40" i="3"/>
  <c r="Z40" i="3"/>
  <c r="R40" i="3"/>
  <c r="J40" i="3"/>
  <c r="AJ39" i="3"/>
  <c r="AB39" i="3"/>
  <c r="T39" i="3"/>
  <c r="L39" i="3"/>
  <c r="D39" i="3"/>
  <c r="AD38" i="3"/>
  <c r="V38" i="3"/>
  <c r="N38" i="3"/>
  <c r="F38" i="3"/>
  <c r="AF37" i="3"/>
  <c r="X37" i="3"/>
  <c r="P37" i="3"/>
  <c r="H37" i="3"/>
  <c r="AH36" i="3"/>
  <c r="Z36" i="3"/>
  <c r="R36" i="3"/>
  <c r="J36" i="3"/>
  <c r="AJ35" i="3"/>
  <c r="AB35" i="3"/>
  <c r="T35" i="3"/>
  <c r="AA9" i="6"/>
  <c r="S26" i="5"/>
  <c r="E19" i="5"/>
  <c r="Y13" i="5"/>
  <c r="Q7" i="5"/>
  <c r="C42" i="4"/>
  <c r="AA39" i="4"/>
  <c r="I39" i="4"/>
  <c r="T38" i="4"/>
  <c r="AE34" i="4"/>
  <c r="M34" i="4"/>
  <c r="X31" i="4"/>
  <c r="AI30" i="4"/>
  <c r="Q30" i="4"/>
  <c r="AB29" i="4"/>
  <c r="E29" i="4"/>
  <c r="U28" i="4"/>
  <c r="AF27" i="4"/>
  <c r="P27" i="4"/>
  <c r="AH26" i="4"/>
  <c r="R26" i="4"/>
  <c r="AJ23" i="4"/>
  <c r="T23" i="4"/>
  <c r="D23" i="4"/>
  <c r="V22" i="4"/>
  <c r="F22" i="4"/>
  <c r="X21" i="4"/>
  <c r="H21" i="4"/>
  <c r="Z20" i="4"/>
  <c r="J20" i="4"/>
  <c r="AB19" i="4"/>
  <c r="L19" i="4"/>
  <c r="AD18" i="4"/>
  <c r="N18" i="4"/>
  <c r="AF17" i="4"/>
  <c r="P17" i="4"/>
  <c r="AH16" i="4"/>
  <c r="R16" i="4"/>
  <c r="AJ13" i="4"/>
  <c r="T13" i="4"/>
  <c r="D13" i="4"/>
  <c r="V12" i="4"/>
  <c r="F12" i="4"/>
  <c r="X11" i="4"/>
  <c r="H11" i="4"/>
  <c r="Z10" i="4"/>
  <c r="J10" i="4"/>
  <c r="AC9" i="4"/>
  <c r="P9" i="4"/>
  <c r="D9" i="4"/>
  <c r="X8" i="4"/>
  <c r="M8" i="4"/>
  <c r="AG7" i="4"/>
  <c r="T7" i="4"/>
  <c r="H7" i="4"/>
  <c r="AB55" i="3"/>
  <c r="Q55" i="3"/>
  <c r="E55" i="3"/>
  <c r="AD54" i="3"/>
  <c r="U54" i="3"/>
  <c r="L54" i="3"/>
  <c r="C54" i="3"/>
  <c r="AC53" i="3"/>
  <c r="U53" i="3"/>
  <c r="M53" i="3"/>
  <c r="E53" i="3"/>
  <c r="AE52" i="3"/>
  <c r="W52" i="3"/>
  <c r="O52" i="3"/>
  <c r="G52" i="3"/>
  <c r="AG51" i="3"/>
  <c r="Y51" i="3"/>
  <c r="Q51" i="3"/>
  <c r="I51" i="3"/>
  <c r="AI50" i="3"/>
  <c r="AA50" i="3"/>
  <c r="S50" i="3"/>
  <c r="K50" i="3"/>
  <c r="C50" i="3"/>
  <c r="AC49" i="3"/>
  <c r="U49" i="3"/>
  <c r="M49" i="3"/>
  <c r="E49" i="3"/>
  <c r="AE45" i="3"/>
  <c r="W45" i="3"/>
  <c r="O45" i="3"/>
  <c r="G45" i="3"/>
  <c r="AG44" i="3"/>
  <c r="Y44" i="3"/>
  <c r="Q44" i="3"/>
  <c r="I44" i="3"/>
  <c r="AI43" i="3"/>
  <c r="AA43" i="3"/>
  <c r="S43" i="3"/>
  <c r="K43" i="3"/>
  <c r="C43" i="3"/>
  <c r="AC42" i="3"/>
  <c r="U42" i="3"/>
  <c r="M42" i="3"/>
  <c r="E42" i="3"/>
  <c r="AE41" i="3"/>
  <c r="W41" i="3"/>
  <c r="O41" i="3"/>
  <c r="G41" i="3"/>
  <c r="AG40" i="3"/>
  <c r="Y40" i="3"/>
  <c r="Q40" i="3"/>
  <c r="I40" i="3"/>
  <c r="AI39" i="3"/>
  <c r="AA39" i="3"/>
  <c r="S39" i="3"/>
  <c r="K39" i="3"/>
  <c r="C39" i="3"/>
  <c r="AC38" i="3"/>
  <c r="U38" i="3"/>
  <c r="M38" i="3"/>
  <c r="E38" i="3"/>
  <c r="AE37" i="3"/>
  <c r="W37" i="3"/>
  <c r="O37" i="3"/>
  <c r="G37" i="3"/>
  <c r="AG36" i="3"/>
  <c r="Y36" i="3"/>
  <c r="Q36" i="3"/>
  <c r="I36" i="3"/>
  <c r="AI35" i="3"/>
  <c r="AA35" i="3"/>
  <c r="S9" i="6"/>
  <c r="E25" i="5"/>
  <c r="AE18" i="5"/>
  <c r="Q13" i="5"/>
  <c r="C6" i="5"/>
  <c r="AC41" i="4"/>
  <c r="Z39" i="4"/>
  <c r="C39" i="4"/>
  <c r="S38" i="4"/>
  <c r="AD34" i="4"/>
  <c r="G34" i="4"/>
  <c r="W31" i="4"/>
  <c r="AH30" i="4"/>
  <c r="K30" i="4"/>
  <c r="AA29" i="4"/>
  <c r="D29" i="4"/>
  <c r="O28" i="4"/>
  <c r="AE27" i="4"/>
  <c r="O27" i="4"/>
  <c r="AG26" i="4"/>
  <c r="Q26" i="4"/>
  <c r="AI23" i="4"/>
  <c r="S23" i="4"/>
  <c r="C23" i="4"/>
  <c r="U22" i="4"/>
  <c r="E22" i="4"/>
  <c r="W21" i="4"/>
  <c r="G21" i="4"/>
  <c r="Y20" i="4"/>
  <c r="I20" i="4"/>
  <c r="AA19" i="4"/>
  <c r="K19" i="4"/>
  <c r="AC18" i="4"/>
  <c r="M18" i="4"/>
  <c r="AE17" i="4"/>
  <c r="O17" i="4"/>
  <c r="AG16" i="4"/>
  <c r="Q16" i="4"/>
  <c r="AI13" i="4"/>
  <c r="S13" i="4"/>
  <c r="C13" i="4"/>
  <c r="U12" i="4"/>
  <c r="E12" i="4"/>
  <c r="W11" i="4"/>
  <c r="G11" i="4"/>
  <c r="Y10" i="4"/>
  <c r="I10" i="4"/>
  <c r="AB9" i="4"/>
  <c r="N9" i="4"/>
  <c r="C9" i="4"/>
  <c r="W8" i="4"/>
  <c r="J8" i="4"/>
  <c r="AF7" i="4"/>
  <c r="R7" i="4"/>
  <c r="G7" i="4"/>
  <c r="AA55" i="3"/>
  <c r="N55" i="3"/>
  <c r="D55" i="3"/>
  <c r="AC54" i="3"/>
  <c r="T54" i="3"/>
  <c r="K54" i="3"/>
  <c r="AJ53" i="3"/>
  <c r="AB53" i="3"/>
  <c r="T53" i="3"/>
  <c r="L53" i="3"/>
  <c r="D53" i="3"/>
  <c r="AD52" i="3"/>
  <c r="V52" i="3"/>
  <c r="N52" i="3"/>
  <c r="F52" i="3"/>
  <c r="AF51" i="3"/>
  <c r="X51" i="3"/>
  <c r="P51" i="3"/>
  <c r="H51" i="3"/>
  <c r="AH50" i="3"/>
  <c r="Z50" i="3"/>
  <c r="R50" i="3"/>
  <c r="J50" i="3"/>
  <c r="AJ49" i="3"/>
  <c r="AB49" i="3"/>
  <c r="T49" i="3"/>
  <c r="L49" i="3"/>
  <c r="D49" i="3"/>
  <c r="AD45" i="3"/>
  <c r="V45" i="3"/>
  <c r="N45" i="3"/>
  <c r="F45" i="3"/>
  <c r="AF44" i="3"/>
  <c r="X44" i="3"/>
  <c r="P44" i="3"/>
  <c r="H44" i="3"/>
  <c r="AH43" i="3"/>
  <c r="Z43" i="3"/>
  <c r="R43" i="3"/>
  <c r="J43" i="3"/>
  <c r="AJ42" i="3"/>
  <c r="AB42" i="3"/>
  <c r="T42" i="3"/>
  <c r="L42" i="3"/>
  <c r="D42" i="3"/>
  <c r="AD41" i="3"/>
  <c r="V41" i="3"/>
  <c r="N41" i="3"/>
  <c r="F41" i="3"/>
  <c r="AF40" i="3"/>
  <c r="X40" i="3"/>
  <c r="P40" i="3"/>
  <c r="H40" i="3"/>
  <c r="AH39" i="3"/>
  <c r="Z39" i="3"/>
  <c r="R39" i="3"/>
  <c r="J39" i="3"/>
  <c r="AJ38" i="3"/>
  <c r="AB38" i="3"/>
  <c r="T38" i="3"/>
  <c r="L38" i="3"/>
  <c r="D38" i="3"/>
  <c r="AD37" i="3"/>
  <c r="V37" i="3"/>
  <c r="N37" i="3"/>
  <c r="F37" i="3"/>
  <c r="AF36" i="3"/>
  <c r="X36" i="3"/>
  <c r="P36" i="3"/>
  <c r="H36" i="3"/>
  <c r="AH35" i="3"/>
  <c r="Z35" i="3"/>
  <c r="K9" i="6"/>
  <c r="AE7" i="6"/>
  <c r="I13" i="5"/>
  <c r="G40" i="4"/>
  <c r="L38" i="4"/>
  <c r="Q31" i="4"/>
  <c r="C30" i="4"/>
  <c r="M28" i="4"/>
  <c r="AB26" i="4"/>
  <c r="AB23" i="4"/>
  <c r="O22" i="4"/>
  <c r="AJ20" i="4"/>
  <c r="AJ19" i="4"/>
  <c r="W18" i="4"/>
  <c r="J17" i="4"/>
  <c r="J16" i="4"/>
  <c r="AE12" i="4"/>
  <c r="R11" i="4"/>
  <c r="R10" i="4"/>
  <c r="L9" i="4"/>
  <c r="H8" i="4"/>
  <c r="O7" i="4"/>
  <c r="L55" i="3"/>
  <c r="S54" i="3"/>
  <c r="AG53" i="3"/>
  <c r="J53" i="3"/>
  <c r="U52" i="3"/>
  <c r="C52" i="3"/>
  <c r="N51" i="3"/>
  <c r="Y50" i="3"/>
  <c r="G50" i="3"/>
  <c r="R49" i="3"/>
  <c r="AC45" i="3"/>
  <c r="K45" i="3"/>
  <c r="V44" i="3"/>
  <c r="AG43" i="3"/>
  <c r="O43" i="3"/>
  <c r="Z42" i="3"/>
  <c r="C42" i="3"/>
  <c r="S41" i="3"/>
  <c r="AD40" i="3"/>
  <c r="G40" i="3"/>
  <c r="W39" i="3"/>
  <c r="AH38" i="3"/>
  <c r="K38" i="3"/>
  <c r="AA37" i="3"/>
  <c r="D37" i="3"/>
  <c r="O36" i="3"/>
  <c r="AE35" i="3"/>
  <c r="P35" i="3"/>
  <c r="G35" i="3"/>
  <c r="AF34" i="3"/>
  <c r="X34" i="3"/>
  <c r="P34" i="3"/>
  <c r="H34" i="3"/>
  <c r="AH33" i="3"/>
  <c r="Z33" i="3"/>
  <c r="R33" i="3"/>
  <c r="J33" i="3"/>
  <c r="AJ32" i="3"/>
  <c r="AB32" i="3"/>
  <c r="T32" i="3"/>
  <c r="L32" i="3"/>
  <c r="D32" i="3"/>
  <c r="AD31" i="3"/>
  <c r="V31" i="3"/>
  <c r="N31" i="3"/>
  <c r="F31" i="3"/>
  <c r="AF30" i="3"/>
  <c r="X30" i="3"/>
  <c r="P30" i="3"/>
  <c r="H30" i="3"/>
  <c r="AH29" i="3"/>
  <c r="Z29" i="3"/>
  <c r="R29" i="3"/>
  <c r="J29" i="3"/>
  <c r="AJ28" i="3"/>
  <c r="AB28" i="3"/>
  <c r="T28" i="3"/>
  <c r="L28" i="3"/>
  <c r="D28" i="3"/>
  <c r="AD27" i="3"/>
  <c r="V27" i="3"/>
  <c r="N27" i="3"/>
  <c r="F27" i="3"/>
  <c r="AF24" i="3"/>
  <c r="X24" i="3"/>
  <c r="P24" i="3"/>
  <c r="H24" i="3"/>
  <c r="AH23" i="3"/>
  <c r="Z23" i="3"/>
  <c r="R23" i="3"/>
  <c r="J23" i="3"/>
  <c r="AJ22" i="3"/>
  <c r="AB22" i="3"/>
  <c r="T22" i="3"/>
  <c r="L22" i="3"/>
  <c r="D22" i="3"/>
  <c r="AD21" i="3"/>
  <c r="V21" i="3"/>
  <c r="N21" i="3"/>
  <c r="F21" i="3"/>
  <c r="AF20" i="3"/>
  <c r="X20" i="3"/>
  <c r="P20" i="3"/>
  <c r="H20" i="3"/>
  <c r="AH19" i="3"/>
  <c r="Z19" i="3"/>
  <c r="R19" i="3"/>
  <c r="J19" i="3"/>
  <c r="AJ18" i="3"/>
  <c r="AB18" i="3"/>
  <c r="T18" i="3"/>
  <c r="L18" i="3"/>
  <c r="D18" i="3"/>
  <c r="AD17" i="3"/>
  <c r="V17" i="3"/>
  <c r="N17" i="3"/>
  <c r="F17" i="3"/>
  <c r="AF16" i="3"/>
  <c r="X16" i="3"/>
  <c r="P16" i="3"/>
  <c r="H16" i="3"/>
  <c r="AH15" i="3"/>
  <c r="Z15" i="3"/>
  <c r="R15" i="3"/>
  <c r="J15" i="3"/>
  <c r="AJ14" i="3"/>
  <c r="AB14" i="3"/>
  <c r="T14" i="3"/>
  <c r="W7" i="6"/>
  <c r="AC11" i="5"/>
  <c r="Y39" i="4"/>
  <c r="K38" i="4"/>
  <c r="P31" i="4"/>
  <c r="U29" i="4"/>
  <c r="G28" i="4"/>
  <c r="AA26" i="4"/>
  <c r="N23" i="4"/>
  <c r="N22" i="4"/>
  <c r="AI20" i="4"/>
  <c r="V19" i="4"/>
  <c r="V18" i="4"/>
  <c r="I17" i="4"/>
  <c r="AD13" i="4"/>
  <c r="AD12" i="4"/>
  <c r="Q11" i="4"/>
  <c r="D10" i="4"/>
  <c r="K9" i="4"/>
  <c r="G8" i="4"/>
  <c r="D7" i="4"/>
  <c r="K55" i="3"/>
  <c r="Q54" i="3"/>
  <c r="AA53" i="3"/>
  <c r="I53" i="3"/>
  <c r="T52" i="3"/>
  <c r="AE51" i="3"/>
  <c r="M51" i="3"/>
  <c r="X50" i="3"/>
  <c r="AI49" i="3"/>
  <c r="Q49" i="3"/>
  <c r="AB45" i="3"/>
  <c r="E45" i="3"/>
  <c r="U44" i="3"/>
  <c r="AF43" i="3"/>
  <c r="I43" i="3"/>
  <c r="Y42" i="3"/>
  <c r="AJ41" i="3"/>
  <c r="M41" i="3"/>
  <c r="AC40" i="3"/>
  <c r="F40" i="3"/>
  <c r="Q39" i="3"/>
  <c r="AG38" i="3"/>
  <c r="J38" i="3"/>
  <c r="U37" i="3"/>
  <c r="C37" i="3"/>
  <c r="N36" i="3"/>
  <c r="Y35" i="3"/>
  <c r="O35" i="3"/>
  <c r="E35" i="3"/>
  <c r="AE34" i="3"/>
  <c r="W34" i="3"/>
  <c r="O34" i="3"/>
  <c r="G34" i="3"/>
  <c r="AG33" i="3"/>
  <c r="Y33" i="3"/>
  <c r="Q33" i="3"/>
  <c r="I33" i="3"/>
  <c r="AI32" i="3"/>
  <c r="AA32" i="3"/>
  <c r="S32" i="3"/>
  <c r="K32" i="3"/>
  <c r="C32" i="3"/>
  <c r="AC31" i="3"/>
  <c r="U31" i="3"/>
  <c r="M31" i="3"/>
  <c r="E31" i="3"/>
  <c r="AE30" i="3"/>
  <c r="W30" i="3"/>
  <c r="O30" i="3"/>
  <c r="G30" i="3"/>
  <c r="AG29" i="3"/>
  <c r="Y29" i="3"/>
  <c r="Q29" i="3"/>
  <c r="I29" i="3"/>
  <c r="AI28" i="3"/>
  <c r="AA28" i="3"/>
  <c r="S28" i="3"/>
  <c r="K28" i="3"/>
  <c r="C28" i="3"/>
  <c r="AC27" i="3"/>
  <c r="U27" i="3"/>
  <c r="M27" i="3"/>
  <c r="E27" i="3"/>
  <c r="AE24" i="3"/>
  <c r="W24" i="3"/>
  <c r="O24" i="3"/>
  <c r="G24" i="3"/>
  <c r="AG23" i="3"/>
  <c r="Y23" i="3"/>
  <c r="Q23" i="3"/>
  <c r="I23" i="3"/>
  <c r="AI22" i="3"/>
  <c r="AA22" i="3"/>
  <c r="S22" i="3"/>
  <c r="K22" i="3"/>
  <c r="C22" i="3"/>
  <c r="AC21" i="3"/>
  <c r="U21" i="3"/>
  <c r="M21" i="3"/>
  <c r="E21" i="3"/>
  <c r="AE20" i="3"/>
  <c r="W20" i="3"/>
  <c r="O20" i="3"/>
  <c r="G20" i="3"/>
  <c r="AG19" i="3"/>
  <c r="Y19" i="3"/>
  <c r="Q19" i="3"/>
  <c r="I19" i="3"/>
  <c r="AI18" i="3"/>
  <c r="AA18" i="3"/>
  <c r="S18" i="3"/>
  <c r="K18" i="3"/>
  <c r="C18" i="3"/>
  <c r="AC17" i="3"/>
  <c r="U17" i="3"/>
  <c r="M17" i="3"/>
  <c r="E17" i="3"/>
  <c r="AE16" i="3"/>
  <c r="W16" i="3"/>
  <c r="O16" i="3"/>
  <c r="G16" i="3"/>
  <c r="AG15" i="3"/>
  <c r="Y15" i="3"/>
  <c r="Q15" i="3"/>
  <c r="I15" i="3"/>
  <c r="AI14" i="3"/>
  <c r="AA14" i="3"/>
  <c r="AE23" i="5"/>
  <c r="U11" i="5"/>
  <c r="S39" i="4"/>
  <c r="AC34" i="4"/>
  <c r="O31" i="4"/>
  <c r="T29" i="4"/>
  <c r="Z27" i="4"/>
  <c r="Z26" i="4"/>
  <c r="M23" i="4"/>
  <c r="AH21" i="4"/>
  <c r="AH20" i="4"/>
  <c r="U19" i="4"/>
  <c r="H18" i="4"/>
  <c r="H17" i="4"/>
  <c r="AC13" i="4"/>
  <c r="P12" i="4"/>
  <c r="P11" i="4"/>
  <c r="C10" i="4"/>
  <c r="AH8" i="4"/>
  <c r="F8" i="4"/>
  <c r="AJ55" i="3"/>
  <c r="C55" i="3"/>
  <c r="P54" i="3"/>
  <c r="Z53" i="3"/>
  <c r="C53" i="3"/>
  <c r="S52" i="3"/>
  <c r="AD51" i="3"/>
  <c r="G51" i="3"/>
  <c r="W50" i="3"/>
  <c r="AH49" i="3"/>
  <c r="K49" i="3"/>
  <c r="AA45" i="3"/>
  <c r="D45" i="3"/>
  <c r="O44" i="3"/>
  <c r="AE43" i="3"/>
  <c r="H43" i="3"/>
  <c r="S42" i="3"/>
  <c r="AI41" i="3"/>
  <c r="L41" i="3"/>
  <c r="W40" i="3"/>
  <c r="E40" i="3"/>
  <c r="P39" i="3"/>
  <c r="AA38" i="3"/>
  <c r="I38" i="3"/>
  <c r="T37" i="3"/>
  <c r="AE36" i="3"/>
  <c r="M36" i="3"/>
  <c r="X35" i="3"/>
  <c r="M35" i="3"/>
  <c r="D35" i="3"/>
  <c r="AD34" i="3"/>
  <c r="V34" i="3"/>
  <c r="N34" i="3"/>
  <c r="F34" i="3"/>
  <c r="AF33" i="3"/>
  <c r="X33" i="3"/>
  <c r="P33" i="3"/>
  <c r="H33" i="3"/>
  <c r="AH32" i="3"/>
  <c r="Z32" i="3"/>
  <c r="R32" i="3"/>
  <c r="J32" i="3"/>
  <c r="AJ31" i="3"/>
  <c r="AB31" i="3"/>
  <c r="T31" i="3"/>
  <c r="L31" i="3"/>
  <c r="D31" i="3"/>
  <c r="AD30" i="3"/>
  <c r="V30" i="3"/>
  <c r="N30" i="3"/>
  <c r="F30" i="3"/>
  <c r="AF29" i="3"/>
  <c r="X29" i="3"/>
  <c r="P29" i="3"/>
  <c r="H29" i="3"/>
  <c r="AH28" i="3"/>
  <c r="Z28" i="3"/>
  <c r="R28" i="3"/>
  <c r="J28" i="3"/>
  <c r="AJ27" i="3"/>
  <c r="AB27" i="3"/>
  <c r="T27" i="3"/>
  <c r="L27" i="3"/>
  <c r="D27" i="3"/>
  <c r="AD24" i="3"/>
  <c r="V24" i="3"/>
  <c r="N24" i="3"/>
  <c r="F24" i="3"/>
  <c r="AF23" i="3"/>
  <c r="X23" i="3"/>
  <c r="P23" i="3"/>
  <c r="H23" i="3"/>
  <c r="AH22" i="3"/>
  <c r="Z22" i="3"/>
  <c r="R22" i="3"/>
  <c r="J22" i="3"/>
  <c r="AJ21" i="3"/>
  <c r="AB21" i="3"/>
  <c r="T21" i="3"/>
  <c r="L21" i="3"/>
  <c r="D21" i="3"/>
  <c r="AD20" i="3"/>
  <c r="V20" i="3"/>
  <c r="N20" i="3"/>
  <c r="F20" i="3"/>
  <c r="AF19" i="3"/>
  <c r="X19" i="3"/>
  <c r="P19" i="3"/>
  <c r="H19" i="3"/>
  <c r="AH18" i="3"/>
  <c r="Z18" i="3"/>
  <c r="R18" i="3"/>
  <c r="J18" i="3"/>
  <c r="AJ17" i="3"/>
  <c r="AB17" i="3"/>
  <c r="T17" i="3"/>
  <c r="L17" i="3"/>
  <c r="D17" i="3"/>
  <c r="AD16" i="3"/>
  <c r="V16" i="3"/>
  <c r="N16" i="3"/>
  <c r="F16" i="3"/>
  <c r="AF15" i="3"/>
  <c r="X15" i="3"/>
  <c r="P15" i="3"/>
  <c r="H15" i="3"/>
  <c r="AH14" i="3"/>
  <c r="Z14" i="3"/>
  <c r="W23" i="5"/>
  <c r="AC45" i="4"/>
  <c r="R39" i="4"/>
  <c r="W34" i="4"/>
  <c r="AG30" i="4"/>
  <c r="S29" i="4"/>
  <c r="Y27" i="4"/>
  <c r="L26" i="4"/>
  <c r="L23" i="4"/>
  <c r="AG21" i="4"/>
  <c r="T20" i="4"/>
  <c r="T19" i="4"/>
  <c r="G18" i="4"/>
  <c r="AB16" i="4"/>
  <c r="AB13" i="4"/>
  <c r="O12" i="4"/>
  <c r="AJ10" i="4"/>
  <c r="AJ9" i="4"/>
  <c r="AF8" i="4"/>
  <c r="AE7" i="4"/>
  <c r="AI55" i="3"/>
  <c r="AJ54" i="3"/>
  <c r="I54" i="3"/>
  <c r="Y53" i="3"/>
  <c r="AJ52" i="3"/>
  <c r="M52" i="3"/>
  <c r="AC51" i="3"/>
  <c r="F51" i="3"/>
  <c r="Q50" i="3"/>
  <c r="AG49" i="3"/>
  <c r="J49" i="3"/>
  <c r="U45" i="3"/>
  <c r="C45" i="3"/>
  <c r="N44" i="3"/>
  <c r="Y43" i="3"/>
  <c r="G43" i="3"/>
  <c r="R42" i="3"/>
  <c r="AC41" i="3"/>
  <c r="K41" i="3"/>
  <c r="V40" i="3"/>
  <c r="AG39" i="3"/>
  <c r="O39" i="3"/>
  <c r="Z38" i="3"/>
  <c r="C38" i="3"/>
  <c r="S37" i="3"/>
  <c r="AD36" i="3"/>
  <c r="G36" i="3"/>
  <c r="W35" i="3"/>
  <c r="L35" i="3"/>
  <c r="C35" i="3"/>
  <c r="AC34" i="3"/>
  <c r="U34" i="3"/>
  <c r="M34" i="3"/>
  <c r="E34" i="3"/>
  <c r="AE33" i="3"/>
  <c r="W33" i="3"/>
  <c r="O33" i="3"/>
  <c r="G33" i="3"/>
  <c r="AG32" i="3"/>
  <c r="Y32" i="3"/>
  <c r="Q32" i="3"/>
  <c r="I32" i="3"/>
  <c r="AI31" i="3"/>
  <c r="AA31" i="3"/>
  <c r="S31" i="3"/>
  <c r="K31" i="3"/>
  <c r="C31" i="3"/>
  <c r="AC30" i="3"/>
  <c r="U30" i="3"/>
  <c r="M30" i="3"/>
  <c r="E30" i="3"/>
  <c r="AE29" i="3"/>
  <c r="W29" i="3"/>
  <c r="O29" i="3"/>
  <c r="G29" i="3"/>
  <c r="AG28" i="3"/>
  <c r="Y28" i="3"/>
  <c r="Q28" i="3"/>
  <c r="I28" i="3"/>
  <c r="AI27" i="3"/>
  <c r="AA27" i="3"/>
  <c r="S27" i="3"/>
  <c r="K27" i="3"/>
  <c r="C27" i="3"/>
  <c r="AC24" i="3"/>
  <c r="U24" i="3"/>
  <c r="M24" i="3"/>
  <c r="E24" i="3"/>
  <c r="AE23" i="3"/>
  <c r="W23" i="3"/>
  <c r="O23" i="3"/>
  <c r="G23" i="3"/>
  <c r="AG22" i="3"/>
  <c r="Y22" i="3"/>
  <c r="Q22" i="3"/>
  <c r="I22" i="3"/>
  <c r="AI21" i="3"/>
  <c r="AA21" i="3"/>
  <c r="S21" i="3"/>
  <c r="K21" i="3"/>
  <c r="C21" i="3"/>
  <c r="AC20" i="3"/>
  <c r="U20" i="3"/>
  <c r="M20" i="3"/>
  <c r="E20" i="3"/>
  <c r="AE19" i="3"/>
  <c r="W19" i="3"/>
  <c r="O19" i="3"/>
  <c r="G19" i="3"/>
  <c r="AG18" i="3"/>
  <c r="Y18" i="3"/>
  <c r="Q18" i="3"/>
  <c r="I18" i="3"/>
  <c r="AI17" i="3"/>
  <c r="AA17" i="3"/>
  <c r="S17" i="3"/>
  <c r="K17" i="3"/>
  <c r="C17" i="3"/>
  <c r="AC16" i="3"/>
  <c r="U16" i="3"/>
  <c r="M16" i="3"/>
  <c r="E16" i="3"/>
  <c r="AE15" i="3"/>
  <c r="W15" i="3"/>
  <c r="O15" i="3"/>
  <c r="G15" i="3"/>
  <c r="AG14" i="3"/>
  <c r="I22" i="5"/>
  <c r="U45" i="4"/>
  <c r="AJ38" i="4"/>
  <c r="V34" i="4"/>
  <c r="AA30" i="4"/>
  <c r="C29" i="4"/>
  <c r="X27" i="4"/>
  <c r="K26" i="4"/>
  <c r="AF22" i="4"/>
  <c r="AF21" i="4"/>
  <c r="S20" i="4"/>
  <c r="F19" i="4"/>
  <c r="F18" i="4"/>
  <c r="AA16" i="4"/>
  <c r="N13" i="4"/>
  <c r="N12" i="4"/>
  <c r="AI10" i="4"/>
  <c r="AA9" i="4"/>
  <c r="AE8" i="4"/>
  <c r="AB7" i="4"/>
  <c r="Z55" i="3"/>
  <c r="AI54" i="3"/>
  <c r="H54" i="3"/>
  <c r="S53" i="3"/>
  <c r="AI52" i="3"/>
  <c r="L52" i="3"/>
  <c r="W51" i="3"/>
  <c r="E51" i="3"/>
  <c r="P50" i="3"/>
  <c r="AA49" i="3"/>
  <c r="I49" i="3"/>
  <c r="T45" i="3"/>
  <c r="AE44" i="3"/>
  <c r="M44" i="3"/>
  <c r="X43" i="3"/>
  <c r="AI42" i="3"/>
  <c r="Q42" i="3"/>
  <c r="AB41" i="3"/>
  <c r="E41" i="3"/>
  <c r="U40" i="3"/>
  <c r="AF39" i="3"/>
  <c r="I39" i="3"/>
  <c r="Y38" i="3"/>
  <c r="AJ37" i="3"/>
  <c r="M37" i="3"/>
  <c r="AC36" i="3"/>
  <c r="F36" i="3"/>
  <c r="U35" i="3"/>
  <c r="K35" i="3"/>
  <c r="AJ34" i="3"/>
  <c r="AB34" i="3"/>
  <c r="T34" i="3"/>
  <c r="L34" i="3"/>
  <c r="D34" i="3"/>
  <c r="AD33" i="3"/>
  <c r="V33" i="3"/>
  <c r="N33" i="3"/>
  <c r="F33" i="3"/>
  <c r="AF32" i="3"/>
  <c r="X32" i="3"/>
  <c r="P32" i="3"/>
  <c r="H32" i="3"/>
  <c r="AH31" i="3"/>
  <c r="Z31" i="3"/>
  <c r="R31" i="3"/>
  <c r="J31" i="3"/>
  <c r="AJ30" i="3"/>
  <c r="AB30" i="3"/>
  <c r="T30" i="3"/>
  <c r="L30" i="3"/>
  <c r="D30" i="3"/>
  <c r="AD29" i="3"/>
  <c r="V29" i="3"/>
  <c r="N29" i="3"/>
  <c r="F29" i="3"/>
  <c r="AF28" i="3"/>
  <c r="X28" i="3"/>
  <c r="P28" i="3"/>
  <c r="H28" i="3"/>
  <c r="AH27" i="3"/>
  <c r="Z27" i="3"/>
  <c r="R27" i="3"/>
  <c r="J27" i="3"/>
  <c r="AJ24" i="3"/>
  <c r="AB24" i="3"/>
  <c r="T24" i="3"/>
  <c r="L24" i="3"/>
  <c r="D24" i="3"/>
  <c r="AD23" i="3"/>
  <c r="V23" i="3"/>
  <c r="N23" i="3"/>
  <c r="F23" i="3"/>
  <c r="AF22" i="3"/>
  <c r="X22" i="3"/>
  <c r="P22" i="3"/>
  <c r="H22" i="3"/>
  <c r="AH21" i="3"/>
  <c r="Z21" i="3"/>
  <c r="R21" i="3"/>
  <c r="J21" i="3"/>
  <c r="AJ20" i="3"/>
  <c r="AB20" i="3"/>
  <c r="T20" i="3"/>
  <c r="L20" i="3"/>
  <c r="D20" i="3"/>
  <c r="AD19" i="3"/>
  <c r="V19" i="3"/>
  <c r="N19" i="3"/>
  <c r="F19" i="3"/>
  <c r="AF18" i="3"/>
  <c r="X18" i="3"/>
  <c r="P18" i="3"/>
  <c r="H18" i="3"/>
  <c r="AH17" i="3"/>
  <c r="Z17" i="3"/>
  <c r="R17" i="3"/>
  <c r="J17" i="3"/>
  <c r="AJ16" i="3"/>
  <c r="AB16" i="3"/>
  <c r="T16" i="3"/>
  <c r="L16" i="3"/>
  <c r="D16" i="3"/>
  <c r="AD15" i="3"/>
  <c r="V15" i="3"/>
  <c r="Q17" i="5"/>
  <c r="G44" i="4"/>
  <c r="AI38" i="4"/>
  <c r="F34" i="4"/>
  <c r="Z30" i="4"/>
  <c r="AE28" i="4"/>
  <c r="J27" i="4"/>
  <c r="J26" i="4"/>
  <c r="AE22" i="4"/>
  <c r="R21" i="4"/>
  <c r="R20" i="4"/>
  <c r="E19" i="4"/>
  <c r="Z17" i="4"/>
  <c r="Z16" i="4"/>
  <c r="M13" i="4"/>
  <c r="AH11" i="4"/>
  <c r="AH10" i="4"/>
  <c r="X9" i="4"/>
  <c r="V8" i="4"/>
  <c r="Z7" i="4"/>
  <c r="Y55" i="3"/>
  <c r="AB54" i="3"/>
  <c r="G54" i="3"/>
  <c r="R53" i="3"/>
  <c r="AC52" i="3"/>
  <c r="K52" i="3"/>
  <c r="V51" i="3"/>
  <c r="AG50" i="3"/>
  <c r="O50" i="3"/>
  <c r="Z49" i="3"/>
  <c r="C49" i="3"/>
  <c r="S45" i="3"/>
  <c r="AD44" i="3"/>
  <c r="G44" i="3"/>
  <c r="W43" i="3"/>
  <c r="AH42" i="3"/>
  <c r="K42" i="3"/>
  <c r="AA41" i="3"/>
  <c r="D41" i="3"/>
  <c r="O40" i="3"/>
  <c r="AE39" i="3"/>
  <c r="H39" i="3"/>
  <c r="S38" i="3"/>
  <c r="AI37" i="3"/>
  <c r="L37" i="3"/>
  <c r="W36" i="3"/>
  <c r="E36" i="3"/>
  <c r="S35" i="3"/>
  <c r="J35" i="3"/>
  <c r="AI34" i="3"/>
  <c r="AA34" i="3"/>
  <c r="S34" i="3"/>
  <c r="K34" i="3"/>
  <c r="C34" i="3"/>
  <c r="AC33" i="3"/>
  <c r="U33" i="3"/>
  <c r="M33" i="3"/>
  <c r="E33" i="3"/>
  <c r="AE32" i="3"/>
  <c r="W32" i="3"/>
  <c r="O32" i="3"/>
  <c r="G32" i="3"/>
  <c r="AG31" i="3"/>
  <c r="Y31" i="3"/>
  <c r="Q31" i="3"/>
  <c r="I31" i="3"/>
  <c r="AI30" i="3"/>
  <c r="AA30" i="3"/>
  <c r="S30" i="3"/>
  <c r="K30" i="3"/>
  <c r="C30" i="3"/>
  <c r="AC29" i="3"/>
  <c r="U29" i="3"/>
  <c r="M29" i="3"/>
  <c r="E29" i="3"/>
  <c r="AE28" i="3"/>
  <c r="W28" i="3"/>
  <c r="O28" i="3"/>
  <c r="G28" i="3"/>
  <c r="AG27" i="3"/>
  <c r="Y27" i="3"/>
  <c r="Q27" i="3"/>
  <c r="I27" i="3"/>
  <c r="AI24" i="3"/>
  <c r="AA24" i="3"/>
  <c r="S24" i="3"/>
  <c r="K24" i="3"/>
  <c r="C24" i="3"/>
  <c r="AC23" i="3"/>
  <c r="U23" i="3"/>
  <c r="M23" i="3"/>
  <c r="E23" i="3"/>
  <c r="AE22" i="3"/>
  <c r="W22" i="3"/>
  <c r="O22" i="3"/>
  <c r="G22" i="3"/>
  <c r="AG21" i="3"/>
  <c r="Y21" i="3"/>
  <c r="Q21" i="3"/>
  <c r="I21" i="3"/>
  <c r="AI20" i="3"/>
  <c r="AA20" i="3"/>
  <c r="S20" i="3"/>
  <c r="K20" i="3"/>
  <c r="C20" i="3"/>
  <c r="AC19" i="3"/>
  <c r="U19" i="3"/>
  <c r="M19" i="3"/>
  <c r="E19" i="3"/>
  <c r="AE18" i="3"/>
  <c r="W18" i="3"/>
  <c r="O18" i="3"/>
  <c r="G18" i="3"/>
  <c r="AG17" i="3"/>
  <c r="Y17" i="3"/>
  <c r="Q17" i="3"/>
  <c r="I17" i="3"/>
  <c r="AI16" i="3"/>
  <c r="AA16" i="3"/>
  <c r="S16" i="3"/>
  <c r="K16" i="3"/>
  <c r="C16" i="3"/>
  <c r="AC15" i="3"/>
  <c r="U15" i="3"/>
  <c r="M15" i="3"/>
  <c r="E15" i="3"/>
  <c r="AE14" i="3"/>
  <c r="I17" i="5"/>
  <c r="J30" i="4"/>
  <c r="AD22" i="4"/>
  <c r="Y17" i="4"/>
  <c r="T10" i="4"/>
  <c r="V55" i="3"/>
  <c r="AB52" i="3"/>
  <c r="I50" i="3"/>
  <c r="AC44" i="3"/>
  <c r="J42" i="3"/>
  <c r="Y39" i="3"/>
  <c r="K37" i="3"/>
  <c r="I35" i="3"/>
  <c r="J34" i="3"/>
  <c r="L33" i="3"/>
  <c r="N32" i="3"/>
  <c r="P31" i="3"/>
  <c r="R30" i="3"/>
  <c r="T29" i="3"/>
  <c r="V28" i="3"/>
  <c r="X27" i="3"/>
  <c r="Z24" i="3"/>
  <c r="AB23" i="3"/>
  <c r="AD22" i="3"/>
  <c r="AF21" i="3"/>
  <c r="AH20" i="3"/>
  <c r="AJ19" i="3"/>
  <c r="D19" i="3"/>
  <c r="F18" i="3"/>
  <c r="H17" i="3"/>
  <c r="J16" i="3"/>
  <c r="N15" i="3"/>
  <c r="AC14" i="3"/>
  <c r="Q14" i="3"/>
  <c r="I14" i="3"/>
  <c r="AI13" i="3"/>
  <c r="AA13" i="3"/>
  <c r="S13" i="3"/>
  <c r="K13" i="3"/>
  <c r="C13" i="3"/>
  <c r="AC12" i="3"/>
  <c r="U12" i="3"/>
  <c r="M12" i="3"/>
  <c r="E12" i="3"/>
  <c r="AE11" i="3"/>
  <c r="W11" i="3"/>
  <c r="O11" i="3"/>
  <c r="G11" i="3"/>
  <c r="AG10" i="3"/>
  <c r="Y10" i="3"/>
  <c r="Q10" i="3"/>
  <c r="I10" i="3"/>
  <c r="AI9" i="3"/>
  <c r="AA9" i="3"/>
  <c r="S9" i="3"/>
  <c r="K9" i="3"/>
  <c r="C9" i="3"/>
  <c r="AC8" i="3"/>
  <c r="U8" i="3"/>
  <c r="M8" i="3"/>
  <c r="E8" i="3"/>
  <c r="AE7" i="3"/>
  <c r="W7" i="3"/>
  <c r="O7" i="3"/>
  <c r="G7" i="3"/>
  <c r="AG47" i="2"/>
  <c r="Y47" i="2"/>
  <c r="Q47" i="2"/>
  <c r="I47" i="2"/>
  <c r="AI46" i="2"/>
  <c r="AA46" i="2"/>
  <c r="S46" i="2"/>
  <c r="K46" i="2"/>
  <c r="C46" i="2"/>
  <c r="AC45" i="2"/>
  <c r="U45" i="2"/>
  <c r="M45" i="2"/>
  <c r="E45" i="2"/>
  <c r="AE44" i="2"/>
  <c r="W44" i="2"/>
  <c r="O44" i="2"/>
  <c r="G44" i="2"/>
  <c r="AG43" i="2"/>
  <c r="Y43" i="2"/>
  <c r="Q43" i="2"/>
  <c r="I43" i="2"/>
  <c r="AI42" i="2"/>
  <c r="AA42" i="2"/>
  <c r="S42" i="2"/>
  <c r="K42" i="2"/>
  <c r="C42" i="2"/>
  <c r="AC41" i="2"/>
  <c r="U41" i="2"/>
  <c r="M41" i="2"/>
  <c r="E41" i="2"/>
  <c r="AE40" i="2"/>
  <c r="W40" i="2"/>
  <c r="O40" i="2"/>
  <c r="G40" i="2"/>
  <c r="AG39" i="2"/>
  <c r="Y39" i="2"/>
  <c r="Q39" i="2"/>
  <c r="I39" i="2"/>
  <c r="AI35" i="2"/>
  <c r="AA35" i="2"/>
  <c r="S35" i="2"/>
  <c r="K35" i="2"/>
  <c r="C35" i="2"/>
  <c r="AC34" i="2"/>
  <c r="U34" i="2"/>
  <c r="M34" i="2"/>
  <c r="E34" i="2"/>
  <c r="AE33" i="2"/>
  <c r="W33" i="2"/>
  <c r="O33" i="2"/>
  <c r="G33" i="2"/>
  <c r="AG32" i="2"/>
  <c r="Y32" i="2"/>
  <c r="Q32" i="2"/>
  <c r="I32" i="2"/>
  <c r="AI30" i="2"/>
  <c r="AA30" i="2"/>
  <c r="S30" i="2"/>
  <c r="K30" i="2"/>
  <c r="C30" i="2"/>
  <c r="AC29" i="2"/>
  <c r="U29" i="2"/>
  <c r="M29" i="2"/>
  <c r="E29" i="2"/>
  <c r="AE28" i="2"/>
  <c r="AI16" i="5"/>
  <c r="I30" i="4"/>
  <c r="P22" i="4"/>
  <c r="X17" i="4"/>
  <c r="S10" i="4"/>
  <c r="M55" i="3"/>
  <c r="AA52" i="3"/>
  <c r="H50" i="3"/>
  <c r="W44" i="3"/>
  <c r="I42" i="3"/>
  <c r="X39" i="3"/>
  <c r="E37" i="3"/>
  <c r="H35" i="3"/>
  <c r="I34" i="3"/>
  <c r="K33" i="3"/>
  <c r="M32" i="3"/>
  <c r="O31" i="3"/>
  <c r="Q30" i="3"/>
  <c r="S29" i="3"/>
  <c r="U28" i="3"/>
  <c r="W27" i="3"/>
  <c r="Y24" i="3"/>
  <c r="AA23" i="3"/>
  <c r="AC22" i="3"/>
  <c r="AE21" i="3"/>
  <c r="AG20" i="3"/>
  <c r="AI19" i="3"/>
  <c r="C19" i="3"/>
  <c r="E18" i="3"/>
  <c r="G17" i="3"/>
  <c r="I16" i="3"/>
  <c r="L15" i="3"/>
  <c r="Y14" i="3"/>
  <c r="P14" i="3"/>
  <c r="H14" i="3"/>
  <c r="AH13" i="3"/>
  <c r="Z13" i="3"/>
  <c r="R13" i="3"/>
  <c r="J13" i="3"/>
  <c r="AJ12" i="3"/>
  <c r="AB12" i="3"/>
  <c r="T12" i="3"/>
  <c r="L12" i="3"/>
  <c r="D12" i="3"/>
  <c r="AD11" i="3"/>
  <c r="V11" i="3"/>
  <c r="N11" i="3"/>
  <c r="F11" i="3"/>
  <c r="AF10" i="3"/>
  <c r="X10" i="3"/>
  <c r="P10" i="3"/>
  <c r="H10" i="3"/>
  <c r="AH9" i="3"/>
  <c r="Z9" i="3"/>
  <c r="R9" i="3"/>
  <c r="J9" i="3"/>
  <c r="AJ8" i="3"/>
  <c r="AB8" i="3"/>
  <c r="T8" i="3"/>
  <c r="L8" i="3"/>
  <c r="D8" i="3"/>
  <c r="AD7" i="3"/>
  <c r="V7" i="3"/>
  <c r="N7" i="3"/>
  <c r="F7" i="3"/>
  <c r="AF47" i="2"/>
  <c r="X47" i="2"/>
  <c r="P47" i="2"/>
  <c r="H47" i="2"/>
  <c r="AH46" i="2"/>
  <c r="Z46" i="2"/>
  <c r="R46" i="2"/>
  <c r="J46" i="2"/>
  <c r="AJ45" i="2"/>
  <c r="AB45" i="2"/>
  <c r="T45" i="2"/>
  <c r="L45" i="2"/>
  <c r="D45" i="2"/>
  <c r="AD44" i="2"/>
  <c r="V44" i="2"/>
  <c r="N44" i="2"/>
  <c r="F44" i="2"/>
  <c r="AF43" i="2"/>
  <c r="X43" i="2"/>
  <c r="P43" i="2"/>
  <c r="H43" i="2"/>
  <c r="AH42" i="2"/>
  <c r="Z42" i="2"/>
  <c r="R42" i="2"/>
  <c r="J42" i="2"/>
  <c r="AJ41" i="2"/>
  <c r="AB41" i="2"/>
  <c r="T41" i="2"/>
  <c r="L41" i="2"/>
  <c r="D41" i="2"/>
  <c r="AD40" i="2"/>
  <c r="V40" i="2"/>
  <c r="N40" i="2"/>
  <c r="F40" i="2"/>
  <c r="AF39" i="2"/>
  <c r="X39" i="2"/>
  <c r="P39" i="2"/>
  <c r="H39" i="2"/>
  <c r="AH35" i="2"/>
  <c r="Z35" i="2"/>
  <c r="R35" i="2"/>
  <c r="J35" i="2"/>
  <c r="AJ34" i="2"/>
  <c r="AB34" i="2"/>
  <c r="T34" i="2"/>
  <c r="L34" i="2"/>
  <c r="D34" i="2"/>
  <c r="AD33" i="2"/>
  <c r="V33" i="2"/>
  <c r="N33" i="2"/>
  <c r="F33" i="2"/>
  <c r="AF32" i="2"/>
  <c r="X32" i="2"/>
  <c r="P32" i="2"/>
  <c r="H32" i="2"/>
  <c r="AH30" i="2"/>
  <c r="Z30" i="2"/>
  <c r="R30" i="2"/>
  <c r="J30" i="2"/>
  <c r="AJ29" i="2"/>
  <c r="AB29" i="2"/>
  <c r="T29" i="2"/>
  <c r="L29" i="2"/>
  <c r="O40" i="4"/>
  <c r="AD28" i="4"/>
  <c r="Q21" i="4"/>
  <c r="L16" i="4"/>
  <c r="V9" i="4"/>
  <c r="AA54" i="3"/>
  <c r="E52" i="3"/>
  <c r="Y49" i="3"/>
  <c r="F44" i="3"/>
  <c r="U41" i="3"/>
  <c r="G39" i="3"/>
  <c r="V36" i="3"/>
  <c r="AH34" i="3"/>
  <c r="AJ33" i="3"/>
  <c r="D33" i="3"/>
  <c r="F32" i="3"/>
  <c r="H31" i="3"/>
  <c r="J30" i="3"/>
  <c r="L29" i="3"/>
  <c r="N28" i="3"/>
  <c r="P27" i="3"/>
  <c r="R24" i="3"/>
  <c r="T23" i="3"/>
  <c r="V22" i="3"/>
  <c r="X21" i="3"/>
  <c r="Z20" i="3"/>
  <c r="AB19" i="3"/>
  <c r="AD18" i="3"/>
  <c r="AF17" i="3"/>
  <c r="AH16" i="3"/>
  <c r="AJ15" i="3"/>
  <c r="K15" i="3"/>
  <c r="X14" i="3"/>
  <c r="O14" i="3"/>
  <c r="G14" i="3"/>
  <c r="AG13" i="3"/>
  <c r="Y13" i="3"/>
  <c r="Q13" i="3"/>
  <c r="I13" i="3"/>
  <c r="AI12" i="3"/>
  <c r="AA12" i="3"/>
  <c r="S12" i="3"/>
  <c r="K12" i="3"/>
  <c r="C12" i="3"/>
  <c r="AC11" i="3"/>
  <c r="U11" i="3"/>
  <c r="M11" i="3"/>
  <c r="E11" i="3"/>
  <c r="AE10" i="3"/>
  <c r="W10" i="3"/>
  <c r="O10" i="3"/>
  <c r="G10" i="3"/>
  <c r="AG9" i="3"/>
  <c r="Y9" i="3"/>
  <c r="Q9" i="3"/>
  <c r="I9" i="3"/>
  <c r="AI8" i="3"/>
  <c r="AA8" i="3"/>
  <c r="S8" i="3"/>
  <c r="K8" i="3"/>
  <c r="C8" i="3"/>
  <c r="AC7" i="3"/>
  <c r="U7" i="3"/>
  <c r="M7" i="3"/>
  <c r="E7" i="3"/>
  <c r="AE47" i="2"/>
  <c r="W47" i="2"/>
  <c r="O47" i="2"/>
  <c r="G47" i="2"/>
  <c r="AG46" i="2"/>
  <c r="Y46" i="2"/>
  <c r="Q46" i="2"/>
  <c r="I46" i="2"/>
  <c r="AI45" i="2"/>
  <c r="AA45" i="2"/>
  <c r="S45" i="2"/>
  <c r="K45" i="2"/>
  <c r="C45" i="2"/>
  <c r="AC44" i="2"/>
  <c r="U44" i="2"/>
  <c r="M44" i="2"/>
  <c r="E44" i="2"/>
  <c r="AE43" i="2"/>
  <c r="W43" i="2"/>
  <c r="O43" i="2"/>
  <c r="G43" i="2"/>
  <c r="AG42" i="2"/>
  <c r="Y42" i="2"/>
  <c r="Q42" i="2"/>
  <c r="I42" i="2"/>
  <c r="AI41" i="2"/>
  <c r="AA41" i="2"/>
  <c r="S41" i="2"/>
  <c r="K41" i="2"/>
  <c r="C41" i="2"/>
  <c r="AC40" i="2"/>
  <c r="U40" i="2"/>
  <c r="M40" i="2"/>
  <c r="E40" i="2"/>
  <c r="AE39" i="2"/>
  <c r="W39" i="2"/>
  <c r="O39" i="2"/>
  <c r="G39" i="2"/>
  <c r="AG35" i="2"/>
  <c r="Y35" i="2"/>
  <c r="Q35" i="2"/>
  <c r="I35" i="2"/>
  <c r="AI34" i="2"/>
  <c r="AA34" i="2"/>
  <c r="S34" i="2"/>
  <c r="K34" i="2"/>
  <c r="C34" i="2"/>
  <c r="AC33" i="2"/>
  <c r="U33" i="2"/>
  <c r="M33" i="2"/>
  <c r="E33" i="2"/>
  <c r="AE32" i="2"/>
  <c r="W32" i="2"/>
  <c r="O32" i="2"/>
  <c r="G32" i="2"/>
  <c r="AG30" i="2"/>
  <c r="Y30" i="2"/>
  <c r="Q30" i="2"/>
  <c r="I30" i="2"/>
  <c r="AI29" i="2"/>
  <c r="N40" i="4"/>
  <c r="N28" i="4"/>
  <c r="P21" i="4"/>
  <c r="K16" i="4"/>
  <c r="M9" i="4"/>
  <c r="Y54" i="3"/>
  <c r="D52" i="3"/>
  <c r="S49" i="3"/>
  <c r="E44" i="3"/>
  <c r="T41" i="3"/>
  <c r="AI38" i="3"/>
  <c r="U36" i="3"/>
  <c r="AG34" i="3"/>
  <c r="AI33" i="3"/>
  <c r="C33" i="3"/>
  <c r="E32" i="3"/>
  <c r="G31" i="3"/>
  <c r="I30" i="3"/>
  <c r="K29" i="3"/>
  <c r="M28" i="3"/>
  <c r="O27" i="3"/>
  <c r="Q24" i="3"/>
  <c r="S23" i="3"/>
  <c r="U22" i="3"/>
  <c r="W21" i="3"/>
  <c r="Y20" i="3"/>
  <c r="AA19" i="3"/>
  <c r="AC18" i="3"/>
  <c r="AE17" i="3"/>
  <c r="AG16" i="3"/>
  <c r="AI15" i="3"/>
  <c r="F15" i="3"/>
  <c r="W14" i="3"/>
  <c r="N14" i="3"/>
  <c r="F14" i="3"/>
  <c r="AF13" i="3"/>
  <c r="X13" i="3"/>
  <c r="P13" i="3"/>
  <c r="H13" i="3"/>
  <c r="AH12" i="3"/>
  <c r="Z12" i="3"/>
  <c r="R12" i="3"/>
  <c r="J12" i="3"/>
  <c r="AJ11" i="3"/>
  <c r="AB11" i="3"/>
  <c r="T11" i="3"/>
  <c r="L11" i="3"/>
  <c r="D11" i="3"/>
  <c r="AD10" i="3"/>
  <c r="V10" i="3"/>
  <c r="N10" i="3"/>
  <c r="F10" i="3"/>
  <c r="AF9" i="3"/>
  <c r="X9" i="3"/>
  <c r="P9" i="3"/>
  <c r="H9" i="3"/>
  <c r="AH8" i="3"/>
  <c r="Z8" i="3"/>
  <c r="R8" i="3"/>
  <c r="J8" i="3"/>
  <c r="AJ7" i="3"/>
  <c r="AB7" i="3"/>
  <c r="T7" i="3"/>
  <c r="L7" i="3"/>
  <c r="D7" i="3"/>
  <c r="AD47" i="2"/>
  <c r="V47" i="2"/>
  <c r="N47" i="2"/>
  <c r="F47" i="2"/>
  <c r="AF46" i="2"/>
  <c r="X46" i="2"/>
  <c r="P46" i="2"/>
  <c r="H46" i="2"/>
  <c r="AH45" i="2"/>
  <c r="Z45" i="2"/>
  <c r="R45" i="2"/>
  <c r="J45" i="2"/>
  <c r="AJ44" i="2"/>
  <c r="AB44" i="2"/>
  <c r="T44" i="2"/>
  <c r="L44" i="2"/>
  <c r="D44" i="2"/>
  <c r="AD43" i="2"/>
  <c r="V43" i="2"/>
  <c r="N43" i="2"/>
  <c r="F43" i="2"/>
  <c r="AF42" i="2"/>
  <c r="X42" i="2"/>
  <c r="P42" i="2"/>
  <c r="H42" i="2"/>
  <c r="AH41" i="2"/>
  <c r="Z41" i="2"/>
  <c r="R41" i="2"/>
  <c r="J41" i="2"/>
  <c r="AJ40" i="2"/>
  <c r="AB40" i="2"/>
  <c r="T40" i="2"/>
  <c r="L40" i="2"/>
  <c r="D40" i="2"/>
  <c r="AD39" i="2"/>
  <c r="V39" i="2"/>
  <c r="N39" i="2"/>
  <c r="F39" i="2"/>
  <c r="AF35" i="2"/>
  <c r="X35" i="2"/>
  <c r="P35" i="2"/>
  <c r="H35" i="2"/>
  <c r="AH34" i="2"/>
  <c r="Z34" i="2"/>
  <c r="R34" i="2"/>
  <c r="J34" i="2"/>
  <c r="AJ33" i="2"/>
  <c r="AB33" i="2"/>
  <c r="T33" i="2"/>
  <c r="L33" i="2"/>
  <c r="D33" i="2"/>
  <c r="AD32" i="2"/>
  <c r="V32" i="2"/>
  <c r="N32" i="2"/>
  <c r="F32" i="2"/>
  <c r="AF30" i="2"/>
  <c r="X30" i="2"/>
  <c r="P30" i="2"/>
  <c r="H30" i="2"/>
  <c r="AH29" i="2"/>
  <c r="Z29" i="2"/>
  <c r="R29" i="2"/>
  <c r="J29" i="2"/>
  <c r="AJ28" i="2"/>
  <c r="M38" i="4"/>
  <c r="H27" i="4"/>
  <c r="C20" i="4"/>
  <c r="AF12" i="4"/>
  <c r="R8" i="4"/>
  <c r="AH53" i="3"/>
  <c r="O51" i="3"/>
  <c r="AI45" i="3"/>
  <c r="P43" i="3"/>
  <c r="AE40" i="3"/>
  <c r="Q38" i="3"/>
  <c r="AF35" i="3"/>
  <c r="Y34" i="3"/>
  <c r="AA33" i="3"/>
  <c r="AC32" i="3"/>
  <c r="AE31" i="3"/>
  <c r="AG30" i="3"/>
  <c r="AI29" i="3"/>
  <c r="C29" i="3"/>
  <c r="E28" i="3"/>
  <c r="G27" i="3"/>
  <c r="I24" i="3"/>
  <c r="K23" i="3"/>
  <c r="M22" i="3"/>
  <c r="O21" i="3"/>
  <c r="Q20" i="3"/>
  <c r="S19" i="3"/>
  <c r="U18" i="3"/>
  <c r="W17" i="3"/>
  <c r="Y16" i="3"/>
  <c r="AA15" i="3"/>
  <c r="C15" i="3"/>
  <c r="U14" i="3"/>
  <c r="L14" i="3"/>
  <c r="D14" i="3"/>
  <c r="AD13" i="3"/>
  <c r="V13" i="3"/>
  <c r="N13" i="3"/>
  <c r="F13" i="3"/>
  <c r="AF12" i="3"/>
  <c r="X12" i="3"/>
  <c r="P12" i="3"/>
  <c r="H12" i="3"/>
  <c r="AH11" i="3"/>
  <c r="Z11" i="3"/>
  <c r="R11" i="3"/>
  <c r="J11" i="3"/>
  <c r="AJ10" i="3"/>
  <c r="AB10" i="3"/>
  <c r="T10" i="3"/>
  <c r="L10" i="3"/>
  <c r="D10" i="3"/>
  <c r="AD9" i="3"/>
  <c r="V9" i="3"/>
  <c r="N9" i="3"/>
  <c r="F9" i="3"/>
  <c r="AF8" i="3"/>
  <c r="X8" i="3"/>
  <c r="P8" i="3"/>
  <c r="H8" i="3"/>
  <c r="AH7" i="3"/>
  <c r="Z7" i="3"/>
  <c r="R7" i="3"/>
  <c r="J7" i="3"/>
  <c r="AJ47" i="2"/>
  <c r="AB47" i="2"/>
  <c r="T47" i="2"/>
  <c r="L47" i="2"/>
  <c r="D47" i="2"/>
  <c r="AD46" i="2"/>
  <c r="V46" i="2"/>
  <c r="N46" i="2"/>
  <c r="F46" i="2"/>
  <c r="AF45" i="2"/>
  <c r="X45" i="2"/>
  <c r="P45" i="2"/>
  <c r="H45" i="2"/>
  <c r="AH44" i="2"/>
  <c r="Z44" i="2"/>
  <c r="R44" i="2"/>
  <c r="J44" i="2"/>
  <c r="AJ43" i="2"/>
  <c r="AB43" i="2"/>
  <c r="T43" i="2"/>
  <c r="L43" i="2"/>
  <c r="D43" i="2"/>
  <c r="AD42" i="2"/>
  <c r="V42" i="2"/>
  <c r="N42" i="2"/>
  <c r="F42" i="2"/>
  <c r="AF41" i="2"/>
  <c r="X41" i="2"/>
  <c r="P41" i="2"/>
  <c r="H41" i="2"/>
  <c r="AH40" i="2"/>
  <c r="Z40" i="2"/>
  <c r="R40" i="2"/>
  <c r="J40" i="2"/>
  <c r="AJ39" i="2"/>
  <c r="AB39" i="2"/>
  <c r="T39" i="2"/>
  <c r="L39" i="2"/>
  <c r="D39" i="2"/>
  <c r="AD35" i="2"/>
  <c r="V35" i="2"/>
  <c r="N35" i="2"/>
  <c r="F35" i="2"/>
  <c r="AF34" i="2"/>
  <c r="X34" i="2"/>
  <c r="P34" i="2"/>
  <c r="H34" i="2"/>
  <c r="AH33" i="2"/>
  <c r="Z33" i="2"/>
  <c r="R33" i="2"/>
  <c r="J33" i="2"/>
  <c r="AJ32" i="2"/>
  <c r="AB32" i="2"/>
  <c r="T32" i="2"/>
  <c r="L32" i="2"/>
  <c r="D32" i="2"/>
  <c r="AD30" i="2"/>
  <c r="V30" i="2"/>
  <c r="N30" i="2"/>
  <c r="F30" i="2"/>
  <c r="AF29" i="2"/>
  <c r="X29" i="2"/>
  <c r="P29" i="2"/>
  <c r="H29" i="2"/>
  <c r="E34" i="4"/>
  <c r="AD23" i="4"/>
  <c r="D19" i="4"/>
  <c r="AG11" i="4"/>
  <c r="Q7" i="4"/>
  <c r="Q53" i="3"/>
  <c r="AF50" i="3"/>
  <c r="M45" i="3"/>
  <c r="AG42" i="3"/>
  <c r="N40" i="3"/>
  <c r="AC37" i="3"/>
  <c r="R35" i="3"/>
  <c r="R34" i="3"/>
  <c r="T33" i="3"/>
  <c r="V32" i="3"/>
  <c r="X31" i="3"/>
  <c r="Z30" i="3"/>
  <c r="AB29" i="3"/>
  <c r="AD28" i="3"/>
  <c r="AF27" i="3"/>
  <c r="AH24" i="3"/>
  <c r="AJ23" i="3"/>
  <c r="D23" i="3"/>
  <c r="F22" i="3"/>
  <c r="H21" i="3"/>
  <c r="J20" i="3"/>
  <c r="L19" i="3"/>
  <c r="N18" i="3"/>
  <c r="P17" i="3"/>
  <c r="R16" i="3"/>
  <c r="T15" i="3"/>
  <c r="AF14" i="3"/>
  <c r="S14" i="3"/>
  <c r="K14" i="3"/>
  <c r="C14" i="3"/>
  <c r="AC13" i="3"/>
  <c r="U13" i="3"/>
  <c r="M13" i="3"/>
  <c r="E13" i="3"/>
  <c r="AE12" i="3"/>
  <c r="W12" i="3"/>
  <c r="O12" i="3"/>
  <c r="G12" i="3"/>
  <c r="AG11" i="3"/>
  <c r="Y11" i="3"/>
  <c r="Q11" i="3"/>
  <c r="I11" i="3"/>
  <c r="AI10" i="3"/>
  <c r="AA10" i="3"/>
  <c r="S10" i="3"/>
  <c r="K10" i="3"/>
  <c r="C10" i="3"/>
  <c r="AC9" i="3"/>
  <c r="U9" i="3"/>
  <c r="M9" i="3"/>
  <c r="E9" i="3"/>
  <c r="AE8" i="3"/>
  <c r="W8" i="3"/>
  <c r="O8" i="3"/>
  <c r="G8" i="3"/>
  <c r="AG7" i="3"/>
  <c r="Y7" i="3"/>
  <c r="Q7" i="3"/>
  <c r="I7" i="3"/>
  <c r="AI47" i="2"/>
  <c r="AA47" i="2"/>
  <c r="S47" i="2"/>
  <c r="K47" i="2"/>
  <c r="C47" i="2"/>
  <c r="AC46" i="2"/>
  <c r="U46" i="2"/>
  <c r="M46" i="2"/>
  <c r="E46" i="2"/>
  <c r="AE45" i="2"/>
  <c r="W45" i="2"/>
  <c r="O45" i="2"/>
  <c r="G45" i="2"/>
  <c r="AG44" i="2"/>
  <c r="Y44" i="2"/>
  <c r="Q44" i="2"/>
  <c r="I44" i="2"/>
  <c r="AI43" i="2"/>
  <c r="AA43" i="2"/>
  <c r="S43" i="2"/>
  <c r="K43" i="2"/>
  <c r="C43" i="2"/>
  <c r="AC42" i="2"/>
  <c r="U42" i="2"/>
  <c r="M42" i="2"/>
  <c r="E42" i="2"/>
  <c r="AE41" i="2"/>
  <c r="W41" i="2"/>
  <c r="O41" i="2"/>
  <c r="G41" i="2"/>
  <c r="AG40" i="2"/>
  <c r="Y40" i="2"/>
  <c r="Q40" i="2"/>
  <c r="I40" i="2"/>
  <c r="AI39" i="2"/>
  <c r="AA39" i="2"/>
  <c r="S39" i="2"/>
  <c r="K39" i="2"/>
  <c r="C39" i="2"/>
  <c r="AC35" i="2"/>
  <c r="U35" i="2"/>
  <c r="M35" i="2"/>
  <c r="E35" i="2"/>
  <c r="AE34" i="2"/>
  <c r="W34" i="2"/>
  <c r="O34" i="2"/>
  <c r="G34" i="2"/>
  <c r="AG33" i="2"/>
  <c r="Y33" i="2"/>
  <c r="Q33" i="2"/>
  <c r="I33" i="2"/>
  <c r="AI32" i="2"/>
  <c r="AA32" i="2"/>
  <c r="S32" i="2"/>
  <c r="K32" i="2"/>
  <c r="C32" i="2"/>
  <c r="AC30" i="2"/>
  <c r="U30" i="2"/>
  <c r="M30" i="2"/>
  <c r="E30" i="2"/>
  <c r="AE29" i="2"/>
  <c r="W29" i="2"/>
  <c r="O29" i="2"/>
  <c r="AC38" i="4"/>
  <c r="U8" i="4"/>
  <c r="Q43" i="3"/>
  <c r="Z34" i="3"/>
  <c r="AH30" i="3"/>
  <c r="H27" i="3"/>
  <c r="P21" i="3"/>
  <c r="X17" i="3"/>
  <c r="V14" i="3"/>
  <c r="W13" i="3"/>
  <c r="Y12" i="3"/>
  <c r="AA11" i="3"/>
  <c r="AC10" i="3"/>
  <c r="AE9" i="3"/>
  <c r="AG8" i="3"/>
  <c r="AI7" i="3"/>
  <c r="C7" i="3"/>
  <c r="E47" i="2"/>
  <c r="G46" i="2"/>
  <c r="I45" i="2"/>
  <c r="K44" i="2"/>
  <c r="M43" i="2"/>
  <c r="O42" i="2"/>
  <c r="Q41" i="2"/>
  <c r="S40" i="2"/>
  <c r="U39" i="2"/>
  <c r="W35" i="2"/>
  <c r="Y34" i="2"/>
  <c r="AA33" i="2"/>
  <c r="AC32" i="2"/>
  <c r="AE30" i="2"/>
  <c r="AG29" i="2"/>
  <c r="K29" i="2"/>
  <c r="AG28" i="2"/>
  <c r="X28" i="2"/>
  <c r="P28" i="2"/>
  <c r="H28" i="2"/>
  <c r="AH27" i="2"/>
  <c r="Z27" i="2"/>
  <c r="R27" i="2"/>
  <c r="J27" i="2"/>
  <c r="AJ25" i="2"/>
  <c r="AB25" i="2"/>
  <c r="T25" i="2"/>
  <c r="L25" i="2"/>
  <c r="D25" i="2"/>
  <c r="AD24" i="2"/>
  <c r="V24" i="2"/>
  <c r="N24" i="2"/>
  <c r="F24" i="2"/>
  <c r="AF22" i="2"/>
  <c r="X22" i="2"/>
  <c r="P22" i="2"/>
  <c r="H22" i="2"/>
  <c r="AH21" i="2"/>
  <c r="Z21" i="2"/>
  <c r="R21" i="2"/>
  <c r="J21" i="2"/>
  <c r="AJ20" i="2"/>
  <c r="AB20" i="2"/>
  <c r="T20" i="2"/>
  <c r="L20" i="2"/>
  <c r="D20" i="2"/>
  <c r="AD19" i="2"/>
  <c r="V19" i="2"/>
  <c r="N19" i="2"/>
  <c r="F19" i="2"/>
  <c r="AF18" i="2"/>
  <c r="X18" i="2"/>
  <c r="P18" i="2"/>
  <c r="H18" i="2"/>
  <c r="AH17" i="2"/>
  <c r="Z17" i="2"/>
  <c r="R17" i="2"/>
  <c r="J17" i="2"/>
  <c r="AJ16" i="2"/>
  <c r="AB16" i="2"/>
  <c r="T16" i="2"/>
  <c r="L16" i="2"/>
  <c r="D16" i="2"/>
  <c r="AD15" i="2"/>
  <c r="V15" i="2"/>
  <c r="N15" i="2"/>
  <c r="F15" i="2"/>
  <c r="AF14" i="2"/>
  <c r="X14" i="2"/>
  <c r="P14" i="2"/>
  <c r="H14" i="2"/>
  <c r="AH13" i="2"/>
  <c r="Z13" i="2"/>
  <c r="R13" i="2"/>
  <c r="J13" i="2"/>
  <c r="AJ12" i="2"/>
  <c r="AB12" i="2"/>
  <c r="T12" i="2"/>
  <c r="L12" i="2"/>
  <c r="D12" i="2"/>
  <c r="AD11" i="2"/>
  <c r="V11" i="2"/>
  <c r="N11" i="2"/>
  <c r="F11" i="2"/>
  <c r="AF10" i="2"/>
  <c r="X10" i="2"/>
  <c r="P10" i="2"/>
  <c r="H10" i="2"/>
  <c r="AH9" i="2"/>
  <c r="Z9" i="2"/>
  <c r="R9" i="2"/>
  <c r="J9" i="2"/>
  <c r="AJ8" i="2"/>
  <c r="AB8" i="2"/>
  <c r="T8" i="2"/>
  <c r="L8" i="2"/>
  <c r="D8" i="2"/>
  <c r="AD7" i="2"/>
  <c r="V7" i="2"/>
  <c r="N7" i="2"/>
  <c r="F7" i="2"/>
  <c r="AF6" i="2"/>
  <c r="X6" i="2"/>
  <c r="P6" i="2"/>
  <c r="H6" i="2"/>
  <c r="N22" i="3"/>
  <c r="U43" i="2"/>
  <c r="AG31" i="4"/>
  <c r="P7" i="4"/>
  <c r="AA42" i="3"/>
  <c r="Q34" i="3"/>
  <c r="Y30" i="3"/>
  <c r="AG24" i="3"/>
  <c r="G21" i="3"/>
  <c r="O17" i="3"/>
  <c r="R14" i="3"/>
  <c r="T13" i="3"/>
  <c r="V12" i="3"/>
  <c r="X11" i="3"/>
  <c r="Z10" i="3"/>
  <c r="AB9" i="3"/>
  <c r="AD8" i="3"/>
  <c r="AF7" i="3"/>
  <c r="AH47" i="2"/>
  <c r="AJ46" i="2"/>
  <c r="D46" i="2"/>
  <c r="F45" i="2"/>
  <c r="H44" i="2"/>
  <c r="J43" i="2"/>
  <c r="L42" i="2"/>
  <c r="N41" i="2"/>
  <c r="P40" i="2"/>
  <c r="R39" i="2"/>
  <c r="T35" i="2"/>
  <c r="V34" i="2"/>
  <c r="X33" i="2"/>
  <c r="Z32" i="2"/>
  <c r="AB30" i="2"/>
  <c r="AD29" i="2"/>
  <c r="I29" i="2"/>
  <c r="AF28" i="2"/>
  <c r="W28" i="2"/>
  <c r="O28" i="2"/>
  <c r="G28" i="2"/>
  <c r="AG27" i="2"/>
  <c r="Y27" i="2"/>
  <c r="Q27" i="2"/>
  <c r="I27" i="2"/>
  <c r="AI25" i="2"/>
  <c r="AA25" i="2"/>
  <c r="S25" i="2"/>
  <c r="K25" i="2"/>
  <c r="C25" i="2"/>
  <c r="AC24" i="2"/>
  <c r="U24" i="2"/>
  <c r="M24" i="2"/>
  <c r="E24" i="2"/>
  <c r="AE22" i="2"/>
  <c r="W22" i="2"/>
  <c r="O22" i="2"/>
  <c r="G22" i="2"/>
  <c r="AG21" i="2"/>
  <c r="Y21" i="2"/>
  <c r="Q21" i="2"/>
  <c r="I21" i="2"/>
  <c r="AI20" i="2"/>
  <c r="AA20" i="2"/>
  <c r="S20" i="2"/>
  <c r="K20" i="2"/>
  <c r="C20" i="2"/>
  <c r="AC19" i="2"/>
  <c r="U19" i="2"/>
  <c r="M19" i="2"/>
  <c r="E19" i="2"/>
  <c r="AE18" i="2"/>
  <c r="W18" i="2"/>
  <c r="O18" i="2"/>
  <c r="G18" i="2"/>
  <c r="AG17" i="2"/>
  <c r="Y17" i="2"/>
  <c r="Q17" i="2"/>
  <c r="I17" i="2"/>
  <c r="AI16" i="2"/>
  <c r="AA16" i="2"/>
  <c r="S16" i="2"/>
  <c r="K16" i="2"/>
  <c r="C16" i="2"/>
  <c r="AC15" i="2"/>
  <c r="U15" i="2"/>
  <c r="M15" i="2"/>
  <c r="E15" i="2"/>
  <c r="AE14" i="2"/>
  <c r="W14" i="2"/>
  <c r="O14" i="2"/>
  <c r="G14" i="2"/>
  <c r="AG13" i="2"/>
  <c r="Y13" i="2"/>
  <c r="Q13" i="2"/>
  <c r="I13" i="2"/>
  <c r="AI12" i="2"/>
  <c r="AA12" i="2"/>
  <c r="S12" i="2"/>
  <c r="K12" i="2"/>
  <c r="C12" i="2"/>
  <c r="AC11" i="2"/>
  <c r="U11" i="2"/>
  <c r="M11" i="2"/>
  <c r="E11" i="2"/>
  <c r="AE10" i="2"/>
  <c r="W10" i="2"/>
  <c r="O10" i="2"/>
  <c r="G10" i="2"/>
  <c r="AG9" i="2"/>
  <c r="Y9" i="2"/>
  <c r="Q9" i="2"/>
  <c r="I9" i="2"/>
  <c r="AI8" i="2"/>
  <c r="AA8" i="2"/>
  <c r="S8" i="2"/>
  <c r="K8" i="2"/>
  <c r="C8" i="2"/>
  <c r="AC7" i="2"/>
  <c r="U7" i="2"/>
  <c r="M7" i="2"/>
  <c r="E7" i="2"/>
  <c r="AE6" i="2"/>
  <c r="W6" i="2"/>
  <c r="O6" i="2"/>
  <c r="G6" i="2"/>
  <c r="AG35" i="3"/>
  <c r="AI11" i="3"/>
  <c r="K7" i="3"/>
  <c r="W42" i="2"/>
  <c r="I27" i="4"/>
  <c r="AI53" i="3"/>
  <c r="C41" i="3"/>
  <c r="AB33" i="3"/>
  <c r="AJ29" i="3"/>
  <c r="J24" i="3"/>
  <c r="R20" i="3"/>
  <c r="Z16" i="3"/>
  <c r="M14" i="3"/>
  <c r="O13" i="3"/>
  <c r="Q12" i="3"/>
  <c r="S11" i="3"/>
  <c r="U10" i="3"/>
  <c r="W9" i="3"/>
  <c r="Y8" i="3"/>
  <c r="AA7" i="3"/>
  <c r="AC47" i="2"/>
  <c r="AE46" i="2"/>
  <c r="AG45" i="2"/>
  <c r="AI44" i="2"/>
  <c r="C44" i="2"/>
  <c r="E43" i="2"/>
  <c r="G42" i="2"/>
  <c r="I41" i="2"/>
  <c r="K40" i="2"/>
  <c r="M39" i="2"/>
  <c r="O35" i="2"/>
  <c r="Q34" i="2"/>
  <c r="S33" i="2"/>
  <c r="U32" i="2"/>
  <c r="W30" i="2"/>
  <c r="AA29" i="2"/>
  <c r="G29" i="2"/>
  <c r="AD28" i="2"/>
  <c r="V28" i="2"/>
  <c r="N28" i="2"/>
  <c r="F28" i="2"/>
  <c r="AF27" i="2"/>
  <c r="X27" i="2"/>
  <c r="P27" i="2"/>
  <c r="H27" i="2"/>
  <c r="AH25" i="2"/>
  <c r="Z25" i="2"/>
  <c r="R25" i="2"/>
  <c r="J25" i="2"/>
  <c r="AJ24" i="2"/>
  <c r="AB24" i="2"/>
  <c r="T24" i="2"/>
  <c r="L24" i="2"/>
  <c r="D24" i="2"/>
  <c r="AD22" i="2"/>
  <c r="V22" i="2"/>
  <c r="N22" i="2"/>
  <c r="F22" i="2"/>
  <c r="AF21" i="2"/>
  <c r="X21" i="2"/>
  <c r="P21" i="2"/>
  <c r="H21" i="2"/>
  <c r="AH20" i="2"/>
  <c r="Z20" i="2"/>
  <c r="R20" i="2"/>
  <c r="J20" i="2"/>
  <c r="AJ19" i="2"/>
  <c r="AB19" i="2"/>
  <c r="T19" i="2"/>
  <c r="L19" i="2"/>
  <c r="D19" i="2"/>
  <c r="AD18" i="2"/>
  <c r="V18" i="2"/>
  <c r="N18" i="2"/>
  <c r="F18" i="2"/>
  <c r="AF17" i="2"/>
  <c r="X17" i="2"/>
  <c r="P17" i="2"/>
  <c r="H17" i="2"/>
  <c r="AH16" i="2"/>
  <c r="Z16" i="2"/>
  <c r="R16" i="2"/>
  <c r="J16" i="2"/>
  <c r="AJ15" i="2"/>
  <c r="AB15" i="2"/>
  <c r="T15" i="2"/>
  <c r="L15" i="2"/>
  <c r="D15" i="2"/>
  <c r="AD14" i="2"/>
  <c r="V14" i="2"/>
  <c r="N14" i="2"/>
  <c r="F14" i="2"/>
  <c r="AF13" i="2"/>
  <c r="X13" i="2"/>
  <c r="P13" i="2"/>
  <c r="H13" i="2"/>
  <c r="AH12" i="2"/>
  <c r="Z12" i="2"/>
  <c r="R12" i="2"/>
  <c r="J12" i="2"/>
  <c r="AJ11" i="2"/>
  <c r="AB11" i="2"/>
  <c r="T11" i="2"/>
  <c r="L11" i="2"/>
  <c r="D11" i="2"/>
  <c r="AD10" i="2"/>
  <c r="V10" i="2"/>
  <c r="N10" i="2"/>
  <c r="F10" i="2"/>
  <c r="AF9" i="2"/>
  <c r="X9" i="2"/>
  <c r="P9" i="2"/>
  <c r="H9" i="2"/>
  <c r="AH8" i="2"/>
  <c r="Z8" i="2"/>
  <c r="R8" i="2"/>
  <c r="J8" i="2"/>
  <c r="AJ7" i="2"/>
  <c r="AB7" i="2"/>
  <c r="T7" i="2"/>
  <c r="L7" i="2"/>
  <c r="D7" i="2"/>
  <c r="AD6" i="2"/>
  <c r="V6" i="2"/>
  <c r="N6" i="2"/>
  <c r="F6" i="2"/>
  <c r="AJ45" i="3"/>
  <c r="AE13" i="3"/>
  <c r="G9" i="3"/>
  <c r="S44" i="2"/>
  <c r="AE35" i="2"/>
  <c r="AC23" i="4"/>
  <c r="K53" i="3"/>
  <c r="M40" i="3"/>
  <c r="S33" i="3"/>
  <c r="AA29" i="3"/>
  <c r="AI23" i="3"/>
  <c r="I20" i="3"/>
  <c r="Q16" i="3"/>
  <c r="J14" i="3"/>
  <c r="L13" i="3"/>
  <c r="N12" i="3"/>
  <c r="P11" i="3"/>
  <c r="R10" i="3"/>
  <c r="T9" i="3"/>
  <c r="V8" i="3"/>
  <c r="X7" i="3"/>
  <c r="Z47" i="2"/>
  <c r="AB46" i="2"/>
  <c r="AD45" i="2"/>
  <c r="AF44" i="2"/>
  <c r="AH43" i="2"/>
  <c r="AJ42" i="2"/>
  <c r="D42" i="2"/>
  <c r="F41" i="2"/>
  <c r="H40" i="2"/>
  <c r="J39" i="2"/>
  <c r="L35" i="2"/>
  <c r="N34" i="2"/>
  <c r="P33" i="2"/>
  <c r="R32" i="2"/>
  <c r="T30" i="2"/>
  <c r="Y29" i="2"/>
  <c r="F29" i="2"/>
  <c r="AC28" i="2"/>
  <c r="U28" i="2"/>
  <c r="M28" i="2"/>
  <c r="E28" i="2"/>
  <c r="AE27" i="2"/>
  <c r="W27" i="2"/>
  <c r="O27" i="2"/>
  <c r="G27" i="2"/>
  <c r="AG25" i="2"/>
  <c r="Y25" i="2"/>
  <c r="Q25" i="2"/>
  <c r="I25" i="2"/>
  <c r="AI24" i="2"/>
  <c r="AA24" i="2"/>
  <c r="S24" i="2"/>
  <c r="K24" i="2"/>
  <c r="C24" i="2"/>
  <c r="AC22" i="2"/>
  <c r="U22" i="2"/>
  <c r="M22" i="2"/>
  <c r="E22" i="2"/>
  <c r="AE21" i="2"/>
  <c r="W21" i="2"/>
  <c r="O21" i="2"/>
  <c r="G21" i="2"/>
  <c r="AG20" i="2"/>
  <c r="Y20" i="2"/>
  <c r="Q20" i="2"/>
  <c r="I20" i="2"/>
  <c r="AI19" i="2"/>
  <c r="AA19" i="2"/>
  <c r="S19" i="2"/>
  <c r="K19" i="2"/>
  <c r="C19" i="2"/>
  <c r="AC18" i="2"/>
  <c r="U18" i="2"/>
  <c r="M18" i="2"/>
  <c r="E18" i="2"/>
  <c r="AE17" i="2"/>
  <c r="W17" i="2"/>
  <c r="O17" i="2"/>
  <c r="G17" i="2"/>
  <c r="AG16" i="2"/>
  <c r="Y16" i="2"/>
  <c r="Q16" i="2"/>
  <c r="I16" i="2"/>
  <c r="AI15" i="2"/>
  <c r="AA15" i="2"/>
  <c r="S15" i="2"/>
  <c r="K15" i="2"/>
  <c r="C15" i="2"/>
  <c r="AC14" i="2"/>
  <c r="U14" i="2"/>
  <c r="M14" i="2"/>
  <c r="E14" i="2"/>
  <c r="AE13" i="2"/>
  <c r="W13" i="2"/>
  <c r="O13" i="2"/>
  <c r="G13" i="2"/>
  <c r="AG12" i="2"/>
  <c r="Y12" i="2"/>
  <c r="Q12" i="2"/>
  <c r="I12" i="2"/>
  <c r="AI11" i="2"/>
  <c r="AA11" i="2"/>
  <c r="S11" i="2"/>
  <c r="K11" i="2"/>
  <c r="C11" i="2"/>
  <c r="AC10" i="2"/>
  <c r="U10" i="2"/>
  <c r="M10" i="2"/>
  <c r="E10" i="2"/>
  <c r="AE9" i="2"/>
  <c r="W9" i="2"/>
  <c r="O9" i="2"/>
  <c r="G9" i="2"/>
  <c r="AG8" i="2"/>
  <c r="Y8" i="2"/>
  <c r="Q8" i="2"/>
  <c r="I8" i="2"/>
  <c r="AI7" i="2"/>
  <c r="AA7" i="2"/>
  <c r="S7" i="2"/>
  <c r="K7" i="2"/>
  <c r="C7" i="2"/>
  <c r="AC6" i="2"/>
  <c r="U6" i="2"/>
  <c r="M6" i="2"/>
  <c r="E6" i="2"/>
  <c r="F28" i="3"/>
  <c r="V18" i="3"/>
  <c r="E10" i="3"/>
  <c r="M47" i="2"/>
  <c r="Y41" i="2"/>
  <c r="D20" i="4"/>
  <c r="U51" i="3"/>
  <c r="R38" i="3"/>
  <c r="AD32" i="3"/>
  <c r="D29" i="3"/>
  <c r="L23" i="3"/>
  <c r="T19" i="3"/>
  <c r="AB15" i="3"/>
  <c r="E14" i="3"/>
  <c r="G13" i="3"/>
  <c r="I12" i="3"/>
  <c r="K11" i="3"/>
  <c r="M10" i="3"/>
  <c r="O9" i="3"/>
  <c r="Q8" i="3"/>
  <c r="S7" i="3"/>
  <c r="U47" i="2"/>
  <c r="W46" i="2"/>
  <c r="Y45" i="2"/>
  <c r="AA44" i="2"/>
  <c r="AC43" i="2"/>
  <c r="AE42" i="2"/>
  <c r="AG41" i="2"/>
  <c r="AI40" i="2"/>
  <c r="C40" i="2"/>
  <c r="E39" i="2"/>
  <c r="G35" i="2"/>
  <c r="I34" i="2"/>
  <c r="K33" i="2"/>
  <c r="M32" i="2"/>
  <c r="O30" i="2"/>
  <c r="V29" i="2"/>
  <c r="D29" i="2"/>
  <c r="AB28" i="2"/>
  <c r="T28" i="2"/>
  <c r="L28" i="2"/>
  <c r="D28" i="2"/>
  <c r="AD27" i="2"/>
  <c r="V27" i="2"/>
  <c r="N27" i="2"/>
  <c r="F27" i="2"/>
  <c r="AF25" i="2"/>
  <c r="X25" i="2"/>
  <c r="P25" i="2"/>
  <c r="H25" i="2"/>
  <c r="AH24" i="2"/>
  <c r="Z24" i="2"/>
  <c r="R24" i="2"/>
  <c r="J24" i="2"/>
  <c r="AJ22" i="2"/>
  <c r="AB22" i="2"/>
  <c r="T22" i="2"/>
  <c r="L22" i="2"/>
  <c r="D22" i="2"/>
  <c r="AD21" i="2"/>
  <c r="V21" i="2"/>
  <c r="N21" i="2"/>
  <c r="F21" i="2"/>
  <c r="AF20" i="2"/>
  <c r="X20" i="2"/>
  <c r="P20" i="2"/>
  <c r="H20" i="2"/>
  <c r="AH19" i="2"/>
  <c r="Z19" i="2"/>
  <c r="R19" i="2"/>
  <c r="J19" i="2"/>
  <c r="AJ18" i="2"/>
  <c r="AB18" i="2"/>
  <c r="T18" i="2"/>
  <c r="L18" i="2"/>
  <c r="D18" i="2"/>
  <c r="AD17" i="2"/>
  <c r="V17" i="2"/>
  <c r="N17" i="2"/>
  <c r="F17" i="2"/>
  <c r="AF16" i="2"/>
  <c r="X16" i="2"/>
  <c r="P16" i="2"/>
  <c r="H16" i="2"/>
  <c r="AH15" i="2"/>
  <c r="Z15" i="2"/>
  <c r="R15" i="2"/>
  <c r="J15" i="2"/>
  <c r="AJ14" i="2"/>
  <c r="AB14" i="2"/>
  <c r="T14" i="2"/>
  <c r="L14" i="2"/>
  <c r="D14" i="2"/>
  <c r="AD13" i="2"/>
  <c r="V13" i="2"/>
  <c r="N13" i="2"/>
  <c r="F13" i="2"/>
  <c r="AF12" i="2"/>
  <c r="X12" i="2"/>
  <c r="P12" i="2"/>
  <c r="H12" i="2"/>
  <c r="AH11" i="2"/>
  <c r="Z11" i="2"/>
  <c r="R11" i="2"/>
  <c r="J11" i="2"/>
  <c r="AJ10" i="2"/>
  <c r="AB10" i="2"/>
  <c r="T10" i="2"/>
  <c r="L10" i="2"/>
  <c r="D10" i="2"/>
  <c r="AD9" i="2"/>
  <c r="V9" i="2"/>
  <c r="N9" i="2"/>
  <c r="F9" i="2"/>
  <c r="AF8" i="2"/>
  <c r="X8" i="2"/>
  <c r="P8" i="2"/>
  <c r="H8" i="2"/>
  <c r="AH7" i="2"/>
  <c r="Z7" i="2"/>
  <c r="R7" i="2"/>
  <c r="J7" i="2"/>
  <c r="AJ6" i="2"/>
  <c r="AB6" i="2"/>
  <c r="T6" i="2"/>
  <c r="L6" i="2"/>
  <c r="D6" i="2"/>
  <c r="AF31" i="3"/>
  <c r="D15" i="3"/>
  <c r="C11" i="3"/>
  <c r="O46" i="2"/>
  <c r="AA40" i="2"/>
  <c r="X18" i="4"/>
  <c r="AE50" i="3"/>
  <c r="AB37" i="3"/>
  <c r="U32" i="3"/>
  <c r="AC28" i="3"/>
  <c r="C23" i="3"/>
  <c r="K19" i="3"/>
  <c r="S15" i="3"/>
  <c r="AJ13" i="3"/>
  <c r="D13" i="3"/>
  <c r="F12" i="3"/>
  <c r="H11" i="3"/>
  <c r="J10" i="3"/>
  <c r="L9" i="3"/>
  <c r="N8" i="3"/>
  <c r="P7" i="3"/>
  <c r="R47" i="2"/>
  <c r="T46" i="2"/>
  <c r="V45" i="2"/>
  <c r="X44" i="2"/>
  <c r="Z43" i="2"/>
  <c r="AB42" i="2"/>
  <c r="AD41" i="2"/>
  <c r="AF40" i="2"/>
  <c r="AH39" i="2"/>
  <c r="AJ35" i="2"/>
  <c r="D35" i="2"/>
  <c r="F34" i="2"/>
  <c r="H33" i="2"/>
  <c r="J32" i="2"/>
  <c r="L30" i="2"/>
  <c r="S29" i="2"/>
  <c r="C29" i="2"/>
  <c r="AA28" i="2"/>
  <c r="S28" i="2"/>
  <c r="K28" i="2"/>
  <c r="C28" i="2"/>
  <c r="AC27" i="2"/>
  <c r="U27" i="2"/>
  <c r="M27" i="2"/>
  <c r="E27" i="2"/>
  <c r="AE25" i="2"/>
  <c r="W25" i="2"/>
  <c r="O25" i="2"/>
  <c r="G25" i="2"/>
  <c r="AG24" i="2"/>
  <c r="Y24" i="2"/>
  <c r="Q24" i="2"/>
  <c r="I24" i="2"/>
  <c r="AI22" i="2"/>
  <c r="AA22" i="2"/>
  <c r="S22" i="2"/>
  <c r="K22" i="2"/>
  <c r="C22" i="2"/>
  <c r="AC21" i="2"/>
  <c r="U21" i="2"/>
  <c r="M21" i="2"/>
  <c r="E21" i="2"/>
  <c r="AE20" i="2"/>
  <c r="W20" i="2"/>
  <c r="O20" i="2"/>
  <c r="G20" i="2"/>
  <c r="AG19" i="2"/>
  <c r="Y19" i="2"/>
  <c r="Q19" i="2"/>
  <c r="I19" i="2"/>
  <c r="AI18" i="2"/>
  <c r="AA18" i="2"/>
  <c r="S18" i="2"/>
  <c r="K18" i="2"/>
  <c r="C18" i="2"/>
  <c r="AC17" i="2"/>
  <c r="U17" i="2"/>
  <c r="M17" i="2"/>
  <c r="E17" i="2"/>
  <c r="AE16" i="2"/>
  <c r="W16" i="2"/>
  <c r="O16" i="2"/>
  <c r="G16" i="2"/>
  <c r="AG15" i="2"/>
  <c r="Y15" i="2"/>
  <c r="Q15" i="2"/>
  <c r="I15" i="2"/>
  <c r="AI14" i="2"/>
  <c r="AA14" i="2"/>
  <c r="S14" i="2"/>
  <c r="K14" i="2"/>
  <c r="C14" i="2"/>
  <c r="AC13" i="2"/>
  <c r="U13" i="2"/>
  <c r="M13" i="2"/>
  <c r="E13" i="2"/>
  <c r="AE12" i="2"/>
  <c r="W12" i="2"/>
  <c r="O12" i="2"/>
  <c r="G12" i="2"/>
  <c r="AG11" i="2"/>
  <c r="Y11" i="2"/>
  <c r="Q11" i="2"/>
  <c r="I11" i="2"/>
  <c r="AI10" i="2"/>
  <c r="AA10" i="2"/>
  <c r="S10" i="2"/>
  <c r="K10" i="2"/>
  <c r="C10" i="2"/>
  <c r="AC9" i="2"/>
  <c r="U9" i="2"/>
  <c r="M9" i="2"/>
  <c r="E9" i="2"/>
  <c r="AE8" i="2"/>
  <c r="W8" i="2"/>
  <c r="O8" i="2"/>
  <c r="G8" i="2"/>
  <c r="AG7" i="2"/>
  <c r="Y7" i="2"/>
  <c r="Q7" i="2"/>
  <c r="I7" i="2"/>
  <c r="AI6" i="2"/>
  <c r="AA6" i="2"/>
  <c r="S6" i="2"/>
  <c r="K6" i="2"/>
  <c r="C6" i="2"/>
  <c r="L13" i="4"/>
  <c r="AG12" i="3"/>
  <c r="I8" i="3"/>
  <c r="Q45" i="2"/>
  <c r="AC39" i="2"/>
  <c r="AF11" i="4"/>
  <c r="AB13" i="3"/>
  <c r="J47" i="2"/>
  <c r="Z39" i="2"/>
  <c r="E32" i="2"/>
  <c r="Z28" i="2"/>
  <c r="AB27" i="2"/>
  <c r="AD25" i="2"/>
  <c r="AF24" i="2"/>
  <c r="AH22" i="2"/>
  <c r="AJ21" i="2"/>
  <c r="D21" i="2"/>
  <c r="F20" i="2"/>
  <c r="H19" i="2"/>
  <c r="J18" i="2"/>
  <c r="L17" i="2"/>
  <c r="N16" i="2"/>
  <c r="P15" i="2"/>
  <c r="R14" i="2"/>
  <c r="T13" i="2"/>
  <c r="V12" i="2"/>
  <c r="X11" i="2"/>
  <c r="Z10" i="2"/>
  <c r="AB9" i="2"/>
  <c r="AD8" i="2"/>
  <c r="AF7" i="2"/>
  <c r="AH6" i="2"/>
  <c r="AE7" i="2"/>
  <c r="X7" i="2"/>
  <c r="W7" i="2"/>
  <c r="T42" i="2"/>
  <c r="M25" i="2"/>
  <c r="W19" i="2"/>
  <c r="AI13" i="2"/>
  <c r="K9" i="2"/>
  <c r="V41" i="2"/>
  <c r="H24" i="2"/>
  <c r="T17" i="2"/>
  <c r="AD12" i="2"/>
  <c r="F8" i="2"/>
  <c r="L45" i="3"/>
  <c r="AD12" i="3"/>
  <c r="L46" i="2"/>
  <c r="AB35" i="2"/>
  <c r="AJ30" i="2"/>
  <c r="Y28" i="2"/>
  <c r="AA27" i="2"/>
  <c r="AC25" i="2"/>
  <c r="AE24" i="2"/>
  <c r="AG22" i="2"/>
  <c r="AI21" i="2"/>
  <c r="C21" i="2"/>
  <c r="E20" i="2"/>
  <c r="G19" i="2"/>
  <c r="I18" i="2"/>
  <c r="K17" i="2"/>
  <c r="M16" i="2"/>
  <c r="O15" i="2"/>
  <c r="Q14" i="2"/>
  <c r="S13" i="2"/>
  <c r="U12" i="2"/>
  <c r="W11" i="2"/>
  <c r="Y10" i="2"/>
  <c r="AA9" i="2"/>
  <c r="AC8" i="2"/>
  <c r="AG6" i="2"/>
  <c r="Z6" i="2"/>
  <c r="D9" i="3"/>
  <c r="O24" i="2"/>
  <c r="Y18" i="2"/>
  <c r="C13" i="2"/>
  <c r="M8" i="2"/>
  <c r="C33" i="2"/>
  <c r="F25" i="2"/>
  <c r="P19" i="2"/>
  <c r="Z14" i="2"/>
  <c r="D9" i="2"/>
  <c r="Q35" i="3"/>
  <c r="AF11" i="3"/>
  <c r="N45" i="2"/>
  <c r="AG34" i="2"/>
  <c r="G30" i="2"/>
  <c r="R28" i="2"/>
  <c r="T27" i="2"/>
  <c r="V25" i="2"/>
  <c r="X24" i="2"/>
  <c r="Z22" i="2"/>
  <c r="AB21" i="2"/>
  <c r="AD20" i="2"/>
  <c r="AF19" i="2"/>
  <c r="AH18" i="2"/>
  <c r="AJ17" i="2"/>
  <c r="D17" i="2"/>
  <c r="F16" i="2"/>
  <c r="H15" i="2"/>
  <c r="J14" i="2"/>
  <c r="L13" i="2"/>
  <c r="N12" i="2"/>
  <c r="P11" i="2"/>
  <c r="R10" i="2"/>
  <c r="T9" i="2"/>
  <c r="V8" i="2"/>
  <c r="Y6" i="2"/>
  <c r="AF33" i="2"/>
  <c r="K27" i="2"/>
  <c r="U20" i="2"/>
  <c r="AG14" i="2"/>
  <c r="O7" i="2"/>
  <c r="AI28" i="2"/>
  <c r="J22" i="2"/>
  <c r="V16" i="2"/>
  <c r="AH10" i="2"/>
  <c r="H7" i="2"/>
  <c r="W31" i="3"/>
  <c r="AH10" i="3"/>
  <c r="P44" i="2"/>
  <c r="AD34" i="2"/>
  <c r="D30" i="2"/>
  <c r="Q28" i="2"/>
  <c r="S27" i="2"/>
  <c r="U25" i="2"/>
  <c r="W24" i="2"/>
  <c r="Y22" i="2"/>
  <c r="AA21" i="2"/>
  <c r="AC20" i="2"/>
  <c r="AE19" i="2"/>
  <c r="AG18" i="2"/>
  <c r="AI17" i="2"/>
  <c r="C17" i="2"/>
  <c r="E16" i="2"/>
  <c r="G15" i="2"/>
  <c r="I14" i="2"/>
  <c r="K13" i="2"/>
  <c r="M12" i="2"/>
  <c r="O11" i="2"/>
  <c r="Q10" i="2"/>
  <c r="S9" i="2"/>
  <c r="U8" i="2"/>
  <c r="E22" i="3"/>
  <c r="Q22" i="2"/>
  <c r="AA17" i="2"/>
  <c r="E12" i="2"/>
  <c r="Q6" i="2"/>
  <c r="AJ27" i="2"/>
  <c r="L21" i="2"/>
  <c r="X15" i="2"/>
  <c r="AJ9" i="2"/>
  <c r="J6" i="2"/>
  <c r="AE27" i="3"/>
  <c r="AJ9" i="3"/>
  <c r="R43" i="2"/>
  <c r="AI33" i="2"/>
  <c r="Q29" i="2"/>
  <c r="J28" i="2"/>
  <c r="L27" i="2"/>
  <c r="N25" i="2"/>
  <c r="P24" i="2"/>
  <c r="R22" i="2"/>
  <c r="T21" i="2"/>
  <c r="V20" i="2"/>
  <c r="X19" i="2"/>
  <c r="Z18" i="2"/>
  <c r="AB17" i="2"/>
  <c r="AD16" i="2"/>
  <c r="AF15" i="2"/>
  <c r="AH14" i="2"/>
  <c r="AJ13" i="2"/>
  <c r="D13" i="2"/>
  <c r="F12" i="2"/>
  <c r="H11" i="2"/>
  <c r="J10" i="2"/>
  <c r="L9" i="2"/>
  <c r="N8" i="2"/>
  <c r="P7" i="2"/>
  <c r="R6" i="2"/>
  <c r="N29" i="2"/>
  <c r="I28" i="2"/>
  <c r="S21" i="2"/>
  <c r="AC16" i="2"/>
  <c r="G11" i="2"/>
  <c r="M18" i="3"/>
  <c r="D27" i="2"/>
  <c r="R18" i="2"/>
  <c r="AF11" i="2"/>
  <c r="AD14" i="3"/>
  <c r="H7" i="3"/>
  <c r="X40" i="2"/>
  <c r="AH32" i="2"/>
  <c r="AH28" i="2"/>
  <c r="AI27" i="2"/>
  <c r="C27" i="2"/>
  <c r="E25" i="2"/>
  <c r="G24" i="2"/>
  <c r="I22" i="2"/>
  <c r="K21" i="2"/>
  <c r="M20" i="2"/>
  <c r="O19" i="2"/>
  <c r="Q18" i="2"/>
  <c r="S17" i="2"/>
  <c r="U16" i="2"/>
  <c r="W15" i="2"/>
  <c r="Y14" i="2"/>
  <c r="AA13" i="2"/>
  <c r="AC12" i="2"/>
  <c r="AE11" i="2"/>
  <c r="AG10" i="2"/>
  <c r="AI9" i="2"/>
  <c r="C9" i="2"/>
  <c r="E8" i="2"/>
  <c r="G7" i="2"/>
  <c r="I6" i="2"/>
  <c r="AE15" i="2"/>
  <c r="I10" i="2"/>
  <c r="F8" i="3"/>
  <c r="N20" i="2"/>
  <c r="AB13" i="2"/>
</calcChain>
</file>

<file path=xl/sharedStrings.xml><?xml version="1.0" encoding="utf-8"?>
<sst xmlns="http://schemas.openxmlformats.org/spreadsheetml/2006/main" count="714" uniqueCount="326">
  <si>
    <t>Revenue</t>
  </si>
  <si>
    <t>Gross Profit</t>
  </si>
  <si>
    <t>Cash &amp; Equivalents</t>
  </si>
  <si>
    <t>Reference Items</t>
  </si>
  <si>
    <t>Right click to show data transparency (not supported for all values)</t>
  </si>
  <si>
    <t>Exxon Mobil Corp (XOM US) - Adjusted</t>
  </si>
  <si>
    <t>In Millions of USD except Per Share</t>
  </si>
  <si>
    <t>Q1 1990</t>
  </si>
  <si>
    <t>Q2 1990</t>
  </si>
  <si>
    <t>Q3 1990</t>
  </si>
  <si>
    <t>Q4 1990</t>
  </si>
  <si>
    <t>Q1 1991</t>
  </si>
  <si>
    <t>Q2 1991</t>
  </si>
  <si>
    <t>Q3 1991</t>
  </si>
  <si>
    <t>Q4 1991</t>
  </si>
  <si>
    <t>Q1 1992</t>
  </si>
  <si>
    <t>Q2 1992</t>
  </si>
  <si>
    <t>Q3 1992</t>
  </si>
  <si>
    <t>Q4 1992</t>
  </si>
  <si>
    <t>Q1 1993</t>
  </si>
  <si>
    <t>Q2 1993</t>
  </si>
  <si>
    <t>Q3 1993</t>
  </si>
  <si>
    <t>Q4 1993</t>
  </si>
  <si>
    <t>Q1 1994</t>
  </si>
  <si>
    <t>Q2 1994</t>
  </si>
  <si>
    <t>Q3 1994</t>
  </si>
  <si>
    <t>Q4 1994</t>
  </si>
  <si>
    <t>Q1 1995</t>
  </si>
  <si>
    <t>Q2 1995</t>
  </si>
  <si>
    <t>Q3 1995</t>
  </si>
  <si>
    <t>Q4 1995</t>
  </si>
  <si>
    <t>Q1 1996</t>
  </si>
  <si>
    <t>Q2 1996</t>
  </si>
  <si>
    <t>Q3 1996</t>
  </si>
  <si>
    <t>Q4 1996</t>
  </si>
  <si>
    <t>Q1 1997</t>
  </si>
  <si>
    <t>Q2 1997</t>
  </si>
  <si>
    <t>Q3 1997</t>
  </si>
  <si>
    <t>Q4 1997</t>
  </si>
  <si>
    <t>Q1 1998</t>
  </si>
  <si>
    <t>Q2 1998</t>
  </si>
  <si>
    <t>3 Months Ending</t>
  </si>
  <si>
    <t>03/31/1990</t>
  </si>
  <si>
    <t>06/30/1990</t>
  </si>
  <si>
    <t>09/30/1990</t>
  </si>
  <si>
    <t>12/31/1990</t>
  </si>
  <si>
    <t>03/31/1991</t>
  </si>
  <si>
    <t>06/30/1991</t>
  </si>
  <si>
    <t>09/30/1991</t>
  </si>
  <si>
    <t>12/31/1991</t>
  </si>
  <si>
    <t>03/31/1992</t>
  </si>
  <si>
    <t>06/30/1992</t>
  </si>
  <si>
    <t>09/30/1992</t>
  </si>
  <si>
    <t>12/31/1992</t>
  </si>
  <si>
    <t>03/31/1993</t>
  </si>
  <si>
    <t>06/30/1993</t>
  </si>
  <si>
    <t>09/30/1993</t>
  </si>
  <si>
    <t>12/31/1993</t>
  </si>
  <si>
    <t>03/31/1994</t>
  </si>
  <si>
    <t>06/30/1994</t>
  </si>
  <si>
    <t>09/30/1994</t>
  </si>
  <si>
    <t>12/31/1994</t>
  </si>
  <si>
    <t>03/31/1995</t>
  </si>
  <si>
    <t>06/30/1995</t>
  </si>
  <si>
    <t>09/30/1995</t>
  </si>
  <si>
    <t>12/31/1995</t>
  </si>
  <si>
    <t>03/31/1996</t>
  </si>
  <si>
    <t>06/30/1996</t>
  </si>
  <si>
    <t>09/30/1996</t>
  </si>
  <si>
    <t>12/31/1996</t>
  </si>
  <si>
    <t>03/31/1997</t>
  </si>
  <si>
    <t>06/30/1997</t>
  </si>
  <si>
    <t>09/30/1997</t>
  </si>
  <si>
    <t>12/31/1997</t>
  </si>
  <si>
    <t>03/31/1998</t>
  </si>
  <si>
    <t>06/30/1998</t>
  </si>
  <si>
    <t>SALES_REV_TURN</t>
  </si>
  <si>
    <t xml:space="preserve">  - Cost of Revenue</t>
  </si>
  <si>
    <t>IS_COGS_TO_FE_AND_PP_AND_G</t>
  </si>
  <si>
    <t>GROSS_PROFIT</t>
  </si>
  <si>
    <t xml:space="preserve">  - Operating Expenses</t>
  </si>
  <si>
    <t>IS_OPERATING_EXPN</t>
  </si>
  <si>
    <t>Operating Income (Loss)</t>
  </si>
  <si>
    <t>IS_OPER_INC</t>
  </si>
  <si>
    <t xml:space="preserve">    + Interest Expense</t>
  </si>
  <si>
    <t>IS_INT_EXPENSE</t>
  </si>
  <si>
    <t xml:space="preserve">    + Foreign Exch (Gain) Loss</t>
  </si>
  <si>
    <t>IS_FOREIGN_EXCH_LOSS</t>
  </si>
  <si>
    <t>Pretax Income (Loss), Adjusted</t>
  </si>
  <si>
    <t>PRETAX_INC</t>
  </si>
  <si>
    <t>Pretax Income (Loss), GAAP</t>
  </si>
  <si>
    <t xml:space="preserve">  - Income Tax Expense (Benefit)</t>
  </si>
  <si>
    <t>IS_INC_TAX_EXP</t>
  </si>
  <si>
    <t>Income (Loss) from Cont Ops</t>
  </si>
  <si>
    <t>IS_INC_BEF_XO_ITEM</t>
  </si>
  <si>
    <t xml:space="preserve">  - Net Extraordinary Losses (Gains)</t>
  </si>
  <si>
    <t>XO_GL_NET_OF_TAX</t>
  </si>
  <si>
    <t>Income (Loss) Incl. MI</t>
  </si>
  <si>
    <t>NI_INCLUDING_MINORITY_INT_RATIO</t>
  </si>
  <si>
    <t xml:space="preserve">  - Minority Interest</t>
  </si>
  <si>
    <t>MIN_NONCONTROL_INTEREST_CREDITS</t>
  </si>
  <si>
    <t>Net Income, GAAP</t>
  </si>
  <si>
    <t>NET_INCOME</t>
  </si>
  <si>
    <t xml:space="preserve">  - Preferred Dividends</t>
  </si>
  <si>
    <t>IS_TOT_CASH_PFD_DVD</t>
  </si>
  <si>
    <t>Net Income Avail to Common, GAAP</t>
  </si>
  <si>
    <t>EARN_FOR_COMMON</t>
  </si>
  <si>
    <t>Net Income Avail to Common, Adj</t>
  </si>
  <si>
    <t xml:space="preserve">  Net Extraordinary Losses (Gains)</t>
  </si>
  <si>
    <t>Basic Weighted Avg Shares</t>
  </si>
  <si>
    <t>IS_AVG_NUM_SH_FOR_EPS</t>
  </si>
  <si>
    <t>Basic EPS, GAAP</t>
  </si>
  <si>
    <t>IS_EPS</t>
  </si>
  <si>
    <t>Basic EPS from Cont Ops</t>
  </si>
  <si>
    <t>IS_EARN_BEF_XO_ITEMS_PER_SH</t>
  </si>
  <si>
    <t>Basic EPS from Cont Ops, Adjusted</t>
  </si>
  <si>
    <t>IS_BASIC_EPS_CONT_OPS</t>
  </si>
  <si>
    <t>Diluted Weighted Avg Shares</t>
  </si>
  <si>
    <t>IS_SH_FOR_DILUTED_EPS</t>
  </si>
  <si>
    <t>Diluted EPS, GAAP</t>
  </si>
  <si>
    <t>IS_DILUTED_EPS</t>
  </si>
  <si>
    <t>Diluted EPS from Cont Ops</t>
  </si>
  <si>
    <t>IS_DIL_EPS_BEF_XO</t>
  </si>
  <si>
    <t>Diluted EPS from Cont Ops, Adjusted</t>
  </si>
  <si>
    <t>IS_DIL_EPS_CONT_OPS</t>
  </si>
  <si>
    <t>Accounting Standard</t>
  </si>
  <si>
    <t>ACCOUNTING_STANDARD</t>
  </si>
  <si>
    <t>US GAAP</t>
  </si>
  <si>
    <t>EBITDA</t>
  </si>
  <si>
    <t>EBITDA Margin (T12M)</t>
  </si>
  <si>
    <t>EBITDA_MARGIN</t>
  </si>
  <si>
    <t>EBIT</t>
  </si>
  <si>
    <t>Gross Margin</t>
  </si>
  <si>
    <t>GROSS_MARGIN</t>
  </si>
  <si>
    <t>Operating Margin</t>
  </si>
  <si>
    <t>OPER_MARGIN</t>
  </si>
  <si>
    <t>Profit Margin</t>
  </si>
  <si>
    <t>PROF_MARGIN</t>
  </si>
  <si>
    <t>Sales per Employee</t>
  </si>
  <si>
    <t>ACTUAL_SALES_PER_EMPL</t>
  </si>
  <si>
    <t>Dividends per Share</t>
  </si>
  <si>
    <t>EQY_DPS</t>
  </si>
  <si>
    <t>Total Cash Common Dividends</t>
  </si>
  <si>
    <t>IS_TOT_CASH_COM_DVD</t>
  </si>
  <si>
    <t>Source: Bloomberg</t>
  </si>
  <si>
    <t>Exxon Mobil Corp (XOM US) - Standardized</t>
  </si>
  <si>
    <t>Total Assets</t>
  </si>
  <si>
    <t xml:space="preserve">  + Cash, Cash Equivalents &amp; STI</t>
  </si>
  <si>
    <t>C&amp;CE_AND_STI_DETAILED</t>
  </si>
  <si>
    <t xml:space="preserve">    + Cash &amp; Cash Equivalents</t>
  </si>
  <si>
    <t>BS_CASH_NEAR_CASH_ITEM</t>
  </si>
  <si>
    <t xml:space="preserve">    + ST Investments</t>
  </si>
  <si>
    <t>BS_MKT_SEC_OTHER_ST_INVEST</t>
  </si>
  <si>
    <t xml:space="preserve">  + Accounts &amp; Notes Receiv</t>
  </si>
  <si>
    <t>BS_ACCT_NOTE_RCV</t>
  </si>
  <si>
    <t xml:space="preserve">  + Inventories</t>
  </si>
  <si>
    <t>BS_INVENTORIES</t>
  </si>
  <si>
    <t xml:space="preserve">    + Raw Materials</t>
  </si>
  <si>
    <t>INVTRY_RAW_MATERIALS</t>
  </si>
  <si>
    <t xml:space="preserve">    + Work In Process</t>
  </si>
  <si>
    <t>INVTRY_IN_PROGRESS</t>
  </si>
  <si>
    <t xml:space="preserve">    + Finished Goods</t>
  </si>
  <si>
    <t>INVTRY_FINISHED_GOODS</t>
  </si>
  <si>
    <t xml:space="preserve">  + Other ST Assets</t>
  </si>
  <si>
    <t>OTHER_CURRENT_ASSETS_DETAILED</t>
  </si>
  <si>
    <t>Total Current Assets</t>
  </si>
  <si>
    <t>BS_CUR_ASSET_REPORT</t>
  </si>
  <si>
    <t xml:space="preserve">  + Property, Plant &amp; Equip, Net</t>
  </si>
  <si>
    <t>BS_NET_FIX_ASSET</t>
  </si>
  <si>
    <t xml:space="preserve">    + Property, Plant &amp; Equip</t>
  </si>
  <si>
    <t>BS_GROSS_FIX_ASSET</t>
  </si>
  <si>
    <t xml:space="preserve">    - Accumulated Depreciation</t>
  </si>
  <si>
    <t>BS_ACCUM_DEPR</t>
  </si>
  <si>
    <t xml:space="preserve">  + LT Investments &amp; Receivables</t>
  </si>
  <si>
    <t>BS_LT_INVEST</t>
  </si>
  <si>
    <t xml:space="preserve">  + Other LT Assets</t>
  </si>
  <si>
    <t>BS_OTHER_ASSETS_DEF_CHRG_OTHER</t>
  </si>
  <si>
    <t xml:space="preserve">    + Misc LT Assets</t>
  </si>
  <si>
    <t>OTHER_NONCURRENT_ASSETS_DETAILED</t>
  </si>
  <si>
    <t>Total Noncurrent Assets</t>
  </si>
  <si>
    <t>BS_TOT_NON_CUR_ASSET</t>
  </si>
  <si>
    <t>BS_TOT_ASSET</t>
  </si>
  <si>
    <t>Liabilities &amp; Shareholders' Equity</t>
  </si>
  <si>
    <t xml:space="preserve">  + Payables &amp; Accruals</t>
  </si>
  <si>
    <t>ACCT_PAYABLE_&amp;_ACCRUALS_DETAILED</t>
  </si>
  <si>
    <t xml:space="preserve">    + Accounts Payable</t>
  </si>
  <si>
    <t>BS_ACCT_PAYABLE</t>
  </si>
  <si>
    <t xml:space="preserve">  + ST Debt</t>
  </si>
  <si>
    <t>BS_ST_BORROW</t>
  </si>
  <si>
    <t xml:space="preserve">  + Other ST Liabilities</t>
  </si>
  <si>
    <t>OTHER_CURRENT_LIABS_SUB_DETAILED</t>
  </si>
  <si>
    <t xml:space="preserve">    + Misc ST Liabilities</t>
  </si>
  <si>
    <t>OTHER_CURRENT_LIABS_DETAILED</t>
  </si>
  <si>
    <t>Total Current Liabilities</t>
  </si>
  <si>
    <t>BS_CUR_LIAB</t>
  </si>
  <si>
    <t xml:space="preserve">  + LT Debt</t>
  </si>
  <si>
    <t>BS_LT_BORROW</t>
  </si>
  <si>
    <t xml:space="preserve">  + Other LT Liabilities</t>
  </si>
  <si>
    <t>OTHER_NONCUR_LIABS_SUB_DETAILED</t>
  </si>
  <si>
    <t xml:space="preserve">    + Misc LT Liabilities</t>
  </si>
  <si>
    <t>OTHER_NONCURRENT_LIABS_DETAILED</t>
  </si>
  <si>
    <t>Total Noncurrent Liabilities</t>
  </si>
  <si>
    <t>NON_CUR_LIAB</t>
  </si>
  <si>
    <t>Total Liabilities</t>
  </si>
  <si>
    <t>BS_TOT_LIAB2</t>
  </si>
  <si>
    <t xml:space="preserve">  + Preferred Equity and Hybrid Capital</t>
  </si>
  <si>
    <t>BS_PFD_EQTY_&amp;_HYBRID_CPTL</t>
  </si>
  <si>
    <t xml:space="preserve">  + Share Capital &amp; APIC</t>
  </si>
  <si>
    <t>BS_SH_CAP_AND_APIC</t>
  </si>
  <si>
    <t xml:space="preserve">  - Treasury Stock</t>
  </si>
  <si>
    <t>BS_AMT_OF_TSY_STOCK</t>
  </si>
  <si>
    <t xml:space="preserve">  + Other Equity</t>
  </si>
  <si>
    <t>OTHER_INS_RES_TO_SHRHLDR_EQY</t>
  </si>
  <si>
    <t>Equity Before Minority Interest</t>
  </si>
  <si>
    <t>EQTY_BEF_MINORITY_INT_DETAILED</t>
  </si>
  <si>
    <t xml:space="preserve">  + Minority/Non Controlling Interest</t>
  </si>
  <si>
    <t>MINORITY_NONCONTROLLING_INTEREST</t>
  </si>
  <si>
    <t>Total Equity</t>
  </si>
  <si>
    <t>TOTAL_EQUITY</t>
  </si>
  <si>
    <t>Total Liabilities &amp; Equity</t>
  </si>
  <si>
    <t>TOT_LIAB_AND_EQY</t>
  </si>
  <si>
    <t>Shares Outstanding</t>
  </si>
  <si>
    <t>BS_SH_OUT</t>
  </si>
  <si>
    <t>Number of Treasury Shares</t>
  </si>
  <si>
    <t>BS_NUM_OF_TSY_SH</t>
  </si>
  <si>
    <t>Net Debt</t>
  </si>
  <si>
    <t>NET_DEBT</t>
  </si>
  <si>
    <t>Net Debt to Equity</t>
  </si>
  <si>
    <t>NET_DEBT_TO_SHRHLDR_EQTY</t>
  </si>
  <si>
    <t>Current Ratio</t>
  </si>
  <si>
    <t>CUR_RATIO</t>
  </si>
  <si>
    <t>Cash Conversion Cycle</t>
  </si>
  <si>
    <t>CASH_CONVERSION_CYCLE</t>
  </si>
  <si>
    <t>Number of Employees</t>
  </si>
  <si>
    <t>NUM_OF_EMPLOYEES</t>
  </si>
  <si>
    <t>Cash from Operating Activities</t>
  </si>
  <si>
    <t xml:space="preserve">  + Net Income</t>
  </si>
  <si>
    <t>CF_NET_INC</t>
  </si>
  <si>
    <t xml:space="preserve">  + Depreciation &amp; Amortization</t>
  </si>
  <si>
    <t>CF_DEPR_AMORT</t>
  </si>
  <si>
    <t xml:space="preserve">  + Non-Cash Items</t>
  </si>
  <si>
    <t>NON_CASH_ITEMS_DETAILED</t>
  </si>
  <si>
    <t xml:space="preserve">    + Other Non-Cash Adj</t>
  </si>
  <si>
    <t>OTHER_NON_CASH_ADJ_LESS_DETAILED</t>
  </si>
  <si>
    <t xml:space="preserve">  + Chg in Non-Cash Work Cap</t>
  </si>
  <si>
    <t>CF_CHNG_NON_CASH_WORK_CAP</t>
  </si>
  <si>
    <t xml:space="preserve">    + Inc (Dec) in Other</t>
  </si>
  <si>
    <t>INC_DEC_IN_OT_OP_AST_LIAB_DETAIL</t>
  </si>
  <si>
    <t>CF_CASH_FROM_OPER</t>
  </si>
  <si>
    <t>Cash from Investing Activities</t>
  </si>
  <si>
    <t xml:space="preserve">  + Change in Fixed &amp; Intang</t>
  </si>
  <si>
    <t>CHG_IN_FXD_&amp;_INTANG_AST_DETAILED</t>
  </si>
  <si>
    <t xml:space="preserve">    + Disp in Fixed &amp; Intang</t>
  </si>
  <si>
    <t>DISP_FXD_&amp;_INTANGIBLES_DETAILED</t>
  </si>
  <si>
    <t xml:space="preserve">    + Acq of Fixed &amp; Intang</t>
  </si>
  <si>
    <t>ACQUIS_FXD_&amp;_INTANG_DETAILED</t>
  </si>
  <si>
    <t xml:space="preserve">  + Net Change in LT Investment</t>
  </si>
  <si>
    <t>NET_CHG_IN_LT_INVEST_DETAILED</t>
  </si>
  <si>
    <t xml:space="preserve">    + Dec in LT Investment</t>
  </si>
  <si>
    <t>CF_DECR_INVEST</t>
  </si>
  <si>
    <t xml:space="preserve">    + Inc in LT Investment</t>
  </si>
  <si>
    <t>CF_INCR_INVEST</t>
  </si>
  <si>
    <t xml:space="preserve">  + Other Investing Activities</t>
  </si>
  <si>
    <t>OTHER_INVESTING_ACT_DETAILED</t>
  </si>
  <si>
    <t>CF_CASH_FROM_INV_ACT</t>
  </si>
  <si>
    <t>Cash from Financing Activities</t>
  </si>
  <si>
    <t xml:space="preserve">  + Dividends Paid</t>
  </si>
  <si>
    <t>CF_DVD_PAID</t>
  </si>
  <si>
    <t xml:space="preserve">  + Cash From (Repayment) Debt</t>
  </si>
  <si>
    <t>PROC_FR_REPAYMNTS_BOR_DETAILED</t>
  </si>
  <si>
    <t xml:space="preserve">  + Cash (Repurchase) of Equity</t>
  </si>
  <si>
    <t>PROC_FR_REPURCH_EQTY_DETAILED</t>
  </si>
  <si>
    <t xml:space="preserve">    + Increase in Capital Stock</t>
  </si>
  <si>
    <t>CF_INCR_CAP_STOCK</t>
  </si>
  <si>
    <t xml:space="preserve">    + Decrease in Capital Stock</t>
  </si>
  <si>
    <t>CF_DECR_CAP_STOCK</t>
  </si>
  <si>
    <t>CFF_ACTIVITIES_DETAILED</t>
  </si>
  <si>
    <t>Net Changes in Cash</t>
  </si>
  <si>
    <t>CF_NET_CHNG_CASH</t>
  </si>
  <si>
    <t>Trailing 12M EBITDA Margin</t>
  </si>
  <si>
    <t>Free Cash Flow</t>
  </si>
  <si>
    <t>CF_FREE_CASH_FLOW</t>
  </si>
  <si>
    <t>Free Cash Flow to Firm</t>
  </si>
  <si>
    <t>CF_FREE_CASH_FLOW_FIRM</t>
  </si>
  <si>
    <t>Free Cash Flow to Equity</t>
  </si>
  <si>
    <t>FREE_CASH_FLOW_EQUITY</t>
  </si>
  <si>
    <t>Free Cash Flow per Basic Share</t>
  </si>
  <si>
    <t>FREE_CASH_FLOW_PER_SH</t>
  </si>
  <si>
    <t>Price to Free Cash Flow</t>
  </si>
  <si>
    <t>PX_TO_FREE_CASH_FLOW</t>
  </si>
  <si>
    <t>Cash Flow to Net Income</t>
  </si>
  <si>
    <t>CASH_FLOW_TO_NET_INC</t>
  </si>
  <si>
    <t>Exxon Mobil Corp (XOM US) - Per Share</t>
  </si>
  <si>
    <t>Basic Shares Outstanding</t>
  </si>
  <si>
    <t>Per Share Data Items</t>
  </si>
  <si>
    <t>REVENUE_PER_SH</t>
  </si>
  <si>
    <t>EBITDA_PER_SH</t>
  </si>
  <si>
    <t>Operating Income</t>
  </si>
  <si>
    <t>OPER_INC_PER_SH</t>
  </si>
  <si>
    <t>Net Income to Common - Basic</t>
  </si>
  <si>
    <t>Net Income before XO - Basic</t>
  </si>
  <si>
    <t>Normalized Net Income - Basic</t>
  </si>
  <si>
    <t>Net Income to Common - Diluted</t>
  </si>
  <si>
    <t>Net Income before XO - Diluted</t>
  </si>
  <si>
    <t>Normalized Net Income - Diluted</t>
  </si>
  <si>
    <t>Dividends</t>
  </si>
  <si>
    <t>Cash Flow</t>
  </si>
  <si>
    <t>CASH_FLOW_PER_SH</t>
  </si>
  <si>
    <t>CASH_ST_INVESTMENTS_PER_SH</t>
  </si>
  <si>
    <t>Book Value</t>
  </si>
  <si>
    <t>BOOK_VAL_PER_SH</t>
  </si>
  <si>
    <t>Exxon Mobil Corp (XOM US) - Stock Value</t>
  </si>
  <si>
    <t>Last Price</t>
  </si>
  <si>
    <t>PX_LAST</t>
  </si>
  <si>
    <t xml:space="preserve">  Period-over-Period % Change</t>
  </si>
  <si>
    <t>CHG_PCT_PERIOD</t>
  </si>
  <si>
    <t>Open Price</t>
  </si>
  <si>
    <t>PX_OPEN</t>
  </si>
  <si>
    <t>High Price</t>
  </si>
  <si>
    <t>PX_HIGH</t>
  </si>
  <si>
    <t>Low Price</t>
  </si>
  <si>
    <t>PX_LOW</t>
  </si>
  <si>
    <t>Market Capitalization</t>
  </si>
  <si>
    <t>HISTORICAL_MARKET_CAP</t>
  </si>
  <si>
    <t xml:space="preserve">  Current Shares Outstanding</t>
  </si>
  <si>
    <t>EQY_SH_OUT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</si>
</sst>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#,##0.0"/>
  </numFmts>
  <fonts count="29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0"/>
      <color indexed="63"/>
      <name val="Arial"/>
      <family val="2"/>
    </font>
    <font>
      <i/>
      <sz val="10"/>
      <color indexed="63"/>
      <name val="Arial"/>
      <family val="2"/>
    </font>
    <font>
      <b/>
      <sz val="16"/>
      <color indexed="9"/>
      <name val="Arial"/>
      <family val="2"/>
    </font>
    <font>
      <sz val="10"/>
      <name val="Calibri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63"/>
      <name val="Arial"/>
      <family val="2"/>
    </font>
    <font>
      <i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1">
    <xf numFmtId="0" fontId="0" fillId="0" borderId="0"/>
    <xf numFmtId="0" fontId="12" fillId="10" borderId="0" applyNumberFormat="0" applyBorder="0" applyAlignment="0" applyProtection="0"/>
    <xf numFmtId="0" fontId="12" fillId="14" borderId="0" applyNumberFormat="0" applyBorder="0" applyAlignment="0" applyProtection="0"/>
    <xf numFmtId="0" fontId="12" fillId="18" borderId="0" applyNumberFormat="0" applyBorder="0" applyAlignment="0" applyProtection="0"/>
    <xf numFmtId="0" fontId="12" fillId="22" borderId="0" applyNumberFormat="0" applyBorder="0" applyAlignment="0" applyProtection="0"/>
    <xf numFmtId="0" fontId="12" fillId="26" borderId="0" applyNumberFormat="0" applyBorder="0" applyAlignment="0" applyProtection="0"/>
    <xf numFmtId="0" fontId="12" fillId="30" borderId="0" applyNumberFormat="0" applyBorder="0" applyAlignment="0" applyProtection="0"/>
    <xf numFmtId="0" fontId="12" fillId="11" borderId="0" applyNumberFormat="0" applyBorder="0" applyAlignment="0" applyProtection="0"/>
    <xf numFmtId="0" fontId="12" fillId="15" borderId="0" applyNumberFormat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28" fillId="12" borderId="0" applyNumberFormat="0" applyBorder="0" applyAlignment="0" applyProtection="0"/>
    <xf numFmtId="0" fontId="28" fillId="16" borderId="0" applyNumberFormat="0" applyBorder="0" applyAlignment="0" applyProtection="0"/>
    <xf numFmtId="0" fontId="28" fillId="20" borderId="0" applyNumberFormat="0" applyBorder="0" applyAlignment="0" applyProtection="0"/>
    <xf numFmtId="0" fontId="28" fillId="24" borderId="0" applyNumberFormat="0" applyBorder="0" applyAlignment="0" applyProtection="0"/>
    <xf numFmtId="0" fontId="28" fillId="28" borderId="0" applyNumberFormat="0" applyBorder="0" applyAlignment="0" applyProtection="0"/>
    <xf numFmtId="0" fontId="28" fillId="32" borderId="0" applyNumberFormat="0" applyBorder="0" applyAlignment="0" applyProtection="0"/>
    <xf numFmtId="0" fontId="28" fillId="9" borderId="0" applyNumberFormat="0" applyBorder="0" applyAlignment="0" applyProtection="0"/>
    <xf numFmtId="0" fontId="28" fillId="13" borderId="0" applyNumberFormat="0" applyBorder="0" applyAlignment="0" applyProtection="0"/>
    <xf numFmtId="0" fontId="28" fillId="17" borderId="0" applyNumberFormat="0" applyBorder="0" applyAlignment="0" applyProtection="0"/>
    <xf numFmtId="0" fontId="28" fillId="21" borderId="0" applyNumberFormat="0" applyBorder="0" applyAlignment="0" applyProtection="0"/>
    <xf numFmtId="0" fontId="28" fillId="25" borderId="0" applyNumberFormat="0" applyBorder="0" applyAlignment="0" applyProtection="0"/>
    <xf numFmtId="0" fontId="28" fillId="29" borderId="0" applyNumberFormat="0" applyBorder="0" applyAlignment="0" applyProtection="0"/>
    <xf numFmtId="0" fontId="18" fillId="3" borderId="0" applyNumberFormat="0" applyBorder="0" applyAlignment="0" applyProtection="0"/>
    <xf numFmtId="0" fontId="2" fillId="33" borderId="0"/>
    <xf numFmtId="0" fontId="22" fillId="6" borderId="9" applyNumberFormat="0" applyAlignment="0" applyProtection="0"/>
    <xf numFmtId="0" fontId="24" fillId="7" borderId="12" applyNumberFormat="0" applyAlignment="0" applyProtection="0"/>
    <xf numFmtId="0" fontId="26" fillId="0" borderId="0" applyNumberFormat="0" applyFill="0" applyBorder="0" applyAlignment="0" applyProtection="0"/>
    <xf numFmtId="0" fontId="7" fillId="33" borderId="1">
      <alignment horizontal="right"/>
    </xf>
    <xf numFmtId="0" fontId="6" fillId="34" borderId="0" applyNumberFormat="0" applyBorder="0" applyProtection="0">
      <alignment horizontal="center"/>
    </xf>
    <xf numFmtId="0" fontId="7" fillId="33" borderId="3">
      <alignment horizontal="right"/>
    </xf>
    <xf numFmtId="0" fontId="7" fillId="33" borderId="3">
      <alignment horizontal="left"/>
    </xf>
    <xf numFmtId="0" fontId="11" fillId="35" borderId="4" applyNumberFormat="0" applyAlignment="0" applyProtection="0"/>
    <xf numFmtId="0" fontId="8" fillId="34" borderId="5"/>
    <xf numFmtId="0" fontId="10" fillId="34" borderId="5"/>
    <xf numFmtId="0" fontId="9" fillId="34" borderId="5"/>
    <xf numFmtId="0" fontId="17" fillId="2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20" fillId="5" borderId="9" applyNumberFormat="0" applyAlignment="0" applyProtection="0"/>
    <xf numFmtId="0" fontId="23" fillId="0" borderId="11" applyNumberFormat="0" applyFill="0" applyAlignment="0" applyProtection="0"/>
    <xf numFmtId="0" fontId="19" fillId="4" borderId="0" applyNumberFormat="0" applyBorder="0" applyAlignment="0" applyProtection="0"/>
    <xf numFmtId="0" fontId="12" fillId="8" borderId="13" applyNumberFormat="0" applyFont="0" applyAlignment="0" applyProtection="0"/>
    <xf numFmtId="0" fontId="21" fillId="6" borderId="10" applyNumberFormat="0" applyAlignment="0" applyProtection="0"/>
    <xf numFmtId="0" fontId="13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25" fillId="0" borderId="0" applyNumberFormat="0" applyFill="0" applyBorder="0" applyAlignment="0" applyProtection="0"/>
    <xf numFmtId="0" fontId="5" fillId="33" borderId="15" applyNumberFormat="0" applyProtection="0">
      <alignment horizontal="left" vertical="center" readingOrder="1"/>
    </xf>
    <xf numFmtId="0" fontId="7" fillId="33" borderId="1">
      <alignment horizontal="left"/>
    </xf>
    <xf numFmtId="3" fontId="1" fillId="34" borderId="2">
      <alignment horizontal="right"/>
    </xf>
    <xf numFmtId="171" fontId="1" fillId="34" borderId="2">
      <alignment horizontal="right"/>
    </xf>
    <xf numFmtId="4" fontId="1" fillId="34" borderId="2">
      <alignment horizontal="right"/>
    </xf>
    <xf numFmtId="3" fontId="8" fillId="34" borderId="2">
      <alignment horizontal="right"/>
    </xf>
    <xf numFmtId="171" fontId="8" fillId="34" borderId="2">
      <alignment horizontal="right"/>
    </xf>
    <xf numFmtId="4" fontId="8" fillId="34" borderId="2">
      <alignment horizontal="right"/>
    </xf>
    <xf numFmtId="171" fontId="11" fillId="34" borderId="2">
      <alignment horizontal="right"/>
    </xf>
    <xf numFmtId="4" fontId="11" fillId="34" borderId="2">
      <alignment horizontal="right"/>
    </xf>
  </cellStyleXfs>
  <cellXfs count="20">
    <xf numFmtId="0" fontId="0" fillId="0" borderId="0" xfId="0"/>
    <xf numFmtId="0" fontId="2" fillId="33" borderId="0" xfId="26" applyNumberFormat="1" applyFont="1" applyFill="1" applyBorder="1" applyAlignment="1" applyProtection="1"/>
    <xf numFmtId="0" fontId="6" fillId="34" borderId="0" xfId="31" applyFont="1" applyFill="1" applyAlignment="1">
      <alignment horizontal="center"/>
    </xf>
    <xf numFmtId="0" fontId="7" fillId="33" borderId="3" xfId="33" applyNumberFormat="1" applyFont="1" applyFill="1" applyBorder="1" applyAlignment="1" applyProtection="1">
      <alignment horizontal="left"/>
    </xf>
    <xf numFmtId="0" fontId="7" fillId="33" borderId="3" xfId="32" applyNumberFormat="1" applyFont="1" applyFill="1" applyBorder="1" applyAlignment="1" applyProtection="1">
      <alignment horizontal="right"/>
    </xf>
    <xf numFmtId="0" fontId="7" fillId="33" borderId="1" xfId="30" applyNumberFormat="1" applyFont="1" applyFill="1" applyBorder="1" applyAlignment="1" applyProtection="1">
      <alignment horizontal="right"/>
    </xf>
    <xf numFmtId="0" fontId="8" fillId="34" borderId="5" xfId="35" applyNumberFormat="1" applyFont="1" applyFill="1" applyBorder="1" applyAlignment="1" applyProtection="1"/>
    <xf numFmtId="0" fontId="11" fillId="35" borderId="4" xfId="34" applyFont="1" applyFill="1" applyBorder="1"/>
    <xf numFmtId="0" fontId="5" fillId="33" borderId="15" xfId="51" applyFont="1" applyFill="1" applyBorder="1" applyAlignment="1">
      <alignment horizontal="left" vertical="center" readingOrder="1"/>
    </xf>
    <xf numFmtId="0" fontId="7" fillId="33" borderId="1" xfId="52">
      <alignment horizontal="left"/>
    </xf>
    <xf numFmtId="0" fontId="3" fillId="34" borderId="5" xfId="37" applyNumberFormat="1" applyFont="1" applyFill="1" applyBorder="1" applyAlignment="1" applyProtection="1"/>
    <xf numFmtId="0" fontId="4" fillId="34" borderId="5" xfId="36" applyNumberFormat="1" applyFont="1" applyFill="1" applyBorder="1" applyAlignment="1" applyProtection="1"/>
    <xf numFmtId="3" fontId="1" fillId="34" borderId="2" xfId="53" applyNumberFormat="1" applyFont="1" applyFill="1" applyBorder="1" applyAlignment="1" applyProtection="1">
      <alignment horizontal="right"/>
    </xf>
    <xf numFmtId="171" fontId="1" fillId="34" borderId="2" xfId="54" applyNumberFormat="1" applyFont="1" applyFill="1" applyBorder="1" applyAlignment="1" applyProtection="1">
      <alignment horizontal="right"/>
    </xf>
    <xf numFmtId="4" fontId="1" fillId="34" borderId="2" xfId="55" applyNumberFormat="1" applyFont="1" applyFill="1" applyBorder="1" applyAlignment="1" applyProtection="1">
      <alignment horizontal="right"/>
    </xf>
    <xf numFmtId="3" fontId="8" fillId="34" borderId="2" xfId="56" applyNumberFormat="1" applyFont="1" applyFill="1" applyBorder="1" applyAlignment="1" applyProtection="1">
      <alignment horizontal="right"/>
    </xf>
    <xf numFmtId="171" fontId="8" fillId="34" borderId="2" xfId="57" applyNumberFormat="1" applyFont="1" applyFill="1" applyBorder="1" applyAlignment="1" applyProtection="1">
      <alignment horizontal="right"/>
    </xf>
    <xf numFmtId="4" fontId="8" fillId="34" borderId="2" xfId="58" applyNumberFormat="1" applyFont="1" applyFill="1" applyBorder="1" applyAlignment="1" applyProtection="1">
      <alignment horizontal="right"/>
    </xf>
    <xf numFmtId="171" fontId="11" fillId="34" borderId="2" xfId="59" applyNumberFormat="1" applyFont="1" applyFill="1" applyBorder="1" applyAlignment="1" applyProtection="1">
      <alignment horizontal="right"/>
    </xf>
    <xf numFmtId="4" fontId="11" fillId="34" borderId="2" xfId="60" applyNumberFormat="1" applyFont="1" applyFill="1" applyBorder="1" applyAlignment="1" applyProtection="1">
      <alignment horizontal="right"/>
    </xf>
  </cellXfs>
  <cellStyles count="61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/>
    <cellStyle name="blp_title_header_row_left" xfId="51"/>
    <cellStyle name="Calculation" xfId="27" builtinId="22" customBuiltin="1"/>
    <cellStyle name="Check Cell" xfId="28" builtinId="23" customBuiltin="1"/>
    <cellStyle name="Explanatory Text" xfId="29" builtinId="53" customBuiltin="1"/>
    <cellStyle name="fa_column_header_bottom" xfId="30"/>
    <cellStyle name="fa_column_header_bottom_left" xfId="52"/>
    <cellStyle name="fa_column_header_empty" xfId="31"/>
    <cellStyle name="fa_column_header_top" xfId="32"/>
    <cellStyle name="fa_column_header_top_left" xfId="33"/>
    <cellStyle name="fa_data_bold_0_grouped" xfId="56"/>
    <cellStyle name="fa_data_bold_1_grouped" xfId="57"/>
    <cellStyle name="fa_data_bold_2_grouped" xfId="58"/>
    <cellStyle name="fa_data_italic_1_grouped" xfId="59"/>
    <cellStyle name="fa_data_italic_2_grouped" xfId="60"/>
    <cellStyle name="fa_data_standard_0_grouped" xfId="53"/>
    <cellStyle name="fa_data_standard_1_grouped" xfId="54"/>
    <cellStyle name="fa_data_standard_2_grouped" xfId="55"/>
    <cellStyle name="fa_footer_italic" xfId="34"/>
    <cellStyle name="fa_row_header_bold" xfId="35"/>
    <cellStyle name="fa_row_header_italic" xfId="36"/>
    <cellStyle name="fa_row_header_standard" xfId="37"/>
    <cellStyle name="Good" xfId="38" builtinId="26" customBuiltin="1"/>
    <cellStyle name="Heading 1" xfId="39" builtinId="16" customBuiltin="1"/>
    <cellStyle name="Heading 2" xfId="40" builtinId="17" customBuiltin="1"/>
    <cellStyle name="Heading 3" xfId="41" builtinId="18" customBuiltin="1"/>
    <cellStyle name="Heading 4" xfId="42" builtinId="19" customBuiltin="1"/>
    <cellStyle name="Input" xfId="43" builtinId="20" customBuiltin="1"/>
    <cellStyle name="Linked Cell" xfId="44" builtinId="24" customBuiltin="1"/>
    <cellStyle name="Neutral" xfId="45" builtinId="28" customBuiltin="1"/>
    <cellStyle name="Normal" xfId="0" builtinId="0"/>
    <cellStyle name="Note" xfId="46" builtinId="10" customBuiltin="1"/>
    <cellStyle name="Output" xfId="47" builtinId="21" customBuiltin="1"/>
    <cellStyle name="Title" xfId="48" builtinId="15" customBuiltin="1"/>
    <cellStyle name="Total" xfId="49" builtinId="25" customBuiltin="1"/>
    <cellStyle name="Warning Text" xfId="50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3026</v>
        <stp/>
        <stp>##V3_BDHV12</stp>
        <stp>XOM US Equity</stp>
        <stp>CF_NET_CHNG_CASH</stp>
        <stp>FQ4 1993</stp>
        <stp>FQ4 1993</stp>
        <stp>[FA1_ftkzu3fn.xlsx]Cash Flow - Standardized!R34C18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34" s="4"/>
      </tp>
      <tp>
        <v>15016</v>
        <stp/>
        <stp>##V3_BDHV12</stp>
        <stp>XOM US Equity</stp>
        <stp>IS_COGS_TO_FE_AND_PP_AND_G</stp>
        <stp>FQ4 1993</stp>
        <stp>FQ4 1993</stp>
        <stp>[FA1_ftkzu3fn.xlsx]Income - Adjusted!R7C18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R7" s="2"/>
      </tp>
      <tp t="s">
        <v>—</v>
        <stp/>
        <stp>##V3_BDHV12</stp>
        <stp>XOM US Equity</stp>
        <stp>CF_NET_CHNG_CASH</stp>
        <stp>FQ4 1992</stp>
        <stp>FQ4 1992</stp>
        <stp>[FA1_ftkzu3fn.xlsx]Cash Flow - Standardized!R34C14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34" s="4"/>
      </tp>
      <tp>
        <v>2800</v>
        <stp/>
        <stp>##V3_BDHV12</stp>
        <stp>XOM US Equity</stp>
        <stp>CF_NET_CHNG_CASH</stp>
        <stp>FQ4 1991</stp>
        <stp>FQ4 1991</stp>
        <stp>[FA1_ftkzu3fn.xlsx]Cash Flow - Standardized!R34C10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34" s="4"/>
      </tp>
      <tp>
        <v>1.2277</v>
        <stp/>
        <stp>##V3_BDHV12</stp>
        <stp>XOM US Equity</stp>
        <stp>CASH_FLOW_TO_NET_INC</stp>
        <stp>FQ1 1991</stp>
        <stp>FQ1 1991</stp>
        <stp>[FA1_ftkzu3fn.xlsx]Cash Flow - Standardized!R45C7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G45" s="4"/>
      </tp>
      <tp>
        <v>8246</v>
        <stp/>
        <stp>##V3_BDHV12</stp>
        <stp>XOM US Equity</stp>
        <stp>ACCT_PAYABLE_&amp;_ACCRUALS_DETAILED</stp>
        <stp>FQ4 1997</stp>
        <stp>FQ4 1997</stp>
        <stp>[FA1_ftkzu3fn.xlsx]Bal Sheet - Standardized!R27C34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27" s="3"/>
      </tp>
      <tp>
        <v>8343</v>
        <stp/>
        <stp>##V3_BDHV12</stp>
        <stp>XOM US Equity</stp>
        <stp>ACCT_PAYABLE_&amp;_ACCRUALS_DETAILED</stp>
        <stp>FQ4 1996</stp>
        <stp>FQ4 1996</stp>
        <stp>[FA1_ftkzu3fn.xlsx]Bal Sheet - Standardized!R27C30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27" s="3"/>
      </tp>
      <tp>
        <v>0.64190000000000003</v>
        <stp/>
        <stp>##V3_BDHV12</stp>
        <stp>XOM US Equity</stp>
        <stp>EBITDA_PER_SH</stp>
        <stp>FQ2 1990</stp>
        <stp>FQ2 1990</stp>
        <stp>[FA1_ftkzu3fn.xlsx]Per Share!R12C4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D12" s="5"/>
      </tp>
      <tp>
        <v>0.63119999999999998</v>
        <stp/>
        <stp>##V3_BDHV12</stp>
        <stp>XOM US Equity</stp>
        <stp>EBITDA_PER_SH</stp>
        <stp>FQ3 1990</stp>
        <stp>FQ3 1990</stp>
        <stp>[FA1_ftkzu3fn.xlsx]Per Share!R12C5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E12" s="5"/>
      </tp>
      <tp>
        <v>0.72189999999999999</v>
        <stp/>
        <stp>##V3_BDHV12</stp>
        <stp>XOM US Equity</stp>
        <stp>EBITDA_PER_SH</stp>
        <stp>FQ1 1990</stp>
        <stp>FQ1 1990</stp>
        <stp>[FA1_ftkzu3fn.xlsx]Per Share!R12C3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C12" s="5"/>
      </tp>
      <tp>
        <v>1.4952000000000001</v>
        <stp/>
        <stp>##V3_BDHV12</stp>
        <stp>XOM US Equity</stp>
        <stp>EBITDA_PER_SH</stp>
        <stp>FQ4 1990</stp>
        <stp>FQ4 1990</stp>
        <stp>[FA1_ftkzu3fn.xlsx]Per Share!R12C6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F12" s="5"/>
      </tp>
      <tp>
        <v>3805</v>
        <stp/>
        <stp>##V3_BDHV12</stp>
        <stp>XOM US Equity</stp>
        <stp>OTHER_CURRENT_ASSETS_DETAILED</stp>
        <stp>FQ1 1998</stp>
        <stp>FQ1 1998</stp>
        <stp>[FA1_ftkzu3fn.xlsx]Bal Sheet - Standardized!R15C35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15" s="3"/>
      </tp>
      <tp>
        <v>1075</v>
        <stp/>
        <stp>##V3_BDHV12</stp>
        <stp>XOM US Equity</stp>
        <stp>OTHER_CURRENT_ASSETS_DETAILED</stp>
        <stp>FQ1 1997</stp>
        <stp>FQ1 1997</stp>
        <stp>[FA1_ftkzu3fn.xlsx]Bal Sheet - Standardized!R15C31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15" s="3"/>
      </tp>
      <tp>
        <v>1127</v>
        <stp/>
        <stp>##V3_BDHV12</stp>
        <stp>XOM US Equity</stp>
        <stp>OTHER_CURRENT_ASSETS_DETAILED</stp>
        <stp>FQ3 1993</stp>
        <stp>FQ3 1993</stp>
        <stp>[FA1_ftkzu3fn.xlsx]Bal Sheet - Standardized!R15C17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15" s="3"/>
      </tp>
      <tp>
        <v>808</v>
        <stp/>
        <stp>##V3_BDHV12</stp>
        <stp>XOM US Equity</stp>
        <stp>OTHER_CURRENT_ASSETS_DETAILED</stp>
        <stp>FQ3 1992</stp>
        <stp>FQ3 1992</stp>
        <stp>[FA1_ftkzu3fn.xlsx]Bal Sheet - Standardized!R15C13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15" s="3"/>
      </tp>
      <tp>
        <v>3304</v>
        <stp/>
        <stp>##V3_BDHV12</stp>
        <stp>XOM US Equity</stp>
        <stp>EBITDA</stp>
        <stp>FQ2 1998</stp>
        <stp>FQ2 1998</stp>
        <stp>[FA1_ftkzu3fn.xlsx]Income - Adjusted!R39C36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J39" s="2"/>
      </tp>
      <tp>
        <v>3588</v>
        <stp/>
        <stp>##V3_BDHV12</stp>
        <stp>XOM US Equity</stp>
        <stp>EBITDA</stp>
        <stp>FQ2 1996</stp>
        <stp>FQ2 1996</stp>
        <stp>[FA1_ftkzu3fn.xlsx]Income - Adjusted!R39C28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B39" s="2"/>
      </tp>
      <tp>
        <v>50033</v>
        <stp/>
        <stp>##V3_BDHV12</stp>
        <stp>XOM US Equity</stp>
        <stp>BS_TOT_LIAB2</stp>
        <stp>FQ4 1997</stp>
        <stp>FQ4 1997</stp>
        <stp>[FA1_ftkzu3fn.xlsx]Bal Sheet - Standardized!R37C34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37" s="3"/>
      </tp>
      <tp>
        <v>0</v>
        <stp/>
        <stp>##V3_BDHV12</stp>
        <stp>XOM US Equity</stp>
        <stp>XO_GL_NET_OF_TAX</stp>
        <stp>FQ1 1998</stp>
        <stp>FQ1 1998</stp>
        <stp>[FA1_ftkzu3fn.xlsx]Income - Adjusted!R17C35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17" s="2"/>
      </tp>
      <tp>
        <v>50071</v>
        <stp/>
        <stp>##V3_BDHV12</stp>
        <stp>XOM US Equity</stp>
        <stp>BS_TOT_LIAB2</stp>
        <stp>FQ4 1996</stp>
        <stp>FQ4 1996</stp>
        <stp>[FA1_ftkzu3fn.xlsx]Bal Sheet - Standardized!R37C30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37" s="3"/>
      </tp>
      <tp>
        <v>0</v>
        <stp/>
        <stp>##V3_BDHV12</stp>
        <stp>XOM US Equity</stp>
        <stp>XO_GL_NET_OF_TAX</stp>
        <stp>FQ1 1998</stp>
        <stp>FQ1 1998</stp>
        <stp>[FA1_ftkzu3fn.xlsx]Income - Adjusted!R25C35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25" s="2"/>
      </tp>
      <tp>
        <v>168</v>
        <stp/>
        <stp>##V3_BDHV12</stp>
        <stp>XOM US Equity</stp>
        <stp>BS_MKT_SEC_OTHER_ST_INVEST</stp>
        <stp>FQ1 1990</stp>
        <stp>FQ1 1990</stp>
        <stp>[FA1_ftkzu3fn.xlsx]Bal Sheet - Standardized!R9C3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9" s="3"/>
      </tp>
      <tp>
        <v>47</v>
        <stp/>
        <stp>##V3_BDHV12</stp>
        <stp>XOM US Equity</stp>
        <stp>BS_MKT_SEC_OTHER_ST_INVEST</stp>
        <stp>FQ4 1990</stp>
        <stp>FQ4 1990</stp>
        <stp>[FA1_ftkzu3fn.xlsx]Bal Sheet - Standardized!R9C6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9" s="3"/>
      </tp>
      <tp>
        <v>69</v>
        <stp/>
        <stp>##V3_BDHV12</stp>
        <stp>XOM US Equity</stp>
        <stp>BS_MKT_SEC_OTHER_ST_INVEST</stp>
        <stp>FQ3 1990</stp>
        <stp>FQ3 1990</stp>
        <stp>[FA1_ftkzu3fn.xlsx]Bal Sheet - Standardized!R9C5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9" s="3"/>
      </tp>
      <tp>
        <v>157</v>
        <stp/>
        <stp>##V3_BDHV12</stp>
        <stp>XOM US Equity</stp>
        <stp>BS_MKT_SEC_OTHER_ST_INVEST</stp>
        <stp>FQ2 1990</stp>
        <stp>FQ2 1990</stp>
        <stp>[FA1_ftkzu3fn.xlsx]Bal Sheet - Standardized!R9C4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9" s="3"/>
      </tp>
      <tp>
        <v>5909</v>
        <stp/>
        <stp>##V3_BDHV12</stp>
        <stp>XOM US Equity</stp>
        <stp>BS_OTHER_ASSETS_DEF_CHRG_OTHER</stp>
        <stp>FQ2 1991</stp>
        <stp>FQ2 1991</stp>
        <stp>[FA1_ftkzu3fn.xlsx]Bal Sheet - Standardized!R21C8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1" s="3"/>
      </tp>
      <tp>
        <v>6310</v>
        <stp/>
        <stp>##V3_BDHV12</stp>
        <stp>XOM US Equity</stp>
        <stp>BS_OTHER_ASSETS_DEF_CHRG_OTHER</stp>
        <stp>FQ3 1991</stp>
        <stp>FQ3 1991</stp>
        <stp>[FA1_ftkzu3fn.xlsx]Bal Sheet - Standardized!R21C9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1" s="3"/>
      </tp>
      <tp>
        <v>5476</v>
        <stp/>
        <stp>##V3_BDHV12</stp>
        <stp>XOM US Equity</stp>
        <stp>BS_OTHER_ASSETS_DEF_CHRG_OTHER</stp>
        <stp>FQ4 1990</stp>
        <stp>FQ4 1990</stp>
        <stp>[FA1_ftkzu3fn.xlsx]Bal Sheet - Standardized!R21C6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1" s="3"/>
      </tp>
      <tp>
        <v>5983</v>
        <stp/>
        <stp>##V3_BDHV12</stp>
        <stp>XOM US Equity</stp>
        <stp>BS_OTHER_ASSETS_DEF_CHRG_OTHER</stp>
        <stp>FQ1 1990</stp>
        <stp>FQ1 1990</stp>
        <stp>[FA1_ftkzu3fn.xlsx]Bal Sheet - Standardized!R21C3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1" s="3"/>
      </tp>
      <tp>
        <v>6064</v>
        <stp/>
        <stp>##V3_BDHV12</stp>
        <stp>XOM US Equity</stp>
        <stp>BS_OTHER_ASSETS_DEF_CHRG_OTHER</stp>
        <stp>FQ1 1991</stp>
        <stp>FQ1 1991</stp>
        <stp>[FA1_ftkzu3fn.xlsx]Bal Sheet - Standardized!R21C7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1" s="3"/>
      </tp>
      <tp>
        <v>6586</v>
        <stp/>
        <stp>##V3_BDHV12</stp>
        <stp>XOM US Equity</stp>
        <stp>BS_OTHER_ASSETS_DEF_CHRG_OTHER</stp>
        <stp>FQ3 1990</stp>
        <stp>FQ3 1990</stp>
        <stp>[FA1_ftkzu3fn.xlsx]Bal Sheet - Standardized!R21C5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1" s="3"/>
      </tp>
      <tp>
        <v>5903</v>
        <stp/>
        <stp>##V3_BDHV12</stp>
        <stp>XOM US Equity</stp>
        <stp>BS_OTHER_ASSETS_DEF_CHRG_OTHER</stp>
        <stp>FQ2 1990</stp>
        <stp>FQ2 1990</stp>
        <stp>[FA1_ftkzu3fn.xlsx]Bal Sheet - Standardized!R21C4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1" s="3"/>
      </tp>
      <tp>
        <v>5536</v>
        <stp/>
        <stp>##V3_BDHV12</stp>
        <stp>XOM US Equity</stp>
        <stp>OTHER_NONCURRENT_ASSETS_DETAILED</stp>
        <stp>FQ4 1991</stp>
        <stp>FQ4 1991</stp>
        <stp>[FA1_ftkzu3fn.xlsx]Bal Sheet - Standardized!R22C10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22" s="3"/>
      </tp>
      <tp>
        <v>5693</v>
        <stp/>
        <stp>##V3_BDHV12</stp>
        <stp>XOM US Equity</stp>
        <stp>OTHER_NONCURRENT_ASSETS_DETAILED</stp>
        <stp>FQ4 1992</stp>
        <stp>FQ4 1992</stp>
        <stp>[FA1_ftkzu3fn.xlsx]Bal Sheet - Standardized!R22C14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22" s="3"/>
      </tp>
      <tp>
        <v>6147</v>
        <stp/>
        <stp>##V3_BDHV12</stp>
        <stp>XOM US Equity</stp>
        <stp>OTHER_NONCURRENT_ASSETS_DETAILED</stp>
        <stp>FQ4 1993</stp>
        <stp>FQ4 1993</stp>
        <stp>[FA1_ftkzu3fn.xlsx]Bal Sheet - Standardized!R22C18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22" s="3"/>
      </tp>
      <tp t="s">
        <v>—</v>
        <stp/>
        <stp>##V3_BDHV12</stp>
        <stp>XOM US Equity</stp>
        <stp>INVTRY_RAW_MATERIALS</stp>
        <stp>FQ2 1991</stp>
        <stp>FQ2 1991</stp>
        <stp>[FA1_ftkzu3fn.xlsx]Bal Sheet - Standardized!R12C8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2" s="3"/>
      </tp>
      <tp t="s">
        <v>—</v>
        <stp/>
        <stp>##V3_BDHV12</stp>
        <stp>XOM US Equity</stp>
        <stp>INVTRY_RAW_MATERIALS</stp>
        <stp>FQ3 1991</stp>
        <stp>FQ3 1991</stp>
        <stp>[FA1_ftkzu3fn.xlsx]Bal Sheet - Standardized!R12C9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2" s="3"/>
      </tp>
      <tp>
        <v>1.3828</v>
        <stp/>
        <stp>##V3_BDHV12</stp>
        <stp>XOM US Equity</stp>
        <stp>CASH_FLOW_TO_NET_INC</stp>
        <stp>FQ1 1990</stp>
        <stp>FQ1 1990</stp>
        <stp>[FA1_ftkzu3fn.xlsx]Cash Flow - Standardized!R45C3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C45" s="4"/>
      </tp>
      <tp t="s">
        <v>—</v>
        <stp/>
        <stp>##V3_BDHV12</stp>
        <stp>XOM US Equity</stp>
        <stp>INVTRY_RAW_MATERIALS</stp>
        <stp>FQ1 1990</stp>
        <stp>FQ1 1990</stp>
        <stp>[FA1_ftkzu3fn.xlsx]Bal Sheet - Standardized!R12C3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2" s="3"/>
      </tp>
      <tp t="s">
        <v>—</v>
        <stp/>
        <stp>##V3_BDHV12</stp>
        <stp>XOM US Equity</stp>
        <stp>INVTRY_RAW_MATERIALS</stp>
        <stp>FQ4 1990</stp>
        <stp>FQ4 1990</stp>
        <stp>[FA1_ftkzu3fn.xlsx]Bal Sheet - Standardized!R12C6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2" s="3"/>
      </tp>
      <tp>
        <v>8470</v>
        <stp/>
        <stp>##V3_BDHV12</stp>
        <stp>XOM US Equity</stp>
        <stp>ACCT_PAYABLE_&amp;_ACCRUALS_DETAILED</stp>
        <stp>FQ4 1995</stp>
        <stp>FQ4 1995</stp>
        <stp>[FA1_ftkzu3fn.xlsx]Bal Sheet - Standardized!R27C26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27" s="3"/>
      </tp>
      <tp>
        <v>0.38250000000000001</v>
        <stp/>
        <stp>##V3_BDHV12</stp>
        <stp>XOM US Equity</stp>
        <stp>IS_DILUTED_EPS</stp>
        <stp>FQ4 1994</stp>
        <stp>FQ4 1994</stp>
        <stp>[FA1_ftkzu3fn.xlsx]Per Share!R17C22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V17" s="5"/>
      </tp>
      <tp>
        <v>0.33750000000000002</v>
        <stp/>
        <stp>##V3_BDHV12</stp>
        <stp>XOM US Equity</stp>
        <stp>IS_DILUTED_EPS</stp>
        <stp>FQ4 1995</stp>
        <stp>FQ4 1995</stp>
        <stp>[FA1_ftkzu3fn.xlsx]Per Share!R17C26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Z17" s="5"/>
      </tp>
      <tp>
        <v>0.5</v>
        <stp/>
        <stp>##V3_BDHV12</stp>
        <stp>XOM US Equity</stp>
        <stp>IS_DILUTED_EPS</stp>
        <stp>FQ4 1997</stp>
        <stp>FQ4 1997</stp>
        <stp>[FA1_ftkzu3fn.xlsx]Per Share!R17C34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H17" s="5"/>
      </tp>
      <tp>
        <v>0.5</v>
        <stp/>
        <stp>##V3_BDHV12</stp>
        <stp>XOM US Equity</stp>
        <stp>IS_DILUTED_EPS</stp>
        <stp>FQ4 1996</stp>
        <stp>FQ4 1996</stp>
        <stp>[FA1_ftkzu3fn.xlsx]Per Share!R17C30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D17" s="5"/>
      </tp>
      <tp>
        <v>0.3</v>
        <stp/>
        <stp>##V3_BDHV12</stp>
        <stp>XOM US Equity</stp>
        <stp>IS_DILUTED_EPS</stp>
        <stp>FQ4 1993</stp>
        <stp>FQ4 1993</stp>
        <stp>[FA1_ftkzu3fn.xlsx]Per Share!R17C18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R17" s="5"/>
      </tp>
      <tp>
        <v>0.31</v>
        <stp/>
        <stp>##V3_BDHV12</stp>
        <stp>XOM US Equity</stp>
        <stp>IS_DILUTED_EPS</stp>
        <stp>FQ4 1992</stp>
        <stp>FQ4 1992</stp>
        <stp>[FA1_ftkzu3fn.xlsx]Per Share!R17C14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N17" s="5"/>
      </tp>
      <tp>
        <v>0.2225</v>
        <stp/>
        <stp>##V3_BDHV12</stp>
        <stp>XOM US Equity</stp>
        <stp>IS_DILUTED_EPS</stp>
        <stp>FQ4 1991</stp>
        <stp>FQ4 1991</stp>
        <stp>[FA1_ftkzu3fn.xlsx]Per Share!R17C10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J17" s="5"/>
      </tp>
      <tp t="s">
        <v>—</v>
        <stp/>
        <stp>##V3_BDHV12</stp>
        <stp>XOM US Equity</stp>
        <stp>INVTRY_RAW_MATERIALS</stp>
        <stp>FQ1 1991</stp>
        <stp>FQ1 1991</stp>
        <stp>[FA1_ftkzu3fn.xlsx]Bal Sheet - Standardized!R12C7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2" s="3"/>
      </tp>
      <tp t="s">
        <v>—</v>
        <stp/>
        <stp>##V3_BDHV12</stp>
        <stp>XOM US Equity</stp>
        <stp>INVTRY_RAW_MATERIALS</stp>
        <stp>FQ3 1990</stp>
        <stp>FQ3 1990</stp>
        <stp>[FA1_ftkzu3fn.xlsx]Bal Sheet - Standardized!R12C5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2" s="3"/>
      </tp>
      <tp t="s">
        <v>—</v>
        <stp/>
        <stp>##V3_BDHV12</stp>
        <stp>XOM US Equity</stp>
        <stp>INVTRY_RAW_MATERIALS</stp>
        <stp>FQ2 1990</stp>
        <stp>FQ2 1990</stp>
        <stp>[FA1_ftkzu3fn.xlsx]Bal Sheet - Standardized!R12C4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2" s="3"/>
      </tp>
      <tp>
        <v>7466</v>
        <stp/>
        <stp>##V3_BDHV12</stp>
        <stp>XOM US Equity</stp>
        <stp>ACCT_PAYABLE_&amp;_ACCRUALS_DETAILED</stp>
        <stp>FQ4 1994</stp>
        <stp>FQ4 1994</stp>
        <stp>[FA1_ftkzu3fn.xlsx]Bal Sheet - Standardized!R27C22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27" s="3"/>
      </tp>
      <tp>
        <v>0.22500000000000001</v>
        <stp/>
        <stp>##V3_BDHV12</stp>
        <stp>XOM US Equity</stp>
        <stp>IS_DILUTED_EPS</stp>
        <stp>FQ3 1992</stp>
        <stp>FQ3 1992</stp>
        <stp>[FA1_ftkzu3fn.xlsx]Per Share!R17C13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M17" s="5"/>
      </tp>
      <tp>
        <v>0.27250000000000002</v>
        <stp/>
        <stp>##V3_BDHV12</stp>
        <stp>XOM US Equity</stp>
        <stp>IS_DILUTED_EPS</stp>
        <stp>FQ3 1993</stp>
        <stp>FQ3 1993</stp>
        <stp>[FA1_ftkzu3fn.xlsx]Per Share!R17C17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Q17" s="5"/>
      </tp>
      <tp>
        <v>0.31</v>
        <stp/>
        <stp>##V3_BDHV12</stp>
        <stp>XOM US Equity</stp>
        <stp>IS_DILUTED_EPS</stp>
        <stp>FQ3 1996</stp>
        <stp>FQ3 1996</stp>
        <stp>[FA1_ftkzu3fn.xlsx]Per Share!R17C29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C17" s="5"/>
      </tp>
      <tp>
        <v>0.36499999999999999</v>
        <stp/>
        <stp>##V3_BDHV12</stp>
        <stp>XOM US Equity</stp>
        <stp>IS_DILUTED_EPS</stp>
        <stp>FQ3 1997</stp>
        <stp>FQ3 1997</stp>
        <stp>[FA1_ftkzu3fn.xlsx]Per Share!R17C33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G17" s="5"/>
      </tp>
      <tp>
        <v>0.3</v>
        <stp/>
        <stp>##V3_BDHV12</stp>
        <stp>XOM US Equity</stp>
        <stp>IS_DILUTED_EPS</stp>
        <stp>FQ3 1995</stp>
        <stp>FQ3 1995</stp>
        <stp>[FA1_ftkzu3fn.xlsx]Per Share!R17C25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Y17" s="5"/>
      </tp>
      <tp>
        <v>0.23</v>
        <stp/>
        <stp>##V3_BDHV12</stp>
        <stp>XOM US Equity</stp>
        <stp>IS_DILUTED_EPS</stp>
        <stp>FQ3 1994</stp>
        <stp>FQ3 1994</stp>
        <stp>[FA1_ftkzu3fn.xlsx]Per Share!R17C21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U17" s="5"/>
      </tp>
      <tp>
        <v>0.245</v>
        <stp/>
        <stp>##V3_BDHV12</stp>
        <stp>XOM US Equity</stp>
        <stp>IS_DILUTED_EPS</stp>
        <stp>FQ2 1993</stp>
        <stp>FQ2 1993</stp>
        <stp>[FA1_ftkzu3fn.xlsx]Per Share!R17C16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P17" s="5"/>
      </tp>
      <tp>
        <v>0.19</v>
        <stp/>
        <stp>##V3_BDHV12</stp>
        <stp>XOM US Equity</stp>
        <stp>IS_DILUTED_EPS</stp>
        <stp>FQ2 1992</stp>
        <stp>FQ2 1992</stp>
        <stp>[FA1_ftkzu3fn.xlsx]Per Share!R17C12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L17" s="5"/>
      </tp>
      <tp>
        <v>0.31</v>
        <stp/>
        <stp>##V3_BDHV12</stp>
        <stp>XOM US Equity</stp>
        <stp>IS_DILUTED_EPS</stp>
        <stp>FQ2 1996</stp>
        <stp>FQ2 1996</stp>
        <stp>[FA1_ftkzu3fn.xlsx]Per Share!R17C28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B17" s="5"/>
      </tp>
      <tp>
        <v>0.39</v>
        <stp/>
        <stp>##V3_BDHV12</stp>
        <stp>XOM US Equity</stp>
        <stp>IS_DILUTED_EPS</stp>
        <stp>FQ2 1997</stp>
        <stp>FQ2 1997</stp>
        <stp>[FA1_ftkzu3fn.xlsx]Per Share!R17C32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F17" s="5"/>
      </tp>
      <tp>
        <v>0.17499999999999999</v>
        <stp/>
        <stp>##V3_BDHV12</stp>
        <stp>XOM US Equity</stp>
        <stp>IS_DILUTED_EPS</stp>
        <stp>FQ2 1994</stp>
        <stp>FQ2 1994</stp>
        <stp>[FA1_ftkzu3fn.xlsx]Per Share!R17C20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T17" s="5"/>
      </tp>
      <tp>
        <v>0.32500000000000001</v>
        <stp/>
        <stp>##V3_BDHV12</stp>
        <stp>XOM US Equity</stp>
        <stp>IS_DILUTED_EPS</stp>
        <stp>FQ2 1995</stp>
        <stp>FQ2 1995</stp>
        <stp>[FA1_ftkzu3fn.xlsx]Per Share!R17C24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X17" s="5"/>
      </tp>
      <tp>
        <v>0.32500000000000001</v>
        <stp/>
        <stp>##V3_BDHV12</stp>
        <stp>XOM US Equity</stp>
        <stp>IS_DILUTED_EPS</stp>
        <stp>FQ2 1998</stp>
        <stp>FQ2 1998</stp>
        <stp>[FA1_ftkzu3fn.xlsx]Per Share!R17C36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J17" s="5"/>
      </tp>
      <tp>
        <v>0.26750000000000002</v>
        <stp/>
        <stp>##V3_BDHV12</stp>
        <stp>XOM US Equity</stp>
        <stp>IS_DILUTED_EPS</stp>
        <stp>FQ1 1992</stp>
        <stp>FQ1 1992</stp>
        <stp>[FA1_ftkzu3fn.xlsx]Per Share!R17C11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K17" s="5"/>
      </tp>
      <tp>
        <v>0.23499999999999999</v>
        <stp/>
        <stp>##V3_BDHV12</stp>
        <stp>XOM US Equity</stp>
        <stp>IS_DILUTED_EPS</stp>
        <stp>FQ1 1993</stp>
        <stp>FQ1 1993</stp>
        <stp>[FA1_ftkzu3fn.xlsx]Per Share!R17C15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O17" s="5"/>
      </tp>
      <tp>
        <v>0.33250000000000002</v>
        <stp/>
        <stp>##V3_BDHV12</stp>
        <stp>XOM US Equity</stp>
        <stp>IS_DILUTED_EPS</stp>
        <stp>FQ1 1995</stp>
        <stp>FQ1 1995</stp>
        <stp>[FA1_ftkzu3fn.xlsx]Per Share!R17C23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W17" s="5"/>
      </tp>
      <tp>
        <v>0.23</v>
        <stp/>
        <stp>##V3_BDHV12</stp>
        <stp>XOM US Equity</stp>
        <stp>IS_DILUTED_EPS</stp>
        <stp>FQ1 1994</stp>
        <stp>FQ1 1994</stp>
        <stp>[FA1_ftkzu3fn.xlsx]Per Share!R17C19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S17" s="5"/>
      </tp>
      <tp>
        <v>0.43</v>
        <stp/>
        <stp>##V3_BDHV12</stp>
        <stp>XOM US Equity</stp>
        <stp>IS_DILUTED_EPS</stp>
        <stp>FQ1 1997</stp>
        <stp>FQ1 1997</stp>
        <stp>[FA1_ftkzu3fn.xlsx]Per Share!R17C31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E17" s="5"/>
      </tp>
      <tp>
        <v>0.375</v>
        <stp/>
        <stp>##V3_BDHV12</stp>
        <stp>XOM US Equity</stp>
        <stp>IS_DILUTED_EPS</stp>
        <stp>FQ1 1996</stp>
        <stp>FQ1 1996</stp>
        <stp>[FA1_ftkzu3fn.xlsx]Per Share!R17C27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A17" s="5"/>
      </tp>
      <tp>
        <v>0.38</v>
        <stp/>
        <stp>##V3_BDHV12</stp>
        <stp>XOM US Equity</stp>
        <stp>IS_DILUTED_EPS</stp>
        <stp>FQ1 1998</stp>
        <stp>FQ1 1998</stp>
        <stp>[FA1_ftkzu3fn.xlsx]Per Share!R17C35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I17" s="5"/>
      </tp>
      <tp>
        <v>0.5847</v>
        <stp/>
        <stp>##V3_BDHV12</stp>
        <stp>XOM US Equity</stp>
        <stp>EBITDA_PER_SH</stp>
        <stp>FQ2 1991</stp>
        <stp>FQ2 1991</stp>
        <stp>[FA1_ftkzu3fn.xlsx]Per Share!R12C8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H12" s="5"/>
      </tp>
      <tp>
        <v>0.56579999999999997</v>
        <stp/>
        <stp>##V3_BDHV12</stp>
        <stp>XOM US Equity</stp>
        <stp>EBITDA_PER_SH</stp>
        <stp>FQ3 1991</stp>
        <stp>FQ3 1991</stp>
        <stp>[FA1_ftkzu3fn.xlsx]Per Share!R12C9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I12" s="5"/>
      </tp>
      <tp>
        <v>0.9002</v>
        <stp/>
        <stp>##V3_BDHV12</stp>
        <stp>XOM US Equity</stp>
        <stp>EBITDA_PER_SH</stp>
        <stp>FQ1 1991</stp>
        <stp>FQ1 1991</stp>
        <stp>[FA1_ftkzu3fn.xlsx]Per Share!R12C7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G12" s="5"/>
      </tp>
      <tp>
        <v>2354</v>
        <stp/>
        <stp>##V3_BDHV12</stp>
        <stp>XOM US Equity</stp>
        <stp>PRETAX_INC</stp>
        <stp>FQ4 1992</stp>
        <stp>FQ4 1992</stp>
        <stp>[FA1_ftkzu3fn.xlsx]Income - Adjusted!R14C14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N14" s="2"/>
      </tp>
      <tp>
        <v>2763</v>
        <stp/>
        <stp>##V3_BDHV12</stp>
        <stp>XOM US Equity</stp>
        <stp>PRETAX_INC</stp>
        <stp>FQ4 1994</stp>
        <stp>FQ4 1994</stp>
        <stp>[FA1_ftkzu3fn.xlsx]Income - Adjusted!R14C22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V14" s="2"/>
      </tp>
      <tp>
        <v>3969</v>
        <stp/>
        <stp>##V3_BDHV12</stp>
        <stp>XOM US Equity</stp>
        <stp>PRETAX_INC</stp>
        <stp>FQ4 1996</stp>
        <stp>FQ4 1996</stp>
        <stp>[FA1_ftkzu3fn.xlsx]Income - Adjusted!R14C30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D14" s="2"/>
      </tp>
      <tp>
        <v>2585</v>
        <stp/>
        <stp>##V3_BDHV12</stp>
        <stp>XOM US Equity</stp>
        <stp>PRETAX_INC</stp>
        <stp>FQ1 1995</stp>
        <stp>FQ1 1995</stp>
        <stp>[FA1_ftkzu3fn.xlsx]Income - Adjusted!R14C23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W14" s="2"/>
      </tp>
      <tp>
        <v>3617</v>
        <stp/>
        <stp>##V3_BDHV12</stp>
        <stp>XOM US Equity</stp>
        <stp>PRETAX_INC</stp>
        <stp>FQ1 1997</stp>
        <stp>FQ1 1997</stp>
        <stp>[FA1_ftkzu3fn.xlsx]Income - Adjusted!R14C31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E14" s="2"/>
      </tp>
      <tp>
        <v>1935</v>
        <stp/>
        <stp>##V3_BDHV12</stp>
        <stp>XOM US Equity</stp>
        <stp>PRETAX_INC</stp>
        <stp>FQ1 1993</stp>
        <stp>FQ1 1993</stp>
        <stp>[FA1_ftkzu3fn.xlsx]Income - Adjusted!R14C15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O14" s="2"/>
      </tp>
      <tp>
        <v>1325</v>
        <stp/>
        <stp>##V3_BDHV12</stp>
        <stp>XOM US Equity</stp>
        <stp>OTHER_CURRENT_ASSETS_DETAILED</stp>
        <stp>FQ1 1995</stp>
        <stp>FQ1 1995</stp>
        <stp>[FA1_ftkzu3fn.xlsx]Bal Sheet - Standardized!R15C23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15" s="3"/>
      </tp>
      <tp>
        <v>1108</v>
        <stp/>
        <stp>##V3_BDHV12</stp>
        <stp>XOM US Equity</stp>
        <stp>OTHER_CURRENT_ASSETS_DETAILED</stp>
        <stp>FQ2 1993</stp>
        <stp>FQ2 1993</stp>
        <stp>[FA1_ftkzu3fn.xlsx]Bal Sheet - Standardized!R15C16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15" s="3"/>
      </tp>
      <tp>
        <v>1034</v>
        <stp/>
        <stp>##V3_BDHV12</stp>
        <stp>XOM US Equity</stp>
        <stp>OTHER_CURRENT_ASSETS_DETAILED</stp>
        <stp>FQ1 1996</stp>
        <stp>FQ1 1996</stp>
        <stp>[FA1_ftkzu3fn.xlsx]Bal Sheet - Standardized!R15C27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15" s="3"/>
      </tp>
      <tp>
        <v>868</v>
        <stp/>
        <stp>##V3_BDHV12</stp>
        <stp>XOM US Equity</stp>
        <stp>OTHER_CURRENT_ASSETS_DETAILED</stp>
        <stp>FQ2 1992</stp>
        <stp>FQ2 1992</stp>
        <stp>[FA1_ftkzu3fn.xlsx]Bal Sheet - Standardized!R15C12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15" s="3"/>
      </tp>
      <tp>
        <v>3640</v>
        <stp/>
        <stp>##V3_BDHV12</stp>
        <stp>XOM US Equity</stp>
        <stp>EBITDA</stp>
        <stp>FQ3 1996</stp>
        <stp>FQ3 1996</stp>
        <stp>[FA1_ftkzu3fn.xlsx]Income - Adjusted!R39C29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C39" s="2"/>
      </tp>
      <tp>
        <v>52</v>
        <stp/>
        <stp>##V3_BDHV12</stp>
        <stp>XOM US Equity</stp>
        <stp>BS_MKT_SEC_OTHER_ST_INVEST</stp>
        <stp>FQ3 1991</stp>
        <stp>FQ3 1991</stp>
        <stp>[FA1_ftkzu3fn.xlsx]Bal Sheet - Standardized!R9C9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9" s="3"/>
      </tp>
      <tp>
        <v>48690</v>
        <stp/>
        <stp>##V3_BDHV12</stp>
        <stp>XOM US Equity</stp>
        <stp>BS_TOT_LIAB2</stp>
        <stp>FQ4 1995</stp>
        <stp>FQ4 1995</stp>
        <stp>[FA1_ftkzu3fn.xlsx]Bal Sheet - Standardized!R37C26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37" s="3"/>
      </tp>
      <tp>
        <v>52</v>
        <stp/>
        <stp>##V3_BDHV12</stp>
        <stp>XOM US Equity</stp>
        <stp>BS_MKT_SEC_OTHER_ST_INVEST</stp>
        <stp>FQ2 1991</stp>
        <stp>FQ2 1991</stp>
        <stp>[FA1_ftkzu3fn.xlsx]Bal Sheet - Standardized!R9C8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9" s="3"/>
      </tp>
      <tp>
        <v>48279</v>
        <stp/>
        <stp>##V3_BDHV12</stp>
        <stp>XOM US Equity</stp>
        <stp>BS_TOT_LIAB2</stp>
        <stp>FQ4 1994</stp>
        <stp>FQ4 1994</stp>
        <stp>[FA1_ftkzu3fn.xlsx]Bal Sheet - Standardized!R37C22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37" s="3"/>
      </tp>
      <tp>
        <v>52</v>
        <stp/>
        <stp>##V3_BDHV12</stp>
        <stp>XOM US Equity</stp>
        <stp>BS_MKT_SEC_OTHER_ST_INVEST</stp>
        <stp>FQ1 1991</stp>
        <stp>FQ1 1991</stp>
        <stp>[FA1_ftkzu3fn.xlsx]Bal Sheet - Standardized!R9C7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9" s="3"/>
      </tp>
      <tp>
        <v>4968</v>
        <stp/>
        <stp>##V3_BDHV12</stp>
        <stp>XOM US Equity</stp>
        <stp>EQY_SH_OUT</stp>
        <stp>FQ1 1994</stp>
        <stp>FQ1 1994</stp>
        <stp>[FA1_ftkzu3fn.xlsx]Stock Value!R13C19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13" s="6"/>
      </tp>
      <tp>
        <v>7187</v>
        <stp/>
        <stp>##V3_BDHV12</stp>
        <stp>XOM US Equity</stp>
        <stp>OTHER_NONCURRENT_ASSETS_DETAILED</stp>
        <stp>FQ4 1995</stp>
        <stp>FQ4 1995</stp>
        <stp>[FA1_ftkzu3fn.xlsx]Bal Sheet - Standardized!R22C26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22" s="3"/>
      </tp>
      <tp>
        <v>6654</v>
        <stp/>
        <stp>##V3_BDHV12</stp>
        <stp>XOM US Equity</stp>
        <stp>OTHER_NONCURRENT_ASSETS_DETAILED</stp>
        <stp>FQ4 1994</stp>
        <stp>FQ4 1994</stp>
        <stp>[FA1_ftkzu3fn.xlsx]Bal Sheet - Standardized!R22C22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22" s="3"/>
      </tp>
      <tp>
        <v>854</v>
        <stp/>
        <stp>##V3_BDHV12</stp>
        <stp>XOM US Equity</stp>
        <stp>CF_NET_CHNG_CASH</stp>
        <stp>FQ4 1996</stp>
        <stp>FQ4 1996</stp>
        <stp>[FA1_ftkzu3fn.xlsx]Cash Flow - Standardized!R34C30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34" s="4"/>
      </tp>
      <tp>
        <v>-734</v>
        <stp/>
        <stp>##V3_BDHV12</stp>
        <stp>XOM US Equity</stp>
        <stp>CF_NET_CHNG_CASH</stp>
        <stp>FQ4 1997</stp>
        <stp>FQ4 1997</stp>
        <stp>[FA1_ftkzu3fn.xlsx]Cash Flow - Standardized!R34C34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34" s="4"/>
      </tp>
      <tp>
        <v>6910</v>
        <stp/>
        <stp>##V3_BDHV12</stp>
        <stp>XOM US Equity</stp>
        <stp>ACCT_PAYABLE_&amp;_ACCRUALS_DETAILED</stp>
        <stp>FQ4 1993</stp>
        <stp>FQ4 1993</stp>
        <stp>[FA1_ftkzu3fn.xlsx]Bal Sheet - Standardized!R27C18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27" s="3"/>
      </tp>
      <tp>
        <v>2.5103</v>
        <stp/>
        <stp>##V3_BDHV12</stp>
        <stp>XOM US Equity</stp>
        <stp>CASH_FLOW_TO_NET_INC</stp>
        <stp>FQ3 1991</stp>
        <stp>FQ3 1991</stp>
        <stp>[FA1_ftkzu3fn.xlsx]Cash Flow - Standardized!R45C9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I45" s="4"/>
      </tp>
      <tp>
        <v>2.5009000000000001</v>
        <stp/>
        <stp>##V3_BDHV12</stp>
        <stp>XOM US Equity</stp>
        <stp>CASH_FLOW_TO_NET_INC</stp>
        <stp>FQ2 1990</stp>
        <stp>FQ2 1990</stp>
        <stp>[FA1_ftkzu3fn.xlsx]Cash Flow - Standardized!R45C4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D45" s="4"/>
      </tp>
      <tp>
        <v>7774</v>
        <stp/>
        <stp>##V3_BDHV12</stp>
        <stp>XOM US Equity</stp>
        <stp>ACCT_PAYABLE_&amp;_ACCRUALS_DETAILED</stp>
        <stp>FQ4 1991</stp>
        <stp>FQ4 1991</stp>
        <stp>[FA1_ftkzu3fn.xlsx]Bal Sheet - Standardized!R27C10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27" s="3"/>
      </tp>
      <tp>
        <v>7100</v>
        <stp/>
        <stp>##V3_BDHV12</stp>
        <stp>XOM US Equity</stp>
        <stp>ACCT_PAYABLE_&amp;_ACCRUALS_DETAILED</stp>
        <stp>FQ4 1992</stp>
        <stp>FQ4 1992</stp>
        <stp>[FA1_ftkzu3fn.xlsx]Bal Sheet - Standardized!R27C14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27" s="3"/>
      </tp>
      <tp>
        <v>22777</v>
        <stp/>
        <stp>##V3_BDHV12</stp>
        <stp>XOM US Equity</stp>
        <stp>OTHER_NONCURRENT_LIABS_DETAILED</stp>
        <stp>FQ3 1990</stp>
        <stp>FQ3 1990</stp>
        <stp>[FA1_ftkzu3fn.xlsx]Bal Sheet - Standardized!R35C5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35" s="3"/>
      </tp>
      <tp>
        <v>22330</v>
        <stp/>
        <stp>##V3_BDHV12</stp>
        <stp>XOM US Equity</stp>
        <stp>OTHER_NONCURRENT_LIABS_DETAILED</stp>
        <stp>FQ2 1990</stp>
        <stp>FQ2 1990</stp>
        <stp>[FA1_ftkzu3fn.xlsx]Bal Sheet - Standardized!R35C4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35" s="3"/>
      </tp>
      <tp>
        <v>22757</v>
        <stp/>
        <stp>##V3_BDHV12</stp>
        <stp>XOM US Equity</stp>
        <stp>OTHER_NONCURRENT_LIABS_DETAILED</stp>
        <stp>FQ1 1991</stp>
        <stp>FQ1 1991</stp>
        <stp>[FA1_ftkzu3fn.xlsx]Bal Sheet - Standardized!R35C7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35" s="3"/>
      </tp>
      <tp>
        <v>19990</v>
        <stp/>
        <stp>##V3_BDHV12</stp>
        <stp>XOM US Equity</stp>
        <stp>OTHER_NONCURRENT_LIABS_DETAILED</stp>
        <stp>FQ4 1990</stp>
        <stp>FQ4 1990</stp>
        <stp>[FA1_ftkzu3fn.xlsx]Bal Sheet - Standardized!R35C6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35" s="3"/>
      </tp>
      <tp>
        <v>21813</v>
        <stp/>
        <stp>##V3_BDHV12</stp>
        <stp>XOM US Equity</stp>
        <stp>OTHER_NONCURRENT_LIABS_DETAILED</stp>
        <stp>FQ1 1990</stp>
        <stp>FQ1 1990</stp>
        <stp>[FA1_ftkzu3fn.xlsx]Bal Sheet - Standardized!R35C3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35" s="3"/>
      </tp>
      <tp>
        <v>22508</v>
        <stp/>
        <stp>##V3_BDHV12</stp>
        <stp>XOM US Equity</stp>
        <stp>OTHER_NONCURRENT_LIABS_DETAILED</stp>
        <stp>FQ2 1991</stp>
        <stp>FQ2 1991</stp>
        <stp>[FA1_ftkzu3fn.xlsx]Bal Sheet - Standardized!R35C8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35" s="3"/>
      </tp>
      <tp>
        <v>23044</v>
        <stp/>
        <stp>##V3_BDHV12</stp>
        <stp>XOM US Equity</stp>
        <stp>OTHER_NONCURRENT_LIABS_DETAILED</stp>
        <stp>FQ3 1991</stp>
        <stp>FQ3 1991</stp>
        <stp>[FA1_ftkzu3fn.xlsx]Bal Sheet - Standardized!R35C9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35" s="3"/>
      </tp>
      <tp>
        <v>1181</v>
        <stp/>
        <stp>##V3_BDHV12</stp>
        <stp>XOM US Equity</stp>
        <stp>OTHER_CURRENT_ASSETS_DETAILED</stp>
        <stp>FQ1 1994</stp>
        <stp>FQ1 1994</stp>
        <stp>[FA1_ftkzu3fn.xlsx]Bal Sheet - Standardized!R15C19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15" s="3"/>
      </tp>
      <tp>
        <v>1036</v>
        <stp/>
        <stp>##V3_BDHV12</stp>
        <stp>XOM US Equity</stp>
        <stp>OTHER_CURRENT_ASSETS_DETAILED</stp>
        <stp>FQ2 1996</stp>
        <stp>FQ2 1996</stp>
        <stp>[FA1_ftkzu3fn.xlsx]Bal Sheet - Standardized!R15C28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15" s="3"/>
      </tp>
      <tp>
        <v>2037</v>
        <stp/>
        <stp>##V3_BDHV12</stp>
        <stp>XOM US Equity</stp>
        <stp>PRETAX_INC</stp>
        <stp>FQ3 1994</stp>
        <stp>FQ3 1994</stp>
        <stp>[FA1_ftkzu3fn.xlsx]Income - Adjusted!R14C21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U14" s="2"/>
      </tp>
      <tp>
        <v>3258</v>
        <stp/>
        <stp>##V3_BDHV12</stp>
        <stp>XOM US Equity</stp>
        <stp>PRETAX_INC</stp>
        <stp>FQ2 1997</stp>
        <stp>FQ2 1997</stp>
        <stp>[FA1_ftkzu3fn.xlsx]Income - Adjusted!R14C32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F14" s="2"/>
      </tp>
      <tp>
        <v>1822</v>
        <stp/>
        <stp>##V3_BDHV12</stp>
        <stp>XOM US Equity</stp>
        <stp>PRETAX_INC</stp>
        <stp>FQ2 1993</stp>
        <stp>FQ2 1993</stp>
        <stp>[FA1_ftkzu3fn.xlsx]Income - Adjusted!R14C16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P14" s="2"/>
      </tp>
      <tp>
        <v>1193</v>
        <stp/>
        <stp>##V3_BDHV12</stp>
        <stp>XOM US Equity</stp>
        <stp>OTHER_CURRENT_ASSETS_DETAILED</stp>
        <stp>FQ2 1994</stp>
        <stp>FQ2 1994</stp>
        <stp>[FA1_ftkzu3fn.xlsx]Bal Sheet - Standardized!R15C20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15" s="3"/>
      </tp>
      <tp>
        <v>15461</v>
        <stp/>
        <stp>##V3_BDHV12</stp>
        <stp>XOM US Equity</stp>
        <stp>IS_COGS_TO_FE_AND_PP_AND_G</stp>
        <stp>FQ3 1991</stp>
        <stp>FQ3 1991</stp>
        <stp>[FA1_ftkzu3fn.xlsx]Income - Adjusted!R7C9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I7" s="2"/>
      </tp>
      <tp>
        <v>1153</v>
        <stp/>
        <stp>##V3_BDHV12</stp>
        <stp>XOM US Equity</stp>
        <stp>OTHER_CURRENT_ASSETS_DETAILED</stp>
        <stp>FQ3 1997</stp>
        <stp>FQ3 1997</stp>
        <stp>[FA1_ftkzu3fn.xlsx]Bal Sheet - Standardized!R15C33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15" s="3"/>
      </tp>
      <tp>
        <v>1125</v>
        <stp/>
        <stp>##V3_BDHV12</stp>
        <stp>XOM US Equity</stp>
        <stp>OTHER_CURRENT_ASSETS_DETAILED</stp>
        <stp>FQ1 1993</stp>
        <stp>FQ1 1993</stp>
        <stp>[FA1_ftkzu3fn.xlsx]Bal Sheet - Standardized!R15C15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15" s="3"/>
      </tp>
      <tp>
        <v>15317</v>
        <stp/>
        <stp>##V3_BDHV12</stp>
        <stp>XOM US Equity</stp>
        <stp>IS_COGS_TO_FE_AND_PP_AND_G</stp>
        <stp>FQ2 1991</stp>
        <stp>FQ2 1991</stp>
        <stp>[FA1_ftkzu3fn.xlsx]Income - Adjusted!R7C8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H7" s="2"/>
      </tp>
      <tp>
        <v>809</v>
        <stp/>
        <stp>##V3_BDHV12</stp>
        <stp>XOM US Equity</stp>
        <stp>OTHER_CURRENT_ASSETS_DETAILED</stp>
        <stp>FQ1 1992</stp>
        <stp>FQ1 1992</stp>
        <stp>[FA1_ftkzu3fn.xlsx]Bal Sheet - Standardized!R15C11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15" s="3"/>
      </tp>
      <tp>
        <v>1289</v>
        <stp/>
        <stp>##V3_BDHV12</stp>
        <stp>XOM US Equity</stp>
        <stp>OTHER_CURRENT_ASSETS_DETAILED</stp>
        <stp>FQ2 1995</stp>
        <stp>FQ2 1995</stp>
        <stp>[FA1_ftkzu3fn.xlsx]Bal Sheet - Standardized!R15C24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15" s="3"/>
      </tp>
      <tp>
        <v>49666</v>
        <stp/>
        <stp>##V3_BDHV12</stp>
        <stp>XOM US Equity</stp>
        <stp>BS_TOT_LIAB2</stp>
        <stp>FQ4 1991</stp>
        <stp>FQ4 1991</stp>
        <stp>[FA1_ftkzu3fn.xlsx]Bal Sheet - Standardized!R37C10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37" s="3"/>
      </tp>
      <tp>
        <v>1500</v>
        <stp/>
        <stp>##V3_BDHV12</stp>
        <stp>XOM US Equity</stp>
        <stp>NET_INCOME</stp>
        <stp>FQ4 1993</stp>
        <stp>FQ4 1993</stp>
        <stp>[FA1_ftkzu3fn.xlsx]Income - Adjusted!R20C18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R20" s="2"/>
      </tp>
      <tp>
        <v>48279</v>
        <stp/>
        <stp>##V3_BDHV12</stp>
        <stp>XOM US Equity</stp>
        <stp>BS_TOT_LIAB2</stp>
        <stp>FQ4 1992</stp>
        <stp>FQ4 1992</stp>
        <stp>[FA1_ftkzu3fn.xlsx]Bal Sheet - Standardized!R37C14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37" s="3"/>
      </tp>
      <tp>
        <v>46958</v>
        <stp/>
        <stp>##V3_BDHV12</stp>
        <stp>XOM US Equity</stp>
        <stp>BS_TOT_LIAB2</stp>
        <stp>FQ4 1993</stp>
        <stp>FQ4 1993</stp>
        <stp>[FA1_ftkzu3fn.xlsx]Bal Sheet - Standardized!R37C18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37" s="3"/>
      </tp>
      <tp>
        <v>1722</v>
        <stp/>
        <stp>##V3_BDHV12</stp>
        <stp>XOM US Equity</stp>
        <stp>EBIT</stp>
        <stp>FQ2 1991</stp>
        <stp>FQ2 1991</stp>
        <stp>[FA1_ftkzu3fn.xlsx]Income - Adjusted!R41C8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H41" s="2"/>
      </tp>
      <tp>
        <v>1620</v>
        <stp/>
        <stp>##V3_BDHV12</stp>
        <stp>XOM US Equity</stp>
        <stp>EBIT</stp>
        <stp>FQ3 1991</stp>
        <stp>FQ3 1991</stp>
        <stp>[FA1_ftkzu3fn.xlsx]Income - Adjusted!R41C9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I41" s="2"/>
      </tp>
      <tp>
        <v>31355</v>
        <stp/>
        <stp>##V3_BDHV12</stp>
        <stp>XOM US Equity</stp>
        <stp>NON_CUR_LIAB</stp>
        <stp>FQ3 1991</stp>
        <stp>FQ3 1991</stp>
        <stp>[FA1_ftkzu3fn.xlsx]Bal Sheet - Standardized!R36C9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36" s="3"/>
      </tp>
      <tp>
        <v>30482</v>
        <stp/>
        <stp>##V3_BDHV12</stp>
        <stp>XOM US Equity</stp>
        <stp>NON_CUR_LIAB</stp>
        <stp>FQ2 1991</stp>
        <stp>FQ2 1991</stp>
        <stp>[FA1_ftkzu3fn.xlsx]Bal Sheet - Standardized!R36C8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36" s="3"/>
      </tp>
      <tp>
        <v>8458</v>
        <stp/>
        <stp>##V3_BDHV12</stp>
        <stp>XOM US Equity</stp>
        <stp>OTHER_NONCURRENT_ASSETS_DETAILED</stp>
        <stp>FQ4 1997</stp>
        <stp>FQ4 1997</stp>
        <stp>[FA1_ftkzu3fn.xlsx]Bal Sheet - Standardized!R22C34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22" s="3"/>
      </tp>
      <tp>
        <v>14614</v>
        <stp/>
        <stp>##V3_BDHV12</stp>
        <stp>XOM US Equity</stp>
        <stp>IS_COGS_TO_FE_AND_PP_AND_G</stp>
        <stp>FQ1 1994</stp>
        <stp>FQ1 1994</stp>
        <stp>[FA1_ftkzu3fn.xlsx]Income - Adjusted!R7C19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S7" s="2"/>
      </tp>
      <tp>
        <v>18535</v>
        <stp/>
        <stp>##V3_BDHV12</stp>
        <stp>XOM US Equity</stp>
        <stp>IS_COGS_TO_FE_AND_PP_AND_G</stp>
        <stp>FQ3 1996</stp>
        <stp>FQ3 1996</stp>
        <stp>[FA1_ftkzu3fn.xlsx]Income - Adjusted!R7C29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C7" s="2"/>
      </tp>
      <tp>
        <v>17901</v>
        <stp/>
        <stp>##V3_BDHV12</stp>
        <stp>XOM US Equity</stp>
        <stp>IS_COGS_TO_FE_AND_PP_AND_G</stp>
        <stp>FQ2 1996</stp>
        <stp>FQ2 1996</stp>
        <stp>[FA1_ftkzu3fn.xlsx]Income - Adjusted!R7C28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B7" s="2"/>
      </tp>
      <tp>
        <v>9010</v>
        <stp/>
        <stp>##V3_BDHV12</stp>
        <stp>XOM US Equity</stp>
        <stp>OTHER_NONCURRENT_ASSETS_DETAILED</stp>
        <stp>FQ4 1996</stp>
        <stp>FQ4 1996</stp>
        <stp>[FA1_ftkzu3fn.xlsx]Bal Sheet - Standardized!R22C30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22" s="3"/>
      </tp>
      <tp>
        <v>30752</v>
        <stp/>
        <stp>##V3_BDHV12</stp>
        <stp>XOM US Equity</stp>
        <stp>NON_CUR_LIAB</stp>
        <stp>FQ1 1990</stp>
        <stp>FQ1 1990</stp>
        <stp>[FA1_ftkzu3fn.xlsx]Bal Sheet - Standardized!R36C3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36" s="3"/>
      </tp>
      <tp>
        <v>27677</v>
        <stp/>
        <stp>##V3_BDHV12</stp>
        <stp>XOM US Equity</stp>
        <stp>NON_CUR_LIAB</stp>
        <stp>FQ4 1990</stp>
        <stp>FQ4 1990</stp>
        <stp>[FA1_ftkzu3fn.xlsx]Bal Sheet - Standardized!R36C6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36" s="3"/>
      </tp>
      <tp>
        <v>2750</v>
        <stp/>
        <stp>##V3_BDHV12</stp>
        <stp>XOM US Equity</stp>
        <stp>CF_NET_CHNG_CASH</stp>
        <stp>FQ4 1994</stp>
        <stp>FQ4 1994</stp>
        <stp>[FA1_ftkzu3fn.xlsx]Cash Flow - Standardized!R34C22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34" s="4"/>
      </tp>
      <tp>
        <v>30633</v>
        <stp/>
        <stp>##V3_BDHV12</stp>
        <stp>XOM US Equity</stp>
        <stp>NON_CUR_LIAB</stp>
        <stp>FQ1 1991</stp>
        <stp>FQ1 1991</stp>
        <stp>[FA1_ftkzu3fn.xlsx]Bal Sheet - Standardized!R36C7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36" s="3"/>
      </tp>
      <tp>
        <v>30650</v>
        <stp/>
        <stp>##V3_BDHV12</stp>
        <stp>XOM US Equity</stp>
        <stp>NON_CUR_LIAB</stp>
        <stp>FQ2 1990</stp>
        <stp>FQ2 1990</stp>
        <stp>[FA1_ftkzu3fn.xlsx]Bal Sheet - Standardized!R36C4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36" s="3"/>
      </tp>
      <tp>
        <v>30612</v>
        <stp/>
        <stp>##V3_BDHV12</stp>
        <stp>XOM US Equity</stp>
        <stp>NON_CUR_LIAB</stp>
        <stp>FQ3 1990</stp>
        <stp>FQ3 1990</stp>
        <stp>[FA1_ftkzu3fn.xlsx]Bal Sheet - Standardized!R36C5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36" s="3"/>
      </tp>
      <tp>
        <v>1270</v>
        <stp/>
        <stp>##V3_BDHV12</stp>
        <stp>XOM US Equity</stp>
        <stp>CF_NET_CHNG_CASH</stp>
        <stp>FQ4 1995</stp>
        <stp>FQ4 1995</stp>
        <stp>[FA1_ftkzu3fn.xlsx]Cash Flow - Standardized!R34C26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34" s="4"/>
      </tp>
      <tp>
        <v>16513</v>
        <stp/>
        <stp>##V3_BDHV12</stp>
        <stp>XOM US Equity</stp>
        <stp>IS_COGS_TO_FE_AND_PP_AND_G</stp>
        <stp>FQ1 1998</stp>
        <stp>FQ1 1998</stp>
        <stp>[FA1_ftkzu3fn.xlsx]Income - Adjusted!R7C35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I7" s="2"/>
      </tp>
      <tp>
        <v>15657</v>
        <stp/>
        <stp>##V3_BDHV12</stp>
        <stp>XOM US Equity</stp>
        <stp>IS_COGS_TO_FE_AND_PP_AND_G</stp>
        <stp>FQ2 1998</stp>
        <stp>FQ2 1998</stp>
        <stp>[FA1_ftkzu3fn.xlsx]Income - Adjusted!R7C36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J7" s="2"/>
      </tp>
      <tp>
        <v>2.3048999999999999</v>
        <stp/>
        <stp>##V3_BDHV12</stp>
        <stp>XOM US Equity</stp>
        <stp>CASH_FLOW_TO_NET_INC</stp>
        <stp>FQ2 1991</stp>
        <stp>FQ2 1991</stp>
        <stp>[FA1_ftkzu3fn.xlsx]Cash Flow - Standardized!R45C8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H45" s="4"/>
      </tp>
      <tp>
        <v>1.8242</v>
        <stp/>
        <stp>##V3_BDHV12</stp>
        <stp>XOM US Equity</stp>
        <stp>CASH_FLOW_TO_NET_INC</stp>
        <stp>FQ3 1990</stp>
        <stp>FQ3 1990</stp>
        <stp>[FA1_ftkzu3fn.xlsx]Cash Flow - Standardized!R45C5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E45" s="4"/>
      </tp>
      <tp>
        <v>3929</v>
        <stp/>
        <stp>##V3_BDHV12</stp>
        <stp>XOM US Equity</stp>
        <stp>OTHER_CURRENT_ASSETS_DETAILED</stp>
        <stp>FQ2 1998</stp>
        <stp>FQ2 1998</stp>
        <stp>[FA1_ftkzu3fn.xlsx]Bal Sheet - Standardized!R15C36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15" s="3"/>
      </tp>
      <tp>
        <v>1062</v>
        <stp/>
        <stp>##V3_BDHV12</stp>
        <stp>XOM US Equity</stp>
        <stp>OTHER_CURRENT_ASSETS_DETAILED</stp>
        <stp>FQ3 1996</stp>
        <stp>FQ3 1996</stp>
        <stp>[FA1_ftkzu3fn.xlsx]Bal Sheet - Standardized!R15C29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15" s="3"/>
      </tp>
      <tp>
        <v>2862</v>
        <stp/>
        <stp>##V3_BDHV12</stp>
        <stp>XOM US Equity</stp>
        <stp>PRETAX_INC</stp>
        <stp>FQ3 1997</stp>
        <stp>FQ3 1997</stp>
        <stp>[FA1_ftkzu3fn.xlsx]Income - Adjusted!R14C33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G14" s="2"/>
      </tp>
      <tp>
        <v>2101</v>
        <stp/>
        <stp>##V3_BDHV12</stp>
        <stp>XOM US Equity</stp>
        <stp>PRETAX_INC</stp>
        <stp>FQ3 1993</stp>
        <stp>FQ3 1993</stp>
        <stp>[FA1_ftkzu3fn.xlsx]Income - Adjusted!R14C17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Q14" s="2"/>
      </tp>
      <tp>
        <v>1475</v>
        <stp/>
        <stp>##V3_BDHV12</stp>
        <stp>XOM US Equity</stp>
        <stp>PRETAX_INC</stp>
        <stp>FQ2 1994</stp>
        <stp>FQ2 1994</stp>
        <stp>[FA1_ftkzu3fn.xlsx]Income - Adjusted!R14C20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T14" s="2"/>
      </tp>
      <tp>
        <v>1145</v>
        <stp/>
        <stp>##V3_BDHV12</stp>
        <stp>XOM US Equity</stp>
        <stp>OTHER_CURRENT_ASSETS_DETAILED</stp>
        <stp>FQ3 1994</stp>
        <stp>FQ3 1994</stp>
        <stp>[FA1_ftkzu3fn.xlsx]Bal Sheet - Standardized!R15C21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15" s="3"/>
      </tp>
      <tp>
        <v>1102</v>
        <stp/>
        <stp>##V3_BDHV12</stp>
        <stp>XOM US Equity</stp>
        <stp>OTHER_CURRENT_ASSETS_DETAILED</stp>
        <stp>FQ2 1997</stp>
        <stp>FQ2 1997</stp>
        <stp>[FA1_ftkzu3fn.xlsx]Bal Sheet - Standardized!R15C32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15" s="3"/>
      </tp>
      <tp>
        <v>1025</v>
        <stp/>
        <stp>##V3_BDHV12</stp>
        <stp>XOM US Equity</stp>
        <stp>OTHER_CURRENT_ASSETS_DETAILED</stp>
        <stp>FQ3 1995</stp>
        <stp>FQ3 1995</stp>
        <stp>[FA1_ftkzu3fn.xlsx]Bal Sheet - Standardized!R15C25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15" s="3"/>
      </tp>
      <tp>
        <v>3724</v>
        <stp/>
        <stp>##V3_BDHV12</stp>
        <stp>XOM US Equity</stp>
        <stp>EBITDA</stp>
        <stp>FQ1 1998</stp>
        <stp>FQ1 1998</stp>
        <stp>[FA1_ftkzu3fn.xlsx]Income - Adjusted!R39C35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I39" s="2"/>
      </tp>
      <tp>
        <v>3012</v>
        <stp/>
        <stp>##V3_BDHV12</stp>
        <stp>XOM US Equity</stp>
        <stp>EBITDA</stp>
        <stp>FQ1 1994</stp>
        <stp>FQ1 1994</stp>
        <stp>[FA1_ftkzu3fn.xlsx]Income - Adjusted!R39C19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S39" s="2"/>
      </tp>
      <tp>
        <v>15.6632</v>
        <stp/>
        <stp>##V3_BDHV12</stp>
        <stp>XOM US Equity</stp>
        <stp>EBITDA_MARGIN</stp>
        <stp>FQ2 1998</stp>
        <stp>FQ2 1998</stp>
        <stp>[FA1_ftkzu3fn.xlsx]Cash Flow - Standardized!R39C36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J39" s="4"/>
      </tp>
      <tp>
        <v>20.815999999999999</v>
        <stp/>
        <stp>##V3_BDHV12</stp>
        <stp>XOM US Equity</stp>
        <stp>EBITDA_MARGIN</stp>
        <stp>FQ1 1998</stp>
        <stp>FQ1 1998</stp>
        <stp>[FA1_ftkzu3fn.xlsx]Cash Flow - Standardized!R39C35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I39" s="4"/>
      </tp>
      <tp>
        <v>0</v>
        <stp/>
        <stp>##V3_BDHV12</stp>
        <stp>XOM US Equity</stp>
        <stp>XO_GL_NET_OF_TAX</stp>
        <stp>FQ2 1998</stp>
        <stp>FQ2 1998</stp>
        <stp>[FA1_ftkzu3fn.xlsx]Income - Adjusted!R25C36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25" s="2"/>
      </tp>
      <tp>
        <v>0</v>
        <stp/>
        <stp>##V3_BDHV12</stp>
        <stp>XOM US Equity</stp>
        <stp>XO_GL_NET_OF_TAX</stp>
        <stp>FQ2 1998</stp>
        <stp>FQ2 1998</stp>
        <stp>[FA1_ftkzu3fn.xlsx]Income - Adjusted!R17C36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17" s="2"/>
      </tp>
      <tp>
        <v>4967.3999999999996</v>
        <stp/>
        <stp>##V3_BDHV12</stp>
        <stp>XOM US Equity</stp>
        <stp>EQY_SH_OUT</stp>
        <stp>FQ3 1996</stp>
        <stp>FQ3 1996</stp>
        <stp>[FA1_ftkzu3fn.xlsx]Stock Value!R13C29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13" s="6"/>
      </tp>
      <tp>
        <v>4968.3040000000001</v>
        <stp/>
        <stp>##V3_BDHV12</stp>
        <stp>XOM US Equity</stp>
        <stp>EQY_SH_OUT</stp>
        <stp>FQ2 1996</stp>
        <stp>FQ2 1996</stp>
        <stp>[FA1_ftkzu3fn.xlsx]Stock Value!R13C28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13" s="6"/>
      </tp>
      <tp>
        <v>8429</v>
        <stp/>
        <stp>##V3_BDHV12</stp>
        <stp>XOM US Equity</stp>
        <stp>OTHER_NONCURRENT_ASSETS_DETAILED</stp>
        <stp>FQ3 1997</stp>
        <stp>FQ3 1997</stp>
        <stp>[FA1_ftkzu3fn.xlsx]Bal Sheet - Standardized!R22C33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22" s="3"/>
      </tp>
      <tp>
        <v>6736</v>
        <stp/>
        <stp>##V3_BDHV12</stp>
        <stp>XOM US Equity</stp>
        <stp>OTHER_NONCURRENT_ASSETS_DETAILED</stp>
        <stp>FQ1 1993</stp>
        <stp>FQ1 1993</stp>
        <stp>[FA1_ftkzu3fn.xlsx]Bal Sheet - Standardized!R22C15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22" s="3"/>
      </tp>
      <tp>
        <v>987</v>
        <stp/>
        <stp>##V3_BDHV12</stp>
        <stp>XOM US Equity</stp>
        <stp>NON_CASH_ITEMS_DETAILED</stp>
        <stp>FQ3 1995</stp>
        <stp>FQ3 1995</stp>
        <stp>[FA1_ftkzu3fn.xlsx]Cash Flow - Standardized!R9C25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9" s="4"/>
      </tp>
      <tp>
        <v>310</v>
        <stp/>
        <stp>##V3_BDHV12</stp>
        <stp>XOM US Equity</stp>
        <stp>NON_CASH_ITEMS_DETAILED</stp>
        <stp>FQ2 1995</stp>
        <stp>FQ2 1995</stp>
        <stp>[FA1_ftkzu3fn.xlsx]Cash Flow - Standardized!R9C24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9" s="4"/>
      </tp>
      <tp>
        <v>292</v>
        <stp/>
        <stp>##V3_BDHV12</stp>
        <stp>XOM US Equity</stp>
        <stp>NON_CASH_ITEMS_DETAILED</stp>
        <stp>FQ1 1996</stp>
        <stp>FQ1 1996</stp>
        <stp>[FA1_ftkzu3fn.xlsx]Cash Flow - Standardized!R9C27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9" s="4"/>
      </tp>
      <tp>
        <v>-479</v>
        <stp/>
        <stp>##V3_BDHV12</stp>
        <stp>XOM US Equity</stp>
        <stp>NON_CASH_ITEMS_DETAILED</stp>
        <stp>FQ4 1994</stp>
        <stp>FQ4 1994</stp>
        <stp>[FA1_ftkzu3fn.xlsx]Cash Flow - Standardized!R9C22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9" s="4"/>
      </tp>
      <tp>
        <v>7673</v>
        <stp/>
        <stp>##V3_BDHV12</stp>
        <stp>XOM US Equity</stp>
        <stp>OTHER_NONCURRENT_ASSETS_DETAILED</stp>
        <stp>FQ2 1994</stp>
        <stp>FQ2 1994</stp>
        <stp>[FA1_ftkzu3fn.xlsx]Bal Sheet - Standardized!R22C20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22" s="3"/>
      </tp>
      <tp>
        <v>8519</v>
        <stp/>
        <stp>##V3_BDHV12</stp>
        <stp>XOM US Equity</stp>
        <stp>OTHER_NONCURRENT_ASSETS_DETAILED</stp>
        <stp>FQ2 1995</stp>
        <stp>FQ2 1995</stp>
        <stp>[FA1_ftkzu3fn.xlsx]Bal Sheet - Standardized!R22C24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22" s="3"/>
      </tp>
      <tp>
        <v>74</v>
        <stp/>
        <stp>##V3_BDHV12</stp>
        <stp>XOM US Equity</stp>
        <stp>NON_CASH_ITEMS_DETAILED</stp>
        <stp>FQ1 1995</stp>
        <stp>FQ1 1995</stp>
        <stp>[FA1_ftkzu3fn.xlsx]Cash Flow - Standardized!R9C23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9" s="4"/>
      </tp>
      <tp>
        <v>-144</v>
        <stp/>
        <stp>##V3_BDHV12</stp>
        <stp>XOM US Equity</stp>
        <stp>NON_CASH_ITEMS_DETAILED</stp>
        <stp>FQ2 1994</stp>
        <stp>FQ2 1994</stp>
        <stp>[FA1_ftkzu3fn.xlsx]Cash Flow - Standardized!R9C20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9" s="4"/>
      </tp>
      <tp>
        <v>589</v>
        <stp/>
        <stp>##V3_BDHV12</stp>
        <stp>XOM US Equity</stp>
        <stp>NON_CASH_ITEMS_DETAILED</stp>
        <stp>FQ3 1994</stp>
        <stp>FQ3 1994</stp>
        <stp>[FA1_ftkzu3fn.xlsx]Cash Flow - Standardized!R9C21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9" s="4"/>
      </tp>
      <tp>
        <v>630</v>
        <stp/>
        <stp>##V3_BDHV12</stp>
        <stp>XOM US Equity</stp>
        <stp>NON_CASH_ITEMS_DETAILED</stp>
        <stp>FQ4 1995</stp>
        <stp>FQ4 1995</stp>
        <stp>[FA1_ftkzu3fn.xlsx]Cash Flow - Standardized!R9C26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9" s="4"/>
      </tp>
      <tp>
        <v>6383</v>
        <stp/>
        <stp>##V3_BDHV12</stp>
        <stp>XOM US Equity</stp>
        <stp>OTHER_NONCURRENT_ASSETS_DETAILED</stp>
        <stp>FQ1 1992</stp>
        <stp>FQ1 1992</stp>
        <stp>[FA1_ftkzu3fn.xlsx]Bal Sheet - Standardized!R22C11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22" s="3"/>
      </tp>
      <tp>
        <v>-1152</v>
        <stp/>
        <stp>##V3_BDHV12</stp>
        <stp>XOM US Equity</stp>
        <stp>CF_NET_CHNG_CASH</stp>
        <stp>FQ2 1998</stp>
        <stp>FQ2 1998</stp>
        <stp>[FA1_ftkzu3fn.xlsx]Cash Flow - Standardized!R34C36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34" s="4"/>
      </tp>
      <tp>
        <v>1298</v>
        <stp/>
        <stp>##V3_BDHV12</stp>
        <stp>XOM US Equity</stp>
        <stp>CF_NET_CHNG_CASH</stp>
        <stp>FQ3 1996</stp>
        <stp>FQ3 1996</stp>
        <stp>[FA1_ftkzu3fn.xlsx]Cash Flow - Standardized!R34C29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34" s="4"/>
      </tp>
      <tp>
        <v>2165</v>
        <stp/>
        <stp>##V3_BDHV12</stp>
        <stp>XOM US Equity</stp>
        <stp>CF_NET_CHNG_CASH</stp>
        <stp>FQ3 1995</stp>
        <stp>FQ3 1995</stp>
        <stp>[FA1_ftkzu3fn.xlsx]Cash Flow - Standardized!R34C25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34" s="4"/>
      </tp>
      <tp>
        <v>8508</v>
        <stp/>
        <stp>##V3_BDHV12</stp>
        <stp>XOM US Equity</stp>
        <stp>OTHER_NONCURRENT_ASSETS_DETAILED</stp>
        <stp>FQ2 1996</stp>
        <stp>FQ2 1996</stp>
        <stp>[FA1_ftkzu3fn.xlsx]Bal Sheet - Standardized!R22C28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22" s="3"/>
      </tp>
      <tp>
        <v>7389</v>
        <stp/>
        <stp>##V3_BDHV12</stp>
        <stp>XOM US Equity</stp>
        <stp>OTHER_NONCURRENT_ASSETS_DETAILED</stp>
        <stp>FQ1 1994</stp>
        <stp>FQ1 1994</stp>
        <stp>[FA1_ftkzu3fn.xlsx]Bal Sheet - Standardized!R22C19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22" s="3"/>
      </tp>
      <tp>
        <v>-543</v>
        <stp/>
        <stp>##V3_BDHV12</stp>
        <stp>XOM US Equity</stp>
        <stp>CF_NET_CHNG_CASH</stp>
        <stp>FQ2 1997</stp>
        <stp>FQ2 1997</stp>
        <stp>[FA1_ftkzu3fn.xlsx]Cash Flow - Standardized!R34C32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34" s="4"/>
      </tp>
      <tp>
        <v>2683</v>
        <stp/>
        <stp>##V3_BDHV12</stp>
        <stp>XOM US Equity</stp>
        <stp>CF_NET_CHNG_CASH</stp>
        <stp>FQ3 1994</stp>
        <stp>FQ3 1994</stp>
        <stp>[FA1_ftkzu3fn.xlsx]Cash Flow - Standardized!R34C21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34" s="4"/>
      </tp>
      <tp>
        <v>472</v>
        <stp/>
        <stp>##V3_BDHV12</stp>
        <stp>XOM US Equity</stp>
        <stp>NON_CASH_ITEMS_DETAILED</stp>
        <stp>FQ2 1996</stp>
        <stp>FQ2 1996</stp>
        <stp>[FA1_ftkzu3fn.xlsx]Cash Flow - Standardized!R9C28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9" s="4"/>
      </tp>
      <tp>
        <v>-198</v>
        <stp/>
        <stp>##V3_BDHV12</stp>
        <stp>XOM US Equity</stp>
        <stp>NON_CASH_ITEMS_DETAILED</stp>
        <stp>FQ3 1996</stp>
        <stp>FQ3 1996</stp>
        <stp>[FA1_ftkzu3fn.xlsx]Cash Flow - Standardized!R9C29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9" s="4"/>
      </tp>
      <tp>
        <v>2.6778</v>
        <stp/>
        <stp>##V3_BDHV12</stp>
        <stp>XOM US Equity</stp>
        <stp>CASH_FLOW_TO_NET_INC</stp>
        <stp>FQ4 1990</stp>
        <stp>FQ4 1990</stp>
        <stp>[FA1_ftkzu3fn.xlsx]Cash Flow - Standardized!R45C6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F45" s="4"/>
      </tp>
      <tp>
        <v>12253</v>
        <stp/>
        <stp>##V3_BDHV12</stp>
        <stp>XOM US Equity</stp>
        <stp>ACCT_PAYABLE_&amp;_ACCRUALS_DETAILED</stp>
        <stp>FQ2 1993</stp>
        <stp>FQ2 1993</stp>
        <stp>[FA1_ftkzu3fn.xlsx]Bal Sheet - Standardized!R27C16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27" s="3"/>
      </tp>
      <tp>
        <v>13925</v>
        <stp/>
        <stp>##V3_BDHV12</stp>
        <stp>XOM US Equity</stp>
        <stp>ACCT_PAYABLE_&amp;_ACCRUALS_DETAILED</stp>
        <stp>FQ1 1995</stp>
        <stp>FQ1 1995</stp>
        <stp>[FA1_ftkzu3fn.xlsx]Bal Sheet - Standardized!R27C23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27" s="3"/>
      </tp>
      <tp>
        <v>13702</v>
        <stp/>
        <stp>##V3_BDHV12</stp>
        <stp>XOM US Equity</stp>
        <stp>ACCT_PAYABLE_&amp;_ACCRUALS_DETAILED</stp>
        <stp>FQ2 1992</stp>
        <stp>FQ2 1992</stp>
        <stp>[FA1_ftkzu3fn.xlsx]Bal Sheet - Standardized!R27C12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27" s="3"/>
      </tp>
      <tp>
        <v>13756</v>
        <stp/>
        <stp>##V3_BDHV12</stp>
        <stp>XOM US Equity</stp>
        <stp>ACCT_PAYABLE_&amp;_ACCRUALS_DETAILED</stp>
        <stp>FQ1 1996</stp>
        <stp>FQ1 1996</stp>
        <stp>[FA1_ftkzu3fn.xlsx]Bal Sheet - Standardized!R27C27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27" s="3"/>
      </tp>
      <tp>
        <v>7.1006999999999998</v>
        <stp/>
        <stp>##V3_BDHV12</stp>
        <stp>XOM US Equity</stp>
        <stp>OPER_MARGIN</stp>
        <stp>FQ2 1991</stp>
        <stp>FQ2 1991</stp>
        <stp>[FA1_ftkzu3fn.xlsx]Income - Adjusted!R43C8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H43" s="2"/>
      </tp>
      <tp>
        <v>6.6837</v>
        <stp/>
        <stp>##V3_BDHV12</stp>
        <stp>XOM US Equity</stp>
        <stp>OPER_MARGIN</stp>
        <stp>FQ3 1991</stp>
        <stp>FQ3 1991</stp>
        <stp>[FA1_ftkzu3fn.xlsx]Income - Adjusted!R43C9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I43" s="2"/>
      </tp>
      <tp>
        <v>12.0351</v>
        <stp/>
        <stp>##V3_BDHV12</stp>
        <stp>XOM US Equity</stp>
        <stp>OPER_MARGIN</stp>
        <stp>FQ1 1991</stp>
        <stp>FQ1 1991</stp>
        <stp>[FA1_ftkzu3fn.xlsx]Income - Adjusted!R43C7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G43" s="2"/>
      </tp>
      <tp>
        <v>0.83560000000000001</v>
        <stp/>
        <stp>##V3_BDHV12</stp>
        <stp>XOM US Equity</stp>
        <stp>CUR_RATIO</stp>
        <stp>FQ3 1991</stp>
        <stp>FQ3 1991</stp>
        <stp>[FA1_ftkzu3fn.xlsx]Bal Sheet - Standardized!R53C9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53" s="3"/>
      </tp>
      <tp>
        <v>0.84009999999999996</v>
        <stp/>
        <stp>##V3_BDHV12</stp>
        <stp>XOM US Equity</stp>
        <stp>CUR_RATIO</stp>
        <stp>FQ2 1991</stp>
        <stp>FQ2 1991</stp>
        <stp>[FA1_ftkzu3fn.xlsx]Bal Sheet - Standardized!R53C8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53" s="3"/>
      </tp>
      <tp>
        <v>4975.3521000000001</v>
        <stp/>
        <stp>##V3_BDHV12</stp>
        <stp>XOM US Equity</stp>
        <stp>BS_SH_OUT</stp>
        <stp>FQ2 1991</stp>
        <stp>FQ2 1991</stp>
        <stp>[FA1_ftkzu3fn.xlsx]Bal Sheet - Standardized!R49C8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49" s="3"/>
      </tp>
      <tp>
        <v>4981.5679</v>
        <stp/>
        <stp>##V3_BDHV12</stp>
        <stp>XOM US Equity</stp>
        <stp>BS_SH_OUT</stp>
        <stp>FQ3 1991</stp>
        <stp>FQ3 1991</stp>
        <stp>[FA1_ftkzu3fn.xlsx]Bal Sheet - Standardized!R49C9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49" s="3"/>
      </tp>
      <tp>
        <v>0.22500000000000001</v>
        <stp/>
        <stp>##V3_BDHV12</stp>
        <stp>XOM US Equity</stp>
        <stp>IS_DIL_EPS_BEF_XO</stp>
        <stp>FQ2 1991</stp>
        <stp>FQ2 1991</stp>
        <stp>[FA1_ftkzu3fn.xlsx]Per Share!R18C8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18" s="5"/>
      </tp>
      <tp>
        <v>0.22</v>
        <stp/>
        <stp>##V3_BDHV12</stp>
        <stp>XOM US Equity</stp>
        <stp>IS_DIL_EPS_BEF_XO</stp>
        <stp>FQ3 1991</stp>
        <stp>FQ3 1991</stp>
        <stp>[FA1_ftkzu3fn.xlsx]Per Share!R18C9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18" s="5"/>
      </tp>
      <tp>
        <v>2823</v>
        <stp/>
        <stp>##V3_BDHV12</stp>
        <stp>XOM US Equity</stp>
        <stp>PRETAX_INC</stp>
        <stp>FQ4 1995</stp>
        <stp>FQ4 1995</stp>
        <stp>[FA1_ftkzu3fn.xlsx]Income - Adjusted!R14C26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Z14" s="2"/>
      </tp>
      <tp>
        <v>6352</v>
        <stp/>
        <stp>##V3_BDHV12</stp>
        <stp>XOM US Equity</stp>
        <stp>PRETAX_INC</stp>
        <stp>FQ4 1997</stp>
        <stp>FQ4 1997</stp>
        <stp>[FA1_ftkzu3fn.xlsx]Income - Adjusted!R14C34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H14" s="2"/>
      </tp>
      <tp>
        <v>2041</v>
        <stp/>
        <stp>##V3_BDHV12</stp>
        <stp>XOM US Equity</stp>
        <stp>PRETAX_INC</stp>
        <stp>FQ1 1992</stp>
        <stp>FQ1 1992</stp>
        <stp>[FA1_ftkzu3fn.xlsx]Income - Adjusted!R14C11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K14" s="2"/>
      </tp>
      <tp>
        <v>2869</v>
        <stp/>
        <stp>##V3_BDHV12</stp>
        <stp>XOM US Equity</stp>
        <stp>OTHER_CURRENT_ASSETS_DETAILED</stp>
        <stp>FQ4 1995</stp>
        <stp>FQ4 1995</stp>
        <stp>[FA1_ftkzu3fn.xlsx]Bal Sheet - Standardized!R15C26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15" s="3"/>
      </tp>
      <tp>
        <v>2852</v>
        <stp/>
        <stp>##V3_BDHV12</stp>
        <stp>XOM US Equity</stp>
        <stp>OTHER_CURRENT_ASSETS_DETAILED</stp>
        <stp>FQ4 1994</stp>
        <stp>FQ4 1994</stp>
        <stp>[FA1_ftkzu3fn.xlsx]Bal Sheet - Standardized!R15C22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15" s="3"/>
      </tp>
      <tp>
        <v>52089</v>
        <stp/>
        <stp>##V3_BDHV12</stp>
        <stp>XOM US Equity</stp>
        <stp>BS_TOT_LIAB2</stp>
        <stp>FQ1 1995</stp>
        <stp>FQ1 1995</stp>
        <stp>[FA1_ftkzu3fn.xlsx]Bal Sheet - Standardized!R37C23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37" s="3"/>
      </tp>
      <tp>
        <v>50199</v>
        <stp/>
        <stp>##V3_BDHV12</stp>
        <stp>XOM US Equity</stp>
        <stp>BS_TOT_LIAB2</stp>
        <stp>FQ2 1993</stp>
        <stp>FQ2 1993</stp>
        <stp>[FA1_ftkzu3fn.xlsx]Bal Sheet - Standardized!R37C16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37" s="3"/>
      </tp>
      <tp>
        <v>51557</v>
        <stp/>
        <stp>##V3_BDHV12</stp>
        <stp>XOM US Equity</stp>
        <stp>BS_TOT_LIAB2</stp>
        <stp>FQ1 1996</stp>
        <stp>FQ1 1996</stp>
        <stp>[FA1_ftkzu3fn.xlsx]Bal Sheet - Standardized!R37C27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37" s="3"/>
      </tp>
      <tp>
        <v>1160</v>
        <stp/>
        <stp>##V3_BDHV12</stp>
        <stp>XOM US Equity</stp>
        <stp>NET_INCOME</stp>
        <stp>FQ1 1994</stp>
        <stp>FQ1 1994</stp>
        <stp>[FA1_ftkzu3fn.xlsx]Income - Adjusted!R20C19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S20" s="2"/>
      </tp>
      <tp>
        <v>1890</v>
        <stp/>
        <stp>##V3_BDHV12</stp>
        <stp>XOM US Equity</stp>
        <stp>NET_INCOME</stp>
        <stp>FQ1 1998</stp>
        <stp>FQ1 1998</stp>
        <stp>[FA1_ftkzu3fn.xlsx]Income - Adjusted!R20C35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I20" s="2"/>
      </tp>
      <tp>
        <v>51942</v>
        <stp/>
        <stp>##V3_BDHV12</stp>
        <stp>XOM US Equity</stp>
        <stp>BS_TOT_LIAB2</stp>
        <stp>FQ2 1992</stp>
        <stp>FQ2 1992</stp>
        <stp>[FA1_ftkzu3fn.xlsx]Bal Sheet - Standardized!R37C12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37" s="3"/>
      </tp>
      <tp>
        <v>8606</v>
        <stp/>
        <stp>##V3_BDHV12</stp>
        <stp>XOM US Equity</stp>
        <stp>OTHER_NONCURRENT_ASSETS_DETAILED</stp>
        <stp>FQ2 1997</stp>
        <stp>FQ2 1997</stp>
        <stp>[FA1_ftkzu3fn.xlsx]Bal Sheet - Standardized!R22C32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22" s="3"/>
      </tp>
      <tp>
        <v>7886</v>
        <stp/>
        <stp>##V3_BDHV12</stp>
        <stp>XOM US Equity</stp>
        <stp>OTHER_NONCURRENT_ASSETS_DETAILED</stp>
        <stp>FQ3 1994</stp>
        <stp>FQ3 1994</stp>
        <stp>[FA1_ftkzu3fn.xlsx]Bal Sheet - Standardized!R22C21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22" s="3"/>
      </tp>
      <tp>
        <v>1178</v>
        <stp/>
        <stp>##V3_BDHV12</stp>
        <stp>XOM US Equity</stp>
        <stp>NON_CASH_ITEMS_DETAILED</stp>
        <stp>FQ4 1996</stp>
        <stp>FQ4 1996</stp>
        <stp>[FA1_ftkzu3fn.xlsx]Cash Flow - Standardized!R9C30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9" s="4"/>
      </tp>
      <tp>
        <v>-159</v>
        <stp/>
        <stp>##V3_BDHV12</stp>
        <stp>XOM US Equity</stp>
        <stp>NON_CASH_ITEMS_DETAILED</stp>
        <stp>FQ1 1998</stp>
        <stp>FQ1 1998</stp>
        <stp>[FA1_ftkzu3fn.xlsx]Cash Flow - Standardized!R9C35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9" s="4"/>
      </tp>
      <tp>
        <v>-87</v>
        <stp/>
        <stp>##V3_BDHV12</stp>
        <stp>XOM US Equity</stp>
        <stp>NON_CASH_ITEMS_DETAILED</stp>
        <stp>FQ2 1998</stp>
        <stp>FQ2 1998</stp>
        <stp>[FA1_ftkzu3fn.xlsx]Cash Flow - Standardized!R9C36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9" s="4"/>
      </tp>
      <tp>
        <v>8320</v>
        <stp/>
        <stp>##V3_BDHV12</stp>
        <stp>XOM US Equity</stp>
        <stp>OTHER_NONCURRENT_ASSETS_DETAILED</stp>
        <stp>FQ3 1995</stp>
        <stp>FQ3 1995</stp>
        <stp>[FA1_ftkzu3fn.xlsx]Bal Sheet - Standardized!R22C25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22" s="3"/>
      </tp>
      <tp t="s">
        <v>—</v>
        <stp/>
        <stp>##V3_BDHV12</stp>
        <stp>XOM US Equity</stp>
        <stp>CF_NET_CHNG_CASH</stp>
        <stp>FQ2 1996</stp>
        <stp>FQ2 1996</stp>
        <stp>[FA1_ftkzu3fn.xlsx]Cash Flow - Standardized!R34C28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34" s="4"/>
      </tp>
      <tp>
        <v>2363</v>
        <stp/>
        <stp>##V3_BDHV12</stp>
        <stp>XOM US Equity</stp>
        <stp>CF_NET_CHNG_CASH</stp>
        <stp>FQ1 1994</stp>
        <stp>FQ1 1994</stp>
        <stp>[FA1_ftkzu3fn.xlsx]Cash Flow - Standardized!R34C19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34" s="4"/>
      </tp>
      <tp>
        <v>434</v>
        <stp/>
        <stp>##V3_BDHV12</stp>
        <stp>XOM US Equity</stp>
        <stp>NON_CASH_ITEMS_DETAILED</stp>
        <stp>FQ3 1997</stp>
        <stp>FQ3 1997</stp>
        <stp>[FA1_ftkzu3fn.xlsx]Cash Flow - Standardized!R9C33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9" s="4"/>
      </tp>
      <tp>
        <v>223</v>
        <stp/>
        <stp>##V3_BDHV12</stp>
        <stp>XOM US Equity</stp>
        <stp>NON_CASH_ITEMS_DETAILED</stp>
        <stp>FQ2 1997</stp>
        <stp>FQ2 1997</stp>
        <stp>[FA1_ftkzu3fn.xlsx]Cash Flow - Standardized!R9C32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9" s="4"/>
      </tp>
      <tp>
        <v>1101</v>
        <stp/>
        <stp>##V3_BDHV12</stp>
        <stp>XOM US Equity</stp>
        <stp>NON_CASH_ITEMS_DETAILED</stp>
        <stp>FQ1 1997</stp>
        <stp>FQ1 1997</stp>
        <stp>[FA1_ftkzu3fn.xlsx]Cash Flow - Standardized!R9C31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9" s="4"/>
      </tp>
      <tp>
        <v>-45</v>
        <stp/>
        <stp>##V3_BDHV12</stp>
        <stp>XOM US Equity</stp>
        <stp>NON_CASH_ITEMS_DETAILED</stp>
        <stp>FQ4 1997</stp>
        <stp>FQ4 1997</stp>
        <stp>[FA1_ftkzu3fn.xlsx]Cash Flow - Standardized!R9C34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9" s="4"/>
      </tp>
      <tp t="s">
        <v>—</v>
        <stp/>
        <stp>##V3_BDHV12</stp>
        <stp>XOM US Equity</stp>
        <stp>CF_NET_CHNG_CASH</stp>
        <stp>FQ2 1995</stp>
        <stp>FQ2 1995</stp>
        <stp>[FA1_ftkzu3fn.xlsx]Cash Flow - Standardized!R34C24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34" s="4"/>
      </tp>
      <tp t="s">
        <v>—</v>
        <stp/>
        <stp>##V3_BDHV12</stp>
        <stp>XOM US Equity</stp>
        <stp>CF_NET_CHNG_CASH</stp>
        <stp>FQ1 1992</stp>
        <stp>FQ1 1992</stp>
        <stp>[FA1_ftkzu3fn.xlsx]Cash Flow - Standardized!R34C11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34" s="4"/>
      </tp>
      <tp>
        <v>8976</v>
        <stp/>
        <stp>##V3_BDHV12</stp>
        <stp>XOM US Equity</stp>
        <stp>OTHER_NONCURRENT_ASSETS_DETAILED</stp>
        <stp>FQ3 1996</stp>
        <stp>FQ3 1996</stp>
        <stp>[FA1_ftkzu3fn.xlsx]Bal Sheet - Standardized!R22C29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22" s="3"/>
      </tp>
      <tp t="s">
        <v>—</v>
        <stp/>
        <stp>##V3_BDHV12</stp>
        <stp>XOM US Equity</stp>
        <stp>OTHER_NONCURRENT_ASSETS_DETAILED</stp>
        <stp>FQ2 1998</stp>
        <stp>FQ2 1998</stp>
        <stp>[FA1_ftkzu3fn.xlsx]Bal Sheet - Standardized!R22C36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22" s="3"/>
      </tp>
      <tp>
        <v>61</v>
        <stp/>
        <stp>##V3_BDHV12</stp>
        <stp>XOM US Equity</stp>
        <stp>CF_NET_CHNG_CASH</stp>
        <stp>FQ3 1997</stp>
        <stp>FQ3 1997</stp>
        <stp>[FA1_ftkzu3fn.xlsx]Cash Flow - Standardized!R34C33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34" s="4"/>
      </tp>
      <tp t="s">
        <v>—</v>
        <stp/>
        <stp>##V3_BDHV12</stp>
        <stp>XOM US Equity</stp>
        <stp>CF_NET_CHNG_CASH</stp>
        <stp>FQ1 1993</stp>
        <stp>FQ1 1993</stp>
        <stp>[FA1_ftkzu3fn.xlsx]Cash Flow - Standardized!R34C15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34" s="4"/>
      </tp>
      <tp>
        <v>2055</v>
        <stp/>
        <stp>##V3_BDHV12</stp>
        <stp>XOM US Equity</stp>
        <stp>CF_NET_CHNG_CASH</stp>
        <stp>FQ2 1994</stp>
        <stp>FQ2 1994</stp>
        <stp>[FA1_ftkzu3fn.xlsx]Cash Flow - Standardized!R34C20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34" s="4"/>
      </tp>
      <tp>
        <v>13573</v>
        <stp/>
        <stp>##V3_BDHV12</stp>
        <stp>XOM US Equity</stp>
        <stp>ACCT_PAYABLE_&amp;_ACCRUALS_DETAILED</stp>
        <stp>FQ1 1998</stp>
        <stp>FQ1 1998</stp>
        <stp>[FA1_ftkzu3fn.xlsx]Bal Sheet - Standardized!R27C35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27" s="3"/>
      </tp>
      <tp>
        <v>12630</v>
        <stp/>
        <stp>##V3_BDHV12</stp>
        <stp>XOM US Equity</stp>
        <stp>ACCT_PAYABLE_&amp;_ACCRUALS_DETAILED</stp>
        <stp>FQ3 1993</stp>
        <stp>FQ3 1993</stp>
        <stp>[FA1_ftkzu3fn.xlsx]Bal Sheet - Standardized!R27C17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27" s="3"/>
      </tp>
      <tp>
        <v>13860</v>
        <stp/>
        <stp>##V3_BDHV12</stp>
        <stp>XOM US Equity</stp>
        <stp>ACCT_PAYABLE_&amp;_ACCRUALS_DETAILED</stp>
        <stp>FQ1 1997</stp>
        <stp>FQ1 1997</stp>
        <stp>[FA1_ftkzu3fn.xlsx]Bal Sheet - Standardized!R27C31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27" s="3"/>
      </tp>
      <tp>
        <v>14132</v>
        <stp/>
        <stp>##V3_BDHV12</stp>
        <stp>XOM US Equity</stp>
        <stp>ACCT_PAYABLE_&amp;_ACCRUALS_DETAILED</stp>
        <stp>FQ3 1992</stp>
        <stp>FQ3 1992</stp>
        <stp>[FA1_ftkzu3fn.xlsx]Bal Sheet - Standardized!R27C13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27" s="3"/>
      </tp>
      <tp>
        <v>22757</v>
        <stp/>
        <stp>##V3_BDHV12</stp>
        <stp>XOM US Equity</stp>
        <stp>OTHER_NONCUR_LIABS_SUB_DETAILED</stp>
        <stp>FQ1 1991</stp>
        <stp>FQ1 1991</stp>
        <stp>[FA1_ftkzu3fn.xlsx]Bal Sheet - Standardized!R34C7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34" s="3"/>
      </tp>
      <tp>
        <v>22330</v>
        <stp/>
        <stp>##V3_BDHV12</stp>
        <stp>XOM US Equity</stp>
        <stp>OTHER_NONCUR_LIABS_SUB_DETAILED</stp>
        <stp>FQ2 1990</stp>
        <stp>FQ2 1990</stp>
        <stp>[FA1_ftkzu3fn.xlsx]Bal Sheet - Standardized!R34C4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34" s="3"/>
      </tp>
      <tp>
        <v>22777</v>
        <stp/>
        <stp>##V3_BDHV12</stp>
        <stp>XOM US Equity</stp>
        <stp>OTHER_NONCUR_LIABS_SUB_DETAILED</stp>
        <stp>FQ3 1990</stp>
        <stp>FQ3 1990</stp>
        <stp>[FA1_ftkzu3fn.xlsx]Bal Sheet - Standardized!R34C5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34" s="3"/>
      </tp>
      <tp>
        <v>4893.5834999999997</v>
        <stp/>
        <stp>##V3_BDHV12</stp>
        <stp>XOM US Equity</stp>
        <stp>BS_SH_OUT</stp>
        <stp>FQ1 1998</stp>
        <stp>FQ1 1998</stp>
        <stp>[FA1_ftkzu3fn.xlsx]Per Share!R6C35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6" s="5"/>
      </tp>
      <tp>
        <v>4876.8140000000003</v>
        <stp/>
        <stp>##V3_BDHV12</stp>
        <stp>XOM US Equity</stp>
        <stp>BS_SH_OUT</stp>
        <stp>FQ2 1998</stp>
        <stp>FQ2 1998</stp>
        <stp>[FA1_ftkzu3fn.xlsx]Per Share!R6C36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6" s="5"/>
      </tp>
      <tp>
        <v>21813</v>
        <stp/>
        <stp>##V3_BDHV12</stp>
        <stp>XOM US Equity</stp>
        <stp>OTHER_NONCUR_LIABS_SUB_DETAILED</stp>
        <stp>FQ1 1990</stp>
        <stp>FQ1 1990</stp>
        <stp>[FA1_ftkzu3fn.xlsx]Bal Sheet - Standardized!R34C3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34" s="3"/>
      </tp>
      <tp>
        <v>19990</v>
        <stp/>
        <stp>##V3_BDHV12</stp>
        <stp>XOM US Equity</stp>
        <stp>OTHER_NONCUR_LIABS_SUB_DETAILED</stp>
        <stp>FQ4 1990</stp>
        <stp>FQ4 1990</stp>
        <stp>[FA1_ftkzu3fn.xlsx]Bal Sheet - Standardized!R34C6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34" s="3"/>
      </tp>
      <tp>
        <v>8.0234000000000005</v>
        <stp/>
        <stp>##V3_BDHV12</stp>
        <stp>XOM US Equity</stp>
        <stp>OPER_MARGIN</stp>
        <stp>FQ2 1990</stp>
        <stp>FQ2 1990</stp>
        <stp>[FA1_ftkzu3fn.xlsx]Income - Adjusted!R43C4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D43" s="2"/>
      </tp>
      <tp>
        <v>7.5251000000000001</v>
        <stp/>
        <stp>##V3_BDHV12</stp>
        <stp>XOM US Equity</stp>
        <stp>OPER_MARGIN</stp>
        <stp>FQ3 1990</stp>
        <stp>FQ3 1990</stp>
        <stp>[FA1_ftkzu3fn.xlsx]Income - Adjusted!R43C5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E43" s="2"/>
      </tp>
      <tp>
        <v>9.6241000000000003</v>
        <stp/>
        <stp>##V3_BDHV12</stp>
        <stp>XOM US Equity</stp>
        <stp>OPER_MARGIN</stp>
        <stp>FQ1 1990</stp>
        <stp>FQ1 1990</stp>
        <stp>[FA1_ftkzu3fn.xlsx]Income - Adjusted!R43C3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C43" s="2"/>
      </tp>
      <tp>
        <v>16.229099999999999</v>
        <stp/>
        <stp>##V3_BDHV12</stp>
        <stp>XOM US Equity</stp>
        <stp>OPER_MARGIN</stp>
        <stp>FQ4 1990</stp>
        <stp>FQ4 1990</stp>
        <stp>[FA1_ftkzu3fn.xlsx]Income - Adjusted!R43C6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F43" s="2"/>
      </tp>
      <tp>
        <v>4968</v>
        <stp/>
        <stp>##V3_BDHV12</stp>
        <stp>XOM US Equity</stp>
        <stp>BS_SH_OUT</stp>
        <stp>FQ1 1994</stp>
        <stp>FQ1 1994</stp>
        <stp>[FA1_ftkzu3fn.xlsx]Per Share!R6C19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6" s="5"/>
      </tp>
      <tp>
        <v>4967.1239999999998</v>
        <stp/>
        <stp>##V3_BDHV12</stp>
        <stp>XOM US Equity</stp>
        <stp>BS_SH_OUT</stp>
        <stp>FQ3 1996</stp>
        <stp>FQ3 1996</stp>
        <stp>[FA1_ftkzu3fn.xlsx]Per Share!R6C29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6" s="5"/>
      </tp>
      <tp>
        <v>4967.3999000000003</v>
        <stp/>
        <stp>##V3_BDHV12</stp>
        <stp>XOM US Equity</stp>
        <stp>BS_SH_OUT</stp>
        <stp>FQ2 1996</stp>
        <stp>FQ2 1996</stp>
        <stp>[FA1_ftkzu3fn.xlsx]Per Share!R6C28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6" s="5"/>
      </tp>
      <tp>
        <v>23044</v>
        <stp/>
        <stp>##V3_BDHV12</stp>
        <stp>XOM US Equity</stp>
        <stp>OTHER_NONCUR_LIABS_SUB_DETAILED</stp>
        <stp>FQ3 1991</stp>
        <stp>FQ3 1991</stp>
        <stp>[FA1_ftkzu3fn.xlsx]Bal Sheet - Standardized!R34C9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34" s="3"/>
      </tp>
      <tp>
        <v>22508</v>
        <stp/>
        <stp>##V3_BDHV12</stp>
        <stp>XOM US Equity</stp>
        <stp>OTHER_NONCUR_LIABS_SUB_DETAILED</stp>
        <stp>FQ2 1991</stp>
        <stp>FQ2 1991</stp>
        <stp>[FA1_ftkzu3fn.xlsx]Bal Sheet - Standardized!R34C8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34" s="3"/>
      </tp>
      <tp>
        <v>3654</v>
        <stp/>
        <stp>##V3_BDHV12</stp>
        <stp>XOM US Equity</stp>
        <stp>OTHER_CURRENT_ASSETS_DETAILED</stp>
        <stp>FQ4 1997</stp>
        <stp>FQ4 1997</stp>
        <stp>[FA1_ftkzu3fn.xlsx]Bal Sheet - Standardized!R15C34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15" s="3"/>
      </tp>
      <tp>
        <v>3663</v>
        <stp/>
        <stp>##V3_BDHV12</stp>
        <stp>XOM US Equity</stp>
        <stp>OTHER_CURRENT_ASSETS_DETAILED</stp>
        <stp>FQ4 1996</stp>
        <stp>FQ4 1996</stp>
        <stp>[FA1_ftkzu3fn.xlsx]Bal Sheet - Standardized!R15C30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15" s="3"/>
      </tp>
      <tp>
        <v>6723</v>
        <stp/>
        <stp>##V3_BDHV12</stp>
        <stp>XOM US Equity</stp>
        <stp>EBITDA</stp>
        <stp>FQ4 1993</stp>
        <stp>FQ4 1993</stp>
        <stp>[FA1_ftkzu3fn.xlsx]Income - Adjusted!R39C18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R39" s="2"/>
      </tp>
      <tp>
        <v>51977</v>
        <stp/>
        <stp>##V3_BDHV12</stp>
        <stp>XOM US Equity</stp>
        <stp>BS_TOT_LIAB2</stp>
        <stp>FQ1 1997</stp>
        <stp>FQ1 1997</stp>
        <stp>[FA1_ftkzu3fn.xlsx]Bal Sheet - Standardized!R37C31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37" s="3"/>
      </tp>
      <tp>
        <v>50339</v>
        <stp/>
        <stp>##V3_BDHV12</stp>
        <stp>XOM US Equity</stp>
        <stp>BS_TOT_LIAB2</stp>
        <stp>FQ3 1993</stp>
        <stp>FQ3 1993</stp>
        <stp>[FA1_ftkzu3fn.xlsx]Bal Sheet - Standardized!R37C17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37" s="3"/>
      </tp>
      <tp>
        <v>52203</v>
        <stp/>
        <stp>##V3_BDHV12</stp>
        <stp>XOM US Equity</stp>
        <stp>BS_TOT_LIAB2</stp>
        <stp>FQ3 1992</stp>
        <stp>FQ3 1992</stp>
        <stp>[FA1_ftkzu3fn.xlsx]Bal Sheet - Standardized!R37C13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37" s="3"/>
      </tp>
      <tp>
        <v>51208</v>
        <stp/>
        <stp>##V3_BDHV12</stp>
        <stp>XOM US Equity</stp>
        <stp>BS_TOT_LIAB2</stp>
        <stp>FQ1 1998</stp>
        <stp>FQ1 1998</stp>
        <stp>[FA1_ftkzu3fn.xlsx]Bal Sheet - Standardized!R37C35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37" s="3"/>
      </tp>
      <tp>
        <v>4968</v>
        <stp/>
        <stp>##V3_BDHV12</stp>
        <stp>XOM US Equity</stp>
        <stp>EQY_SH_OUT</stp>
        <stp>FQ4 1993</stp>
        <stp>FQ4 1993</stp>
        <stp>[FA1_ftkzu3fn.xlsx]Stock Value!R13C18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13" s="6"/>
      </tp>
      <tp>
        <v>8386</v>
        <stp/>
        <stp>##V3_BDHV12</stp>
        <stp>XOM US Equity</stp>
        <stp>OTHER_NONCURRENT_ASSETS_DETAILED</stp>
        <stp>FQ1 1997</stp>
        <stp>FQ1 1997</stp>
        <stp>[FA1_ftkzu3fn.xlsx]Bal Sheet - Standardized!R22C31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22" s="3"/>
      </tp>
      <tp>
        <v>7037</v>
        <stp/>
        <stp>##V3_BDHV12</stp>
        <stp>XOM US Equity</stp>
        <stp>OTHER_NONCURRENT_ASSETS_DETAILED</stp>
        <stp>FQ3 1993</stp>
        <stp>FQ3 1993</stp>
        <stp>[FA1_ftkzu3fn.xlsx]Bal Sheet - Standardized!R22C17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22" s="3"/>
      </tp>
      <tp>
        <v>6547</v>
        <stp/>
        <stp>##V3_BDHV12</stp>
        <stp>XOM US Equity</stp>
        <stp>OTHER_NONCURRENT_ASSETS_DETAILED</stp>
        <stp>FQ3 1992</stp>
        <stp>FQ3 1992</stp>
        <stp>[FA1_ftkzu3fn.xlsx]Bal Sheet - Standardized!R22C13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22" s="3"/>
      </tp>
      <tp t="s">
        <v>—</v>
        <stp/>
        <stp>##V3_BDHV12</stp>
        <stp>XOM US Equity</stp>
        <stp>CF_NET_CHNG_CASH</stp>
        <stp>FQ2 1992</stp>
        <stp>FQ2 1992</stp>
        <stp>[FA1_ftkzu3fn.xlsx]Cash Flow - Standardized!R34C12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34" s="4"/>
      </tp>
      <tp>
        <v>2664</v>
        <stp/>
        <stp>##V3_BDHV12</stp>
        <stp>XOM US Equity</stp>
        <stp>CF_NET_CHNG_CASH</stp>
        <stp>FQ1 1996</stp>
        <stp>FQ1 1996</stp>
        <stp>[FA1_ftkzu3fn.xlsx]Cash Flow - Standardized!R34C27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34" s="4"/>
      </tp>
      <tp>
        <v>8186</v>
        <stp/>
        <stp>##V3_BDHV12</stp>
        <stp>XOM US Equity</stp>
        <stp>OTHER_NONCURRENT_ASSETS_DETAILED</stp>
        <stp>FQ1 1998</stp>
        <stp>FQ1 1998</stp>
        <stp>[FA1_ftkzu3fn.xlsx]Bal Sheet - Standardized!R22C35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22" s="3"/>
      </tp>
      <tp t="s">
        <v>—</v>
        <stp/>
        <stp>##V3_BDHV12</stp>
        <stp>XOM US Equity</stp>
        <stp>CF_NET_CHNG_CASH</stp>
        <stp>FQ1 1995</stp>
        <stp>FQ1 1995</stp>
        <stp>[FA1_ftkzu3fn.xlsx]Cash Flow - Standardized!R34C23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34" s="4"/>
      </tp>
      <tp t="s">
        <v>—</v>
        <stp/>
        <stp>##V3_BDHV12</stp>
        <stp>XOM US Equity</stp>
        <stp>CF_NET_CHNG_CASH</stp>
        <stp>FQ2 1993</stp>
        <stp>FQ2 1993</stp>
        <stp>[FA1_ftkzu3fn.xlsx]Cash Flow - Standardized!R34C16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34" s="4"/>
      </tp>
      <tp>
        <v>14273</v>
        <stp/>
        <stp>##V3_BDHV12</stp>
        <stp>XOM US Equity</stp>
        <stp>ACCT_PAYABLE_&amp;_ACCRUALS_DETAILED</stp>
        <stp>FQ3 1996</stp>
        <stp>FQ3 1996</stp>
        <stp>[FA1_ftkzu3fn.xlsx]Bal Sheet - Standardized!R27C29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27" s="3"/>
      </tp>
      <tp>
        <v>13280</v>
        <stp/>
        <stp>##V3_BDHV12</stp>
        <stp>XOM US Equity</stp>
        <stp>ACCT_PAYABLE_&amp;_ACCRUALS_DETAILED</stp>
        <stp>FQ2 1998</stp>
        <stp>FQ2 1998</stp>
        <stp>[FA1_ftkzu3fn.xlsx]Bal Sheet - Standardized!R27C36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27" s="3"/>
      </tp>
      <tp t="s">
        <v>—</v>
        <stp/>
        <stp>##V3_BDHV12</stp>
        <stp>XOM US Equity</stp>
        <stp>DISP_FXD_&amp;_INTANGIBLES_DETAILED</stp>
        <stp>FQ2 1991</stp>
        <stp>FQ2 1991</stp>
        <stp>[FA1_ftkzu3fn.xlsx]Cash Flow - Standardized!R17C8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7" s="4"/>
      </tp>
      <tp t="s">
        <v>—</v>
        <stp/>
        <stp>##V3_BDHV12</stp>
        <stp>XOM US Equity</stp>
        <stp>DISP_FXD_&amp;_INTANGIBLES_DETAILED</stp>
        <stp>FQ3 1991</stp>
        <stp>FQ3 1991</stp>
        <stp>[FA1_ftkzu3fn.xlsx]Cash Flow - Standardized!R17C9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7" s="4"/>
      </tp>
      <tp>
        <v>12832</v>
        <stp/>
        <stp>##V3_BDHV12</stp>
        <stp>XOM US Equity</stp>
        <stp>ACCT_PAYABLE_&amp;_ACCRUALS_DETAILED</stp>
        <stp>FQ3 1994</stp>
        <stp>FQ3 1994</stp>
        <stp>[FA1_ftkzu3fn.xlsx]Bal Sheet - Standardized!R27C21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27" s="3"/>
      </tp>
      <tp>
        <v>13691</v>
        <stp/>
        <stp>##V3_BDHV12</stp>
        <stp>XOM US Equity</stp>
        <stp>ACCT_PAYABLE_&amp;_ACCRUALS_DETAILED</stp>
        <stp>FQ2 1997</stp>
        <stp>FQ2 1997</stp>
        <stp>[FA1_ftkzu3fn.xlsx]Bal Sheet - Standardized!R27C32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27" s="3"/>
      </tp>
      <tp t="s">
        <v>—</v>
        <stp/>
        <stp>##V3_BDHV12</stp>
        <stp>XOM US Equity</stp>
        <stp>DISP_FXD_&amp;_INTANGIBLES_DETAILED</stp>
        <stp>FQ1 1990</stp>
        <stp>FQ1 1990</stp>
        <stp>[FA1_ftkzu3fn.xlsx]Cash Flow - Standardized!R17C3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7" s="4"/>
      </tp>
      <tp t="s">
        <v>—</v>
        <stp/>
        <stp>##V3_BDHV12</stp>
        <stp>XOM US Equity</stp>
        <stp>DISP_FXD_&amp;_INTANGIBLES_DETAILED</stp>
        <stp>FQ4 1990</stp>
        <stp>FQ4 1990</stp>
        <stp>[FA1_ftkzu3fn.xlsx]Cash Flow - Standardized!R17C6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7" s="4"/>
      </tp>
      <tp>
        <v>13556</v>
        <stp/>
        <stp>##V3_BDHV12</stp>
        <stp>XOM US Equity</stp>
        <stp>ACCT_PAYABLE_&amp;_ACCRUALS_DETAILED</stp>
        <stp>FQ3 1995</stp>
        <stp>FQ3 1995</stp>
        <stp>[FA1_ftkzu3fn.xlsx]Bal Sheet - Standardized!R27C25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27" s="3"/>
      </tp>
      <tp t="s">
        <v>—</v>
        <stp/>
        <stp>##V3_BDHV12</stp>
        <stp>XOM US Equity</stp>
        <stp>DISP_FXD_&amp;_INTANGIBLES_DETAILED</stp>
        <stp>FQ1 1991</stp>
        <stp>FQ1 1991</stp>
        <stp>[FA1_ftkzu3fn.xlsx]Cash Flow - Standardized!R17C7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7" s="4"/>
      </tp>
      <tp t="s">
        <v>—</v>
        <stp/>
        <stp>##V3_BDHV12</stp>
        <stp>XOM US Equity</stp>
        <stp>DISP_FXD_&amp;_INTANGIBLES_DETAILED</stp>
        <stp>FQ3 1990</stp>
        <stp>FQ3 1990</stp>
        <stp>[FA1_ftkzu3fn.xlsx]Cash Flow - Standardized!R17C5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7" s="4"/>
      </tp>
      <tp t="s">
        <v>—</v>
        <stp/>
        <stp>##V3_BDHV12</stp>
        <stp>XOM US Equity</stp>
        <stp>DISP_FXD_&amp;_INTANGIBLES_DETAILED</stp>
        <stp>FQ2 1990</stp>
        <stp>FQ2 1990</stp>
        <stp>[FA1_ftkzu3fn.xlsx]Cash Flow - Standardized!R17C4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7" s="4"/>
      </tp>
      <tp>
        <v>4968</v>
        <stp/>
        <stp>##V3_BDHV12</stp>
        <stp>XOM US Equity</stp>
        <stp>BS_SH_OUT</stp>
        <stp>FQ4 1993</stp>
        <stp>FQ4 1993</stp>
        <stp>[FA1_ftkzu3fn.xlsx]Per Share!R6C18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6" s="5"/>
      </tp>
      <tp>
        <v>1684</v>
        <stp/>
        <stp>##V3_BDHV12</stp>
        <stp>XOM US Equity</stp>
        <stp>PRETAX_INC</stp>
        <stp>FQ4 1991</stp>
        <stp>FQ4 1991</stp>
        <stp>[FA1_ftkzu3fn.xlsx]Income - Adjusted!R14C10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J14" s="2"/>
      </tp>
      <tp>
        <v>2980</v>
        <stp/>
        <stp>##V3_BDHV12</stp>
        <stp>XOM US Equity</stp>
        <stp>PRETAX_INC</stp>
        <stp>FQ1 1996</stp>
        <stp>FQ1 1996</stp>
        <stp>[FA1_ftkzu3fn.xlsx]Income - Adjusted!R14C27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A14" s="2"/>
      </tp>
      <tp>
        <v>2034</v>
        <stp/>
        <stp>##V3_BDHV12</stp>
        <stp>XOM US Equity</stp>
        <stp>PRETAX_INC</stp>
        <stp>FQ3 1992</stp>
        <stp>FQ3 1992</stp>
        <stp>[FA1_ftkzu3fn.xlsx]Income - Adjusted!R14C13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M14" s="2"/>
      </tp>
      <tp>
        <v>2760</v>
        <stp/>
        <stp>##V3_BDHV12</stp>
        <stp>XOM US Equity</stp>
        <stp>PRETAX_INC</stp>
        <stp>FQ2 1995</stp>
        <stp>FQ2 1995</stp>
        <stp>[FA1_ftkzu3fn.xlsx]Income - Adjusted!R14C24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X14" s="2"/>
      </tp>
      <tp>
        <v>51274</v>
        <stp/>
        <stp>##V3_BDHV12</stp>
        <stp>XOM US Equity</stp>
        <stp>BS_TOT_LIAB2</stp>
        <stp>FQ3 1994</stp>
        <stp>FQ3 1994</stp>
        <stp>[FA1_ftkzu3fn.xlsx]Bal Sheet - Standardized!R37C21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37" s="3"/>
      </tp>
      <tp>
        <v>51105</v>
        <stp/>
        <stp>##V3_BDHV12</stp>
        <stp>XOM US Equity</stp>
        <stp>BS_TOT_LIAB2</stp>
        <stp>FQ2 1997</stp>
        <stp>FQ2 1997</stp>
        <stp>[FA1_ftkzu3fn.xlsx]Bal Sheet - Standardized!R37C32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37" s="3"/>
      </tp>
      <tp>
        <v>1560</v>
        <stp/>
        <stp>##V3_BDHV12</stp>
        <stp>XOM US Equity</stp>
        <stp>NET_INCOME</stp>
        <stp>FQ3 1996</stp>
        <stp>FQ3 1996</stp>
        <stp>[FA1_ftkzu3fn.xlsx]Income - Adjusted!R20C29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C20" s="2"/>
      </tp>
      <tp>
        <v>50671</v>
        <stp/>
        <stp>##V3_BDHV12</stp>
        <stp>XOM US Equity</stp>
        <stp>BS_TOT_LIAB2</stp>
        <stp>FQ3 1995</stp>
        <stp>FQ3 1995</stp>
        <stp>[FA1_ftkzu3fn.xlsx]Bal Sheet - Standardized!R37C25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37" s="3"/>
      </tp>
      <tp>
        <v>51677</v>
        <stp/>
        <stp>##V3_BDHV12</stp>
        <stp>XOM US Equity</stp>
        <stp>BS_TOT_LIAB2</stp>
        <stp>FQ3 1996</stp>
        <stp>FQ3 1996</stp>
        <stp>[FA1_ftkzu3fn.xlsx]Bal Sheet - Standardized!R37C29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37" s="3"/>
      </tp>
      <tp>
        <v>49859</v>
        <stp/>
        <stp>##V3_BDHV12</stp>
        <stp>XOM US Equity</stp>
        <stp>BS_TOT_LIAB2</stp>
        <stp>FQ2 1998</stp>
        <stp>FQ2 1998</stp>
        <stp>[FA1_ftkzu3fn.xlsx]Bal Sheet - Standardized!R37C36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37" s="3"/>
      </tp>
      <tp>
        <v>8284</v>
        <stp/>
        <stp>##V3_BDHV12</stp>
        <stp>XOM US Equity</stp>
        <stp>OTHER_NONCURRENT_ASSETS_DETAILED</stp>
        <stp>FQ1 1995</stp>
        <stp>FQ1 1995</stp>
        <stp>[FA1_ftkzu3fn.xlsx]Bal Sheet - Standardized!R22C23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22" s="3"/>
      </tp>
      <tp>
        <v>6686</v>
        <stp/>
        <stp>##V3_BDHV12</stp>
        <stp>XOM US Equity</stp>
        <stp>OTHER_NONCURRENT_ASSETS_DETAILED</stp>
        <stp>FQ2 1993</stp>
        <stp>FQ2 1993</stp>
        <stp>[FA1_ftkzu3fn.xlsx]Bal Sheet - Standardized!R22C16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22" s="3"/>
      </tp>
      <tp>
        <v>-203</v>
        <stp/>
        <stp>##V3_BDHV12</stp>
        <stp>XOM US Equity</stp>
        <stp>NON_CASH_ITEMS_DETAILED</stp>
        <stp>FQ4 1991</stp>
        <stp>FQ4 1991</stp>
        <stp>[FA1_ftkzu3fn.xlsx]Cash Flow - Standardized!R9C10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9" s="4"/>
      </tp>
      <tp>
        <v>-299</v>
        <stp/>
        <stp>##V3_BDHV12</stp>
        <stp>XOM US Equity</stp>
        <stp>NON_CASH_ITEMS_DETAILED</stp>
        <stp>FQ3 1993</stp>
        <stp>FQ3 1993</stp>
        <stp>[FA1_ftkzu3fn.xlsx]Cash Flow - Standardized!R9C17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9" s="4"/>
      </tp>
      <tp>
        <v>340</v>
        <stp/>
        <stp>##V3_BDHV12</stp>
        <stp>XOM US Equity</stp>
        <stp>NON_CASH_ITEMS_DETAILED</stp>
        <stp>FQ2 1993</stp>
        <stp>FQ2 1993</stp>
        <stp>[FA1_ftkzu3fn.xlsx]Cash Flow - Standardized!R9C16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9" s="4"/>
      </tp>
      <tp>
        <v>-35</v>
        <stp/>
        <stp>##V3_BDHV12</stp>
        <stp>XOM US Equity</stp>
        <stp>NON_CASH_ITEMS_DETAILED</stp>
        <stp>FQ1 1993</stp>
        <stp>FQ1 1993</stp>
        <stp>[FA1_ftkzu3fn.xlsx]Cash Flow - Standardized!R9C15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9" s="4"/>
      </tp>
      <tp>
        <v>6445</v>
        <stp/>
        <stp>##V3_BDHV12</stp>
        <stp>XOM US Equity</stp>
        <stp>OTHER_NONCURRENT_ASSETS_DETAILED</stp>
        <stp>FQ2 1992</stp>
        <stp>FQ2 1992</stp>
        <stp>[FA1_ftkzu3fn.xlsx]Bal Sheet - Standardized!R22C12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22" s="3"/>
      </tp>
      <tp>
        <v>-206</v>
        <stp/>
        <stp>##V3_BDHV12</stp>
        <stp>XOM US Equity</stp>
        <stp>CF_NET_CHNG_CASH</stp>
        <stp>FQ1 1998</stp>
        <stp>FQ1 1998</stp>
        <stp>[FA1_ftkzu3fn.xlsx]Cash Flow - Standardized!R34C35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34" s="4"/>
      </tp>
      <tp>
        <v>-137</v>
        <stp/>
        <stp>##V3_BDHV12</stp>
        <stp>XOM US Equity</stp>
        <stp>NON_CASH_ITEMS_DETAILED</stp>
        <stp>FQ4 1992</stp>
        <stp>FQ4 1992</stp>
        <stp>[FA1_ftkzu3fn.xlsx]Cash Flow - Standardized!R9C14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9" s="4"/>
      </tp>
      <tp>
        <v>-62</v>
        <stp/>
        <stp>##V3_BDHV12</stp>
        <stp>XOM US Equity</stp>
        <stp>NON_CASH_ITEMS_DETAILED</stp>
        <stp>FQ2 1992</stp>
        <stp>FQ2 1992</stp>
        <stp>[FA1_ftkzu3fn.xlsx]Cash Flow - Standardized!R9C12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9" s="4"/>
      </tp>
      <tp>
        <v>257</v>
        <stp/>
        <stp>##V3_BDHV12</stp>
        <stp>XOM US Equity</stp>
        <stp>NON_CASH_ITEMS_DETAILED</stp>
        <stp>FQ3 1992</stp>
        <stp>FQ3 1992</stp>
        <stp>[FA1_ftkzu3fn.xlsx]Cash Flow - Standardized!R9C13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9" s="4"/>
      </tp>
      <tp>
        <v>-128</v>
        <stp/>
        <stp>##V3_BDHV12</stp>
        <stp>XOM US Equity</stp>
        <stp>NON_CASH_ITEMS_DETAILED</stp>
        <stp>FQ1 1992</stp>
        <stp>FQ1 1992</stp>
        <stp>[FA1_ftkzu3fn.xlsx]Cash Flow - Standardized!R9C11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9" s="4"/>
      </tp>
      <tp>
        <v>8432</v>
        <stp/>
        <stp>##V3_BDHV12</stp>
        <stp>XOM US Equity</stp>
        <stp>OTHER_NONCURRENT_ASSETS_DETAILED</stp>
        <stp>FQ1 1996</stp>
        <stp>FQ1 1996</stp>
        <stp>[FA1_ftkzu3fn.xlsx]Bal Sheet - Standardized!R22C27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22" s="3"/>
      </tp>
      <tp t="s">
        <v>—</v>
        <stp/>
        <stp>##V3_BDHV12</stp>
        <stp>XOM US Equity</stp>
        <stp>CF_NET_CHNG_CASH</stp>
        <stp>FQ3 1992</stp>
        <stp>FQ3 1992</stp>
        <stp>[FA1_ftkzu3fn.xlsx]Cash Flow - Standardized!R34C13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34" s="4"/>
      </tp>
      <tp>
        <v>309</v>
        <stp/>
        <stp>##V3_BDHV12</stp>
        <stp>XOM US Equity</stp>
        <stp>NON_CASH_ITEMS_DETAILED</stp>
        <stp>FQ4 1993</stp>
        <stp>FQ4 1993</stp>
        <stp>[FA1_ftkzu3fn.xlsx]Cash Flow - Standardized!R9C18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9" s="4"/>
      </tp>
      <tp>
        <v>2312</v>
        <stp/>
        <stp>##V3_BDHV12</stp>
        <stp>XOM US Equity</stp>
        <stp>CF_NET_CHNG_CASH</stp>
        <stp>FQ1 1997</stp>
        <stp>FQ1 1997</stp>
        <stp>[FA1_ftkzu3fn.xlsx]Cash Flow - Standardized!R34C31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34" s="4"/>
      </tp>
      <tp>
        <v>3177</v>
        <stp/>
        <stp>##V3_BDHV12</stp>
        <stp>XOM US Equity</stp>
        <stp>CF_NET_CHNG_CASH</stp>
        <stp>FQ3 1993</stp>
        <stp>FQ3 1993</stp>
        <stp>[FA1_ftkzu3fn.xlsx]Cash Flow - Standardized!R34C17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34" s="4"/>
      </tp>
      <tp>
        <v>59</v>
        <stp/>
        <stp>##V3_BDHV12</stp>
        <stp>XOM US Equity</stp>
        <stp>NON_CASH_ITEMS_DETAILED</stp>
        <stp>FQ1 1994</stp>
        <stp>FQ1 1994</stp>
        <stp>[FA1_ftkzu3fn.xlsx]Cash Flow - Standardized!R9C19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9" s="4"/>
      </tp>
      <tp>
        <v>13329</v>
        <stp/>
        <stp>##V3_BDHV12</stp>
        <stp>XOM US Equity</stp>
        <stp>ACCT_PAYABLE_&amp;_ACCRUALS_DETAILED</stp>
        <stp>FQ2 1996</stp>
        <stp>FQ2 1996</stp>
        <stp>[FA1_ftkzu3fn.xlsx]Bal Sheet - Standardized!R27C28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27" s="3"/>
      </tp>
      <tp>
        <v>12326</v>
        <stp/>
        <stp>##V3_BDHV12</stp>
        <stp>XOM US Equity</stp>
        <stp>ACCT_PAYABLE_&amp;_ACCRUALS_DETAILED</stp>
        <stp>FQ1 1994</stp>
        <stp>FQ1 1994</stp>
        <stp>[FA1_ftkzu3fn.xlsx]Bal Sheet - Standardized!R27C19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27" s="3"/>
      </tp>
      <tp>
        <v>12729</v>
        <stp/>
        <stp>##V3_BDHV12</stp>
        <stp>XOM US Equity</stp>
        <stp>ACCT_PAYABLE_&amp;_ACCRUALS_DETAILED</stp>
        <stp>FQ2 1994</stp>
        <stp>FQ2 1994</stp>
        <stp>[FA1_ftkzu3fn.xlsx]Bal Sheet - Standardized!R27C20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27" s="3"/>
      </tp>
      <tp>
        <v>12320</v>
        <stp/>
        <stp>##V3_BDHV12</stp>
        <stp>XOM US Equity</stp>
        <stp>ACCT_PAYABLE_&amp;_ACCRUALS_DETAILED</stp>
        <stp>FQ1 1993</stp>
        <stp>FQ1 1993</stp>
        <stp>[FA1_ftkzu3fn.xlsx]Bal Sheet - Standardized!R27C15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27" s="3"/>
      </tp>
      <tp>
        <v>14966</v>
        <stp/>
        <stp>##V3_BDHV12</stp>
        <stp>XOM US Equity</stp>
        <stp>ACCT_PAYABLE_&amp;_ACCRUALS_DETAILED</stp>
        <stp>FQ3 1997</stp>
        <stp>FQ3 1997</stp>
        <stp>[FA1_ftkzu3fn.xlsx]Bal Sheet - Standardized!R27C33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27" s="3"/>
      </tp>
      <tp>
        <v>12736</v>
        <stp/>
        <stp>##V3_BDHV12</stp>
        <stp>XOM US Equity</stp>
        <stp>ACCT_PAYABLE_&amp;_ACCRUALS_DETAILED</stp>
        <stp>FQ1 1992</stp>
        <stp>FQ1 1992</stp>
        <stp>[FA1_ftkzu3fn.xlsx]Bal Sheet - Standardized!R27C11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27" s="3"/>
      </tp>
      <tp>
        <v>13750</v>
        <stp/>
        <stp>##V3_BDHV12</stp>
        <stp>XOM US Equity</stp>
        <stp>ACCT_PAYABLE_&amp;_ACCRUALS_DETAILED</stp>
        <stp>FQ2 1995</stp>
        <stp>FQ2 1995</stp>
        <stp>[FA1_ftkzu3fn.xlsx]Bal Sheet - Standardized!R27C24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27" s="3"/>
      </tp>
      <tp>
        <v>2308</v>
        <stp/>
        <stp>##V3_BDHV12</stp>
        <stp>XOM US Equity</stp>
        <stp>OTHER_CURRENT_ASSETS_DETAILED</stp>
        <stp>FQ4 1993</stp>
        <stp>FQ4 1993</stp>
        <stp>[FA1_ftkzu3fn.xlsx]Bal Sheet - Standardized!R15C18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15" s="3"/>
      </tp>
      <tp>
        <v>2575</v>
        <stp/>
        <stp>##V3_BDHV12</stp>
        <stp>XOM US Equity</stp>
        <stp>PRETAX_INC</stp>
        <stp>FQ3 1995</stp>
        <stp>FQ3 1995</stp>
        <stp>[FA1_ftkzu3fn.xlsx]Income - Adjusted!R14C25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Y14" s="2"/>
      </tp>
      <tp>
        <v>1335</v>
        <stp/>
        <stp>##V3_BDHV12</stp>
        <stp>XOM US Equity</stp>
        <stp>PRETAX_INC</stp>
        <stp>FQ2 1992</stp>
        <stp>FQ2 1992</stp>
        <stp>[FA1_ftkzu3fn.xlsx]Income - Adjusted!R14C12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L14" s="2"/>
      </tp>
      <tp>
        <v>2611</v>
        <stp/>
        <stp>##V3_BDHV12</stp>
        <stp>XOM US Equity</stp>
        <stp>OTHER_CURRENT_ASSETS_DETAILED</stp>
        <stp>FQ4 1991</stp>
        <stp>FQ4 1991</stp>
        <stp>[FA1_ftkzu3fn.xlsx]Bal Sheet - Standardized!R15C10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15" s="3"/>
      </tp>
      <tp>
        <v>2710</v>
        <stp/>
        <stp>##V3_BDHV12</stp>
        <stp>XOM US Equity</stp>
        <stp>OTHER_CURRENT_ASSETS_DETAILED</stp>
        <stp>FQ4 1992</stp>
        <stp>FQ4 1992</stp>
        <stp>[FA1_ftkzu3fn.xlsx]Bal Sheet - Standardized!R15C14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15" s="3"/>
      </tp>
      <tp>
        <v>50241</v>
        <stp/>
        <stp>##V3_BDHV12</stp>
        <stp>XOM US Equity</stp>
        <stp>BS_TOT_LIAB2</stp>
        <stp>FQ2 1994</stp>
        <stp>FQ2 1994</stp>
        <stp>[FA1_ftkzu3fn.xlsx]Bal Sheet - Standardized!R37C20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37" s="3"/>
      </tp>
      <tp>
        <v>53767</v>
        <stp/>
        <stp>##V3_BDHV12</stp>
        <stp>XOM US Equity</stp>
        <stp>BS_TOT_LIAB2</stp>
        <stp>FQ3 1997</stp>
        <stp>FQ3 1997</stp>
        <stp>[FA1_ftkzu3fn.xlsx]Bal Sheet - Standardized!R37C33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37" s="3"/>
      </tp>
      <tp>
        <v>50620</v>
        <stp/>
        <stp>##V3_BDHV12</stp>
        <stp>XOM US Equity</stp>
        <stp>BS_TOT_LIAB2</stp>
        <stp>FQ1 1993</stp>
        <stp>FQ1 1993</stp>
        <stp>[FA1_ftkzu3fn.xlsx]Bal Sheet - Standardized!R37C15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37" s="3"/>
      </tp>
      <tp>
        <v>1570</v>
        <stp/>
        <stp>##V3_BDHV12</stp>
        <stp>XOM US Equity</stp>
        <stp>NET_INCOME</stp>
        <stp>FQ2 1996</stp>
        <stp>FQ2 1996</stp>
        <stp>[FA1_ftkzu3fn.xlsx]Income - Adjusted!R20C28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B20" s="2"/>
      </tp>
      <tp>
        <v>1620</v>
        <stp/>
        <stp>##V3_BDHV12</stp>
        <stp>XOM US Equity</stp>
        <stp>NET_INCOME</stp>
        <stp>FQ2 1998</stp>
        <stp>FQ2 1998</stp>
        <stp>[FA1_ftkzu3fn.xlsx]Income - Adjusted!R20C36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J20" s="2"/>
      </tp>
      <tp>
        <v>50264</v>
        <stp/>
        <stp>##V3_BDHV12</stp>
        <stp>XOM US Equity</stp>
        <stp>BS_TOT_LIAB2</stp>
        <stp>FQ1 1992</stp>
        <stp>FQ1 1992</stp>
        <stp>[FA1_ftkzu3fn.xlsx]Bal Sheet - Standardized!R37C11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37" s="3"/>
      </tp>
      <tp>
        <v>51159</v>
        <stp/>
        <stp>##V3_BDHV12</stp>
        <stp>XOM US Equity</stp>
        <stp>BS_TOT_LIAB2</stp>
        <stp>FQ2 1995</stp>
        <stp>FQ2 1995</stp>
        <stp>[FA1_ftkzu3fn.xlsx]Bal Sheet - Standardized!R37C24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37" s="3"/>
      </tp>
      <tp>
        <v>49401</v>
        <stp/>
        <stp>##V3_BDHV12</stp>
        <stp>XOM US Equity</stp>
        <stp>BS_TOT_LIAB2</stp>
        <stp>FQ1 1994</stp>
        <stp>FQ1 1994</stp>
        <stp>[FA1_ftkzu3fn.xlsx]Bal Sheet - Standardized!R37C19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37" s="3"/>
      </tp>
      <tp>
        <v>51018</v>
        <stp/>
        <stp>##V3_BDHV12</stp>
        <stp>XOM US Equity</stp>
        <stp>BS_TOT_LIAB2</stp>
        <stp>FQ2 1996</stp>
        <stp>FQ2 1996</stp>
        <stp>[FA1_ftkzu3fn.xlsx]Bal Sheet - Standardized!R37C28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37" s="3"/>
      </tp>
      <tp>
        <v>0.56279999999999997</v>
        <stp/>
        <stp>##V3_BDHV12</stp>
        <stp>XOM US Equity</stp>
        <stp>CASH_FLOW_PER_SH</stp>
        <stp>FQ3 1991</stp>
        <stp>FQ3 1991</stp>
        <stp>[FA1_ftkzu3fn.xlsx]Per Share!R22C9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22" s="5"/>
      </tp>
      <tp>
        <v>0.52100000000000002</v>
        <stp/>
        <stp>##V3_BDHV12</stp>
        <stp>XOM US Equity</stp>
        <stp>CASH_FLOW_PER_SH</stp>
        <stp>FQ2 1991</stp>
        <stp>FQ2 1991</stp>
        <stp>[FA1_ftkzu3fn.xlsx]Per Share!R22C8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22" s="5"/>
      </tp>
      <tp>
        <v>33888</v>
        <stp/>
        <stp>##V3_BDHV12</stp>
        <stp>XOM US Equity</stp>
        <stp>EQTY_BEF_MINORITY_INT_DETAILED</stp>
        <stp>FQ3 1991</stp>
        <stp>FQ3 1991</stp>
        <stp>[FA1_ftkzu3fn.xlsx]Bal Sheet - Standardized!R42C9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42" s="3"/>
      </tp>
      <tp>
        <v>32799</v>
        <stp/>
        <stp>##V3_BDHV12</stp>
        <stp>XOM US Equity</stp>
        <stp>EQTY_BEF_MINORITY_INT_DETAILED</stp>
        <stp>FQ2 1991</stp>
        <stp>FQ2 1991</stp>
        <stp>[FA1_ftkzu3fn.xlsx]Bal Sheet - Standardized!R42C8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42" s="3"/>
      </tp>
      <tp>
        <v>33037</v>
        <stp/>
        <stp>##V3_BDHV12</stp>
        <stp>XOM US Equity</stp>
        <stp>EQTY_BEF_MINORITY_INT_DETAILED</stp>
        <stp>FQ1 1991</stp>
        <stp>FQ1 1991</stp>
        <stp>[FA1_ftkzu3fn.xlsx]Bal Sheet - Standardized!R42C7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42" s="3"/>
      </tp>
      <tp>
        <v>31232</v>
        <stp/>
        <stp>##V3_BDHV12</stp>
        <stp>XOM US Equity</stp>
        <stp>EQTY_BEF_MINORITY_INT_DETAILED</stp>
        <stp>FQ2 1990</stp>
        <stp>FQ2 1990</stp>
        <stp>[FA1_ftkzu3fn.xlsx]Bal Sheet - Standardized!R42C4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42" s="3"/>
      </tp>
      <tp>
        <v>32255</v>
        <stp/>
        <stp>##V3_BDHV12</stp>
        <stp>XOM US Equity</stp>
        <stp>EQTY_BEF_MINORITY_INT_DETAILED</stp>
        <stp>FQ3 1990</stp>
        <stp>FQ3 1990</stp>
        <stp>[FA1_ftkzu3fn.xlsx]Bal Sheet - Standardized!R42C5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42" s="3"/>
      </tp>
      <tp>
        <v>33055</v>
        <stp/>
        <stp>##V3_BDHV12</stp>
        <stp>XOM US Equity</stp>
        <stp>EQTY_BEF_MINORITY_INT_DETAILED</stp>
        <stp>FQ4 1990</stp>
        <stp>FQ4 1990</stp>
        <stp>[FA1_ftkzu3fn.xlsx]Bal Sheet - Standardized!R42C6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42" s="3"/>
      </tp>
      <tp>
        <v>30539</v>
        <stp/>
        <stp>##V3_BDHV12</stp>
        <stp>XOM US Equity</stp>
        <stp>EQTY_BEF_MINORITY_INT_DETAILED</stp>
        <stp>FQ1 1990</stp>
        <stp>FQ1 1990</stp>
        <stp>[FA1_ftkzu3fn.xlsx]Bal Sheet - Standardized!R42C3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42" s="3"/>
      </tp>
      <tp>
        <v>16049</v>
        <stp/>
        <stp>##V3_BDHV12</stp>
        <stp>XOM US Equity</stp>
        <stp>IS_COGS_TO_FE_AND_PP_AND_G</stp>
        <stp>FQ4 1995</stp>
        <stp>FQ4 1995</stp>
        <stp>[FA1_ftkzu3fn.xlsx]Income - Adjusted!R7C26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Z7" s="2"/>
      </tp>
      <tp>
        <v>16618</v>
        <stp/>
        <stp>##V3_BDHV12</stp>
        <stp>XOM US Equity</stp>
        <stp>IS_COGS_TO_FE_AND_PP_AND_G</stp>
        <stp>FQ1 1995</stp>
        <stp>FQ1 1995</stp>
        <stp>[FA1_ftkzu3fn.xlsx]Income - Adjusted!R7C23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W7" s="2"/>
      </tp>
      <tp>
        <v>43357</v>
        <stp/>
        <stp>##V3_BDHV12</stp>
        <stp>XOM US Equity</stp>
        <stp>EQTY_BEF_MINORITY_INT_DETAILED</stp>
        <stp>FQ2 1998</stp>
        <stp>FQ2 1998</stp>
        <stp>[FA1_ftkzu3fn.xlsx]Bal Sheet - Standardized!R42C36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42" s="3"/>
      </tp>
      <tp>
        <v>41791</v>
        <stp/>
        <stp>##V3_BDHV12</stp>
        <stp>XOM US Equity</stp>
        <stp>EQTY_BEF_MINORITY_INT_DETAILED</stp>
        <stp>FQ3 1996</stp>
        <stp>FQ3 1996</stp>
        <stp>[FA1_ftkzu3fn.xlsx]Bal Sheet - Standardized!R42C29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42" s="3"/>
      </tp>
      <tp>
        <v>21019</v>
        <stp/>
        <stp>##V3_BDHV12</stp>
        <stp>XOM US Equity</stp>
        <stp>IS_COGS_TO_FE_AND_PP_AND_G</stp>
        <stp>FQ4 1997</stp>
        <stp>FQ4 1997</stp>
        <stp>[FA1_ftkzu3fn.xlsx]Income - Adjusted!R7C34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H7" s="2"/>
      </tp>
      <tp>
        <v>19115</v>
        <stp/>
        <stp>##V3_BDHV12</stp>
        <stp>XOM US Equity</stp>
        <stp>IS_COGS_TO_FE_AND_PP_AND_G</stp>
        <stp>FQ1 1997</stp>
        <stp>FQ1 1997</stp>
        <stp>[FA1_ftkzu3fn.xlsx]Income - Adjusted!R7C31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E7" s="2"/>
      </tp>
      <tp>
        <v>18252</v>
        <stp/>
        <stp>##V3_BDHV12</stp>
        <stp>XOM US Equity</stp>
        <stp>IS_COGS_TO_FE_AND_PP_AND_G</stp>
        <stp>FQ2 1997</stp>
        <stp>FQ2 1997</stp>
        <stp>[FA1_ftkzu3fn.xlsx]Income - Adjusted!R7C32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F7" s="2"/>
      </tp>
      <tp>
        <v>18104</v>
        <stp/>
        <stp>##V3_BDHV12</stp>
        <stp>XOM US Equity</stp>
        <stp>IS_COGS_TO_FE_AND_PP_AND_G</stp>
        <stp>FQ3 1997</stp>
        <stp>FQ3 1997</stp>
        <stp>[FA1_ftkzu3fn.xlsx]Income - Adjusted!R7C33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G7" s="2"/>
      </tp>
      <tp>
        <v>16145</v>
        <stp/>
        <stp>##V3_BDHV12</stp>
        <stp>XOM US Equity</stp>
        <stp>IS_COGS_TO_FE_AND_PP_AND_G</stp>
        <stp>FQ2 1993</stp>
        <stp>FQ2 1993</stp>
        <stp>[FA1_ftkzu3fn.xlsx]Income - Adjusted!R7C16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P7" s="2"/>
      </tp>
      <tp>
        <v>15859</v>
        <stp/>
        <stp>##V3_BDHV12</stp>
        <stp>XOM US Equity</stp>
        <stp>IS_COGS_TO_FE_AND_PP_AND_G</stp>
        <stp>FQ3 1993</stp>
        <stp>FQ3 1993</stp>
        <stp>[FA1_ftkzu3fn.xlsx]Income - Adjusted!R7C17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Q7" s="2"/>
      </tp>
      <tp>
        <v>16099</v>
        <stp/>
        <stp>##V3_BDHV12</stp>
        <stp>XOM US Equity</stp>
        <stp>IS_COGS_TO_FE_AND_PP_AND_G</stp>
        <stp>FQ1 1993</stp>
        <stp>FQ1 1993</stp>
        <stp>[FA1_ftkzu3fn.xlsx]Income - Adjusted!R7C15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O7" s="2"/>
      </tp>
      <tp>
        <v>43815</v>
        <stp/>
        <stp>##V3_BDHV12</stp>
        <stp>XOM US Equity</stp>
        <stp>EQTY_BEF_MINORITY_INT_DETAILED</stp>
        <stp>FQ2 1997</stp>
        <stp>FQ2 1997</stp>
        <stp>[FA1_ftkzu3fn.xlsx]Bal Sheet - Standardized!R42C32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42" s="3"/>
      </tp>
      <tp>
        <v>36516</v>
        <stp/>
        <stp>##V3_BDHV12</stp>
        <stp>XOM US Equity</stp>
        <stp>EQTY_BEF_MINORITY_INT_DETAILED</stp>
        <stp>FQ3 1994</stp>
        <stp>FQ3 1994</stp>
        <stp>[FA1_ftkzu3fn.xlsx]Bal Sheet - Standardized!R42C21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42" s="3"/>
      </tp>
      <tp>
        <v>40035</v>
        <stp/>
        <stp>##V3_BDHV12</stp>
        <stp>XOM US Equity</stp>
        <stp>EQTY_BEF_MINORITY_INT_DETAILED</stp>
        <stp>FQ3 1995</stp>
        <stp>FQ3 1995</stp>
        <stp>[FA1_ftkzu3fn.xlsx]Bal Sheet - Standardized!R42C25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42" s="3"/>
      </tp>
      <tp>
        <v>2371</v>
        <stp/>
        <stp>##V3_BDHV12</stp>
        <stp>XOM US Equity</stp>
        <stp>MINORITY_NONCONTROLLING_INTEREST</stp>
        <stp>FQ4 1997</stp>
        <stp>FQ4 1997</stp>
        <stp>[FA1_ftkzu3fn.xlsx]Bal Sheet - Standardized!R43C34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43" s="3"/>
      </tp>
      <tp>
        <v>1914</v>
        <stp/>
        <stp>##V3_BDHV12</stp>
        <stp>XOM US Equity</stp>
        <stp>MINORITY_NONCONTROLLING_INTEREST</stp>
        <stp>FQ4 1996</stp>
        <stp>FQ4 1996</stp>
        <stp>[FA1_ftkzu3fn.xlsx]Bal Sheet - Standardized!R43C30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43" s="3"/>
      </tp>
      <tp>
        <v>0.75739999999999996</v>
        <stp/>
        <stp>##V3_BDHV12</stp>
        <stp>XOM US Equity</stp>
        <stp>CUR_RATIO</stp>
        <stp>FQ2 1990</stp>
        <stp>FQ2 1990</stp>
        <stp>[FA1_ftkzu3fn.xlsx]Bal Sheet - Standardized!R53C4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53" s="3"/>
      </tp>
      <tp>
        <v>0.74319999999999997</v>
        <stp/>
        <stp>##V3_BDHV12</stp>
        <stp>XOM US Equity</stp>
        <stp>CUR_RATIO</stp>
        <stp>FQ3 1990</stp>
        <stp>FQ3 1990</stp>
        <stp>[FA1_ftkzu3fn.xlsx]Bal Sheet - Standardized!R53C5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53" s="3"/>
      </tp>
      <tp>
        <v>0.84250000000000003</v>
        <stp/>
        <stp>##V3_BDHV12</stp>
        <stp>XOM US Equity</stp>
        <stp>CUR_RATIO</stp>
        <stp>FQ1 1991</stp>
        <stp>FQ1 1991</stp>
        <stp>[FA1_ftkzu3fn.xlsx]Bal Sheet - Standardized!R53C7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53" s="3"/>
      </tp>
      <tp>
        <v>4984.7402000000002</v>
        <stp/>
        <stp>##V3_BDHV12</stp>
        <stp>XOM US Equity</stp>
        <stp>BS_SH_OUT</stp>
        <stp>FQ3 1990</stp>
        <stp>FQ3 1990</stp>
        <stp>[FA1_ftkzu3fn.xlsx]Bal Sheet - Standardized!R49C5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49" s="3"/>
      </tp>
      <tp>
        <v>18452</v>
        <stp/>
        <stp>##V3_BDHV12</stp>
        <stp>XOM US Equity</stp>
        <stp>BS_CUR_ASSET_REPORT</stp>
        <stp>FQ1 1995</stp>
        <stp>FQ1 1995</stp>
        <stp>[FA1_ftkzu3fn.xlsx]Bal Sheet - Standardized!R16C23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16" s="3"/>
      </tp>
      <tp>
        <v>16256</v>
        <stp/>
        <stp>##V3_BDHV12</stp>
        <stp>XOM US Equity</stp>
        <stp>BS_CUR_ASSET_REPORT</stp>
        <stp>FQ2 1993</stp>
        <stp>FQ2 1993</stp>
        <stp>[FA1_ftkzu3fn.xlsx]Bal Sheet - Standardized!R16C16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16" s="3"/>
      </tp>
      <tp>
        <v>4988.2758999999996</v>
        <stp/>
        <stp>##V3_BDHV12</stp>
        <stp>XOM US Equity</stp>
        <stp>BS_SH_OUT</stp>
        <stp>FQ2 1990</stp>
        <stp>FQ2 1990</stp>
        <stp>[FA1_ftkzu3fn.xlsx]Bal Sheet - Standardized!R49C4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49" s="3"/>
      </tp>
      <tp>
        <v>4978.9839000000002</v>
        <stp/>
        <stp>##V3_BDHV12</stp>
        <stp>XOM US Equity</stp>
        <stp>BS_SH_OUT</stp>
        <stp>FQ1 1991</stp>
        <stp>FQ1 1991</stp>
        <stp>[FA1_ftkzu3fn.xlsx]Bal Sheet - Standardized!R49C7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49" s="3"/>
      </tp>
      <tp>
        <v>16658</v>
        <stp/>
        <stp>##V3_BDHV12</stp>
        <stp>XOM US Equity</stp>
        <stp>BS_CUR_ASSET_REPORT</stp>
        <stp>FQ2 1992</stp>
        <stp>FQ2 1992</stp>
        <stp>[FA1_ftkzu3fn.xlsx]Bal Sheet - Standardized!R16C12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16" s="3"/>
      </tp>
      <tp>
        <v>18964</v>
        <stp/>
        <stp>##V3_BDHV12</stp>
        <stp>XOM US Equity</stp>
        <stp>BS_CUR_ASSET_REPORT</stp>
        <stp>FQ1 1996</stp>
        <stp>FQ1 1996</stp>
        <stp>[FA1_ftkzu3fn.xlsx]Bal Sheet - Standardized!R16C27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16" s="3"/>
      </tp>
      <tp>
        <v>0.44500000000000001</v>
        <stp/>
        <stp>##V3_BDHV12</stp>
        <stp>XOM US Equity</stp>
        <stp>IS_DIL_EPS_BEF_XO</stp>
        <stp>FQ1 1991</stp>
        <stp>FQ1 1991</stp>
        <stp>[FA1_ftkzu3fn.xlsx]Per Share!R18C7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18" s="5"/>
      </tp>
      <tp>
        <v>2619</v>
        <stp/>
        <stp>##V3_BDHV12</stp>
        <stp>XOM US Equity</stp>
        <stp>PRETAX_INC</stp>
        <stp>FQ3 1996</stp>
        <stp>FQ3 1996</stp>
        <stp>[FA1_ftkzu3fn.xlsx]Income - Adjusted!R14C29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C14" s="2"/>
      </tp>
      <tp>
        <v>4569</v>
        <stp/>
        <stp>##V3_BDHV12</stp>
        <stp>XOM US Equity</stp>
        <stp>EBITDA</stp>
        <stp>FQ1 1997</stp>
        <stp>FQ1 1997</stp>
        <stp>[FA1_ftkzu3fn.xlsx]Income - Adjusted!R39C31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E39" s="2"/>
      </tp>
      <tp>
        <v>3482</v>
        <stp/>
        <stp>##V3_BDHV12</stp>
        <stp>XOM US Equity</stp>
        <stp>EBITDA</stp>
        <stp>FQ1 1995</stp>
        <stp>FQ1 1995</stp>
        <stp>[FA1_ftkzu3fn.xlsx]Income - Adjusted!R39C23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W39" s="2"/>
      </tp>
      <tp>
        <v>2915</v>
        <stp/>
        <stp>##V3_BDHV12</stp>
        <stp>XOM US Equity</stp>
        <stp>EBITDA</stp>
        <stp>FQ1 1993</stp>
        <stp>FQ1 1993</stp>
        <stp>[FA1_ftkzu3fn.xlsx]Income - Adjusted!R39C15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O39" s="2"/>
      </tp>
      <tp>
        <v>6448</v>
        <stp/>
        <stp>##V3_BDHV12</stp>
        <stp>XOM US Equity</stp>
        <stp>EBITDA</stp>
        <stp>FQ4 1992</stp>
        <stp>FQ4 1992</stp>
        <stp>[FA1_ftkzu3fn.xlsx]Income - Adjusted!R39C14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N39" s="2"/>
      </tp>
      <tp>
        <v>9579</v>
        <stp/>
        <stp>##V3_BDHV12</stp>
        <stp>XOM US Equity</stp>
        <stp>EBITDA</stp>
        <stp>FQ4 1996</stp>
        <stp>FQ4 1996</stp>
        <stp>[FA1_ftkzu3fn.xlsx]Income - Adjusted!R39C30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D39" s="2"/>
      </tp>
      <tp>
        <v>7469</v>
        <stp/>
        <stp>##V3_BDHV12</stp>
        <stp>XOM US Equity</stp>
        <stp>EBITDA</stp>
        <stp>FQ4 1994</stp>
        <stp>FQ4 1994</stp>
        <stp>[FA1_ftkzu3fn.xlsx]Income - Adjusted!R39C22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V39" s="2"/>
      </tp>
      <tp>
        <v>15.327400000000001</v>
        <stp/>
        <stp>##V3_BDHV12</stp>
        <stp>XOM US Equity</stp>
        <stp>EBITDA_MARGIN</stp>
        <stp>FQ4 1993</stp>
        <stp>FQ4 1993</stp>
        <stp>[FA1_ftkzu3fn.xlsx]Cash Flow - Standardized!R39C18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R39" s="4"/>
      </tp>
      <tp>
        <v>11.436</v>
        <stp/>
        <stp>##V3_BDHV12</stp>
        <stp>XOM US Equity</stp>
        <stp>EBITDA_MARGIN</stp>
        <stp>FQ1 1993</stp>
        <stp>FQ1 1993</stp>
        <stp>[FA1_ftkzu3fn.xlsx]Cash Flow - Standardized!R39C15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O39" s="4"/>
      </tp>
      <tp>
        <v>11.780100000000001</v>
        <stp/>
        <stp>##V3_BDHV12</stp>
        <stp>XOM US Equity</stp>
        <stp>EBITDA_MARGIN</stp>
        <stp>FQ2 1993</stp>
        <stp>FQ2 1993</stp>
        <stp>[FA1_ftkzu3fn.xlsx]Cash Flow - Standardized!R39C16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P39" s="4"/>
      </tp>
      <tp>
        <v>11.982900000000001</v>
        <stp/>
        <stp>##V3_BDHV12</stp>
        <stp>XOM US Equity</stp>
        <stp>EBITDA_MARGIN</stp>
        <stp>FQ3 1993</stp>
        <stp>FQ3 1993</stp>
        <stp>[FA1_ftkzu3fn.xlsx]Cash Flow - Standardized!R39C17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Q39" s="4"/>
      </tp>
      <tp>
        <v>1630</v>
        <stp/>
        <stp>##V3_BDHV12</stp>
        <stp>XOM US Equity</stp>
        <stp>NET_INCOME</stp>
        <stp>FQ2 1995</stp>
        <stp>FQ2 1995</stp>
        <stp>[FA1_ftkzu3fn.xlsx]Income - Adjusted!R20C24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X20" s="2"/>
      </tp>
      <tp>
        <v>1135</v>
        <stp/>
        <stp>##V3_BDHV12</stp>
        <stp>XOM US Equity</stp>
        <stp>NET_INCOME</stp>
        <stp>FQ3 1992</stp>
        <stp>FQ3 1992</stp>
        <stp>[FA1_ftkzu3fn.xlsx]Income - Adjusted!R20C13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M20" s="2"/>
      </tp>
      <tp>
        <v>1885</v>
        <stp/>
        <stp>##V3_BDHV12</stp>
        <stp>XOM US Equity</stp>
        <stp>NET_INCOME</stp>
        <stp>FQ1 1996</stp>
        <stp>FQ1 1996</stp>
        <stp>[FA1_ftkzu3fn.xlsx]Income - Adjusted!R20C27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A20" s="2"/>
      </tp>
      <tp>
        <v>1120</v>
        <stp/>
        <stp>##V3_BDHV12</stp>
        <stp>XOM US Equity</stp>
        <stp>NET_INCOME</stp>
        <stp>FQ4 1991</stp>
        <stp>FQ4 1991</stp>
        <stp>[FA1_ftkzu3fn.xlsx]Income - Adjusted!R20C10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J20" s="2"/>
      </tp>
      <tp>
        <v>0</v>
        <stp/>
        <stp>##V3_BDHV12</stp>
        <stp>XOM US Equity</stp>
        <stp>XO_GL_NET_OF_TAX</stp>
        <stp>FQ1 1992</stp>
        <stp>FQ1 1992</stp>
        <stp>[FA1_ftkzu3fn.xlsx]Income - Adjusted!R25C11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25" s="2"/>
      </tp>
      <tp>
        <v>0</v>
        <stp/>
        <stp>##V3_BDHV12</stp>
        <stp>XOM US Equity</stp>
        <stp>XO_GL_NET_OF_TAX</stp>
        <stp>FQ1 1992</stp>
        <stp>FQ1 1992</stp>
        <stp>[FA1_ftkzu3fn.xlsx]Income - Adjusted!R17C11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17" s="2"/>
      </tp>
      <tp>
        <v>0</v>
        <stp/>
        <stp>##V3_BDHV12</stp>
        <stp>XOM US Equity</stp>
        <stp>XO_GL_NET_OF_TAX</stp>
        <stp>FQ4 1994</stp>
        <stp>FQ4 1994</stp>
        <stp>[FA1_ftkzu3fn.xlsx]Income - Adjusted!R25C22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25" s="2"/>
      </tp>
      <tp>
        <v>0</v>
        <stp/>
        <stp>##V3_BDHV12</stp>
        <stp>XOM US Equity</stp>
        <stp>XO_GL_NET_OF_TAX</stp>
        <stp>FQ4 1994</stp>
        <stp>FQ4 1994</stp>
        <stp>[FA1_ftkzu3fn.xlsx]Income - Adjusted!R17C22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17" s="2"/>
      </tp>
      <tp>
        <v>39.721499999999999</v>
        <stp/>
        <stp>##V3_BDHV12</stp>
        <stp>XOM US Equity</stp>
        <stp>GROSS_MARGIN</stp>
        <stp>FQ4 1990</stp>
        <stp>FQ4 1990</stp>
        <stp>[FA1_ftkzu3fn.xlsx]Income - Adjusted!R42C6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F42" s="2"/>
      </tp>
      <tp>
        <v>37.246200000000002</v>
        <stp/>
        <stp>##V3_BDHV12</stp>
        <stp>XOM US Equity</stp>
        <stp>GROSS_MARGIN</stp>
        <stp>FQ2 1990</stp>
        <stp>FQ2 1990</stp>
        <stp>[FA1_ftkzu3fn.xlsx]Income - Adjusted!R42C4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D42" s="2"/>
      </tp>
      <tp>
        <v>35.337000000000003</v>
        <stp/>
        <stp>##V3_BDHV12</stp>
        <stp>XOM US Equity</stp>
        <stp>GROSS_MARGIN</stp>
        <stp>FQ3 1990</stp>
        <stp>FQ3 1990</stp>
        <stp>[FA1_ftkzu3fn.xlsx]Income - Adjusted!R42C5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E42" s="2"/>
      </tp>
      <tp>
        <v>35.611600000000003</v>
        <stp/>
        <stp>##V3_BDHV12</stp>
        <stp>XOM US Equity</stp>
        <stp>GROSS_MARGIN</stp>
        <stp>FQ1 1990</stp>
        <stp>FQ1 1990</stp>
        <stp>[FA1_ftkzu3fn.xlsx]Income - Adjusted!R42C3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C42" s="2"/>
      </tp>
      <tp>
        <v>16641</v>
        <stp/>
        <stp>##V3_BDHV12</stp>
        <stp>XOM US Equity</stp>
        <stp>IS_COGS_TO_FE_AND_PP_AND_G</stp>
        <stp>FQ3 1994</stp>
        <stp>FQ3 1994</stp>
        <stp>[FA1_ftkzu3fn.xlsx]Income - Adjusted!R7C21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U7" s="2"/>
      </tp>
      <tp>
        <v>15865</v>
        <stp/>
        <stp>##V3_BDHV12</stp>
        <stp>XOM US Equity</stp>
        <stp>IS_COGS_TO_FE_AND_PP_AND_G</stp>
        <stp>FQ2 1994</stp>
        <stp>FQ2 1994</stp>
        <stp>[FA1_ftkzu3fn.xlsx]Income - Adjusted!R7C20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T7" s="2"/>
      </tp>
      <tp>
        <v>41378</v>
        <stp/>
        <stp>##V3_BDHV12</stp>
        <stp>XOM US Equity</stp>
        <stp>EQTY_BEF_MINORITY_INT_DETAILED</stp>
        <stp>FQ2 1996</stp>
        <stp>FQ2 1996</stp>
        <stp>[FA1_ftkzu3fn.xlsx]Bal Sheet - Standardized!R42C28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42" s="3"/>
      </tp>
      <tp>
        <v>35253</v>
        <stp/>
        <stp>##V3_BDHV12</stp>
        <stp>XOM US Equity</stp>
        <stp>EQTY_BEF_MINORITY_INT_DETAILED</stp>
        <stp>FQ1 1994</stp>
        <stp>FQ1 1994</stp>
        <stp>[FA1_ftkzu3fn.xlsx]Bal Sheet - Standardized!R42C19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42" s="3"/>
      </tp>
      <tp>
        <v>34115</v>
        <stp/>
        <stp>##V3_BDHV12</stp>
        <stp>XOM US Equity</stp>
        <stp>EQTY_BEF_MINORITY_INT_DETAILED</stp>
        <stp>FQ1 1993</stp>
        <stp>FQ1 1993</stp>
        <stp>[FA1_ftkzu3fn.xlsx]Bal Sheet - Standardized!R42C15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42" s="3"/>
      </tp>
      <tp>
        <v>43356</v>
        <stp/>
        <stp>##V3_BDHV12</stp>
        <stp>XOM US Equity</stp>
        <stp>EQTY_BEF_MINORITY_INT_DETAILED</stp>
        <stp>FQ3 1997</stp>
        <stp>FQ3 1997</stp>
        <stp>[FA1_ftkzu3fn.xlsx]Bal Sheet - Standardized!R42C33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42" s="3"/>
      </tp>
      <tp>
        <v>35861</v>
        <stp/>
        <stp>##V3_BDHV12</stp>
        <stp>XOM US Equity</stp>
        <stp>EQTY_BEF_MINORITY_INT_DETAILED</stp>
        <stp>FQ2 1994</stp>
        <stp>FQ2 1994</stp>
        <stp>[FA1_ftkzu3fn.xlsx]Bal Sheet - Standardized!R42C20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42" s="3"/>
      </tp>
      <tp>
        <v>39999</v>
        <stp/>
        <stp>##V3_BDHV12</stp>
        <stp>XOM US Equity</stp>
        <stp>EQTY_BEF_MINORITY_INT_DETAILED</stp>
        <stp>FQ2 1995</stp>
        <stp>FQ2 1995</stp>
        <stp>[FA1_ftkzu3fn.xlsx]Bal Sheet - Standardized!R42C24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42" s="3"/>
      </tp>
      <tp>
        <v>34243</v>
        <stp/>
        <stp>##V3_BDHV12</stp>
        <stp>XOM US Equity</stp>
        <stp>EQTY_BEF_MINORITY_INT_DETAILED</stp>
        <stp>FQ1 1992</stp>
        <stp>FQ1 1992</stp>
        <stp>[FA1_ftkzu3fn.xlsx]Bal Sheet - Standardized!R42C11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42" s="3"/>
      </tp>
      <tp>
        <v>2170</v>
        <stp/>
        <stp>##V3_BDHV12</stp>
        <stp>XOM US Equity</stp>
        <stp>MINORITY_NONCONTROLLING_INTEREST</stp>
        <stp>FQ4 1995</stp>
        <stp>FQ4 1995</stp>
        <stp>[FA1_ftkzu3fn.xlsx]Bal Sheet - Standardized!R43C26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43" s="3"/>
      </tp>
      <tp>
        <v>2168</v>
        <stp/>
        <stp>##V3_BDHV12</stp>
        <stp>XOM US Equity</stp>
        <stp>MINORITY_NONCONTROLLING_INTEREST</stp>
        <stp>FQ4 1994</stp>
        <stp>FQ4 1994</stp>
        <stp>[FA1_ftkzu3fn.xlsx]Bal Sheet - Standardized!R43C22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43" s="3"/>
      </tp>
      <tp>
        <v>4968.3041999999996</v>
        <stp/>
        <stp>##V3_BDHV12</stp>
        <stp>XOM US Equity</stp>
        <stp>BS_SH_OUT</stp>
        <stp>FQ1 1996</stp>
        <stp>FQ1 1996</stp>
        <stp>[FA1_ftkzu3fn.xlsx]Per Share!R6C27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6" s="5"/>
      </tp>
      <tp>
        <v>21768</v>
        <stp/>
        <stp>##V3_BDHV12</stp>
        <stp>XOM US Equity</stp>
        <stp>BS_CUR_ASSET_REPORT</stp>
        <stp>FQ1 1997</stp>
        <stp>FQ1 1997</stp>
        <stp>[FA1_ftkzu3fn.xlsx]Bal Sheet - Standardized!R16C31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16" s="3"/>
      </tp>
      <tp>
        <v>16228</v>
        <stp/>
        <stp>##V3_BDHV12</stp>
        <stp>XOM US Equity</stp>
        <stp>BS_CUR_ASSET_REPORT</stp>
        <stp>FQ3 1993</stp>
        <stp>FQ3 1993</stp>
        <stp>[FA1_ftkzu3fn.xlsx]Bal Sheet - Standardized!R16C17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16" s="3"/>
      </tp>
      <tp>
        <v>17136</v>
        <stp/>
        <stp>##V3_BDHV12</stp>
        <stp>XOM US Equity</stp>
        <stp>BS_CUR_ASSET_REPORT</stp>
        <stp>FQ3 1992</stp>
        <stp>FQ3 1992</stp>
        <stp>[FA1_ftkzu3fn.xlsx]Bal Sheet - Standardized!R16C13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16" s="3"/>
      </tp>
      <tp>
        <v>20041</v>
        <stp/>
        <stp>##V3_BDHV12</stp>
        <stp>XOM US Equity</stp>
        <stp>BS_CUR_ASSET_REPORT</stp>
        <stp>FQ1 1998</stp>
        <stp>FQ1 1998</stp>
        <stp>[FA1_ftkzu3fn.xlsx]Bal Sheet - Standardized!R16C35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16" s="3"/>
      </tp>
      <tp>
        <v>0.2175</v>
        <stp/>
        <stp>##V3_BDHV12</stp>
        <stp>XOM US Equity</stp>
        <stp>IS_DIL_EPS_BEF_XO</stp>
        <stp>FQ2 1990</stp>
        <stp>FQ2 1990</stp>
        <stp>[FA1_ftkzu3fn.xlsx]Per Share!R18C4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18" s="5"/>
      </tp>
      <tp>
        <v>0.21249999999999999</v>
        <stp/>
        <stp>##V3_BDHV12</stp>
        <stp>XOM US Equity</stp>
        <stp>IS_DIL_EPS_BEF_XO</stp>
        <stp>FQ3 1990</stp>
        <stp>FQ3 1990</stp>
        <stp>[FA1_ftkzu3fn.xlsx]Per Share!R18C5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18" s="5"/>
      </tp>
      <tp>
        <v>2343</v>
        <stp/>
        <stp>##V3_BDHV12</stp>
        <stp>XOM US Equity</stp>
        <stp>PRETAX_INC</stp>
        <stp>FQ2 1998</stp>
        <stp>FQ2 1998</stp>
        <stp>[FA1_ftkzu3fn.xlsx]Income - Adjusted!R14C36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J14" s="2"/>
      </tp>
      <tp>
        <v>2732</v>
        <stp/>
        <stp>##V3_BDHV12</stp>
        <stp>XOM US Equity</stp>
        <stp>PRETAX_INC</stp>
        <stp>FQ2 1996</stp>
        <stp>FQ2 1996</stp>
        <stp>[FA1_ftkzu3fn.xlsx]Income - Adjusted!R14C28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B14" s="2"/>
      </tp>
      <tp>
        <v>16.005800000000001</v>
        <stp/>
        <stp>##V3_BDHV12</stp>
        <stp>XOM US Equity</stp>
        <stp>EBITDA_MARGIN</stp>
        <stp>FQ4 1990</stp>
        <stp>FQ4 1990</stp>
        <stp>[FA1_ftkzu3fn.xlsx]Cash Flow - Standardized!R39C6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F39" s="4"/>
      </tp>
      <tp>
        <v>14.2346</v>
        <stp/>
        <stp>##V3_BDHV12</stp>
        <stp>XOM US Equity</stp>
        <stp>EBITDA_MARGIN</stp>
        <stp>FQ4 1992</stp>
        <stp>FQ4 1992</stp>
        <stp>[FA1_ftkzu3fn.xlsx]Cash Flow - Standardized!R39C14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N39" s="4"/>
      </tp>
      <tp>
        <v>11.488200000000001</v>
        <stp/>
        <stp>##V3_BDHV12</stp>
        <stp>XOM US Equity</stp>
        <stp>EBITDA_MARGIN</stp>
        <stp>FQ1 1992</stp>
        <stp>FQ1 1992</stp>
        <stp>[FA1_ftkzu3fn.xlsx]Cash Flow - Standardized!R39C11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K39" s="4"/>
      </tp>
      <tp>
        <v>11.072800000000001</v>
        <stp/>
        <stp>##V3_BDHV12</stp>
        <stp>XOM US Equity</stp>
        <stp>EBITDA_MARGIN</stp>
        <stp>FQ2 1992</stp>
        <stp>FQ2 1992</stp>
        <stp>[FA1_ftkzu3fn.xlsx]Cash Flow - Standardized!R39C12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L39" s="4"/>
      </tp>
      <tp>
        <v>11.0162</v>
        <stp/>
        <stp>##V3_BDHV12</stp>
        <stp>XOM US Equity</stp>
        <stp>EBITDA_MARGIN</stp>
        <stp>FQ3 1992</stp>
        <stp>FQ3 1992</stp>
        <stp>[FA1_ftkzu3fn.xlsx]Cash Flow - Standardized!R39C13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M39" s="4"/>
      </tp>
      <tp>
        <v>955</v>
        <stp/>
        <stp>##V3_BDHV12</stp>
        <stp>XOM US Equity</stp>
        <stp>NET_INCOME</stp>
        <stp>FQ2 1992</stp>
        <stp>FQ2 1992</stp>
        <stp>[FA1_ftkzu3fn.xlsx]Income - Adjusted!R20C12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L20" s="2"/>
      </tp>
      <tp>
        <v>1500</v>
        <stp/>
        <stp>##V3_BDHV12</stp>
        <stp>XOM US Equity</stp>
        <stp>NET_INCOME</stp>
        <stp>FQ3 1995</stp>
        <stp>FQ3 1995</stp>
        <stp>[FA1_ftkzu3fn.xlsx]Income - Adjusted!R20C25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Y20" s="2"/>
      </tp>
      <tp>
        <v>0</v>
        <stp/>
        <stp>##V3_BDHV12</stp>
        <stp>XOM US Equity</stp>
        <stp>XO_GL_NET_OF_TAX</stp>
        <stp>FQ4 1995</stp>
        <stp>FQ4 1995</stp>
        <stp>[FA1_ftkzu3fn.xlsx]Income - Adjusted!R25C26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25" s="2"/>
      </tp>
      <tp>
        <v>0</v>
        <stp/>
        <stp>##V3_BDHV12</stp>
        <stp>XOM US Equity</stp>
        <stp>XO_GL_NET_OF_TAX</stp>
        <stp>FQ4 1995</stp>
        <stp>FQ4 1995</stp>
        <stp>[FA1_ftkzu3fn.xlsx]Income - Adjusted!R17C26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17" s="2"/>
      </tp>
      <tp>
        <v>0</v>
        <stp/>
        <stp>##V3_BDHV12</stp>
        <stp>XOM US Equity</stp>
        <stp>XO_GL_NET_OF_TAX</stp>
        <stp>FQ1 1993</stp>
        <stp>FQ1 1993</stp>
        <stp>[FA1_ftkzu3fn.xlsx]Income - Adjusted!R25C15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25" s="2"/>
      </tp>
      <tp>
        <v>0</v>
        <stp/>
        <stp>##V3_BDHV12</stp>
        <stp>XOM US Equity</stp>
        <stp>XO_GL_NET_OF_TAX</stp>
        <stp>FQ1 1993</stp>
        <stp>FQ1 1993</stp>
        <stp>[FA1_ftkzu3fn.xlsx]Income - Adjusted!R17C15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17" s="2"/>
      </tp>
      <tp>
        <v>4966</v>
        <stp/>
        <stp>##V3_BDHV12</stp>
        <stp>XOM US Equity</stp>
        <stp>EQY_SH_OUT</stp>
        <stp>FQ4 1992</stp>
        <stp>FQ4 1992</stp>
        <stp>[FA1_ftkzu3fn.xlsx]Stock Value!R13C14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13" s="6"/>
      </tp>
      <tp>
        <v>4968.7</v>
        <stp/>
        <stp>##V3_BDHV12</stp>
        <stp>XOM US Equity</stp>
        <stp>EQY_SH_OUT</stp>
        <stp>FQ1 1997</stp>
        <stp>FQ1 1997</stp>
        <stp>[FA1_ftkzu3fn.xlsx]Stock Value!R13C31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13" s="6"/>
      </tp>
      <tp>
        <v>36.839700000000001</v>
        <stp/>
        <stp>##V3_BDHV12</stp>
        <stp>XOM US Equity</stp>
        <stp>GROSS_MARGIN</stp>
        <stp>FQ2 1991</stp>
        <stp>FQ2 1991</stp>
        <stp>[FA1_ftkzu3fn.xlsx]Income - Adjusted!R42C8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H42" s="2"/>
      </tp>
      <tp>
        <v>36.2117</v>
        <stp/>
        <stp>##V3_BDHV12</stp>
        <stp>XOM US Equity</stp>
        <stp>GROSS_MARGIN</stp>
        <stp>FQ3 1991</stp>
        <stp>FQ3 1991</stp>
        <stp>[FA1_ftkzu3fn.xlsx]Income - Adjusted!R42C9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I42" s="2"/>
      </tp>
      <tp>
        <v>38.381599999999999</v>
        <stp/>
        <stp>##V3_BDHV12</stp>
        <stp>XOM US Equity</stp>
        <stp>GROSS_MARGIN</stp>
        <stp>FQ1 1991</stp>
        <stp>FQ1 1991</stp>
        <stp>[FA1_ftkzu3fn.xlsx]Income - Adjusted!R42C7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G42" s="2"/>
      </tp>
      <tp>
        <v>4966.0479999999998</v>
        <stp/>
        <stp>##V3_BDHV12</stp>
        <stp>XOM US Equity</stp>
        <stp>EQY_SH_OUT</stp>
        <stp>FQ2 1997</stp>
        <stp>FQ2 1997</stp>
        <stp>[FA1_ftkzu3fn.xlsx]Stock Value!R13C32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13" s="6"/>
      </tp>
      <tp>
        <v>4948</v>
        <stp/>
        <stp>##V3_BDHV12</stp>
        <stp>XOM US Equity</stp>
        <stp>EQY_SH_OUT</stp>
        <stp>FQ3 1997</stp>
        <stp>FQ3 1997</stp>
        <stp>[FA1_ftkzu3fn.xlsx]Stock Value!R13C33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13" s="6"/>
      </tp>
      <tp>
        <v>4968</v>
        <stp/>
        <stp>##V3_BDHV12</stp>
        <stp>XOM US Equity</stp>
        <stp>EQY_SH_OUT</stp>
        <stp>FQ1 1992</stp>
        <stp>FQ1 1992</stp>
        <stp>[FA1_ftkzu3fn.xlsx]Stock Value!R13C11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13" s="6"/>
      </tp>
      <tp>
        <v>4932</v>
        <stp/>
        <stp>##V3_BDHV12</stp>
        <stp>XOM US Equity</stp>
        <stp>EQY_SH_OUT</stp>
        <stp>FQ4 1997</stp>
        <stp>FQ4 1997</stp>
        <stp>[FA1_ftkzu3fn.xlsx]Stock Value!R13C34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13" s="6"/>
      </tp>
      <tp>
        <v>4966</v>
        <stp/>
        <stp>##V3_BDHV12</stp>
        <stp>XOM US Equity</stp>
        <stp>EQY_SH_OUT</stp>
        <stp>FQ3 1992</stp>
        <stp>FQ3 1992</stp>
        <stp>[FA1_ftkzu3fn.xlsx]Stock Value!R13C13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13" s="6"/>
      </tp>
      <tp>
        <v>4965.6880000000001</v>
        <stp/>
        <stp>##V3_BDHV12</stp>
        <stp>XOM US Equity</stp>
        <stp>EQY_SH_OUT</stp>
        <stp>FQ2 1992</stp>
        <stp>FQ2 1992</stp>
        <stp>[FA1_ftkzu3fn.xlsx]Stock Value!R13C12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13" s="6"/>
      </tp>
      <tp>
        <v>17597</v>
        <stp/>
        <stp>##V3_BDHV12</stp>
        <stp>XOM US Equity</stp>
        <stp>IS_COGS_TO_FE_AND_PP_AND_G</stp>
        <stp>FQ4 1991</stp>
        <stp>FQ4 1991</stp>
        <stp>[FA1_ftkzu3fn.xlsx]Income - Adjusted!R7C10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J7" s="2"/>
      </tp>
      <tp>
        <v>34351</v>
        <stp/>
        <stp>##V3_BDHV12</stp>
        <stp>XOM US Equity</stp>
        <stp>EQTY_BEF_MINORITY_INT_DETAILED</stp>
        <stp>FQ2 1993</stp>
        <stp>FQ2 1993</stp>
        <stp>[FA1_ftkzu3fn.xlsx]Bal Sheet - Standardized!R42C16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42" s="3"/>
      </tp>
      <tp>
        <v>39182</v>
        <stp/>
        <stp>##V3_BDHV12</stp>
        <stp>XOM US Equity</stp>
        <stp>EQTY_BEF_MINORITY_INT_DETAILED</stp>
        <stp>FQ1 1995</stp>
        <stp>FQ1 1995</stp>
        <stp>[FA1_ftkzu3fn.xlsx]Bal Sheet - Standardized!R42C23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42" s="3"/>
      </tp>
      <tp>
        <v>41022</v>
        <stp/>
        <stp>##V3_BDHV12</stp>
        <stp>XOM US Equity</stp>
        <stp>EQTY_BEF_MINORITY_INT_DETAILED</stp>
        <stp>FQ1 1996</stp>
        <stp>FQ1 1996</stp>
        <stp>[FA1_ftkzu3fn.xlsx]Bal Sheet - Standardized!R42C27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42" s="3"/>
      </tp>
      <tp>
        <v>35276</v>
        <stp/>
        <stp>##V3_BDHV12</stp>
        <stp>XOM US Equity</stp>
        <stp>EQTY_BEF_MINORITY_INT_DETAILED</stp>
        <stp>FQ2 1992</stp>
        <stp>FQ2 1992</stp>
        <stp>[FA1_ftkzu3fn.xlsx]Bal Sheet - Standardized!R42C12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42" s="3"/>
      </tp>
      <tp>
        <v>2967</v>
        <stp/>
        <stp>##V3_BDHV12</stp>
        <stp>XOM US Equity</stp>
        <stp>MINORITY_NONCONTROLLING_INTEREST</stp>
        <stp>FQ4 1991</stp>
        <stp>FQ4 1991</stp>
        <stp>[FA1_ftkzu3fn.xlsx]Bal Sheet - Standardized!R43C10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43" s="3"/>
      </tp>
      <tp>
        <v>2975</v>
        <stp/>
        <stp>##V3_BDHV12</stp>
        <stp>XOM US Equity</stp>
        <stp>MINORITY_NONCONTROLLING_INTEREST</stp>
        <stp>FQ4 1992</stp>
        <stp>FQ4 1992</stp>
        <stp>[FA1_ftkzu3fn.xlsx]Bal Sheet - Standardized!R43C14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43" s="3"/>
      </tp>
      <tp>
        <v>2395</v>
        <stp/>
        <stp>##V3_BDHV12</stp>
        <stp>XOM US Equity</stp>
        <stp>MINORITY_NONCONTROLLING_INTEREST</stp>
        <stp>FQ4 1993</stp>
        <stp>FQ4 1993</stp>
        <stp>[FA1_ftkzu3fn.xlsx]Bal Sheet - Standardized!R43C18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43" s="3"/>
      </tp>
      <tp>
        <v>4966.7119000000002</v>
        <stp/>
        <stp>##V3_BDHV12</stp>
        <stp>XOM US Equity</stp>
        <stp>BS_SH_OUT</stp>
        <stp>FQ3 1995</stp>
        <stp>FQ3 1995</stp>
        <stp>[FA1_ftkzu3fn.xlsx]Per Share!R6C25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6" s="5"/>
      </tp>
      <tp>
        <v>4968</v>
        <stp/>
        <stp>##V3_BDHV12</stp>
        <stp>XOM US Equity</stp>
        <stp>BS_SH_OUT</stp>
        <stp>FQ2 1995</stp>
        <stp>FQ2 1995</stp>
        <stp>[FA1_ftkzu3fn.xlsx]Per Share!R6C24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6" s="5"/>
      </tp>
      <tp>
        <v>16450</v>
        <stp/>
        <stp>##V3_BDHV12</stp>
        <stp>XOM US Equity</stp>
        <stp>BS_CUR_ASSET_REPORT</stp>
        <stp>FQ3 1994</stp>
        <stp>FQ3 1994</stp>
        <stp>[FA1_ftkzu3fn.xlsx]Bal Sheet - Standardized!R16C21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16" s="3"/>
      </tp>
      <tp>
        <v>20794</v>
        <stp/>
        <stp>##V3_BDHV12</stp>
        <stp>XOM US Equity</stp>
        <stp>BS_CUR_ASSET_REPORT</stp>
        <stp>FQ2 1997</stp>
        <stp>FQ2 1997</stp>
        <stp>[FA1_ftkzu3fn.xlsx]Bal Sheet - Standardized!R16C32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16" s="3"/>
      </tp>
      <tp>
        <v>17498</v>
        <stp/>
        <stp>##V3_BDHV12</stp>
        <stp>XOM US Equity</stp>
        <stp>BS_CUR_ASSET_REPORT</stp>
        <stp>FQ3 1995</stp>
        <stp>FQ3 1995</stp>
        <stp>[FA1_ftkzu3fn.xlsx]Bal Sheet - Standardized!R16C25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16" s="3"/>
      </tp>
      <tp>
        <v>18578</v>
        <stp/>
        <stp>##V3_BDHV12</stp>
        <stp>XOM US Equity</stp>
        <stp>BS_CUR_ASSET_REPORT</stp>
        <stp>FQ3 1996</stp>
        <stp>FQ3 1996</stp>
        <stp>[FA1_ftkzu3fn.xlsx]Bal Sheet - Standardized!R16C29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16" s="3"/>
      </tp>
      <tp>
        <v>18280</v>
        <stp/>
        <stp>##V3_BDHV12</stp>
        <stp>XOM US Equity</stp>
        <stp>BS_CUR_ASSET_REPORT</stp>
        <stp>FQ2 1998</stp>
        <stp>FQ2 1998</stp>
        <stp>[FA1_ftkzu3fn.xlsx]Bal Sheet - Standardized!R16C36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16" s="3"/>
      </tp>
      <tp>
        <v>2839</v>
        <stp/>
        <stp>##V3_BDHV12</stp>
        <stp>XOM US Equity</stp>
        <stp>PRETAX_INC</stp>
        <stp>FQ1 1998</stp>
        <stp>FQ1 1998</stp>
        <stp>[FA1_ftkzu3fn.xlsx]Income - Adjusted!R14C35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I14" s="2"/>
      </tp>
      <tp>
        <v>1762</v>
        <stp/>
        <stp>##V3_BDHV12</stp>
        <stp>XOM US Equity</stp>
        <stp>PRETAX_INC</stp>
        <stp>FQ1 1994</stp>
        <stp>FQ1 1994</stp>
        <stp>[FA1_ftkzu3fn.xlsx]Income - Adjusted!R14C19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S14" s="2"/>
      </tp>
      <tp>
        <v>15535</v>
        <stp/>
        <stp>##V3_BDHV12</stp>
        <stp>XOM US Equity</stp>
        <stp>IS_COGS_TO_FE_AND_PP_AND_G</stp>
        <stp>FQ1 1990</stp>
        <stp>FQ1 1990</stp>
        <stp>[FA1_ftkzu3fn.xlsx]Income - Adjusted!R7C3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C7" s="2"/>
      </tp>
      <tp>
        <v>21171</v>
        <stp/>
        <stp>##V3_BDHV12</stp>
        <stp>XOM US Equity</stp>
        <stp>IS_COGS_TO_FE_AND_PP_AND_G</stp>
        <stp>FQ4 1990</stp>
        <stp>FQ4 1990</stp>
        <stp>[FA1_ftkzu3fn.xlsx]Income - Adjusted!R7C6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F7" s="2"/>
      </tp>
      <tp>
        <v>2598</v>
        <stp/>
        <stp>##V3_BDHV12</stp>
        <stp>XOM US Equity</stp>
        <stp>EBITDA</stp>
        <stp>FQ2 1994</stp>
        <stp>FQ2 1994</stp>
        <stp>[FA1_ftkzu3fn.xlsx]Income - Adjusted!R39C20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T39" s="2"/>
      </tp>
      <tp>
        <v>3962</v>
        <stp/>
        <stp>##V3_BDHV12</stp>
        <stp>XOM US Equity</stp>
        <stp>EBITDA</stp>
        <stp>FQ3 1997</stp>
        <stp>FQ3 1997</stp>
        <stp>[FA1_ftkzu3fn.xlsx]Income - Adjusted!R39C33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G39" s="2"/>
      </tp>
      <tp>
        <v>2964</v>
        <stp/>
        <stp>##V3_BDHV12</stp>
        <stp>XOM US Equity</stp>
        <stp>EBITDA</stp>
        <stp>FQ3 1993</stp>
        <stp>FQ3 1993</stp>
        <stp>[FA1_ftkzu3fn.xlsx]Income - Adjusted!R39C17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Q39" s="2"/>
      </tp>
      <tp>
        <v>15.732699999999999</v>
        <stp/>
        <stp>##V3_BDHV12</stp>
        <stp>XOM US Equity</stp>
        <stp>EBITDA_MARGIN</stp>
        <stp>FQ4 1991</stp>
        <stp>FQ4 1991</stp>
        <stp>[FA1_ftkzu3fn.xlsx]Cash Flow - Standardized!R39C10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J39" s="4"/>
      </tp>
      <tp>
        <v>1350</v>
        <stp/>
        <stp>##V3_BDHV12</stp>
        <stp>XOM US Equity</stp>
        <stp>NET_INCOME</stp>
        <stp>FQ1 1992</stp>
        <stp>FQ1 1992</stp>
        <stp>[FA1_ftkzu3fn.xlsx]Income - Adjusted!R20C11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K20" s="2"/>
      </tp>
      <tp>
        <v>1680</v>
        <stp/>
        <stp>##V3_BDHV12</stp>
        <stp>XOM US Equity</stp>
        <stp>NET_INCOME</stp>
        <stp>FQ4 1995</stp>
        <stp>FQ4 1995</stp>
        <stp>[FA1_ftkzu3fn.xlsx]Income - Adjusted!R20C26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Z20" s="2"/>
      </tp>
      <tp>
        <v>2500</v>
        <stp/>
        <stp>##V3_BDHV12</stp>
        <stp>XOM US Equity</stp>
        <stp>NET_INCOME</stp>
        <stp>FQ4 1997</stp>
        <stp>FQ4 1997</stp>
        <stp>[FA1_ftkzu3fn.xlsx]Income - Adjusted!R20C34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H20" s="2"/>
      </tp>
      <tp>
        <v>0</v>
        <stp/>
        <stp>##V3_BDHV12</stp>
        <stp>XOM US Equity</stp>
        <stp>XO_GL_NET_OF_TAX</stp>
        <stp>FQ4 1997</stp>
        <stp>FQ4 1997</stp>
        <stp>[FA1_ftkzu3fn.xlsx]Income - Adjusted!R25C34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25" s="2"/>
      </tp>
      <tp>
        <v>0</v>
        <stp/>
        <stp>##V3_BDHV12</stp>
        <stp>XOM US Equity</stp>
        <stp>XO_GL_NET_OF_TAX</stp>
        <stp>FQ3 1992</stp>
        <stp>FQ3 1992</stp>
        <stp>[FA1_ftkzu3fn.xlsx]Income - Adjusted!R17C13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17" s="2"/>
      </tp>
      <tp>
        <v>0</v>
        <stp/>
        <stp>##V3_BDHV12</stp>
        <stp>XOM US Equity</stp>
        <stp>XO_GL_NET_OF_TAX</stp>
        <stp>FQ3 1992</stp>
        <stp>FQ3 1992</stp>
        <stp>[FA1_ftkzu3fn.xlsx]Income - Adjusted!R25C13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25" s="2"/>
      </tp>
      <tp>
        <v>0</v>
        <stp/>
        <stp>##V3_BDHV12</stp>
        <stp>XOM US Equity</stp>
        <stp>XO_GL_NET_OF_TAX</stp>
        <stp>FQ4 1997</stp>
        <stp>FQ4 1997</stp>
        <stp>[FA1_ftkzu3fn.xlsx]Income - Adjusted!R17C34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17" s="2"/>
      </tp>
      <tp>
        <v>0</v>
        <stp/>
        <stp>##V3_BDHV12</stp>
        <stp>XOM US Equity</stp>
        <stp>XO_GL_NET_OF_TAX</stp>
        <stp>FQ2 1993</stp>
        <stp>FQ2 1993</stp>
        <stp>[FA1_ftkzu3fn.xlsx]Income - Adjusted!R17C16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17" s="2"/>
      </tp>
      <tp>
        <v>0</v>
        <stp/>
        <stp>##V3_BDHV12</stp>
        <stp>XOM US Equity</stp>
        <stp>XO_GL_NET_OF_TAX</stp>
        <stp>FQ2 1993</stp>
        <stp>FQ2 1993</stp>
        <stp>[FA1_ftkzu3fn.xlsx]Income - Adjusted!R25C16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25" s="2"/>
      </tp>
      <tp>
        <v>0.39319999999999999</v>
        <stp/>
        <stp>##V3_BDHV12</stp>
        <stp>XOM US Equity</stp>
        <stp>CASH_FLOW_PER_SH</stp>
        <stp>FQ3 1990</stp>
        <stp>FQ3 1990</stp>
        <stp>[FA1_ftkzu3fn.xlsx]Per Share!R22C5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22" s="5"/>
      </tp>
      <tp>
        <v>0.55110000000000003</v>
        <stp/>
        <stp>##V3_BDHV12</stp>
        <stp>XOM US Equity</stp>
        <stp>CASH_FLOW_PER_SH</stp>
        <stp>FQ2 1990</stp>
        <stp>FQ2 1990</stp>
        <stp>[FA1_ftkzu3fn.xlsx]Per Share!R22C4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22" s="5"/>
      </tp>
      <tp>
        <v>43745</v>
        <stp/>
        <stp>##V3_BDHV12</stp>
        <stp>XOM US Equity</stp>
        <stp>EQTY_BEF_MINORITY_INT_DETAILED</stp>
        <stp>FQ1 1998</stp>
        <stp>FQ1 1998</stp>
        <stp>[FA1_ftkzu3fn.xlsx]Bal Sheet - Standardized!R42C35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42" s="3"/>
      </tp>
      <tp>
        <v>34648</v>
        <stp/>
        <stp>##V3_BDHV12</stp>
        <stp>XOM US Equity</stp>
        <stp>EQTY_BEF_MINORITY_INT_DETAILED</stp>
        <stp>FQ3 1993</stp>
        <stp>FQ3 1993</stp>
        <stp>[FA1_ftkzu3fn.xlsx]Bal Sheet - Standardized!R42C17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42" s="3"/>
      </tp>
      <tp>
        <v>43670</v>
        <stp/>
        <stp>##V3_BDHV12</stp>
        <stp>XOM US Equity</stp>
        <stp>EQTY_BEF_MINORITY_INT_DETAILED</stp>
        <stp>FQ1 1997</stp>
        <stp>FQ1 1997</stp>
        <stp>[FA1_ftkzu3fn.xlsx]Bal Sheet - Standardized!R42C31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42" s="3"/>
      </tp>
      <tp>
        <v>35340</v>
        <stp/>
        <stp>##V3_BDHV12</stp>
        <stp>XOM US Equity</stp>
        <stp>EQTY_BEF_MINORITY_INT_DETAILED</stp>
        <stp>FQ3 1992</stp>
        <stp>FQ3 1992</stp>
        <stp>[FA1_ftkzu3fn.xlsx]Bal Sheet - Standardized!R42C13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42" s="3"/>
      </tp>
      <tp>
        <v>4968</v>
        <stp/>
        <stp>##V3_BDHV12</stp>
        <stp>XOM US Equity</stp>
        <stp>BS_SH_OUT</stp>
        <stp>FQ4 1994</stp>
        <stp>FQ4 1994</stp>
        <stp>[FA1_ftkzu3fn.xlsx]Per Share!R6C22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6" s="5"/>
      </tp>
      <tp>
        <v>4968.7002000000002</v>
        <stp/>
        <stp>##V3_BDHV12</stp>
        <stp>XOM US Equity</stp>
        <stp>BS_SH_OUT</stp>
        <stp>FQ4 1996</stp>
        <stp>FQ4 1996</stp>
        <stp>[FA1_ftkzu3fn.xlsx]Per Share!R6C30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6" s="5"/>
      </tp>
      <tp>
        <v>4968</v>
        <stp/>
        <stp>##V3_BDHV12</stp>
        <stp>XOM US Equity</stp>
        <stp>BS_SH_OUT</stp>
        <stp>FQ4 1992</stp>
        <stp>FQ4 1992</stp>
        <stp>[FA1_ftkzu3fn.xlsx]Per Share!R6C14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6" s="5"/>
      </tp>
      <tp>
        <v>4966</v>
        <stp/>
        <stp>##V3_BDHV12</stp>
        <stp>XOM US Equity</stp>
        <stp>BS_SH_OUT</stp>
        <stp>FQ2 1992</stp>
        <stp>FQ2 1992</stp>
        <stp>[FA1_ftkzu3fn.xlsx]Per Share!R6C12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6" s="5"/>
      </tp>
      <tp>
        <v>4966</v>
        <stp/>
        <stp>##V3_BDHV12</stp>
        <stp>XOM US Equity</stp>
        <stp>BS_SH_OUT</stp>
        <stp>FQ3 1992</stp>
        <stp>FQ3 1992</stp>
        <stp>[FA1_ftkzu3fn.xlsx]Per Share!R6C13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6" s="5"/>
      </tp>
      <tp>
        <v>4965.6880000000001</v>
        <stp/>
        <stp>##V3_BDHV12</stp>
        <stp>XOM US Equity</stp>
        <stp>BS_SH_OUT</stp>
        <stp>FQ1 1992</stp>
        <stp>FQ1 1992</stp>
        <stp>[FA1_ftkzu3fn.xlsx]Per Share!R6C11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6" s="5"/>
      </tp>
      <tp>
        <v>15986</v>
        <stp/>
        <stp>##V3_BDHV12</stp>
        <stp>XOM US Equity</stp>
        <stp>BS_CUR_ASSET_REPORT</stp>
        <stp>FQ2 1994</stp>
        <stp>FQ2 1994</stp>
        <stp>[FA1_ftkzu3fn.xlsx]Bal Sheet - Standardized!R16C20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16" s="3"/>
      </tp>
      <tp>
        <v>21686</v>
        <stp/>
        <stp>##V3_BDHV12</stp>
        <stp>XOM US Equity</stp>
        <stp>BS_CUR_ASSET_REPORT</stp>
        <stp>FQ3 1997</stp>
        <stp>FQ3 1997</stp>
        <stp>[FA1_ftkzu3fn.xlsx]Bal Sheet - Standardized!R16C33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16" s="3"/>
      </tp>
      <tp>
        <v>16178</v>
        <stp/>
        <stp>##V3_BDHV12</stp>
        <stp>XOM US Equity</stp>
        <stp>BS_CUR_ASSET_REPORT</stp>
        <stp>FQ1 1993</stp>
        <stp>FQ1 1993</stp>
        <stp>[FA1_ftkzu3fn.xlsx]Bal Sheet - Standardized!R16C15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16" s="3"/>
      </tp>
      <tp>
        <v>15670</v>
        <stp/>
        <stp>##V3_BDHV12</stp>
        <stp>XOM US Equity</stp>
        <stp>BS_CUR_ASSET_REPORT</stp>
        <stp>FQ1 1992</stp>
        <stp>FQ1 1992</stp>
        <stp>[FA1_ftkzu3fn.xlsx]Bal Sheet - Standardized!R16C11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16" s="3"/>
      </tp>
      <tp>
        <v>17986</v>
        <stp/>
        <stp>##V3_BDHV12</stp>
        <stp>XOM US Equity</stp>
        <stp>BS_CUR_ASSET_REPORT</stp>
        <stp>FQ2 1995</stp>
        <stp>FQ2 1995</stp>
        <stp>[FA1_ftkzu3fn.xlsx]Bal Sheet - Standardized!R16C24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16" s="3"/>
      </tp>
      <tp>
        <v>18401</v>
        <stp/>
        <stp>##V3_BDHV12</stp>
        <stp>XOM US Equity</stp>
        <stp>BS_CUR_ASSET_REPORT</stp>
        <stp>FQ2 1996</stp>
        <stp>FQ2 1996</stp>
        <stp>[FA1_ftkzu3fn.xlsx]Bal Sheet - Standardized!R16C28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16" s="3"/>
      </tp>
      <tp>
        <v>15488</v>
        <stp/>
        <stp>##V3_BDHV12</stp>
        <stp>XOM US Equity</stp>
        <stp>BS_CUR_ASSET_REPORT</stp>
        <stp>FQ1 1994</stp>
        <stp>FQ1 1994</stp>
        <stp>[FA1_ftkzu3fn.xlsx]Bal Sheet - Standardized!R16C19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16" s="3"/>
      </tp>
      <tp t="s">
        <v>—</v>
        <stp/>
        <stp>##V3_BDHV12</stp>
        <stp>XOM US Equity</stp>
        <stp>NET_CHG_IN_LT_INVEST_DETAILED</stp>
        <stp>FQ1 1991</stp>
        <stp>FQ1 1991</stp>
        <stp>[FA1_ftkzu3fn.xlsx]Cash Flow - Standardized!R19C7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9" s="4"/>
      </tp>
      <tp t="s">
        <v>—</v>
        <stp/>
        <stp>##V3_BDHV12</stp>
        <stp>XOM US Equity</stp>
        <stp>NET_CHG_IN_LT_INVEST_DETAILED</stp>
        <stp>FQ3 1990</stp>
        <stp>FQ3 1990</stp>
        <stp>[FA1_ftkzu3fn.xlsx]Cash Flow - Standardized!R19C5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9" s="4"/>
      </tp>
      <tp t="s">
        <v>—</v>
        <stp/>
        <stp>##V3_BDHV12</stp>
        <stp>XOM US Equity</stp>
        <stp>NET_CHG_IN_LT_INVEST_DETAILED</stp>
        <stp>FQ2 1990</stp>
        <stp>FQ2 1990</stp>
        <stp>[FA1_ftkzu3fn.xlsx]Cash Flow - Standardized!R19C4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9" s="4"/>
      </tp>
      <tp t="s">
        <v>—</v>
        <stp/>
        <stp>##V3_BDHV12</stp>
        <stp>XOM US Equity</stp>
        <stp>NET_CHG_IN_LT_INVEST_DETAILED</stp>
        <stp>FQ1 1990</stp>
        <stp>FQ1 1990</stp>
        <stp>[FA1_ftkzu3fn.xlsx]Cash Flow - Standardized!R19C3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9" s="4"/>
      </tp>
      <tp t="s">
        <v>—</v>
        <stp/>
        <stp>##V3_BDHV12</stp>
        <stp>XOM US Equity</stp>
        <stp>NET_CHG_IN_LT_INVEST_DETAILED</stp>
        <stp>FQ4 1990</stp>
        <stp>FQ4 1990</stp>
        <stp>[FA1_ftkzu3fn.xlsx]Cash Flow - Standardized!R19C6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9" s="4"/>
      </tp>
      <tp t="s">
        <v>—</v>
        <stp/>
        <stp>##V3_BDHV12</stp>
        <stp>XOM US Equity</stp>
        <stp>NET_CHG_IN_LT_INVEST_DETAILED</stp>
        <stp>FQ2 1991</stp>
        <stp>FQ2 1991</stp>
        <stp>[FA1_ftkzu3fn.xlsx]Cash Flow - Standardized!R19C8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9" s="4"/>
      </tp>
      <tp t="s">
        <v>—</v>
        <stp/>
        <stp>##V3_BDHV12</stp>
        <stp>XOM US Equity</stp>
        <stp>NET_CHG_IN_LT_INVEST_DETAILED</stp>
        <stp>FQ3 1991</stp>
        <stp>FQ3 1991</stp>
        <stp>[FA1_ftkzu3fn.xlsx]Cash Flow - Standardized!R19C9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9" s="4"/>
      </tp>
      <tp>
        <v>4171</v>
        <stp/>
        <stp>##V3_BDHV12</stp>
        <stp>XOM US Equity</stp>
        <stp>EBITDA</stp>
        <stp>FQ2 1997</stp>
        <stp>FQ2 1997</stp>
        <stp>[FA1_ftkzu3fn.xlsx]Income - Adjusted!R39C32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F39" s="2"/>
      </tp>
      <tp>
        <v>2900</v>
        <stp/>
        <stp>##V3_BDHV12</stp>
        <stp>XOM US Equity</stp>
        <stp>EBITDA</stp>
        <stp>FQ2 1993</stp>
        <stp>FQ2 1993</stp>
        <stp>[FA1_ftkzu3fn.xlsx]Income - Adjusted!R39C16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P39" s="2"/>
      </tp>
      <tp>
        <v>3024</v>
        <stp/>
        <stp>##V3_BDHV12</stp>
        <stp>XOM US Equity</stp>
        <stp>EBITDA</stp>
        <stp>FQ3 1994</stp>
        <stp>FQ3 1994</stp>
        <stp>[FA1_ftkzu3fn.xlsx]Income - Adjusted!R39C21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U39" s="2"/>
      </tp>
      <tp>
        <v>0</v>
        <stp/>
        <stp>##V3_BDHV12</stp>
        <stp>XOM US Equity</stp>
        <stp>XO_GL_NET_OF_TAX</stp>
        <stp>FQ2 1992</stp>
        <stp>FQ2 1992</stp>
        <stp>[FA1_ftkzu3fn.xlsx]Income - Adjusted!R17C12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17" s="2"/>
      </tp>
      <tp>
        <v>0</v>
        <stp/>
        <stp>##V3_BDHV12</stp>
        <stp>XOM US Equity</stp>
        <stp>XO_GL_NET_OF_TAX</stp>
        <stp>FQ2 1992</stp>
        <stp>FQ2 1992</stp>
        <stp>[FA1_ftkzu3fn.xlsx]Income - Adjusted!R25C12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25" s="2"/>
      </tp>
      <tp>
        <v>0</v>
        <stp/>
        <stp>##V3_BDHV12</stp>
        <stp>XOM US Equity</stp>
        <stp>XO_GL_NET_OF_TAX</stp>
        <stp>FQ3 1993</stp>
        <stp>FQ3 1993</stp>
        <stp>[FA1_ftkzu3fn.xlsx]Income - Adjusted!R17C17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17" s="2"/>
      </tp>
      <tp>
        <v>0</v>
        <stp/>
        <stp>##V3_BDHV12</stp>
        <stp>XOM US Equity</stp>
        <stp>XO_GL_NET_OF_TAX</stp>
        <stp>FQ4 1996</stp>
        <stp>FQ4 1996</stp>
        <stp>[FA1_ftkzu3fn.xlsx]Income - Adjusted!R25C30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25" s="2"/>
      </tp>
      <tp>
        <v>0</v>
        <stp/>
        <stp>##V3_BDHV12</stp>
        <stp>XOM US Equity</stp>
        <stp>XO_GL_NET_OF_TAX</stp>
        <stp>FQ4 1996</stp>
        <stp>FQ4 1996</stp>
        <stp>[FA1_ftkzu3fn.xlsx]Income - Adjusted!R17C30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17" s="2"/>
      </tp>
      <tp>
        <v>0</v>
        <stp/>
        <stp>##V3_BDHV12</stp>
        <stp>XOM US Equity</stp>
        <stp>XO_GL_NET_OF_TAX</stp>
        <stp>FQ3 1993</stp>
        <stp>FQ3 1993</stp>
        <stp>[FA1_ftkzu3fn.xlsx]Income - Adjusted!R25C17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25" s="2"/>
      </tp>
      <tp>
        <v>0.55220000000000002</v>
        <stp/>
        <stp>##V3_BDHV12</stp>
        <stp>XOM US Equity</stp>
        <stp>CASH_FLOW_PER_SH</stp>
        <stp>FQ1 1991</stp>
        <stp>FQ1 1991</stp>
        <stp>[FA1_ftkzu3fn.xlsx]Per Share!R22C7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22" s="5"/>
      </tp>
      <tp>
        <v>4965.66</v>
        <stp/>
        <stp>##V3_BDHV12</stp>
        <stp>XOM US Equity</stp>
        <stp>EQY_SH_OUT</stp>
        <stp>FQ3 1994</stp>
        <stp>FQ3 1994</stp>
        <stp>[FA1_ftkzu3fn.xlsx]Stock Value!R13C21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13" s="6"/>
      </tp>
      <tp>
        <v>4968</v>
        <stp/>
        <stp>##V3_BDHV12</stp>
        <stp>XOM US Equity</stp>
        <stp>EQY_SH_OUT</stp>
        <stp>FQ2 1994</stp>
        <stp>FQ2 1994</stp>
        <stp>[FA1_ftkzu3fn.xlsx]Stock Value!R13C20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13" s="6"/>
      </tp>
      <tp>
        <v>4968</v>
        <stp/>
        <stp>##V3_BDHV12</stp>
        <stp>XOM US Equity</stp>
        <stp>EQY_SH_OUT</stp>
        <stp>FQ1 1995</stp>
        <stp>FQ1 1995</stp>
        <stp>[FA1_ftkzu3fn.xlsx]Stock Value!R13C23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13" s="6"/>
      </tp>
      <tp>
        <v>4966.7120000000004</v>
        <stp/>
        <stp>##V3_BDHV12</stp>
        <stp>XOM US Equity</stp>
        <stp>EQY_SH_OUT</stp>
        <stp>FQ4 1995</stp>
        <stp>FQ4 1995</stp>
        <stp>[FA1_ftkzu3fn.xlsx]Stock Value!R13C26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13" s="6"/>
      </tp>
      <tp>
        <v>2322</v>
        <stp/>
        <stp>##V3_BDHV12</stp>
        <stp>XOM US Equity</stp>
        <stp>EBIT</stp>
        <stp>FQ1 1990</stp>
        <stp>FQ1 1990</stp>
        <stp>[FA1_ftkzu3fn.xlsx]Income - Adjusted!R41C3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C41" s="2"/>
      </tp>
      <tp>
        <v>5700</v>
        <stp/>
        <stp>##V3_BDHV12</stp>
        <stp>XOM US Equity</stp>
        <stp>EBIT</stp>
        <stp>FQ4 1990</stp>
        <stp>FQ4 1990</stp>
        <stp>[FA1_ftkzu3fn.xlsx]Income - Adjusted!R41C6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F41" s="2"/>
      </tp>
      <tp>
        <v>16647</v>
        <stp/>
        <stp>##V3_BDHV12</stp>
        <stp>XOM US Equity</stp>
        <stp>IS_COGS_TO_FE_AND_PP_AND_G</stp>
        <stp>FQ3 1995</stp>
        <stp>FQ3 1995</stp>
        <stp>[FA1_ftkzu3fn.xlsx]Income - Adjusted!R7C25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Y7" s="2"/>
      </tp>
      <tp>
        <v>17731</v>
        <stp/>
        <stp>##V3_BDHV12</stp>
        <stp>XOM US Equity</stp>
        <stp>IS_COGS_TO_FE_AND_PP_AND_G</stp>
        <stp>FQ2 1995</stp>
        <stp>FQ2 1995</stp>
        <stp>[FA1_ftkzu3fn.xlsx]Income - Adjusted!R7C24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X7" s="2"/>
      </tp>
      <tp>
        <v>6090</v>
        <stp/>
        <stp>##V3_BDHV12</stp>
        <stp>XOM US Equity</stp>
        <stp>BS_ST_BORROW</stp>
        <stp>FQ4 1990</stp>
        <stp>FQ4 1990</stp>
        <stp>[FA1_ftkzu3fn.xlsx]Bal Sheet - Standardized!R29C6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9" s="3"/>
      </tp>
      <tp>
        <v>6913</v>
        <stp/>
        <stp>##V3_BDHV12</stp>
        <stp>XOM US Equity</stp>
        <stp>BS_ST_BORROW</stp>
        <stp>FQ1 1990</stp>
        <stp>FQ1 1990</stp>
        <stp>[FA1_ftkzu3fn.xlsx]Bal Sheet - Standardized!R29C3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9" s="3"/>
      </tp>
      <tp>
        <v>34792</v>
        <stp/>
        <stp>##V3_BDHV12</stp>
        <stp>XOM US Equity</stp>
        <stp>EQTY_BEF_MINORITY_INT_DETAILED</stp>
        <stp>FQ4 1993</stp>
        <stp>FQ4 1993</stp>
        <stp>[FA1_ftkzu3fn.xlsx]Bal Sheet - Standardized!R42C18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42" s="3"/>
      </tp>
      <tp>
        <v>4922</v>
        <stp/>
        <stp>##V3_BDHV12</stp>
        <stp>XOM US Equity</stp>
        <stp>BS_ST_BORROW</stp>
        <stp>FQ1 1991</stp>
        <stp>FQ1 1991</stp>
        <stp>[FA1_ftkzu3fn.xlsx]Bal Sheet - Standardized!R29C7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9" s="3"/>
      </tp>
      <tp>
        <v>6596</v>
        <stp/>
        <stp>##V3_BDHV12</stp>
        <stp>XOM US Equity</stp>
        <stp>BS_ST_BORROW</stp>
        <stp>FQ2 1990</stp>
        <stp>FQ2 1990</stp>
        <stp>[FA1_ftkzu3fn.xlsx]Bal Sheet - Standardized!R29C4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9" s="3"/>
      </tp>
      <tp>
        <v>7117</v>
        <stp/>
        <stp>##V3_BDHV12</stp>
        <stp>XOM US Equity</stp>
        <stp>BS_ST_BORROW</stp>
        <stp>FQ3 1990</stp>
        <stp>FQ3 1990</stp>
        <stp>[FA1_ftkzu3fn.xlsx]Bal Sheet - Standardized!R29C5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9" s="3"/>
      </tp>
      <tp>
        <v>34927</v>
        <stp/>
        <stp>##V3_BDHV12</stp>
        <stp>XOM US Equity</stp>
        <stp>EQTY_BEF_MINORITY_INT_DETAILED</stp>
        <stp>FQ4 1991</stp>
        <stp>FQ4 1991</stp>
        <stp>[FA1_ftkzu3fn.xlsx]Bal Sheet - Standardized!R42C10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42" s="3"/>
      </tp>
      <tp>
        <v>4250</v>
        <stp/>
        <stp>##V3_BDHV12</stp>
        <stp>XOM US Equity</stp>
        <stp>BS_ST_BORROW</stp>
        <stp>FQ3 1991</stp>
        <stp>FQ3 1991</stp>
        <stp>[FA1_ftkzu3fn.xlsx]Bal Sheet - Standardized!R29C9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9" s="3"/>
      </tp>
      <tp>
        <v>4176</v>
        <stp/>
        <stp>##V3_BDHV12</stp>
        <stp>XOM US Equity</stp>
        <stp>BS_ST_BORROW</stp>
        <stp>FQ2 1991</stp>
        <stp>FQ2 1991</stp>
        <stp>[FA1_ftkzu3fn.xlsx]Bal Sheet - Standardized!R29C8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9" s="3"/>
      </tp>
      <tp>
        <v>33776</v>
        <stp/>
        <stp>##V3_BDHV12</stp>
        <stp>XOM US Equity</stp>
        <stp>EQTY_BEF_MINORITY_INT_DETAILED</stp>
        <stp>FQ4 1992</stp>
        <stp>FQ4 1992</stp>
        <stp>[FA1_ftkzu3fn.xlsx]Bal Sheet - Standardized!R42C14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42" s="3"/>
      </tp>
      <tp>
        <v>0</v>
        <stp/>
        <stp>##V3_BDHV12</stp>
        <stp>XOM US Equity</stp>
        <stp>MINORITY_NONCONTROLLING_INTEREST</stp>
        <stp>FQ1 1995</stp>
        <stp>FQ1 1995</stp>
        <stp>[FA1_ftkzu3fn.xlsx]Bal Sheet - Standardized!R43C23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43" s="3"/>
      </tp>
      <tp t="s">
        <v>—</v>
        <stp/>
        <stp>##V3_BDHV12</stp>
        <stp>XOM US Equity</stp>
        <stp>MINORITY_NONCONTROLLING_INTEREST</stp>
        <stp>FQ2 1993</stp>
        <stp>FQ2 1993</stp>
        <stp>[FA1_ftkzu3fn.xlsx]Bal Sheet - Standardized!R43C16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43" s="3"/>
      </tp>
      <tp t="s">
        <v>—</v>
        <stp/>
        <stp>##V3_BDHV12</stp>
        <stp>XOM US Equity</stp>
        <stp>MINORITY_NONCONTROLLING_INTEREST</stp>
        <stp>FQ1 1996</stp>
        <stp>FQ1 1996</stp>
        <stp>[FA1_ftkzu3fn.xlsx]Bal Sheet - Standardized!R43C27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43" s="3"/>
      </tp>
      <tp>
        <v>7974</v>
        <stp/>
        <stp>##V3_BDHV12</stp>
        <stp>XOM US Equity</stp>
        <stp>BS_LT_BORROW</stp>
        <stp>FQ2 1991</stp>
        <stp>FQ2 1991</stp>
        <stp>[FA1_ftkzu3fn.xlsx]Bal Sheet - Standardized!R33C8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33" s="3"/>
      </tp>
      <tp>
        <v>8311</v>
        <stp/>
        <stp>##V3_BDHV12</stp>
        <stp>XOM US Equity</stp>
        <stp>BS_LT_BORROW</stp>
        <stp>FQ3 1991</stp>
        <stp>FQ3 1991</stp>
        <stp>[FA1_ftkzu3fn.xlsx]Bal Sheet - Standardized!R33C9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33" s="3"/>
      </tp>
      <tp t="s">
        <v>—</v>
        <stp/>
        <stp>##V3_BDHV12</stp>
        <stp>XOM US Equity</stp>
        <stp>MINORITY_NONCONTROLLING_INTEREST</stp>
        <stp>FQ2 1992</stp>
        <stp>FQ2 1992</stp>
        <stp>[FA1_ftkzu3fn.xlsx]Bal Sheet - Standardized!R43C12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43" s="3"/>
      </tp>
      <tp>
        <v>7876</v>
        <stp/>
        <stp>##V3_BDHV12</stp>
        <stp>XOM US Equity</stp>
        <stp>BS_LT_BORROW</stp>
        <stp>FQ1 1991</stp>
        <stp>FQ1 1991</stp>
        <stp>[FA1_ftkzu3fn.xlsx]Bal Sheet - Standardized!R33C7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33" s="3"/>
      </tp>
      <tp>
        <v>7835</v>
        <stp/>
        <stp>##V3_BDHV12</stp>
        <stp>XOM US Equity</stp>
        <stp>BS_LT_BORROW</stp>
        <stp>FQ3 1990</stp>
        <stp>FQ3 1990</stp>
        <stp>[FA1_ftkzu3fn.xlsx]Bal Sheet - Standardized!R33C5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33" s="3"/>
      </tp>
      <tp>
        <v>8320</v>
        <stp/>
        <stp>##V3_BDHV12</stp>
        <stp>XOM US Equity</stp>
        <stp>BS_LT_BORROW</stp>
        <stp>FQ2 1990</stp>
        <stp>FQ2 1990</stp>
        <stp>[FA1_ftkzu3fn.xlsx]Bal Sheet - Standardized!R33C4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33" s="3"/>
      </tp>
      <tp>
        <v>7687</v>
        <stp/>
        <stp>##V3_BDHV12</stp>
        <stp>XOM US Equity</stp>
        <stp>BS_LT_BORROW</stp>
        <stp>FQ4 1990</stp>
        <stp>FQ4 1990</stp>
        <stp>[FA1_ftkzu3fn.xlsx]Bal Sheet - Standardized!R33C6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33" s="3"/>
      </tp>
      <tp>
        <v>8939</v>
        <stp/>
        <stp>##V3_BDHV12</stp>
        <stp>XOM US Equity</stp>
        <stp>BS_LT_BORROW</stp>
        <stp>FQ1 1990</stp>
        <stp>FQ1 1990</stp>
        <stp>[FA1_ftkzu3fn.xlsx]Bal Sheet - Standardized!R33C3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33" s="3"/>
      </tp>
      <tp>
        <v>0.76959999999999995</v>
        <stp/>
        <stp>##V3_BDHV12</stp>
        <stp>XOM US Equity</stp>
        <stp>CUR_RATIO</stp>
        <stp>FQ1 1990</stp>
        <stp>FQ1 1990</stp>
        <stp>[FA1_ftkzu3fn.xlsx]Bal Sheet - Standardized!R53C3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53" s="3"/>
      </tp>
      <tp>
        <v>4968</v>
        <stp/>
        <stp>##V3_BDHV12</stp>
        <stp>XOM US Equity</stp>
        <stp>BS_SH_OUT</stp>
        <stp>FQ4 1991</stp>
        <stp>FQ4 1991</stp>
        <stp>[FA1_ftkzu3fn.xlsx]Per Share!R6C10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6" s="5"/>
      </tp>
      <tp>
        <v>0.76319999999999999</v>
        <stp/>
        <stp>##V3_BDHV12</stp>
        <stp>XOM US Equity</stp>
        <stp>CUR_RATIO</stp>
        <stp>FQ4 1990</stp>
        <stp>FQ4 1990</stp>
        <stp>[FA1_ftkzu3fn.xlsx]Bal Sheet - Standardized!R53C6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53" s="3"/>
      </tp>
      <tp>
        <v>21192</v>
        <stp/>
        <stp>##V3_BDHV12</stp>
        <stp>XOM US Equity</stp>
        <stp>BS_CUR_ASSET_REPORT</stp>
        <stp>FQ4 1997</stp>
        <stp>FQ4 1997</stp>
        <stp>[FA1_ftkzu3fn.xlsx]Bal Sheet - Standardized!R16C34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16" s="3"/>
      </tp>
      <tp>
        <v>4993.7559000000001</v>
        <stp/>
        <stp>##V3_BDHV12</stp>
        <stp>XOM US Equity</stp>
        <stp>BS_SH_OUT</stp>
        <stp>FQ1 1990</stp>
        <stp>FQ1 1990</stp>
        <stp>[FA1_ftkzu3fn.xlsx]Bal Sheet - Standardized!R49C3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49" s="3"/>
      </tp>
      <tp>
        <v>19910</v>
        <stp/>
        <stp>##V3_BDHV12</stp>
        <stp>XOM US Equity</stp>
        <stp>BS_CUR_ASSET_REPORT</stp>
        <stp>FQ4 1996</stp>
        <stp>FQ4 1996</stp>
        <stp>[FA1_ftkzu3fn.xlsx]Bal Sheet - Standardized!R16C30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16" s="3"/>
      </tp>
      <tp>
        <v>4980</v>
        <stp/>
        <stp>##V3_BDHV12</stp>
        <stp>XOM US Equity</stp>
        <stp>BS_SH_OUT</stp>
        <stp>FQ4 1990</stp>
        <stp>FQ4 1990</stp>
        <stp>[FA1_ftkzu3fn.xlsx]Bal Sheet - Standardized!R49C6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49" s="3"/>
      </tp>
      <tp>
        <v>2444</v>
        <stp/>
        <stp>##V3_BDHV12</stp>
        <stp>XOM US Equity</stp>
        <stp>PRETAX_INC</stp>
        <stp>FQ4 1993</stp>
        <stp>FQ4 1993</stp>
        <stp>[FA1_ftkzu3fn.xlsx]Income - Adjusted!R14C18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R14" s="2"/>
      </tp>
      <tp t="s">
        <v>—</v>
        <stp/>
        <stp>##V3_BDHV12</stp>
        <stp>XOM US Equity</stp>
        <stp>EBITDA_MARGIN</stp>
        <stp>FQ1 1990</stp>
        <stp>FQ1 1990</stp>
        <stp>[FA1_ftkzu3fn.xlsx]Cash Flow - Standardized!R39C3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C39" s="4"/>
      </tp>
      <tp>
        <v>0</v>
        <stp/>
        <stp>##V3_BDHV12</stp>
        <stp>XOM US Equity</stp>
        <stp>XO_GL_NET_OF_TAX</stp>
        <stp>FQ4 1993</stp>
        <stp>FQ4 1993</stp>
        <stp>[FA1_ftkzu3fn.xlsx]Income - Adjusted!R25C18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25" s="2"/>
      </tp>
      <tp>
        <v>20.725899999999999</v>
        <stp/>
        <stp>##V3_BDHV12</stp>
        <stp>XOM US Equity</stp>
        <stp>EBITDA_MARGIN</stp>
        <stp>FQ4 1997</stp>
        <stp>FQ4 1997</stp>
        <stp>[FA1_ftkzu3fn.xlsx]Cash Flow - Standardized!R39C34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H39" s="4"/>
      </tp>
      <tp>
        <v>13.9275</v>
        <stp/>
        <stp>##V3_BDHV12</stp>
        <stp>XOM US Equity</stp>
        <stp>EBITDA_MARGIN</stp>
        <stp>FQ2 1997</stp>
        <stp>FQ2 1997</stp>
        <stp>[FA1_ftkzu3fn.xlsx]Cash Flow - Standardized!R39C32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F39" s="4"/>
      </tp>
      <tp>
        <v>18.845600000000001</v>
        <stp/>
        <stp>##V3_BDHV12</stp>
        <stp>XOM US Equity</stp>
        <stp>EBITDA_MARGIN</stp>
        <stp>FQ3 1997</stp>
        <stp>FQ3 1997</stp>
        <stp>[FA1_ftkzu3fn.xlsx]Cash Flow - Standardized!R39C33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G39" s="4"/>
      </tp>
      <tp>
        <v>13.6493</v>
        <stp/>
        <stp>##V3_BDHV12</stp>
        <stp>XOM US Equity</stp>
        <stp>EBITDA_MARGIN</stp>
        <stp>FQ1 1997</stp>
        <stp>FQ1 1997</stp>
        <stp>[FA1_ftkzu3fn.xlsx]Cash Flow - Standardized!R39C31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E39" s="4"/>
      </tp>
      <tp>
        <v>0</v>
        <stp/>
        <stp>##V3_BDHV12</stp>
        <stp>XOM US Equity</stp>
        <stp>XO_GL_NET_OF_TAX</stp>
        <stp>FQ4 1993</stp>
        <stp>FQ4 1993</stp>
        <stp>[FA1_ftkzu3fn.xlsx]Income - Adjusted!R17C18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17" s="2"/>
      </tp>
      <tp>
        <v>0</v>
        <stp/>
        <stp>##V3_BDHV12</stp>
        <stp>XOM US Equity</stp>
        <stp>XO_GL_NET_OF_TAX</stp>
        <stp>FQ2 1996</stp>
        <stp>FQ2 1996</stp>
        <stp>[FA1_ftkzu3fn.xlsx]Income - Adjusted!R25C28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25" s="2"/>
      </tp>
      <tp>
        <v>1235</v>
        <stp/>
        <stp>##V3_BDHV12</stp>
        <stp>XOM US Equity</stp>
        <stp>NET_INCOME</stp>
        <stp>FQ2 1993</stp>
        <stp>FQ2 1993</stp>
        <stp>[FA1_ftkzu3fn.xlsx]Income - Adjusted!R20C16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P20" s="2"/>
      </tp>
      <tp>
        <v>1965</v>
        <stp/>
        <stp>##V3_BDHV12</stp>
        <stp>XOM US Equity</stp>
        <stp>NET_INCOME</stp>
        <stp>FQ2 1997</stp>
        <stp>FQ2 1997</stp>
        <stp>[FA1_ftkzu3fn.xlsx]Income - Adjusted!R20C32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F20" s="2"/>
      </tp>
      <tp>
        <v>1155</v>
        <stp/>
        <stp>##V3_BDHV12</stp>
        <stp>XOM US Equity</stp>
        <stp>NET_INCOME</stp>
        <stp>FQ3 1994</stp>
        <stp>FQ3 1994</stp>
        <stp>[FA1_ftkzu3fn.xlsx]Income - Adjusted!R20C21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U20" s="2"/>
      </tp>
      <tp>
        <v>0</v>
        <stp/>
        <stp>##V3_BDHV12</stp>
        <stp>XOM US Equity</stp>
        <stp>XO_GL_NET_OF_TAX</stp>
        <stp>FQ2 1996</stp>
        <stp>FQ2 1996</stp>
        <stp>[FA1_ftkzu3fn.xlsx]Income - Adjusted!R17C28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17" s="2"/>
      </tp>
      <tp>
        <v>0</v>
        <stp/>
        <stp>##V3_BDHV12</stp>
        <stp>XOM US Equity</stp>
        <stp>XO_GL_NET_OF_TAX</stp>
        <stp>FQ2 1997</stp>
        <stp>FQ2 1997</stp>
        <stp>[FA1_ftkzu3fn.xlsx]Income - Adjusted!R17C32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17" s="2"/>
      </tp>
      <tp>
        <v>0</v>
        <stp/>
        <stp>##V3_BDHV12</stp>
        <stp>XOM US Equity</stp>
        <stp>XO_GL_NET_OF_TAX</stp>
        <stp>FQ1 1995</stp>
        <stp>FQ1 1995</stp>
        <stp>[FA1_ftkzu3fn.xlsx]Income - Adjusted!R25C23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25" s="2"/>
      </tp>
      <tp>
        <v>0</v>
        <stp/>
        <stp>##V3_BDHV12</stp>
        <stp>XOM US Equity</stp>
        <stp>XO_GL_NET_OF_TAX</stp>
        <stp>FQ1 1995</stp>
        <stp>FQ1 1995</stp>
        <stp>[FA1_ftkzu3fn.xlsx]Income - Adjusted!R17C23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17" s="2"/>
      </tp>
      <tp>
        <v>0</v>
        <stp/>
        <stp>##V3_BDHV12</stp>
        <stp>XOM US Equity</stp>
        <stp>XO_GL_NET_OF_TAX</stp>
        <stp>FQ2 1997</stp>
        <stp>FQ2 1997</stp>
        <stp>[FA1_ftkzu3fn.xlsx]Income - Adjusted!R25C32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25" s="2"/>
      </tp>
      <tp>
        <v>6135</v>
        <stp/>
        <stp>##V3_BDHV12</stp>
        <stp>XOM US Equity</stp>
        <stp>BS_INVENTORIES</stp>
        <stp>FQ3 1991</stp>
        <stp>FQ3 1991</stp>
        <stp>[FA1_ftkzu3fn.xlsx]Bal Sheet - Standardized!R11C9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1" s="3"/>
      </tp>
      <tp>
        <v>5753</v>
        <stp/>
        <stp>##V3_BDHV12</stp>
        <stp>XOM US Equity</stp>
        <stp>BS_INVENTORIES</stp>
        <stp>FQ2 1991</stp>
        <stp>FQ2 1991</stp>
        <stp>[FA1_ftkzu3fn.xlsx]Bal Sheet - Standardized!R11C8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1" s="3"/>
      </tp>
      <tp>
        <v>6088</v>
        <stp/>
        <stp>##V3_BDHV12</stp>
        <stp>XOM US Equity</stp>
        <stp>BS_INVENTORIES</stp>
        <stp>FQ1 1991</stp>
        <stp>FQ1 1991</stp>
        <stp>[FA1_ftkzu3fn.xlsx]Bal Sheet - Standardized!R11C7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1" s="3"/>
      </tp>
      <tp>
        <v>5708</v>
        <stp/>
        <stp>##V3_BDHV12</stp>
        <stp>XOM US Equity</stp>
        <stp>BS_INVENTORIES</stp>
        <stp>FQ2 1990</stp>
        <stp>FQ2 1990</stp>
        <stp>[FA1_ftkzu3fn.xlsx]Bal Sheet - Standardized!R11C4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1" s="3"/>
      </tp>
      <tp>
        <v>6277</v>
        <stp/>
        <stp>##V3_BDHV12</stp>
        <stp>XOM US Equity</stp>
        <stp>BS_INVENTORIES</stp>
        <stp>FQ3 1990</stp>
        <stp>FQ3 1990</stp>
        <stp>[FA1_ftkzu3fn.xlsx]Bal Sheet - Standardized!R11C5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1" s="3"/>
      </tp>
      <tp>
        <v>6386</v>
        <stp/>
        <stp>##V3_BDHV12</stp>
        <stp>XOM US Equity</stp>
        <stp>BS_INVENTORIES</stp>
        <stp>FQ4 1990</stp>
        <stp>FQ4 1990</stp>
        <stp>[FA1_ftkzu3fn.xlsx]Bal Sheet - Standardized!R11C6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1" s="3"/>
      </tp>
      <tp>
        <v>5624</v>
        <stp/>
        <stp>##V3_BDHV12</stp>
        <stp>XOM US Equity</stp>
        <stp>BS_INVENTORIES</stp>
        <stp>FQ1 1990</stp>
        <stp>FQ1 1990</stp>
        <stp>[FA1_ftkzu3fn.xlsx]Bal Sheet - Standardized!R11C3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1" s="3"/>
      </tp>
      <tp>
        <v>16453</v>
        <stp/>
        <stp>##V3_BDHV12</stp>
        <stp>XOM US Equity</stp>
        <stp>IS_COGS_TO_FE_AND_PP_AND_G</stp>
        <stp>FQ4 1994</stp>
        <stp>FQ4 1994</stp>
        <stp>[FA1_ftkzu3fn.xlsx]Income - Adjusted!R7C22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V7" s="2"/>
      </tp>
      <tp>
        <v>21297</v>
        <stp/>
        <stp>##V3_BDHV12</stp>
        <stp>XOM US Equity</stp>
        <stp>IS_COGS_TO_FE_AND_PP_AND_G</stp>
        <stp>FQ4 1996</stp>
        <stp>FQ4 1996</stp>
        <stp>[FA1_ftkzu3fn.xlsx]Income - Adjusted!R7C30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D7" s="2"/>
      </tp>
      <tp>
        <v>17781</v>
        <stp/>
        <stp>##V3_BDHV12</stp>
        <stp>XOM US Equity</stp>
        <stp>IS_COGS_TO_FE_AND_PP_AND_G</stp>
        <stp>FQ4 1992</stp>
        <stp>FQ4 1992</stp>
        <stp>[FA1_ftkzu3fn.xlsx]Income - Adjusted!R7C14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N7" s="2"/>
      </tp>
      <tp>
        <v>16013</v>
        <stp/>
        <stp>##V3_BDHV12</stp>
        <stp>XOM US Equity</stp>
        <stp>IS_COGS_TO_FE_AND_PP_AND_G</stp>
        <stp>FQ2 1992</stp>
        <stp>FQ2 1992</stp>
        <stp>[FA1_ftkzu3fn.xlsx]Income - Adjusted!R7C12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L7" s="2"/>
      </tp>
      <tp>
        <v>17362</v>
        <stp/>
        <stp>##V3_BDHV12</stp>
        <stp>XOM US Equity</stp>
        <stp>IS_COGS_TO_FE_AND_PP_AND_G</stp>
        <stp>FQ3 1992</stp>
        <stp>FQ3 1992</stp>
        <stp>[FA1_ftkzu3fn.xlsx]Income - Adjusted!R7C13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M7" s="2"/>
      </tp>
      <tp>
        <v>15367</v>
        <stp/>
        <stp>##V3_BDHV12</stp>
        <stp>XOM US Equity</stp>
        <stp>IS_COGS_TO_FE_AND_PP_AND_G</stp>
        <stp>FQ1 1992</stp>
        <stp>FQ1 1992</stp>
        <stp>[FA1_ftkzu3fn.xlsx]Income - Adjusted!R7C11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K7" s="2"/>
      </tp>
      <tp>
        <v>5.6306000000000003</v>
        <stp/>
        <stp>##V3_BDHV12</stp>
        <stp>XOM US Equity</stp>
        <stp>REVENUE_PER_SH</stp>
        <stp>FQ2 1996</stp>
        <stp>FQ2 1996</stp>
        <stp>[FA1_ftkzu3fn.xlsx]Per Share!R11C28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B11" s="5"/>
      </tp>
      <tp>
        <v>5.7864000000000004</v>
        <stp/>
        <stp>##V3_BDHV12</stp>
        <stp>XOM US Equity</stp>
        <stp>REVENUE_PER_SH</stp>
        <stp>FQ2 1997</stp>
        <stp>FQ2 1997</stp>
        <stp>[FA1_ftkzu3fn.xlsx]Per Share!R11C32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F11" s="5"/>
      </tp>
      <tp>
        <v>4.8819999999999997</v>
        <stp/>
        <stp>##V3_BDHV12</stp>
        <stp>XOM US Equity</stp>
        <stp>REVENUE_PER_SH</stp>
        <stp>FQ2 1994</stp>
        <stp>FQ2 1994</stp>
        <stp>[FA1_ftkzu3fn.xlsx]Per Share!R11C20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T11" s="5"/>
      </tp>
      <tp>
        <v>5.6028000000000002</v>
        <stp/>
        <stp>##V3_BDHV12</stp>
        <stp>XOM US Equity</stp>
        <stp>REVENUE_PER_SH</stp>
        <stp>FQ2 1995</stp>
        <stp>FQ2 1995</stp>
        <stp>[FA1_ftkzu3fn.xlsx]Per Share!R11C24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X11" s="5"/>
      </tp>
      <tp>
        <v>4.9725999999999999</v>
        <stp/>
        <stp>##V3_BDHV12</stp>
        <stp>XOM US Equity</stp>
        <stp>REVENUE_PER_SH</stp>
        <stp>FQ2 1993</stp>
        <stp>FQ2 1993</stp>
        <stp>[FA1_ftkzu3fn.xlsx]Per Share!R11C16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P11" s="5"/>
      </tp>
      <tp>
        <v>4.9431000000000003</v>
        <stp/>
        <stp>##V3_BDHV12</stp>
        <stp>XOM US Equity</stp>
        <stp>REVENUE_PER_SH</stp>
        <stp>FQ2 1992</stp>
        <stp>FQ2 1992</stp>
        <stp>[FA1_ftkzu3fn.xlsx]Per Share!R11C12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L11" s="5"/>
      </tp>
      <tp>
        <v>5.2241</v>
        <stp/>
        <stp>##V3_BDHV12</stp>
        <stp>XOM US Equity</stp>
        <stp>REVENUE_PER_SH</stp>
        <stp>FQ2 1998</stp>
        <stp>FQ2 1998</stp>
        <stp>[FA1_ftkzu3fn.xlsx]Per Share!R11C36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J11" s="5"/>
      </tp>
      <tp>
        <v>5.8551000000000002</v>
        <stp/>
        <stp>##V3_BDHV12</stp>
        <stp>XOM US Equity</stp>
        <stp>REVENUE_PER_SH</stp>
        <stp>FQ3 1996</stp>
        <stp>FQ3 1996</stp>
        <stp>[FA1_ftkzu3fn.xlsx]Per Share!R11C29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C11" s="5"/>
      </tp>
      <tp>
        <v>5.8222000000000005</v>
        <stp/>
        <stp>##V3_BDHV12</stp>
        <stp>XOM US Equity</stp>
        <stp>REVENUE_PER_SH</stp>
        <stp>FQ3 1997</stp>
        <stp>FQ3 1997</stp>
        <stp>[FA1_ftkzu3fn.xlsx]Per Share!R11C33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G11" s="5"/>
      </tp>
      <tp>
        <v>5.4406999999999996</v>
        <stp/>
        <stp>##V3_BDHV12</stp>
        <stp>XOM US Equity</stp>
        <stp>REVENUE_PER_SH</stp>
        <stp>FQ3 1995</stp>
        <stp>FQ3 1995</stp>
        <stp>[FA1_ftkzu3fn.xlsx]Per Share!R11C25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Y11" s="5"/>
      </tp>
      <tp>
        <v>5.2454999999999998</v>
        <stp/>
        <stp>##V3_BDHV12</stp>
        <stp>XOM US Equity</stp>
        <stp>REVENUE_PER_SH</stp>
        <stp>FQ3 1994</stp>
        <stp>FQ3 1994</stp>
        <stp>[FA1_ftkzu3fn.xlsx]Per Share!R11C21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U11" s="5"/>
      </tp>
      <tp>
        <v>5.4852999999999996</v>
        <stp/>
        <stp>##V3_BDHV12</stp>
        <stp>XOM US Equity</stp>
        <stp>REVENUE_PER_SH</stp>
        <stp>FQ3 1992</stp>
        <stp>FQ3 1992</stp>
        <stp>[FA1_ftkzu3fn.xlsx]Per Share!R11C13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M11" s="5"/>
      </tp>
      <tp>
        <v>4.9241000000000001</v>
        <stp/>
        <stp>##V3_BDHV12</stp>
        <stp>XOM US Equity</stp>
        <stp>REVENUE_PER_SH</stp>
        <stp>FQ3 1993</stp>
        <stp>FQ3 1993</stp>
        <stp>[FA1_ftkzu3fn.xlsx]Per Share!R11C17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Q11" s="5"/>
      </tp>
      <tp>
        <v>5.2595000000000001</v>
        <stp/>
        <stp>##V3_BDHV12</stp>
        <stp>XOM US Equity</stp>
        <stp>REVENUE_PER_SH</stp>
        <stp>FQ1 1995</stp>
        <stp>FQ1 1995</stp>
        <stp>[FA1_ftkzu3fn.xlsx]Per Share!R11C23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W11" s="5"/>
      </tp>
      <tp>
        <v>4.6063999999999998</v>
        <stp/>
        <stp>##V3_BDHV12</stp>
        <stp>XOM US Equity</stp>
        <stp>REVENUE_PER_SH</stp>
        <stp>FQ1 1994</stp>
        <stp>FQ1 1994</stp>
        <stp>[FA1_ftkzu3fn.xlsx]Per Share!R11C19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S11" s="5"/>
      </tp>
      <tp>
        <v>5.9493</v>
        <stp/>
        <stp>##V3_BDHV12</stp>
        <stp>XOM US Equity</stp>
        <stp>REVENUE_PER_SH</stp>
        <stp>FQ1 1997</stp>
        <stp>FQ1 1997</stp>
        <stp>[FA1_ftkzu3fn.xlsx]Per Share!R11C31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E11" s="5"/>
      </tp>
      <tp>
        <v>5.4678000000000004</v>
        <stp/>
        <stp>##V3_BDHV12</stp>
        <stp>XOM US Equity</stp>
        <stp>REVENUE_PER_SH</stp>
        <stp>FQ1 1996</stp>
        <stp>FQ1 1996</stp>
        <stp>[FA1_ftkzu3fn.xlsx]Per Share!R11C27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A11" s="5"/>
      </tp>
      <tp>
        <v>4.9277999999999995</v>
        <stp/>
        <stp>##V3_BDHV12</stp>
        <stp>XOM US Equity</stp>
        <stp>REVENUE_PER_SH</stp>
        <stp>FQ1 1992</stp>
        <stp>FQ1 1992</stp>
        <stp>[FA1_ftkzu3fn.xlsx]Per Share!R11C11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K11" s="5"/>
      </tp>
      <tp>
        <v>4.8601000000000001</v>
        <stp/>
        <stp>##V3_BDHV12</stp>
        <stp>XOM US Equity</stp>
        <stp>REVENUE_PER_SH</stp>
        <stp>FQ1 1993</stp>
        <stp>FQ1 1993</stp>
        <stp>[FA1_ftkzu3fn.xlsx]Per Share!R11C15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O11" s="5"/>
      </tp>
      <tp>
        <v>5.3469999999999995</v>
        <stp/>
        <stp>##V3_BDHV12</stp>
        <stp>XOM US Equity</stp>
        <stp>REVENUE_PER_SH</stp>
        <stp>FQ1 1998</stp>
        <stp>FQ1 1998</stp>
        <stp>[FA1_ftkzu3fn.xlsx]Per Share!R11C35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I11" s="5"/>
      </tp>
      <tp>
        <v>5.6067</v>
        <stp/>
        <stp>##V3_BDHV12</stp>
        <stp>XOM US Equity</stp>
        <stp>REVENUE_PER_SH</stp>
        <stp>FQ4 1993</stp>
        <stp>FQ4 1993</stp>
        <stp>[FA1_ftkzu3fn.xlsx]Per Share!R11C18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R11" s="5"/>
      </tp>
      <tp>
        <v>6.0735000000000001</v>
        <stp/>
        <stp>##V3_BDHV12</stp>
        <stp>XOM US Equity</stp>
        <stp>REVENUE_PER_SH</stp>
        <stp>FQ4 1992</stp>
        <stp>FQ4 1992</stp>
        <stp>[FA1_ftkzu3fn.xlsx]Per Share!R11C14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N11" s="5"/>
      </tp>
      <tp>
        <v>6.2424999999999997</v>
        <stp/>
        <stp>##V3_BDHV12</stp>
        <stp>XOM US Equity</stp>
        <stp>REVENUE_PER_SH</stp>
        <stp>FQ4 1991</stp>
        <stp>FQ4 1991</stp>
        <stp>[FA1_ftkzu3fn.xlsx]Per Share!R11C10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J11" s="5"/>
      </tp>
      <tp>
        <v>6.1531000000000002</v>
        <stp/>
        <stp>##V3_BDHV12</stp>
        <stp>XOM US Equity</stp>
        <stp>REVENUE_PER_SH</stp>
        <stp>FQ4 1994</stp>
        <stp>FQ4 1994</stp>
        <stp>[FA1_ftkzu3fn.xlsx]Per Share!R11C22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V11" s="5"/>
      </tp>
      <tp>
        <v>6.1752000000000002</v>
        <stp/>
        <stp>##V3_BDHV12</stp>
        <stp>XOM US Equity</stp>
        <stp>REVENUE_PER_SH</stp>
        <stp>FQ4 1995</stp>
        <stp>FQ4 1995</stp>
        <stp>[FA1_ftkzu3fn.xlsx]Per Share!R11C26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Z11" s="5"/>
      </tp>
      <tp>
        <v>7.0077999999999996</v>
        <stp/>
        <stp>##V3_BDHV12</stp>
        <stp>XOM US Equity</stp>
        <stp>REVENUE_PER_SH</stp>
        <stp>FQ4 1997</stp>
        <stp>FQ4 1997</stp>
        <stp>[FA1_ftkzu3fn.xlsx]Per Share!R11C34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H11" s="5"/>
      </tp>
      <tp>
        <v>7.5724999999999998</v>
        <stp/>
        <stp>##V3_BDHV12</stp>
        <stp>XOM US Equity</stp>
        <stp>REVENUE_PER_SH</stp>
        <stp>FQ4 1996</stp>
        <stp>FQ4 1996</stp>
        <stp>[FA1_ftkzu3fn.xlsx]Per Share!R11C30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D11" s="5"/>
      </tp>
      <tp>
        <v>0</v>
        <stp/>
        <stp>##V3_BDHV12</stp>
        <stp>XOM US Equity</stp>
        <stp>MINORITY_NONCONTROLLING_INTEREST</stp>
        <stp>FQ1 1997</stp>
        <stp>FQ1 1997</stp>
        <stp>[FA1_ftkzu3fn.xlsx]Bal Sheet - Standardized!R43C31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43" s="3"/>
      </tp>
      <tp t="s">
        <v>—</v>
        <stp/>
        <stp>##V3_BDHV12</stp>
        <stp>XOM US Equity</stp>
        <stp>MINORITY_NONCONTROLLING_INTEREST</stp>
        <stp>FQ3 1993</stp>
        <stp>FQ3 1993</stp>
        <stp>[FA1_ftkzu3fn.xlsx]Bal Sheet - Standardized!R43C17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43" s="3"/>
      </tp>
      <tp t="s">
        <v>—</v>
        <stp/>
        <stp>##V3_BDHV12</stp>
        <stp>XOM US Equity</stp>
        <stp>MINORITY_NONCONTROLLING_INTEREST</stp>
        <stp>FQ3 1992</stp>
        <stp>FQ3 1992</stp>
        <stp>[FA1_ftkzu3fn.xlsx]Bal Sheet - Standardized!R43C13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43" s="3"/>
      </tp>
      <tp t="s">
        <v>—</v>
        <stp/>
        <stp>##V3_BDHV12</stp>
        <stp>XOM US Equity</stp>
        <stp>MINORITY_NONCONTROLLING_INTEREST</stp>
        <stp>FQ1 1998</stp>
        <stp>FQ1 1998</stp>
        <stp>[FA1_ftkzu3fn.xlsx]Bal Sheet - Standardized!R43C35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43" s="3"/>
      </tp>
      <tp>
        <v>17318</v>
        <stp/>
        <stp>##V3_BDHV12</stp>
        <stp>XOM US Equity</stp>
        <stp>BS_CUR_ASSET_REPORT</stp>
        <stp>FQ4 1995</stp>
        <stp>FQ4 1995</stp>
        <stp>[FA1_ftkzu3fn.xlsx]Bal Sheet - Standardized!R16C26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16" s="3"/>
      </tp>
      <tp>
        <v>16460</v>
        <stp/>
        <stp>##V3_BDHV12</stp>
        <stp>XOM US Equity</stp>
        <stp>BS_CUR_ASSET_REPORT</stp>
        <stp>FQ4 1994</stp>
        <stp>FQ4 1994</stp>
        <stp>[FA1_ftkzu3fn.xlsx]Bal Sheet - Standardized!R16C22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16" s="3"/>
      </tp>
      <tp>
        <v>0.2525</v>
        <stp/>
        <stp>##V3_BDHV12</stp>
        <stp>XOM US Equity</stp>
        <stp>IS_DIL_EPS_BEF_XO</stp>
        <stp>FQ1 1990</stp>
        <stp>FQ1 1990</stp>
        <stp>[FA1_ftkzu3fn.xlsx]Per Share!R18C3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18" s="5"/>
      </tp>
      <tp>
        <v>0.3075</v>
        <stp/>
        <stp>##V3_BDHV12</stp>
        <stp>XOM US Equity</stp>
        <stp>IS_DIL_EPS_BEF_XO</stp>
        <stp>FQ4 1990</stp>
        <stp>FQ4 1990</stp>
        <stp>[FA1_ftkzu3fn.xlsx]Per Share!R18C6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18" s="5"/>
      </tp>
      <tp>
        <v>13.8324</v>
        <stp/>
        <stp>##V3_BDHV12</stp>
        <stp>XOM US Equity</stp>
        <stp>EBITDA_MARGIN</stp>
        <stp>FQ1 1991</stp>
        <stp>FQ1 1991</stp>
        <stp>[FA1_ftkzu3fn.xlsx]Cash Flow - Standardized!R39C7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G39" s="4"/>
      </tp>
      <tp>
        <v>3086</v>
        <stp/>
        <stp>##V3_BDHV12</stp>
        <stp>XOM US Equity</stp>
        <stp>EBITDA</stp>
        <stp>FQ1 1992</stp>
        <stp>FQ1 1992</stp>
        <stp>[FA1_ftkzu3fn.xlsx]Income - Adjusted!R39C11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K39" s="2"/>
      </tp>
      <tp>
        <v>7176</v>
        <stp/>
        <stp>##V3_BDHV12</stp>
        <stp>XOM US Equity</stp>
        <stp>EBITDA</stp>
        <stp>FQ4 1997</stp>
        <stp>FQ4 1997</stp>
        <stp>[FA1_ftkzu3fn.xlsx]Income - Adjusted!R39C34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H39" s="2"/>
      </tp>
      <tp>
        <v>6477</v>
        <stp/>
        <stp>##V3_BDHV12</stp>
        <stp>XOM US Equity</stp>
        <stp>EBITDA</stp>
        <stp>FQ4 1995</stp>
        <stp>FQ4 1995</stp>
        <stp>[FA1_ftkzu3fn.xlsx]Income - Adjusted!R39C26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Z39" s="2"/>
      </tp>
      <tp>
        <v>16.8279</v>
        <stp/>
        <stp>##V3_BDHV12</stp>
        <stp>XOM US Equity</stp>
        <stp>EBITDA_MARGIN</stp>
        <stp>FQ4 1996</stp>
        <stp>FQ4 1996</stp>
        <stp>[FA1_ftkzu3fn.xlsx]Cash Flow - Standardized!R39C30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D39" s="4"/>
      </tp>
      <tp>
        <v>13.1668</v>
        <stp/>
        <stp>##V3_BDHV12</stp>
        <stp>XOM US Equity</stp>
        <stp>EBITDA_MARGIN</stp>
        <stp>FQ3 1996</stp>
        <stp>FQ3 1996</stp>
        <stp>[FA1_ftkzu3fn.xlsx]Cash Flow - Standardized!R39C29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C39" s="4"/>
      </tp>
      <tp>
        <v>13.484400000000001</v>
        <stp/>
        <stp>##V3_BDHV12</stp>
        <stp>XOM US Equity</stp>
        <stp>EBITDA_MARGIN</stp>
        <stp>FQ2 1996</stp>
        <stp>FQ2 1996</stp>
        <stp>[FA1_ftkzu3fn.xlsx]Cash Flow - Standardized!R39C28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B39" s="4"/>
      </tp>
      <tp>
        <v>13.585800000000001</v>
        <stp/>
        <stp>##V3_BDHV12</stp>
        <stp>XOM US Equity</stp>
        <stp>EBITDA_MARGIN</stp>
        <stp>FQ1 1996</stp>
        <stp>FQ1 1996</stp>
        <stp>[FA1_ftkzu3fn.xlsx]Cash Flow - Standardized!R39C27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A39" s="4"/>
      </tp>
      <tp>
        <v>0</v>
        <stp/>
        <stp>##V3_BDHV12</stp>
        <stp>XOM US Equity</stp>
        <stp>XO_GL_NET_OF_TAX</stp>
        <stp>FQ3 1996</stp>
        <stp>FQ3 1996</stp>
        <stp>[FA1_ftkzu3fn.xlsx]Income - Adjusted!R25C29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25" s="2"/>
      </tp>
      <tp>
        <v>885</v>
        <stp/>
        <stp>##V3_BDHV12</stp>
        <stp>XOM US Equity</stp>
        <stp>NET_INCOME</stp>
        <stp>FQ2 1994</stp>
        <stp>FQ2 1994</stp>
        <stp>[FA1_ftkzu3fn.xlsx]Income - Adjusted!R20C20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T20" s="2"/>
      </tp>
      <tp>
        <v>1360</v>
        <stp/>
        <stp>##V3_BDHV12</stp>
        <stp>XOM US Equity</stp>
        <stp>NET_INCOME</stp>
        <stp>FQ3 1993</stp>
        <stp>FQ3 1993</stp>
        <stp>[FA1_ftkzu3fn.xlsx]Income - Adjusted!R20C17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Q20" s="2"/>
      </tp>
      <tp>
        <v>1820</v>
        <stp/>
        <stp>##V3_BDHV12</stp>
        <stp>XOM US Equity</stp>
        <stp>NET_INCOME</stp>
        <stp>FQ3 1997</stp>
        <stp>FQ3 1997</stp>
        <stp>[FA1_ftkzu3fn.xlsx]Income - Adjusted!R20C33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G20" s="2"/>
      </tp>
      <tp>
        <v>0</v>
        <stp/>
        <stp>##V3_BDHV12</stp>
        <stp>XOM US Equity</stp>
        <stp>XO_GL_NET_OF_TAX</stp>
        <stp>FQ3 1996</stp>
        <stp>FQ3 1996</stp>
        <stp>[FA1_ftkzu3fn.xlsx]Income - Adjusted!R17C29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17" s="2"/>
      </tp>
      <tp>
        <v>0</v>
        <stp/>
        <stp>##V3_BDHV12</stp>
        <stp>XOM US Equity</stp>
        <stp>XO_GL_NET_OF_TAX</stp>
        <stp>FQ3 1997</stp>
        <stp>FQ3 1997</stp>
        <stp>[FA1_ftkzu3fn.xlsx]Income - Adjusted!R17C33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17" s="2"/>
      </tp>
      <tp>
        <v>40</v>
        <stp/>
        <stp>##V3_BDHV12</stp>
        <stp>XOM US Equity</stp>
        <stp>XO_GL_NET_OF_TAX</stp>
        <stp>FQ4 1992</stp>
        <stp>FQ4 1992</stp>
        <stp>[FA1_ftkzu3fn.xlsx]Income - Adjusted!R25C14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25" s="2"/>
      </tp>
      <tp>
        <v>40</v>
        <stp/>
        <stp>##V3_BDHV12</stp>
        <stp>XOM US Equity</stp>
        <stp>XO_GL_NET_OF_TAX</stp>
        <stp>FQ4 1992</stp>
        <stp>FQ4 1992</stp>
        <stp>[FA1_ftkzu3fn.xlsx]Income - Adjusted!R17C14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17" s="2"/>
      </tp>
      <tp>
        <v>0</v>
        <stp/>
        <stp>##V3_BDHV12</stp>
        <stp>XOM US Equity</stp>
        <stp>XO_GL_NET_OF_TAX</stp>
        <stp>FQ3 1997</stp>
        <stp>FQ3 1997</stp>
        <stp>[FA1_ftkzu3fn.xlsx]Income - Adjusted!R25C33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25" s="2"/>
      </tp>
      <tp>
        <v>4893.5839999999998</v>
        <stp/>
        <stp>##V3_BDHV12</stp>
        <stp>XOM US Equity</stp>
        <stp>EQY_SH_OUT</stp>
        <stp>FQ2 1998</stp>
        <stp>FQ2 1998</stp>
        <stp>[FA1_ftkzu3fn.xlsx]Stock Value!R13C36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13" s="6"/>
      </tp>
      <tp>
        <v>4914</v>
        <stp/>
        <stp>##V3_BDHV12</stp>
        <stp>XOM US Equity</stp>
        <stp>EQY_SH_OUT</stp>
        <stp>FQ1 1998</stp>
        <stp>FQ1 1998</stp>
        <stp>[FA1_ftkzu3fn.xlsx]Stock Value!R13C35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13" s="6"/>
      </tp>
      <tp>
        <v>4981.5680000000002</v>
        <stp/>
        <stp>##V3_BDHV12</stp>
        <stp>XOM US Equity</stp>
        <stp>EQY_SH_OUT</stp>
        <stp>FQ4 1991</stp>
        <stp>FQ4 1991</stp>
        <stp>[FA1_ftkzu3fn.xlsx]Stock Value!R13C10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13" s="6"/>
      </tp>
      <tp>
        <v>4968</v>
        <stp/>
        <stp>##V3_BDHV12</stp>
        <stp>XOM US Equity</stp>
        <stp>EQY_SH_OUT</stp>
        <stp>FQ1 1993</stp>
        <stp>FQ1 1993</stp>
        <stp>[FA1_ftkzu3fn.xlsx]Stock Value!R13C15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13" s="6"/>
      </tp>
      <tp>
        <v>4967.1239999999998</v>
        <stp/>
        <stp>##V3_BDHV12</stp>
        <stp>XOM US Equity</stp>
        <stp>EQY_SH_OUT</stp>
        <stp>FQ4 1996</stp>
        <stp>FQ4 1996</stp>
        <stp>[FA1_ftkzu3fn.xlsx]Stock Value!R13C30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13" s="6"/>
      </tp>
      <tp>
        <v>4968</v>
        <stp/>
        <stp>##V3_BDHV12</stp>
        <stp>XOM US Equity</stp>
        <stp>EQY_SH_OUT</stp>
        <stp>FQ2 1993</stp>
        <stp>FQ2 1993</stp>
        <stp>[FA1_ftkzu3fn.xlsx]Stock Value!R13C16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13" s="6"/>
      </tp>
      <tp>
        <v>4968</v>
        <stp/>
        <stp>##V3_BDHV12</stp>
        <stp>XOM US Equity</stp>
        <stp>EQY_SH_OUT</stp>
        <stp>FQ3 1993</stp>
        <stp>FQ3 1993</stp>
        <stp>[FA1_ftkzu3fn.xlsx]Stock Value!R13C17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13" s="6"/>
      </tp>
      <tp>
        <v>43660</v>
        <stp/>
        <stp>##V3_BDHV12</stp>
        <stp>XOM US Equity</stp>
        <stp>EQTY_BEF_MINORITY_INT_DETAILED</stp>
        <stp>FQ4 1997</stp>
        <stp>FQ4 1997</stp>
        <stp>[FA1_ftkzu3fn.xlsx]Bal Sheet - Standardized!R42C34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42" s="3"/>
      </tp>
      <tp>
        <v>43542</v>
        <stp/>
        <stp>##V3_BDHV12</stp>
        <stp>XOM US Equity</stp>
        <stp>EQTY_BEF_MINORITY_INT_DETAILED</stp>
        <stp>FQ4 1996</stp>
        <stp>FQ4 1996</stp>
        <stp>[FA1_ftkzu3fn.xlsx]Bal Sheet - Standardized!R42C30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42" s="3"/>
      </tp>
      <tp>
        <v>0</v>
        <stp/>
        <stp>##V3_BDHV12</stp>
        <stp>XOM US Equity</stp>
        <stp>MINORITY_NONCONTROLLING_INTEREST</stp>
        <stp>FQ3 1994</stp>
        <stp>FQ3 1994</stp>
        <stp>[FA1_ftkzu3fn.xlsx]Bal Sheet - Standardized!R43C21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43" s="3"/>
      </tp>
      <tp>
        <v>0</v>
        <stp/>
        <stp>##V3_BDHV12</stp>
        <stp>XOM US Equity</stp>
        <stp>MINORITY_NONCONTROLLING_INTEREST</stp>
        <stp>FQ2 1997</stp>
        <stp>FQ2 1997</stp>
        <stp>[FA1_ftkzu3fn.xlsx]Bal Sheet - Standardized!R43C32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43" s="3"/>
      </tp>
      <tp>
        <v>0.505</v>
        <stp/>
        <stp>##V3_BDHV12</stp>
        <stp>XOM US Equity</stp>
        <stp>IS_EPS</stp>
        <stp>FQ4 1997</stp>
        <stp>FQ4 1997</stp>
        <stp>[FA1_ftkzu3fn.xlsx]Per Share!R14C34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H14" s="5"/>
      </tp>
      <tp>
        <v>0.5</v>
        <stp/>
        <stp>##V3_BDHV12</stp>
        <stp>XOM US Equity</stp>
        <stp>IS_EPS</stp>
        <stp>FQ4 1996</stp>
        <stp>FQ4 1996</stp>
        <stp>[FA1_ftkzu3fn.xlsx]Per Share!R14C30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D14" s="5"/>
      </tp>
      <tp>
        <v>0.38250000000000001</v>
        <stp/>
        <stp>##V3_BDHV12</stp>
        <stp>XOM US Equity</stp>
        <stp>IS_EPS</stp>
        <stp>FQ4 1994</stp>
        <stp>FQ4 1994</stp>
        <stp>[FA1_ftkzu3fn.xlsx]Per Share!R14C22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V14" s="5"/>
      </tp>
      <tp>
        <v>0.33750000000000002</v>
        <stp/>
        <stp>##V3_BDHV12</stp>
        <stp>XOM US Equity</stp>
        <stp>IS_EPS</stp>
        <stp>FQ4 1995</stp>
        <stp>FQ4 1995</stp>
        <stp>[FA1_ftkzu3fn.xlsx]Per Share!R14C26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Z14" s="5"/>
      </tp>
      <tp>
        <v>0.2225</v>
        <stp/>
        <stp>##V3_BDHV12</stp>
        <stp>XOM US Equity</stp>
        <stp>IS_EPS</stp>
        <stp>FQ4 1991</stp>
        <stp>FQ4 1991</stp>
        <stp>[FA1_ftkzu3fn.xlsx]Per Share!R14C10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J14" s="5"/>
      </tp>
      <tp>
        <v>0.3</v>
        <stp/>
        <stp>##V3_BDHV12</stp>
        <stp>XOM US Equity</stp>
        <stp>IS_EPS</stp>
        <stp>FQ4 1993</stp>
        <stp>FQ4 1993</stp>
        <stp>[FA1_ftkzu3fn.xlsx]Per Share!R14C18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R14" s="5"/>
      </tp>
      <tp>
        <v>0.31</v>
        <stp/>
        <stp>##V3_BDHV12</stp>
        <stp>XOM US Equity</stp>
        <stp>IS_EPS</stp>
        <stp>FQ4 1992</stp>
        <stp>FQ4 1992</stp>
        <stp>[FA1_ftkzu3fn.xlsx]Per Share!R14C14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N14" s="5"/>
      </tp>
      <tp>
        <v>0.22500000000000001</v>
        <stp/>
        <stp>##V3_BDHV12</stp>
        <stp>XOM US Equity</stp>
        <stp>IS_EPS</stp>
        <stp>FQ3 1992</stp>
        <stp>FQ3 1992</stp>
        <stp>[FA1_ftkzu3fn.xlsx]Per Share!R14C13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M14" s="5"/>
      </tp>
      <tp>
        <v>0.27250000000000002</v>
        <stp/>
        <stp>##V3_BDHV12</stp>
        <stp>XOM US Equity</stp>
        <stp>IS_EPS</stp>
        <stp>FQ3 1993</stp>
        <stp>FQ3 1993</stp>
        <stp>[FA1_ftkzu3fn.xlsx]Per Share!R14C17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Q14" s="5"/>
      </tp>
      <tp>
        <v>0.3</v>
        <stp/>
        <stp>##V3_BDHV12</stp>
        <stp>XOM US Equity</stp>
        <stp>IS_EPS</stp>
        <stp>FQ3 1995</stp>
        <stp>FQ3 1995</stp>
        <stp>[FA1_ftkzu3fn.xlsx]Per Share!R14C25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Y14" s="5"/>
      </tp>
      <tp>
        <v>0.23</v>
        <stp/>
        <stp>##V3_BDHV12</stp>
        <stp>XOM US Equity</stp>
        <stp>IS_EPS</stp>
        <stp>FQ3 1994</stp>
        <stp>FQ3 1994</stp>
        <stp>[FA1_ftkzu3fn.xlsx]Per Share!R14C21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U14" s="5"/>
      </tp>
      <tp>
        <v>0.37</v>
        <stp/>
        <stp>##V3_BDHV12</stp>
        <stp>XOM US Equity</stp>
        <stp>IS_EPS</stp>
        <stp>FQ3 1997</stp>
        <stp>FQ3 1997</stp>
        <stp>[FA1_ftkzu3fn.xlsx]Per Share!R14C33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G14" s="5"/>
      </tp>
      <tp>
        <v>0.31</v>
        <stp/>
        <stp>##V3_BDHV12</stp>
        <stp>XOM US Equity</stp>
        <stp>IS_EPS</stp>
        <stp>FQ3 1996</stp>
        <stp>FQ3 1996</stp>
        <stp>[FA1_ftkzu3fn.xlsx]Per Share!R14C29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C14" s="5"/>
      </tp>
      <tp>
        <v>0.33</v>
        <stp/>
        <stp>##V3_BDHV12</stp>
        <stp>XOM US Equity</stp>
        <stp>IS_EPS</stp>
        <stp>FQ2 1998</stp>
        <stp>FQ2 1998</stp>
        <stp>[FA1_ftkzu3fn.xlsx]Per Share!R14C36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J14" s="5"/>
      </tp>
      <tp>
        <v>0.245</v>
        <stp/>
        <stp>##V3_BDHV12</stp>
        <stp>XOM US Equity</stp>
        <stp>IS_EPS</stp>
        <stp>FQ2 1993</stp>
        <stp>FQ2 1993</stp>
        <stp>[FA1_ftkzu3fn.xlsx]Per Share!R14C16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P14" s="5"/>
      </tp>
      <tp>
        <v>0.19</v>
        <stp/>
        <stp>##V3_BDHV12</stp>
        <stp>XOM US Equity</stp>
        <stp>IS_EPS</stp>
        <stp>FQ2 1992</stp>
        <stp>FQ2 1992</stp>
        <stp>[FA1_ftkzu3fn.xlsx]Per Share!R14C12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L14" s="5"/>
      </tp>
      <tp>
        <v>0.17499999999999999</v>
        <stp/>
        <stp>##V3_BDHV12</stp>
        <stp>XOM US Equity</stp>
        <stp>IS_EPS</stp>
        <stp>FQ2 1994</stp>
        <stp>FQ2 1994</stp>
        <stp>[FA1_ftkzu3fn.xlsx]Per Share!R14C20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T14" s="5"/>
      </tp>
      <tp>
        <v>0.32500000000000001</v>
        <stp/>
        <stp>##V3_BDHV12</stp>
        <stp>XOM US Equity</stp>
        <stp>IS_EPS</stp>
        <stp>FQ2 1995</stp>
        <stp>FQ2 1995</stp>
        <stp>[FA1_ftkzu3fn.xlsx]Per Share!R14C24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X14" s="5"/>
      </tp>
      <tp>
        <v>0.39500000000000002</v>
        <stp/>
        <stp>##V3_BDHV12</stp>
        <stp>XOM US Equity</stp>
        <stp>IS_EPS</stp>
        <stp>FQ2 1997</stp>
        <stp>FQ2 1997</stp>
        <stp>[FA1_ftkzu3fn.xlsx]Per Share!R14C32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F14" s="5"/>
      </tp>
      <tp>
        <v>0.315</v>
        <stp/>
        <stp>##V3_BDHV12</stp>
        <stp>XOM US Equity</stp>
        <stp>IS_EPS</stp>
        <stp>FQ2 1996</stp>
        <stp>FQ2 1996</stp>
        <stp>[FA1_ftkzu3fn.xlsx]Per Share!R14C28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B14" s="5"/>
      </tp>
      <tp>
        <v>0.38500000000000001</v>
        <stp/>
        <stp>##V3_BDHV12</stp>
        <stp>XOM US Equity</stp>
        <stp>IS_EPS</stp>
        <stp>FQ1 1998</stp>
        <stp>FQ1 1998</stp>
        <stp>[FA1_ftkzu3fn.xlsx]Per Share!R14C35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I14" s="5"/>
      </tp>
      <tp>
        <v>0.26750000000000002</v>
        <stp/>
        <stp>##V3_BDHV12</stp>
        <stp>XOM US Equity</stp>
        <stp>IS_EPS</stp>
        <stp>FQ1 1992</stp>
        <stp>FQ1 1992</stp>
        <stp>[FA1_ftkzu3fn.xlsx]Per Share!R14C11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K14" s="5"/>
      </tp>
      <tp>
        <v>0.23499999999999999</v>
        <stp/>
        <stp>##V3_BDHV12</stp>
        <stp>XOM US Equity</stp>
        <stp>IS_EPS</stp>
        <stp>FQ1 1993</stp>
        <stp>FQ1 1993</stp>
        <stp>[FA1_ftkzu3fn.xlsx]Per Share!R14C15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O14" s="5"/>
      </tp>
      <tp>
        <v>0.23</v>
        <stp/>
        <stp>##V3_BDHV12</stp>
        <stp>XOM US Equity</stp>
        <stp>IS_EPS</stp>
        <stp>FQ1 1994</stp>
        <stp>FQ1 1994</stp>
        <stp>[FA1_ftkzu3fn.xlsx]Per Share!R14C19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S14" s="5"/>
      </tp>
      <tp>
        <v>0.435</v>
        <stp/>
        <stp>##V3_BDHV12</stp>
        <stp>XOM US Equity</stp>
        <stp>IS_EPS</stp>
        <stp>FQ1 1997</stp>
        <stp>FQ1 1997</stp>
        <stp>[FA1_ftkzu3fn.xlsx]Per Share!R14C31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E14" s="5"/>
      </tp>
      <tp>
        <v>0.38</v>
        <stp/>
        <stp>##V3_BDHV12</stp>
        <stp>XOM US Equity</stp>
        <stp>IS_EPS</stp>
        <stp>FQ1 1996</stp>
        <stp>FQ1 1996</stp>
        <stp>[FA1_ftkzu3fn.xlsx]Per Share!R14C27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A14" s="5"/>
      </tp>
      <tp>
        <v>0.33250000000000002</v>
        <stp/>
        <stp>##V3_BDHV12</stp>
        <stp>XOM US Equity</stp>
        <stp>IS_EPS</stp>
        <stp>FQ1 1995</stp>
        <stp>FQ1 1995</stp>
        <stp>[FA1_ftkzu3fn.xlsx]Per Share!R14C23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W14" s="5"/>
      </tp>
      <tp t="s">
        <v>—</v>
        <stp/>
        <stp>##V3_BDHV12</stp>
        <stp>XOM US Equity</stp>
        <stp>MINORITY_NONCONTROLLING_INTEREST</stp>
        <stp>FQ3 1995</stp>
        <stp>FQ3 1995</stp>
        <stp>[FA1_ftkzu3fn.xlsx]Bal Sheet - Standardized!R43C25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43" s="3"/>
      </tp>
      <tp>
        <v>0</v>
        <stp/>
        <stp>##V3_BDHV12</stp>
        <stp>XOM US Equity</stp>
        <stp>MINORITY_NONCONTROLLING_INTEREST</stp>
        <stp>FQ2 1998</stp>
        <stp>FQ2 1998</stp>
        <stp>[FA1_ftkzu3fn.xlsx]Bal Sheet - Standardized!R43C36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43" s="3"/>
      </tp>
      <tp t="s">
        <v>—</v>
        <stp/>
        <stp>##V3_BDHV12</stp>
        <stp>XOM US Equity</stp>
        <stp>MINORITY_NONCONTROLLING_INTEREST</stp>
        <stp>FQ3 1996</stp>
        <stp>FQ3 1996</stp>
        <stp>[FA1_ftkzu3fn.xlsx]Bal Sheet - Standardized!R43C29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43" s="3"/>
      </tp>
      <tp>
        <v>4968.5239000000001</v>
        <stp/>
        <stp>##V3_BDHV12</stp>
        <stp>XOM US Equity</stp>
        <stp>BS_SH_OUT</stp>
        <stp>FQ4 1995</stp>
        <stp>FQ4 1995</stp>
        <stp>[FA1_ftkzu3fn.xlsx]Per Share!R6C26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6" s="5"/>
      </tp>
      <tp>
        <v>4968</v>
        <stp/>
        <stp>##V3_BDHV12</stp>
        <stp>XOM US Equity</stp>
        <stp>BS_SH_OUT</stp>
        <stp>FQ1 1995</stp>
        <stp>FQ1 1995</stp>
        <stp>[FA1_ftkzu3fn.xlsx]Per Share!R6C23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6" s="5"/>
      </tp>
      <tp>
        <v>4914</v>
        <stp/>
        <stp>##V3_BDHV12</stp>
        <stp>XOM US Equity</stp>
        <stp>BS_SH_OUT</stp>
        <stp>FQ4 1997</stp>
        <stp>FQ4 1997</stp>
        <stp>[FA1_ftkzu3fn.xlsx]Per Share!R6C34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6" s="5"/>
      </tp>
      <tp>
        <v>4966.0478999999996</v>
        <stp/>
        <stp>##V3_BDHV12</stp>
        <stp>XOM US Equity</stp>
        <stp>BS_SH_OUT</stp>
        <stp>FQ1 1997</stp>
        <stp>FQ1 1997</stp>
        <stp>[FA1_ftkzu3fn.xlsx]Per Share!R6C31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6" s="5"/>
      </tp>
      <tp>
        <v>4948</v>
        <stp/>
        <stp>##V3_BDHV12</stp>
        <stp>XOM US Equity</stp>
        <stp>BS_SH_OUT</stp>
        <stp>FQ2 1997</stp>
        <stp>FQ2 1997</stp>
        <stp>[FA1_ftkzu3fn.xlsx]Per Share!R6C32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6" s="5"/>
      </tp>
      <tp>
        <v>4932</v>
        <stp/>
        <stp>##V3_BDHV12</stp>
        <stp>XOM US Equity</stp>
        <stp>BS_SH_OUT</stp>
        <stp>FQ3 1997</stp>
        <stp>FQ3 1997</stp>
        <stp>[FA1_ftkzu3fn.xlsx]Per Share!R6C33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6" s="5"/>
      </tp>
      <tp>
        <v>4968</v>
        <stp/>
        <stp>##V3_BDHV12</stp>
        <stp>XOM US Equity</stp>
        <stp>BS_SH_OUT</stp>
        <stp>FQ2 1993</stp>
        <stp>FQ2 1993</stp>
        <stp>[FA1_ftkzu3fn.xlsx]Per Share!R6C16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6" s="5"/>
      </tp>
      <tp>
        <v>4968</v>
        <stp/>
        <stp>##V3_BDHV12</stp>
        <stp>XOM US Equity</stp>
        <stp>BS_SH_OUT</stp>
        <stp>FQ3 1993</stp>
        <stp>FQ3 1993</stp>
        <stp>[FA1_ftkzu3fn.xlsx]Per Share!R6C17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6" s="5"/>
      </tp>
      <tp>
        <v>4968</v>
        <stp/>
        <stp>##V3_BDHV12</stp>
        <stp>XOM US Equity</stp>
        <stp>BS_SH_OUT</stp>
        <stp>FQ1 1993</stp>
        <stp>FQ1 1993</stp>
        <stp>[FA1_ftkzu3fn.xlsx]Per Share!R6C15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6" s="5"/>
      </tp>
      <tp>
        <v>17012</v>
        <stp/>
        <stp>##V3_BDHV12</stp>
        <stp>XOM US Equity</stp>
        <stp>BS_CUR_ASSET_REPORT</stp>
        <stp>FQ4 1991</stp>
        <stp>FQ4 1991</stp>
        <stp>[FA1_ftkzu3fn.xlsx]Bal Sheet - Standardized!R16C10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16" s="3"/>
      </tp>
      <tp>
        <v>16424</v>
        <stp/>
        <stp>##V3_BDHV12</stp>
        <stp>XOM US Equity</stp>
        <stp>BS_CUR_ASSET_REPORT</stp>
        <stp>FQ4 1992</stp>
        <stp>FQ4 1992</stp>
        <stp>[FA1_ftkzu3fn.xlsx]Bal Sheet - Standardized!R16C14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16" s="3"/>
      </tp>
      <tp>
        <v>14859</v>
        <stp/>
        <stp>##V3_BDHV12</stp>
        <stp>XOM US Equity</stp>
        <stp>BS_CUR_ASSET_REPORT</stp>
        <stp>FQ4 1993</stp>
        <stp>FQ4 1993</stp>
        <stp>[FA1_ftkzu3fn.xlsx]Bal Sheet - Standardized!R16C18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16" s="3"/>
      </tp>
      <tp t="s">
        <v>—</v>
        <stp/>
        <stp>##V3_BDHV12</stp>
        <stp>XOM US Equity</stp>
        <stp>EBITDA_MARGIN</stp>
        <stp>FQ3 1990</stp>
        <stp>FQ3 1990</stp>
        <stp>[FA1_ftkzu3fn.xlsx]Cash Flow - Standardized!R39C5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E39" s="4"/>
      </tp>
      <tp>
        <v>16783</v>
        <stp/>
        <stp>##V3_BDHV12</stp>
        <stp>XOM US Equity</stp>
        <stp>IS_COGS_TO_FE_AND_PP_AND_G</stp>
        <stp>FQ1 1991</stp>
        <stp>FQ1 1991</stp>
        <stp>[FA1_ftkzu3fn.xlsx]Income - Adjusted!R7C7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G7" s="2"/>
      </tp>
      <tp>
        <v>13.4617</v>
        <stp/>
        <stp>##V3_BDHV12</stp>
        <stp>XOM US Equity</stp>
        <stp>EBITDA_MARGIN</stp>
        <stp>FQ2 1991</stp>
        <stp>FQ2 1991</stp>
        <stp>[FA1_ftkzu3fn.xlsx]Cash Flow - Standardized!R39C8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H39" s="4"/>
      </tp>
      <tp>
        <v>14712</v>
        <stp/>
        <stp>##V3_BDHV12</stp>
        <stp>XOM US Equity</stp>
        <stp>IS_COGS_TO_FE_AND_PP_AND_G</stp>
        <stp>FQ2 1990</stp>
        <stp>FQ2 1990</stp>
        <stp>[FA1_ftkzu3fn.xlsx]Income - Adjusted!R7C4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D7" s="2"/>
      </tp>
      <tp>
        <v>16868</v>
        <stp/>
        <stp>##V3_BDHV12</stp>
        <stp>XOM US Equity</stp>
        <stp>IS_COGS_TO_FE_AND_PP_AND_G</stp>
        <stp>FQ3 1990</stp>
        <stp>FQ3 1990</stp>
        <stp>[FA1_ftkzu3fn.xlsx]Income - Adjusted!R7C5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E7" s="2"/>
      </tp>
      <tp>
        <v>2529</v>
        <stp/>
        <stp>##V3_BDHV12</stp>
        <stp>XOM US Equity</stp>
        <stp>EBITDA</stp>
        <stp>FQ2 1992</stp>
        <stp>FQ2 1992</stp>
        <stp>[FA1_ftkzu3fn.xlsx]Income - Adjusted!R39C12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L39" s="2"/>
      </tp>
      <tp>
        <v>3715</v>
        <stp/>
        <stp>##V3_BDHV12</stp>
        <stp>XOM US Equity</stp>
        <stp>EBITDA</stp>
        <stp>FQ3 1995</stp>
        <stp>FQ3 1995</stp>
        <stp>[FA1_ftkzu3fn.xlsx]Income - Adjusted!R39C25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Y39" s="2"/>
      </tp>
      <tp>
        <v>15.542199999999999</v>
        <stp/>
        <stp>##V3_BDHV12</stp>
        <stp>XOM US Equity</stp>
        <stp>EBITDA_MARGIN</stp>
        <stp>FQ4 1995</stp>
        <stp>FQ4 1995</stp>
        <stp>[FA1_ftkzu3fn.xlsx]Cash Flow - Standardized!R39C26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Z39" s="4"/>
      </tp>
      <tp>
        <v>13.295199999999999</v>
        <stp/>
        <stp>##V3_BDHV12</stp>
        <stp>XOM US Equity</stp>
        <stp>EBITDA_MARGIN</stp>
        <stp>FQ3 1995</stp>
        <stp>FQ3 1995</stp>
        <stp>[FA1_ftkzu3fn.xlsx]Cash Flow - Standardized!R39C25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Y39" s="4"/>
      </tp>
      <tp>
        <v>12.768599999999999</v>
        <stp/>
        <stp>##V3_BDHV12</stp>
        <stp>XOM US Equity</stp>
        <stp>EBITDA_MARGIN</stp>
        <stp>FQ2 1995</stp>
        <stp>FQ2 1995</stp>
        <stp>[FA1_ftkzu3fn.xlsx]Cash Flow - Standardized!R39C24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X39" s="4"/>
      </tp>
      <tp>
        <v>12.163</v>
        <stp/>
        <stp>##V3_BDHV12</stp>
        <stp>XOM US Equity</stp>
        <stp>EBITDA_MARGIN</stp>
        <stp>FQ1 1995</stp>
        <stp>FQ1 1995</stp>
        <stp>[FA1_ftkzu3fn.xlsx]Cash Flow - Standardized!R39C23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W39" s="4"/>
      </tp>
      <tp>
        <v>0</v>
        <stp/>
        <stp>##V3_BDHV12</stp>
        <stp>XOM US Equity</stp>
        <stp>XO_GL_NET_OF_TAX</stp>
        <stp>FQ1 1994</stp>
        <stp>FQ1 1994</stp>
        <stp>[FA1_ftkzu3fn.xlsx]Income - Adjusted!R17C19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17" s="2"/>
      </tp>
      <tp>
        <v>0</v>
        <stp/>
        <stp>##V3_BDHV12</stp>
        <stp>XOM US Equity</stp>
        <stp>XO_GL_NET_OF_TAX</stp>
        <stp>FQ1 1994</stp>
        <stp>FQ1 1994</stp>
        <stp>[FA1_ftkzu3fn.xlsx]Income - Adjusted!R25C19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25" s="2"/>
      </tp>
      <tp>
        <v>0</v>
        <stp/>
        <stp>##V3_BDHV12</stp>
        <stp>XOM US Equity</stp>
        <stp>XO_GL_NET_OF_TAX</stp>
        <stp>FQ3 1995</stp>
        <stp>FQ3 1995</stp>
        <stp>[FA1_ftkzu3fn.xlsx]Income - Adjusted!R17C25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17" s="2"/>
      </tp>
      <tp>
        <v>0</v>
        <stp/>
        <stp>##V3_BDHV12</stp>
        <stp>XOM US Equity</stp>
        <stp>XO_GL_NET_OF_TAX</stp>
        <stp>FQ4 1991</stp>
        <stp>FQ4 1991</stp>
        <stp>[FA1_ftkzu3fn.xlsx]Income - Adjusted!R17C10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17" s="2"/>
      </tp>
      <tp>
        <v>0</v>
        <stp/>
        <stp>##V3_BDHV12</stp>
        <stp>XOM US Equity</stp>
        <stp>XO_GL_NET_OF_TAX</stp>
        <stp>FQ4 1991</stp>
        <stp>FQ4 1991</stp>
        <stp>[FA1_ftkzu3fn.xlsx]Income - Adjusted!R25C10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25" s="2"/>
      </tp>
      <tp>
        <v>0</v>
        <stp/>
        <stp>##V3_BDHV12</stp>
        <stp>XOM US Equity</stp>
        <stp>XO_GL_NET_OF_TAX</stp>
        <stp>FQ3 1995</stp>
        <stp>FQ3 1995</stp>
        <stp>[FA1_ftkzu3fn.xlsx]Income - Adjusted!R25C25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25" s="2"/>
      </tp>
      <tp>
        <v>0</v>
        <stp/>
        <stp>##V3_BDHV12</stp>
        <stp>XOM US Equity</stp>
        <stp>XO_GL_NET_OF_TAX</stp>
        <stp>FQ2 1994</stp>
        <stp>FQ2 1994</stp>
        <stp>[FA1_ftkzu3fn.xlsx]Income - Adjusted!R17C20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17" s="2"/>
      </tp>
      <tp>
        <v>0</v>
        <stp/>
        <stp>##V3_BDHV12</stp>
        <stp>XOM US Equity</stp>
        <stp>XO_GL_NET_OF_TAX</stp>
        <stp>FQ2 1994</stp>
        <stp>FQ2 1994</stp>
        <stp>[FA1_ftkzu3fn.xlsx]Income - Adjusted!R25C20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25" s="2"/>
      </tp>
      <tp>
        <v>0.35410000000000003</v>
        <stp/>
        <stp>##V3_BDHV12</stp>
        <stp>XOM US Equity</stp>
        <stp>CASH_FLOW_PER_SH</stp>
        <stp>FQ1 1990</stp>
        <stp>FQ1 1990</stp>
        <stp>[FA1_ftkzu3fn.xlsx]Per Share!R22C3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22" s="5"/>
      </tp>
      <tp>
        <v>0.83560000000000001</v>
        <stp/>
        <stp>##V3_BDHV12</stp>
        <stp>XOM US Equity</stp>
        <stp>CASH_FLOW_PER_SH</stp>
        <stp>FQ4 1990</stp>
        <stp>FQ4 1990</stp>
        <stp>[FA1_ftkzu3fn.xlsx]Per Share!R22C6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22" s="5"/>
      </tp>
      <tp>
        <v>3278</v>
        <stp/>
        <stp>##V3_BDHV12</stp>
        <stp>XOM US Equity</stp>
        <stp>EBIT</stp>
        <stp>FQ1 1991</stp>
        <stp>FQ1 1991</stp>
        <stp>[FA1_ftkzu3fn.xlsx]Income - Adjusted!R41C7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G41" s="2"/>
      </tp>
      <tp>
        <v>17257</v>
        <stp/>
        <stp>##V3_BDHV12</stp>
        <stp>XOM US Equity</stp>
        <stp>IS_COGS_TO_FE_AND_PP_AND_G</stp>
        <stp>FQ1 1996</stp>
        <stp>FQ1 1996</stp>
        <stp>[FA1_ftkzu3fn.xlsx]Income - Adjusted!R7C27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A7" s="2"/>
      </tp>
      <tp>
        <v>40436</v>
        <stp/>
        <stp>##V3_BDHV12</stp>
        <stp>XOM US Equity</stp>
        <stp>EQTY_BEF_MINORITY_INT_DETAILED</stp>
        <stp>FQ4 1995</stp>
        <stp>FQ4 1995</stp>
        <stp>[FA1_ftkzu3fn.xlsx]Bal Sheet - Standardized!R42C26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42" s="3"/>
      </tp>
      <tp>
        <v>37415</v>
        <stp/>
        <stp>##V3_BDHV12</stp>
        <stp>XOM US Equity</stp>
        <stp>EQTY_BEF_MINORITY_INT_DETAILED</stp>
        <stp>FQ4 1994</stp>
        <stp>FQ4 1994</stp>
        <stp>[FA1_ftkzu3fn.xlsx]Bal Sheet - Standardized!R42C22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42" s="3"/>
      </tp>
      <tp t="s">
        <v>—</v>
        <stp/>
        <stp>##V3_BDHV12</stp>
        <stp>XOM US Equity</stp>
        <stp>MINORITY_NONCONTROLLING_INTEREST</stp>
        <stp>FQ2 1994</stp>
        <stp>FQ2 1994</stp>
        <stp>[FA1_ftkzu3fn.xlsx]Bal Sheet - Standardized!R43C20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43" s="3"/>
      </tp>
      <tp>
        <v>0</v>
        <stp/>
        <stp>##V3_BDHV12</stp>
        <stp>XOM US Equity</stp>
        <stp>MINORITY_NONCONTROLLING_INTEREST</stp>
        <stp>FQ3 1997</stp>
        <stp>FQ3 1997</stp>
        <stp>[FA1_ftkzu3fn.xlsx]Bal Sheet - Standardized!R43C33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43" s="3"/>
      </tp>
      <tp>
        <v>0</v>
        <stp/>
        <stp>##V3_BDHV12</stp>
        <stp>XOM US Equity</stp>
        <stp>MINORITY_NONCONTROLLING_INTEREST</stp>
        <stp>FQ1 1993</stp>
        <stp>FQ1 1993</stp>
        <stp>[FA1_ftkzu3fn.xlsx]Bal Sheet - Standardized!R43C15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43" s="3"/>
      </tp>
      <tp t="s">
        <v>—</v>
        <stp/>
        <stp>##V3_BDHV12</stp>
        <stp>XOM US Equity</stp>
        <stp>MINORITY_NONCONTROLLING_INTEREST</stp>
        <stp>FQ1 1992</stp>
        <stp>FQ1 1992</stp>
        <stp>[FA1_ftkzu3fn.xlsx]Bal Sheet - Standardized!R43C11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43" s="3"/>
      </tp>
      <tp>
        <v>0</v>
        <stp/>
        <stp>##V3_BDHV12</stp>
        <stp>XOM US Equity</stp>
        <stp>MINORITY_NONCONTROLLING_INTEREST</stp>
        <stp>FQ2 1995</stp>
        <stp>FQ2 1995</stp>
        <stp>[FA1_ftkzu3fn.xlsx]Bal Sheet - Standardized!R43C24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43" s="3"/>
      </tp>
      <tp t="s">
        <v>—</v>
        <stp/>
        <stp>##V3_BDHV12</stp>
        <stp>XOM US Equity</stp>
        <stp>MINORITY_NONCONTROLLING_INTEREST</stp>
        <stp>FQ1 1994</stp>
        <stp>FQ1 1994</stp>
        <stp>[FA1_ftkzu3fn.xlsx]Bal Sheet - Standardized!R43C19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43" s="3"/>
      </tp>
      <tp>
        <v>0</v>
        <stp/>
        <stp>##V3_BDHV12</stp>
        <stp>XOM US Equity</stp>
        <stp>MINORITY_NONCONTROLLING_INTEREST</stp>
        <stp>FQ2 1996</stp>
        <stp>FQ2 1996</stp>
        <stp>[FA1_ftkzu3fn.xlsx]Bal Sheet - Standardized!R43C28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43" s="3"/>
      </tp>
      <tp>
        <v>4968</v>
        <stp/>
        <stp>##V3_BDHV12</stp>
        <stp>XOM US Equity</stp>
        <stp>BS_SH_OUT</stp>
        <stp>FQ3 1994</stp>
        <stp>FQ3 1994</stp>
        <stp>[FA1_ftkzu3fn.xlsx]Per Share!R6C21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6" s="5"/>
      </tp>
      <tp>
        <v>4965.6602000000003</v>
        <stp/>
        <stp>##V3_BDHV12</stp>
        <stp>XOM US Equity</stp>
        <stp>BS_SH_OUT</stp>
        <stp>FQ2 1994</stp>
        <stp>FQ2 1994</stp>
        <stp>[FA1_ftkzu3fn.xlsx]Per Share!R6C20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6" s="5"/>
      </tp>
      <tp t="s">
        <v>—</v>
        <stp/>
        <stp>##V3_BDHV12</stp>
        <stp>XOM US Equity</stp>
        <stp>FREE_CASH_FLOW_EQUITY</stp>
        <stp>FQ3 1991</stp>
        <stp>FQ3 1991</stp>
        <stp>[FA1_ftkzu3fn.xlsx]Cash Flow - Standardized!R42C9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42" s="4"/>
      </tp>
      <tp t="s">
        <v>—</v>
        <stp/>
        <stp>##V3_BDHV12</stp>
        <stp>XOM US Equity</stp>
        <stp>FREE_CASH_FLOW_EQUITY</stp>
        <stp>FQ2 1991</stp>
        <stp>FQ2 1991</stp>
        <stp>[FA1_ftkzu3fn.xlsx]Cash Flow - Standardized!R42C8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42" s="4"/>
      </tp>
      <tp t="s">
        <v>—</v>
        <stp/>
        <stp>##V3_BDHV12</stp>
        <stp>XOM US Equity</stp>
        <stp>EBITDA_MARGIN</stp>
        <stp>FQ2 1990</stp>
        <stp>FQ2 1990</stp>
        <stp>[FA1_ftkzu3fn.xlsx]Cash Flow - Standardized!R39C4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D39" s="4"/>
      </tp>
      <tp>
        <v>13.3825</v>
        <stp/>
        <stp>##V3_BDHV12</stp>
        <stp>XOM US Equity</stp>
        <stp>EBITDA_MARGIN</stp>
        <stp>FQ3 1991</stp>
        <stp>FQ3 1991</stp>
        <stp>[FA1_ftkzu3fn.xlsx]Cash Flow - Standardized!R39C9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I39" s="4"/>
      </tp>
      <tp t="s">
        <v>—</v>
        <stp/>
        <stp>##V3_BDHV12</stp>
        <stp>XOM US Equity</stp>
        <stp>FREE_CASH_FLOW_EQUITY</stp>
        <stp>FQ1 1991</stp>
        <stp>FQ1 1991</stp>
        <stp>[FA1_ftkzu3fn.xlsx]Cash Flow - Standardized!R42C7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42" s="4"/>
      </tp>
      <tp t="s">
        <v>—</v>
        <stp/>
        <stp>##V3_BDHV12</stp>
        <stp>XOM US Equity</stp>
        <stp>FREE_CASH_FLOW_EQUITY</stp>
        <stp>FQ2 1990</stp>
        <stp>FQ2 1990</stp>
        <stp>[FA1_ftkzu3fn.xlsx]Cash Flow - Standardized!R42C4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42" s="4"/>
      </tp>
      <tp t="s">
        <v>—</v>
        <stp/>
        <stp>##V3_BDHV12</stp>
        <stp>XOM US Equity</stp>
        <stp>FREE_CASH_FLOW_EQUITY</stp>
        <stp>FQ3 1990</stp>
        <stp>FQ3 1990</stp>
        <stp>[FA1_ftkzu3fn.xlsx]Cash Flow - Standardized!R42C5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42" s="4"/>
      </tp>
      <tp t="s">
        <v>—</v>
        <stp/>
        <stp>##V3_BDHV12</stp>
        <stp>XOM US Equity</stp>
        <stp>FREE_CASH_FLOW_EQUITY</stp>
        <stp>FQ4 1990</stp>
        <stp>FQ4 1990</stp>
        <stp>[FA1_ftkzu3fn.xlsx]Cash Flow - Standardized!R42C6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42" s="4"/>
      </tp>
      <tp t="s">
        <v>—</v>
        <stp/>
        <stp>##V3_BDHV12</stp>
        <stp>XOM US Equity</stp>
        <stp>FREE_CASH_FLOW_EQUITY</stp>
        <stp>FQ1 1990</stp>
        <stp>FQ1 1990</stp>
        <stp>[FA1_ftkzu3fn.xlsx]Cash Flow - Standardized!R42C3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42" s="4"/>
      </tp>
      <tp>
        <v>3681</v>
        <stp/>
        <stp>##V3_BDHV12</stp>
        <stp>XOM US Equity</stp>
        <stp>EBITDA</stp>
        <stp>FQ2 1995</stp>
        <stp>FQ2 1995</stp>
        <stp>[FA1_ftkzu3fn.xlsx]Income - Adjusted!R39C24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X39" s="2"/>
      </tp>
      <tp>
        <v>3089</v>
        <stp/>
        <stp>##V3_BDHV12</stp>
        <stp>XOM US Equity</stp>
        <stp>EBITDA</stp>
        <stp>FQ3 1992</stp>
        <stp>FQ3 1992</stp>
        <stp>[FA1_ftkzu3fn.xlsx]Income - Adjusted!R39C13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M39" s="2"/>
      </tp>
      <tp>
        <v>3697</v>
        <stp/>
        <stp>##V3_BDHV12</stp>
        <stp>XOM US Equity</stp>
        <stp>EBITDA</stp>
        <stp>FQ1 1996</stp>
        <stp>FQ1 1996</stp>
        <stp>[FA1_ftkzu3fn.xlsx]Income - Adjusted!R39C27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A39" s="2"/>
      </tp>
      <tp>
        <v>6587</v>
        <stp/>
        <stp>##V3_BDHV12</stp>
        <stp>XOM US Equity</stp>
        <stp>EBITDA</stp>
        <stp>FQ4 1991</stp>
        <stp>FQ4 1991</stp>
        <stp>[FA1_ftkzu3fn.xlsx]Income - Adjusted!R39C10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J39" s="2"/>
      </tp>
      <tp>
        <v>15.5229</v>
        <stp/>
        <stp>##V3_BDHV12</stp>
        <stp>XOM US Equity</stp>
        <stp>EBITDA_MARGIN</stp>
        <stp>FQ4 1994</stp>
        <stp>FQ4 1994</stp>
        <stp>[FA1_ftkzu3fn.xlsx]Cash Flow - Standardized!R39C22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V39" s="4"/>
      </tp>
      <tp>
        <v>12.325900000000001</v>
        <stp/>
        <stp>##V3_BDHV12</stp>
        <stp>XOM US Equity</stp>
        <stp>EBITDA_MARGIN</stp>
        <stp>FQ3 1994</stp>
        <stp>FQ3 1994</stp>
        <stp>[FA1_ftkzu3fn.xlsx]Cash Flow - Standardized!R39C21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U39" s="4"/>
      </tp>
      <tp>
        <v>12.721500000000001</v>
        <stp/>
        <stp>##V3_BDHV12</stp>
        <stp>XOM US Equity</stp>
        <stp>EBITDA_MARGIN</stp>
        <stp>FQ1 1994</stp>
        <stp>FQ1 1994</stp>
        <stp>[FA1_ftkzu3fn.xlsx]Cash Flow - Standardized!R39C19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S39" s="4"/>
      </tp>
      <tp>
        <v>12.467600000000001</v>
        <stp/>
        <stp>##V3_BDHV12</stp>
        <stp>XOM US Equity</stp>
        <stp>EBITDA_MARGIN</stp>
        <stp>FQ2 1994</stp>
        <stp>FQ2 1994</stp>
        <stp>[FA1_ftkzu3fn.xlsx]Cash Flow - Standardized!R39C20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T39" s="4"/>
      </tp>
      <tp>
        <v>1185</v>
        <stp/>
        <stp>##V3_BDHV12</stp>
        <stp>XOM US Equity</stp>
        <stp>NET_INCOME</stp>
        <stp>FQ1 1993</stp>
        <stp>FQ1 1993</stp>
        <stp>[FA1_ftkzu3fn.xlsx]Income - Adjusted!R20C15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O20" s="2"/>
      </tp>
      <tp>
        <v>1660</v>
        <stp/>
        <stp>##V3_BDHV12</stp>
        <stp>XOM US Equity</stp>
        <stp>NET_INCOME</stp>
        <stp>FQ1 1995</stp>
        <stp>FQ1 1995</stp>
        <stp>[FA1_ftkzu3fn.xlsx]Income - Adjusted!R20C23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W20" s="2"/>
      </tp>
      <tp>
        <v>2175</v>
        <stp/>
        <stp>##V3_BDHV12</stp>
        <stp>XOM US Equity</stp>
        <stp>NET_INCOME</stp>
        <stp>FQ1 1997</stp>
        <stp>FQ1 1997</stp>
        <stp>[FA1_ftkzu3fn.xlsx]Income - Adjusted!R20C31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E20" s="2"/>
      </tp>
      <tp>
        <v>1900</v>
        <stp/>
        <stp>##V3_BDHV12</stp>
        <stp>XOM US Equity</stp>
        <stp>NET_INCOME</stp>
        <stp>FQ4 1994</stp>
        <stp>FQ4 1994</stp>
        <stp>[FA1_ftkzu3fn.xlsx]Income - Adjusted!R20C22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V20" s="2"/>
      </tp>
      <tp>
        <v>2495</v>
        <stp/>
        <stp>##V3_BDHV12</stp>
        <stp>XOM US Equity</stp>
        <stp>NET_INCOME</stp>
        <stp>FQ4 1996</stp>
        <stp>FQ4 1996</stp>
        <stp>[FA1_ftkzu3fn.xlsx]Income - Adjusted!R20C30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D20" s="2"/>
      </tp>
      <tp>
        <v>1560</v>
        <stp/>
        <stp>##V3_BDHV12</stp>
        <stp>XOM US Equity</stp>
        <stp>NET_INCOME</stp>
        <stp>FQ4 1992</stp>
        <stp>FQ4 1992</stp>
        <stp>[FA1_ftkzu3fn.xlsx]Income - Adjusted!R20C14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N20" s="2"/>
      </tp>
      <tp>
        <v>0</v>
        <stp/>
        <stp>##V3_BDHV12</stp>
        <stp>XOM US Equity</stp>
        <stp>XO_GL_NET_OF_TAX</stp>
        <stp>FQ1 1996</stp>
        <stp>FQ1 1996</stp>
        <stp>[FA1_ftkzu3fn.xlsx]Income - Adjusted!R17C27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17" s="2"/>
      </tp>
      <tp>
        <v>0</v>
        <stp/>
        <stp>##V3_BDHV12</stp>
        <stp>XOM US Equity</stp>
        <stp>XO_GL_NET_OF_TAX</stp>
        <stp>FQ2 1995</stp>
        <stp>FQ2 1995</stp>
        <stp>[FA1_ftkzu3fn.xlsx]Income - Adjusted!R17C24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17" s="2"/>
      </tp>
      <tp>
        <v>0</v>
        <stp/>
        <stp>##V3_BDHV12</stp>
        <stp>XOM US Equity</stp>
        <stp>XO_GL_NET_OF_TAX</stp>
        <stp>FQ1 1996</stp>
        <stp>FQ1 1996</stp>
        <stp>[FA1_ftkzu3fn.xlsx]Income - Adjusted!R25C27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25" s="2"/>
      </tp>
      <tp>
        <v>0</v>
        <stp/>
        <stp>##V3_BDHV12</stp>
        <stp>XOM US Equity</stp>
        <stp>XO_GL_NET_OF_TAX</stp>
        <stp>FQ2 1995</stp>
        <stp>FQ2 1995</stp>
        <stp>[FA1_ftkzu3fn.xlsx]Income - Adjusted!R25C24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25" s="2"/>
      </tp>
      <tp>
        <v>0</v>
        <stp/>
        <stp>##V3_BDHV12</stp>
        <stp>XOM US Equity</stp>
        <stp>XO_GL_NET_OF_TAX</stp>
        <stp>FQ3 1994</stp>
        <stp>FQ3 1994</stp>
        <stp>[FA1_ftkzu3fn.xlsx]Income - Adjusted!R17C21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17" s="2"/>
      </tp>
      <tp>
        <v>0</v>
        <stp/>
        <stp>##V3_BDHV12</stp>
        <stp>XOM US Equity</stp>
        <stp>XO_GL_NET_OF_TAX</stp>
        <stp>FQ1 1997</stp>
        <stp>FQ1 1997</stp>
        <stp>[FA1_ftkzu3fn.xlsx]Income - Adjusted!R25C31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25" s="2"/>
      </tp>
      <tp>
        <v>0</v>
        <stp/>
        <stp>##V3_BDHV12</stp>
        <stp>XOM US Equity</stp>
        <stp>XO_GL_NET_OF_TAX</stp>
        <stp>FQ1 1997</stp>
        <stp>FQ1 1997</stp>
        <stp>[FA1_ftkzu3fn.xlsx]Income - Adjusted!R17C31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17" s="2"/>
      </tp>
      <tp>
        <v>0</v>
        <stp/>
        <stp>##V3_BDHV12</stp>
        <stp>XOM US Equity</stp>
        <stp>XO_GL_NET_OF_TAX</stp>
        <stp>FQ3 1994</stp>
        <stp>FQ3 1994</stp>
        <stp>[FA1_ftkzu3fn.xlsx]Income - Adjusted!R25C21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25" s="2"/>
      </tp>
      <tp>
        <v>4968.5240000000003</v>
        <stp/>
        <stp>##V3_BDHV12</stp>
        <stp>XOM US Equity</stp>
        <stp>EQY_SH_OUT</stp>
        <stp>FQ1 1996</stp>
        <stp>FQ1 1996</stp>
        <stp>[FA1_ftkzu3fn.xlsx]Stock Value!R13C27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13" s="6"/>
      </tp>
      <tp>
        <v>4968</v>
        <stp/>
        <stp>##V3_BDHV12</stp>
        <stp>XOM US Equity</stp>
        <stp>EQY_SH_OUT</stp>
        <stp>FQ2 1995</stp>
        <stp>FQ2 1995</stp>
        <stp>[FA1_ftkzu3fn.xlsx]Stock Value!R13C24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13" s="6"/>
      </tp>
      <tp>
        <v>4968</v>
        <stp/>
        <stp>##V3_BDHV12</stp>
        <stp>XOM US Equity</stp>
        <stp>EQY_SH_OUT</stp>
        <stp>FQ3 1995</stp>
        <stp>FQ3 1995</stp>
        <stp>[FA1_ftkzu3fn.xlsx]Stock Value!R13C25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13" s="6"/>
      </tp>
      <tp>
        <v>4968</v>
        <stp/>
        <stp>##V3_BDHV12</stp>
        <stp>XOM US Equity</stp>
        <stp>EQY_SH_OUT</stp>
        <stp>FQ4 1994</stp>
        <stp>FQ4 1994</stp>
        <stp>[FA1_ftkzu3fn.xlsx]Stock Value!R13C22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13" s="6"/>
      </tp>
      <tp>
        <v>1881</v>
        <stp/>
        <stp>##V3_BDHV12</stp>
        <stp>XOM US Equity</stp>
        <stp>EBIT</stp>
        <stp>FQ2 1990</stp>
        <stp>FQ2 1990</stp>
        <stp>[FA1_ftkzu3fn.xlsx]Income - Adjusted!R41C4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D41" s="2"/>
      </tp>
      <tp>
        <v>1963</v>
        <stp/>
        <stp>##V3_BDHV12</stp>
        <stp>XOM US Equity</stp>
        <stp>EBIT</stp>
        <stp>FQ3 1990</stp>
        <stp>FQ3 1990</stp>
        <stp>[FA1_ftkzu3fn.xlsx]Income - Adjusted!R41C5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E41" s="2"/>
      </tp>
      <tp>
        <v>910</v>
        <stp/>
        <stp>##V3_BDHV12</stp>
        <stp>XOM US Equity</stp>
        <stp>IS_INC_TAX_EXP</stp>
        <stp>FQ1 1990</stp>
        <stp>FQ1 1990</stp>
        <stp>[FA1_ftkzu3fn.xlsx]Income - Adjusted!R15C3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C15" s="2"/>
      </tp>
      <tp>
        <v>710</v>
        <stp/>
        <stp>##V3_BDHV12</stp>
        <stp>XOM US Equity</stp>
        <stp>IS_INC_TAX_EXP</stp>
        <stp>FQ4 1990</stp>
        <stp>FQ4 1990</stp>
        <stp>[FA1_ftkzu3fn.xlsx]Income - Adjusted!R15C6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F15" s="2"/>
      </tp>
      <tp>
        <v>2459</v>
        <stp/>
        <stp>##V3_BDHV12</stp>
        <stp>XOM US Equity</stp>
        <stp>OTHER_CURRENT_LIABS_SUB_DETAILED</stp>
        <stp>FQ1 1995</stp>
        <stp>FQ1 1995</stp>
        <stp>[FA1_ftkzu3fn.xlsx]Bal Sheet - Standardized!R30C23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30" s="3"/>
      </tp>
      <tp>
        <v>2027</v>
        <stp/>
        <stp>##V3_BDHV12</stp>
        <stp>XOM US Equity</stp>
        <stp>OTHER_CURRENT_LIABS_SUB_DETAILED</stp>
        <stp>FQ2 1993</stp>
        <stp>FQ2 1993</stp>
        <stp>[FA1_ftkzu3fn.xlsx]Bal Sheet - Standardized!R30C16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30" s="3"/>
      </tp>
      <tp>
        <v>3012</v>
        <stp/>
        <stp>##V3_BDHV12</stp>
        <stp>XOM US Equity</stp>
        <stp>OTHER_CURRENT_LIABS_SUB_DETAILED</stp>
        <stp>FQ1 1996</stp>
        <stp>FQ1 1996</stp>
        <stp>[FA1_ftkzu3fn.xlsx]Bal Sheet - Standardized!R30C27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30" s="3"/>
      </tp>
      <tp>
        <v>1918</v>
        <stp/>
        <stp>##V3_BDHV12</stp>
        <stp>XOM US Equity</stp>
        <stp>OTHER_CURRENT_LIABS_SUB_DETAILED</stp>
        <stp>FQ2 1992</stp>
        <stp>FQ2 1992</stp>
        <stp>[FA1_ftkzu3fn.xlsx]Bal Sheet - Standardized!R30C12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30" s="3"/>
      </tp>
      <tp>
        <v>16944</v>
        <stp/>
        <stp>##V3_BDHV12</stp>
        <stp>XOM US Equity</stp>
        <stp>BS_AMT_OF_TSY_STOCK</stp>
        <stp>FQ2 1993</stp>
        <stp>FQ2 1993</stp>
        <stp>[FA1_ftkzu3fn.xlsx]Bal Sheet - Standardized!R40C16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40" s="3"/>
      </tp>
      <tp>
        <v>17010</v>
        <stp/>
        <stp>##V3_BDHV12</stp>
        <stp>XOM US Equity</stp>
        <stp>BS_AMT_OF_TSY_STOCK</stp>
        <stp>FQ1 1995</stp>
        <stp>FQ1 1995</stp>
        <stp>[FA1_ftkzu3fn.xlsx]Bal Sheet - Standardized!R40C23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40" s="3"/>
      </tp>
      <tp>
        <v>17246</v>
        <stp/>
        <stp>##V3_BDHV12</stp>
        <stp>XOM US Equity</stp>
        <stp>BS_AMT_OF_TSY_STOCK</stp>
        <stp>FQ1 1996</stp>
        <stp>FQ1 1996</stp>
        <stp>[FA1_ftkzu3fn.xlsx]Bal Sheet - Standardized!R40C27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40" s="3"/>
      </tp>
      <tp>
        <v>16843</v>
        <stp/>
        <stp>##V3_BDHV12</stp>
        <stp>XOM US Equity</stp>
        <stp>BS_AMT_OF_TSY_STOCK</stp>
        <stp>FQ2 1992</stp>
        <stp>FQ2 1992</stp>
        <stp>[FA1_ftkzu3fn.xlsx]Bal Sheet - Standardized!R40C12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40" s="3"/>
      </tp>
      <tp t="s">
        <v>—</v>
        <stp/>
        <stp>##V3_BDHV12</stp>
        <stp>XOM US Equity</stp>
        <stp>PX_TO_FREE_CASH_FLOW</stp>
        <stp>FQ1 1991</stp>
        <stp>FQ1 1991</stp>
        <stp>[FA1_ftkzu3fn.xlsx]Cash Flow - Standardized!R44C7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44" s="4"/>
      </tp>
      <tp t="s">
        <v>—</v>
        <stp/>
        <stp>##V3_BDHV12</stp>
        <stp>XOM US Equity</stp>
        <stp>PX_TO_FREE_CASH_FLOW</stp>
        <stp>FQ2 1990</stp>
        <stp>FQ2 1990</stp>
        <stp>[FA1_ftkzu3fn.xlsx]Cash Flow - Standardized!R44C4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44" s="4"/>
      </tp>
      <tp t="s">
        <v>—</v>
        <stp/>
        <stp>##V3_BDHV12</stp>
        <stp>XOM US Equity</stp>
        <stp>PX_TO_FREE_CASH_FLOW</stp>
        <stp>FQ3 1990</stp>
        <stp>FQ3 1990</stp>
        <stp>[FA1_ftkzu3fn.xlsx]Cash Flow - Standardized!R44C5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44" s="4"/>
      </tp>
      <tp>
        <v>8596</v>
        <stp/>
        <stp>##V3_BDHV12</stp>
        <stp>XOM US Equity</stp>
        <stp>GROSS_PROFIT</stp>
        <stp>FQ3 1993</stp>
        <stp>FQ3 1993</stp>
        <stp>[FA1_ftkzu3fn.xlsx]Income - Adjusted!R8C17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Q8" s="2"/>
      </tp>
      <tp>
        <v>8557</v>
        <stp/>
        <stp>##V3_BDHV12</stp>
        <stp>XOM US Equity</stp>
        <stp>GROSS_PROFIT</stp>
        <stp>FQ2 1993</stp>
        <stp>FQ2 1993</stp>
        <stp>[FA1_ftkzu3fn.xlsx]Income - Adjusted!R8C16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P8" s="2"/>
      </tp>
      <tp>
        <v>8040</v>
        <stp/>
        <stp>##V3_BDHV12</stp>
        <stp>XOM US Equity</stp>
        <stp>GROSS_PROFIT</stp>
        <stp>FQ1 1993</stp>
        <stp>FQ1 1993</stp>
        <stp>[FA1_ftkzu3fn.xlsx]Income - Adjusted!R8C15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O8" s="2"/>
      </tp>
      <tp>
        <v>10441</v>
        <stp/>
        <stp>##V3_BDHV12</stp>
        <stp>XOM US Equity</stp>
        <stp>GROSS_PROFIT</stp>
        <stp>FQ1 1997</stp>
        <stp>FQ1 1997</stp>
        <stp>[FA1_ftkzu3fn.xlsx]Income - Adjusted!R8C31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E8" s="2"/>
      </tp>
      <tp>
        <v>10661</v>
        <stp/>
        <stp>##V3_BDHV12</stp>
        <stp>XOM US Equity</stp>
        <stp>GROSS_PROFIT</stp>
        <stp>FQ3 1997</stp>
        <stp>FQ3 1997</stp>
        <stp>[FA1_ftkzu3fn.xlsx]Income - Adjusted!R8C33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G8" s="2"/>
      </tp>
      <tp>
        <v>10431</v>
        <stp/>
        <stp>##V3_BDHV12</stp>
        <stp>XOM US Equity</stp>
        <stp>GROSS_PROFIT</stp>
        <stp>FQ2 1997</stp>
        <stp>FQ2 1997</stp>
        <stp>[FA1_ftkzu3fn.xlsx]Income - Adjusted!R8C32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F8" s="2"/>
      </tp>
      <tp>
        <v>13476</v>
        <stp/>
        <stp>##V3_BDHV12</stp>
        <stp>XOM US Equity</stp>
        <stp>GROSS_PROFIT</stp>
        <stp>FQ4 1997</stp>
        <stp>FQ4 1997</stp>
        <stp>[FA1_ftkzu3fn.xlsx]Income - Adjusted!R8C34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H8" s="2"/>
      </tp>
      <tp>
        <v>9509</v>
        <stp/>
        <stp>##V3_BDHV12</stp>
        <stp>XOM US Equity</stp>
        <stp>GROSS_PROFIT</stp>
        <stp>FQ1 1995</stp>
        <stp>FQ1 1995</stp>
        <stp>[FA1_ftkzu3fn.xlsx]Income - Adjusted!R8C23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W8" s="2"/>
      </tp>
      <tp>
        <v>14617</v>
        <stp/>
        <stp>##V3_BDHV12</stp>
        <stp>XOM US Equity</stp>
        <stp>GROSS_PROFIT</stp>
        <stp>FQ4 1995</stp>
        <stp>FQ4 1995</stp>
        <stp>[FA1_ftkzu3fn.xlsx]Income - Adjusted!R8C26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Z8" s="2"/>
      </tp>
      <tp>
        <v>2652</v>
        <stp/>
        <stp>##V3_BDHV12</stp>
        <stp>XOM US Equity</stp>
        <stp>OTHER_CURRENT_LIABS_SUB_DETAILED</stp>
        <stp>FQ1 1997</stp>
        <stp>FQ1 1997</stp>
        <stp>[FA1_ftkzu3fn.xlsx]Bal Sheet - Standardized!R30C31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30" s="3"/>
      </tp>
      <tp>
        <v>2451</v>
        <stp/>
        <stp>##V3_BDHV12</stp>
        <stp>XOM US Equity</stp>
        <stp>OTHER_CURRENT_LIABS_SUB_DETAILED</stp>
        <stp>FQ3 1993</stp>
        <stp>FQ3 1993</stp>
        <stp>[FA1_ftkzu3fn.xlsx]Bal Sheet - Standardized!R30C17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30" s="3"/>
      </tp>
      <tp>
        <v>2086</v>
        <stp/>
        <stp>##V3_BDHV12</stp>
        <stp>XOM US Equity</stp>
        <stp>OTHER_CURRENT_LIABS_SUB_DETAILED</stp>
        <stp>FQ3 1992</stp>
        <stp>FQ3 1992</stp>
        <stp>[FA1_ftkzu3fn.xlsx]Bal Sheet - Standardized!R30C13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30" s="3"/>
      </tp>
      <tp>
        <v>2250</v>
        <stp/>
        <stp>##V3_BDHV12</stp>
        <stp>XOM US Equity</stp>
        <stp>OTHER_CURRENT_LIABS_SUB_DETAILED</stp>
        <stp>FQ1 1998</stp>
        <stp>FQ1 1998</stp>
        <stp>[FA1_ftkzu3fn.xlsx]Bal Sheet - Standardized!R30C35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30" s="3"/>
      </tp>
      <tp>
        <v>10475</v>
        <stp/>
        <stp>##V3_BDHV12</stp>
        <stp>XOM US Equity</stp>
        <stp>BS_AMT_OF_TSY_STOCK</stp>
        <stp>FQ1 1998</stp>
        <stp>FQ1 1998</stp>
        <stp>[FA1_ftkzu3fn.xlsx]Bal Sheet - Standardized!R40C35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40" s="3"/>
      </tp>
      <tp>
        <v>16965</v>
        <stp/>
        <stp>##V3_BDHV12</stp>
        <stp>XOM US Equity</stp>
        <stp>BS_AMT_OF_TSY_STOCK</stp>
        <stp>FQ3 1993</stp>
        <stp>FQ3 1993</stp>
        <stp>[FA1_ftkzu3fn.xlsx]Bal Sheet - Standardized!R40C17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40" s="3"/>
      </tp>
      <tp>
        <v>7798</v>
        <stp/>
        <stp>##V3_BDHV12</stp>
        <stp>XOM US Equity</stp>
        <stp>BS_AMT_OF_TSY_STOCK</stp>
        <stp>FQ1 1997</stp>
        <stp>FQ1 1997</stp>
        <stp>[FA1_ftkzu3fn.xlsx]Bal Sheet - Standardized!R40C31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40" s="3"/>
      </tp>
      <tp>
        <v>16873</v>
        <stp/>
        <stp>##V3_BDHV12</stp>
        <stp>XOM US Equity</stp>
        <stp>BS_AMT_OF_TSY_STOCK</stp>
        <stp>FQ3 1992</stp>
        <stp>FQ3 1992</stp>
        <stp>[FA1_ftkzu3fn.xlsx]Bal Sheet - Standardized!R40C13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40" s="3"/>
      </tp>
      <tp>
        <v>223</v>
        <stp/>
        <stp>##V3_BDHV12</stp>
        <stp>XOM US Equity</stp>
        <stp>IS_INT_EXPENSE</stp>
        <stp>FQ1 1992</stp>
        <stp>FQ1 1992</stp>
        <stp>[FA1_ftkzu3fn.xlsx]Income - Adjusted!R11C11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K11" s="2"/>
      </tp>
      <tp>
        <v>132</v>
        <stp/>
        <stp>##V3_BDHV12</stp>
        <stp>XOM US Equity</stp>
        <stp>IS_INT_EXPENSE</stp>
        <stp>FQ4 1997</stp>
        <stp>FQ4 1997</stp>
        <stp>[FA1_ftkzu3fn.xlsx]Income - Adjusted!R11C34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H11" s="2"/>
      </tp>
      <tp>
        <v>60</v>
        <stp/>
        <stp>##V3_BDHV12</stp>
        <stp>XOM US Equity</stp>
        <stp>IS_INT_EXPENSE</stp>
        <stp>FQ4 1995</stp>
        <stp>FQ4 1995</stp>
        <stp>[FA1_ftkzu3fn.xlsx]Income - Adjusted!R11C26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Z11" s="2"/>
      </tp>
      <tp>
        <v>75917.25</v>
        <stp/>
        <stp>##V3_BDHV12</stp>
        <stp>XOM US Equity</stp>
        <stp>HISTORICAL_MARKET_CAP</stp>
        <stp>FQ4 1992</stp>
        <stp>FQ4 1992</stp>
        <stp>[FA1_ftkzu3fn.xlsx]Stock Value!R12C14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12" s="6"/>
      </tp>
      <tp>
        <v>76817.8125</v>
        <stp/>
        <stp>##V3_BDHV12</stp>
        <stp>XOM US Equity</stp>
        <stp>HISTORICAL_MARKET_CAP</stp>
        <stp>FQ2 1992</stp>
        <stp>FQ2 1992</stp>
        <stp>[FA1_ftkzu3fn.xlsx]Stock Value!R12C12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12" s="6"/>
      </tp>
      <tp>
        <v>79300.8125</v>
        <stp/>
        <stp>##V3_BDHV12</stp>
        <stp>XOM US Equity</stp>
        <stp>HISTORICAL_MARKET_CAP</stp>
        <stp>FQ3 1992</stp>
        <stp>FQ3 1992</stp>
        <stp>[FA1_ftkzu3fn.xlsx]Stock Value!R12C13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12" s="6"/>
      </tp>
      <tp>
        <v>67967.854300000006</v>
        <stp/>
        <stp>##V3_BDHV12</stp>
        <stp>XOM US Equity</stp>
        <stp>HISTORICAL_MARKET_CAP</stp>
        <stp>FQ1 1992</stp>
        <stp>FQ1 1992</stp>
        <stp>[FA1_ftkzu3fn.xlsx]Stock Value!R12C11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12" s="6"/>
      </tp>
      <tp>
        <v>75606.75</v>
        <stp/>
        <stp>##V3_BDHV12</stp>
        <stp>XOM US Equity</stp>
        <stp>HISTORICAL_MARKET_CAP</stp>
        <stp>FQ4 1991</stp>
        <stp>FQ4 1991</stp>
        <stp>[FA1_ftkzu3fn.xlsx]Stock Value!R12C10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12" s="6"/>
      </tp>
      <tp>
        <v>81351</v>
        <stp/>
        <stp>##V3_BDHV12</stp>
        <stp>XOM US Equity</stp>
        <stp>HISTORICAL_MARKET_CAP</stp>
        <stp>FQ3 1993</stp>
        <stp>FQ3 1993</stp>
        <stp>[FA1_ftkzu3fn.xlsx]Stock Value!R12C17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12" s="6"/>
      </tp>
      <tp>
        <v>82127.25</v>
        <stp/>
        <stp>##V3_BDHV12</stp>
        <stp>XOM US Equity</stp>
        <stp>HISTORICAL_MARKET_CAP</stp>
        <stp>FQ2 1993</stp>
        <stp>FQ2 1993</stp>
        <stp>[FA1_ftkzu3fn.xlsx]Stock Value!R12C16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12" s="6"/>
      </tp>
      <tp>
        <v>82127.25</v>
        <stp/>
        <stp>##V3_BDHV12</stp>
        <stp>XOM US Equity</stp>
        <stp>HISTORICAL_MARKET_CAP</stp>
        <stp>FQ1 1993</stp>
        <stp>FQ1 1993</stp>
        <stp>[FA1_ftkzu3fn.xlsx]Stock Value!R12C15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12" s="6"/>
      </tp>
      <tp>
        <v>78090.75</v>
        <stp/>
        <stp>##V3_BDHV12</stp>
        <stp>XOM US Equity</stp>
        <stp>HISTORICAL_MARKET_CAP</stp>
        <stp>FQ1 1994</stp>
        <stp>FQ1 1994</stp>
        <stp>[FA1_ftkzu3fn.xlsx]Stock Value!R12C19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12" s="6"/>
      </tp>
      <tp>
        <v>78401.25</v>
        <stp/>
        <stp>##V3_BDHV12</stp>
        <stp>XOM US Equity</stp>
        <stp>HISTORICAL_MARKET_CAP</stp>
        <stp>FQ4 1993</stp>
        <stp>FQ4 1993</stp>
        <stp>[FA1_ftkzu3fn.xlsx]Stock Value!R12C18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12" s="6"/>
      </tp>
      <tp>
        <v>8381</v>
        <stp/>
        <stp>##V3_BDHV12</stp>
        <stp>XOM US Equity</stp>
        <stp>GROSS_PROFIT</stp>
        <stp>FQ2 1994</stp>
        <stp>FQ2 1994</stp>
        <stp>[FA1_ftkzu3fn.xlsx]Income - Adjusted!R8C20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T8" s="2"/>
      </tp>
      <tp>
        <v>9406</v>
        <stp/>
        <stp>##V3_BDHV12</stp>
        <stp>XOM US Equity</stp>
        <stp>GROSS_PROFIT</stp>
        <stp>FQ3 1994</stp>
        <stp>FQ3 1994</stp>
        <stp>[FA1_ftkzu3fn.xlsx]Income - Adjusted!R8C21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U8" s="2"/>
      </tp>
      <tp>
        <v>1834</v>
        <stp/>
        <stp>##V3_BDHV12</stp>
        <stp>XOM US Equity</stp>
        <stp>PRETAX_INC</stp>
        <stp>FQ2 1991</stp>
        <stp>FQ2 1991</stp>
        <stp>[FA1_ftkzu3fn.xlsx]Income - Adjusted!R13C8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H13" s="2"/>
      </tp>
      <tp>
        <v>1645</v>
        <stp/>
        <stp>##V3_BDHV12</stp>
        <stp>XOM US Equity</stp>
        <stp>PRETAX_INC</stp>
        <stp>FQ3 1991</stp>
        <stp>FQ3 1991</stp>
        <stp>[FA1_ftkzu3fn.xlsx]Income - Adjusted!R13C9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I13" s="2"/>
      </tp>
      <tp>
        <v>2226</v>
        <stp/>
        <stp>##V3_BDHV12</stp>
        <stp>XOM US Equity</stp>
        <stp>OTHER_CURRENT_LIABS_SUB_DETAILED</stp>
        <stp>FQ3 1994</stp>
        <stp>FQ3 1994</stp>
        <stp>[FA1_ftkzu3fn.xlsx]Bal Sheet - Standardized!R30C21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30" s="3"/>
      </tp>
      <tp>
        <v>2398</v>
        <stp/>
        <stp>##V3_BDHV12</stp>
        <stp>XOM US Equity</stp>
        <stp>OTHER_CURRENT_LIABS_SUB_DETAILED</stp>
        <stp>FQ2 1997</stp>
        <stp>FQ2 1997</stp>
        <stp>[FA1_ftkzu3fn.xlsx]Bal Sheet - Standardized!R30C32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30" s="3"/>
      </tp>
      <tp>
        <v>2477</v>
        <stp/>
        <stp>##V3_BDHV12</stp>
        <stp>XOM US Equity</stp>
        <stp>OTHER_CURRENT_LIABS_SUB_DETAILED</stp>
        <stp>FQ3 1995</stp>
        <stp>FQ3 1995</stp>
        <stp>[FA1_ftkzu3fn.xlsx]Bal Sheet - Standardized!R30C25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30" s="3"/>
      </tp>
      <tp>
        <v>1695</v>
        <stp/>
        <stp>##V3_BDHV12</stp>
        <stp>XOM US Equity</stp>
        <stp>OTHER_CURRENT_LIABS_SUB_DETAILED</stp>
        <stp>FQ2 1998</stp>
        <stp>FQ2 1998</stp>
        <stp>[FA1_ftkzu3fn.xlsx]Bal Sheet - Standardized!R30C36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30" s="3"/>
      </tp>
      <tp>
        <v>2959</v>
        <stp/>
        <stp>##V3_BDHV12</stp>
        <stp>XOM US Equity</stp>
        <stp>OTHER_CURRENT_LIABS_SUB_DETAILED</stp>
        <stp>FQ3 1996</stp>
        <stp>FQ3 1996</stp>
        <stp>[FA1_ftkzu3fn.xlsx]Bal Sheet - Standardized!R30C29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30" s="3"/>
      </tp>
      <tp>
        <v>11264</v>
        <stp/>
        <stp>##V3_BDHV12</stp>
        <stp>XOM US Equity</stp>
        <stp>BS_AMT_OF_TSY_STOCK</stp>
        <stp>FQ2 1998</stp>
        <stp>FQ2 1998</stp>
        <stp>[FA1_ftkzu3fn.xlsx]Bal Sheet - Standardized!R40C36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40" s="3"/>
      </tp>
      <tp>
        <v>17406</v>
        <stp/>
        <stp>##V3_BDHV12</stp>
        <stp>XOM US Equity</stp>
        <stp>BS_AMT_OF_TSY_STOCK</stp>
        <stp>FQ3 1996</stp>
        <stp>FQ3 1996</stp>
        <stp>[FA1_ftkzu3fn.xlsx]Bal Sheet - Standardized!R40C29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40" s="3"/>
      </tp>
      <tp>
        <v>17027</v>
        <stp/>
        <stp>##V3_BDHV12</stp>
        <stp>XOM US Equity</stp>
        <stp>BS_AMT_OF_TSY_STOCK</stp>
        <stp>FQ3 1994</stp>
        <stp>FQ3 1994</stp>
        <stp>[FA1_ftkzu3fn.xlsx]Bal Sheet - Standardized!R40C21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40" s="3"/>
      </tp>
      <tp>
        <v>8483</v>
        <stp/>
        <stp>##V3_BDHV12</stp>
        <stp>XOM US Equity</stp>
        <stp>BS_AMT_OF_TSY_STOCK</stp>
        <stp>FQ2 1997</stp>
        <stp>FQ2 1997</stp>
        <stp>[FA1_ftkzu3fn.xlsx]Bal Sheet - Standardized!R40C32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40" s="3"/>
      </tp>
      <tp>
        <v>17150</v>
        <stp/>
        <stp>##V3_BDHV12</stp>
        <stp>XOM US Equity</stp>
        <stp>BS_AMT_OF_TSY_STOCK</stp>
        <stp>FQ3 1995</stp>
        <stp>FQ3 1995</stp>
        <stp>[FA1_ftkzu3fn.xlsx]Bal Sheet - Standardized!R40C25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40" s="3"/>
      </tp>
      <tp t="s">
        <v>—</v>
        <stp/>
        <stp>##V3_BDHV12</stp>
        <stp>XOM US Equity</stp>
        <stp>PROC_FR_REPURCH_EQTY_DETAILED</stp>
        <stp>FQ3 1991</stp>
        <stp>FQ3 1991</stp>
        <stp>[FA1_ftkzu3fn.xlsx]Cash Flow - Standardized!R28C9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8" s="4"/>
      </tp>
      <tp t="s">
        <v>—</v>
        <stp/>
        <stp>##V3_BDHV12</stp>
        <stp>XOM US Equity</stp>
        <stp>PROC_FR_REPURCH_EQTY_DETAILED</stp>
        <stp>FQ2 1991</stp>
        <stp>FQ2 1991</stp>
        <stp>[FA1_ftkzu3fn.xlsx]Cash Flow - Standardized!R28C8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8" s="4"/>
      </tp>
      <tp t="s">
        <v>—</v>
        <stp/>
        <stp>##V3_BDHV12</stp>
        <stp>XOM US Equity</stp>
        <stp>PROC_FR_REPURCH_EQTY_DETAILED</stp>
        <stp>FQ1 1990</stp>
        <stp>FQ1 1990</stp>
        <stp>[FA1_ftkzu3fn.xlsx]Cash Flow - Standardized!R28C3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8" s="4"/>
      </tp>
      <tp t="s">
        <v>—</v>
        <stp/>
        <stp>##V3_BDHV12</stp>
        <stp>XOM US Equity</stp>
        <stp>PROC_FR_REPURCH_EQTY_DETAILED</stp>
        <stp>FQ4 1990</stp>
        <stp>FQ4 1990</stp>
        <stp>[FA1_ftkzu3fn.xlsx]Cash Flow - Standardized!R28C6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8" s="4"/>
      </tp>
      <tp t="s">
        <v>—</v>
        <stp/>
        <stp>##V3_BDHV12</stp>
        <stp>XOM US Equity</stp>
        <stp>PROC_FR_REPURCH_EQTY_DETAILED</stp>
        <stp>FQ1 1991</stp>
        <stp>FQ1 1991</stp>
        <stp>[FA1_ftkzu3fn.xlsx]Cash Flow - Standardized!R28C7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8" s="4"/>
      </tp>
      <tp t="s">
        <v>—</v>
        <stp/>
        <stp>##V3_BDHV12</stp>
        <stp>XOM US Equity</stp>
        <stp>PROC_FR_REPURCH_EQTY_DETAILED</stp>
        <stp>FQ2 1990</stp>
        <stp>FQ2 1990</stp>
        <stp>[FA1_ftkzu3fn.xlsx]Cash Flow - Standardized!R28C4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8" s="4"/>
      </tp>
      <tp t="s">
        <v>—</v>
        <stp/>
        <stp>##V3_BDHV12</stp>
        <stp>XOM US Equity</stp>
        <stp>PROC_FR_REPURCH_EQTY_DETAILED</stp>
        <stp>FQ3 1990</stp>
        <stp>FQ3 1990</stp>
        <stp>[FA1_ftkzu3fn.xlsx]Cash Flow - Standardized!R28C5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8" s="4"/>
      </tp>
      <tp>
        <v>192</v>
        <stp/>
        <stp>##V3_BDHV12</stp>
        <stp>XOM US Equity</stp>
        <stp>IS_INT_EXPENSE</stp>
        <stp>FQ3 1995</stp>
        <stp>FQ3 1995</stp>
        <stp>[FA1_ftkzu3fn.xlsx]Income - Adjusted!R11C25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Y11" s="2"/>
      </tp>
      <tp>
        <v>194</v>
        <stp/>
        <stp>##V3_BDHV12</stp>
        <stp>XOM US Equity</stp>
        <stp>IS_INT_EXPENSE</stp>
        <stp>FQ2 1992</stp>
        <stp>FQ2 1992</stp>
        <stp>[FA1_ftkzu3fn.xlsx]Income - Adjusted!R11C12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L11" s="2"/>
      </tp>
      <tp>
        <v>82748.25</v>
        <stp/>
        <stp>##V3_BDHV12</stp>
        <stp>XOM US Equity</stp>
        <stp>HISTORICAL_MARKET_CAP</stp>
        <stp>FQ1 1995</stp>
        <stp>FQ1 1995</stp>
        <stp>[FA1_ftkzu3fn.xlsx]Stock Value!R12C23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12" s="6"/>
      </tp>
      <tp>
        <v>70450.303499999995</v>
        <stp/>
        <stp>##V3_BDHV12</stp>
        <stp>XOM US Equity</stp>
        <stp>HISTORICAL_MARKET_CAP</stp>
        <stp>FQ2 1994</stp>
        <stp>FQ2 1994</stp>
        <stp>[FA1_ftkzu3fn.xlsx]Stock Value!R12C20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12" s="6"/>
      </tp>
      <tp>
        <v>71415</v>
        <stp/>
        <stp>##V3_BDHV12</stp>
        <stp>XOM US Equity</stp>
        <stp>HISTORICAL_MARKET_CAP</stp>
        <stp>FQ3 1994</stp>
        <stp>FQ3 1994</stp>
        <stp>[FA1_ftkzu3fn.xlsx]Stock Value!R12C21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12" s="6"/>
      </tp>
      <tp>
        <v>99991.543999999994</v>
        <stp/>
        <stp>##V3_BDHV12</stp>
        <stp>XOM US Equity</stp>
        <stp>HISTORICAL_MARKET_CAP</stp>
        <stp>FQ4 1995</stp>
        <stp>FQ4 1995</stp>
        <stp>[FA1_ftkzu3fn.xlsx]Stock Value!R12C26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12" s="6"/>
      </tp>
      <tp>
        <v>89711.233999999997</v>
        <stp/>
        <stp>##V3_BDHV12</stp>
        <stp>XOM US Equity</stp>
        <stp>HISTORICAL_MARKET_CAP</stp>
        <stp>FQ3 1995</stp>
        <stp>FQ3 1995</stp>
        <stp>[FA1_ftkzu3fn.xlsx]Stock Value!R12C25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12" s="6"/>
      </tp>
      <tp>
        <v>101229.19809999999</v>
        <stp/>
        <stp>##V3_BDHV12</stp>
        <stp>XOM US Equity</stp>
        <stp>HISTORICAL_MARKET_CAP</stp>
        <stp>FQ1 1996</stp>
        <stp>FQ1 1996</stp>
        <stp>[FA1_ftkzu3fn.xlsx]Stock Value!R12C27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12" s="6"/>
      </tp>
      <tp>
        <v>87716.25</v>
        <stp/>
        <stp>##V3_BDHV12</stp>
        <stp>XOM US Equity</stp>
        <stp>HISTORICAL_MARKET_CAP</stp>
        <stp>FQ2 1995</stp>
        <stp>FQ2 1995</stp>
        <stp>[FA1_ftkzu3fn.xlsx]Stock Value!R12C24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12" s="6"/>
      </tp>
      <tp>
        <v>75451.5</v>
        <stp/>
        <stp>##V3_BDHV12</stp>
        <stp>XOM US Equity</stp>
        <stp>HISTORICAL_MARKET_CAP</stp>
        <stp>FQ4 1994</stp>
        <stp>FQ4 1994</stp>
        <stp>[FA1_ftkzu3fn.xlsx]Stock Value!R12C22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12" s="6"/>
      </tp>
      <tp>
        <v>107885.7166</v>
        <stp/>
        <stp>##V3_BDHV12</stp>
        <stp>XOM US Equity</stp>
        <stp>HISTORICAL_MARKET_CAP</stp>
        <stp>FQ2 1996</stp>
        <stp>FQ2 1996</stp>
        <stp>[FA1_ftkzu3fn.xlsx]Stock Value!R12C28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12" s="6"/>
      </tp>
      <tp>
        <v>103378.2687</v>
        <stp/>
        <stp>##V3_BDHV12</stp>
        <stp>XOM US Equity</stp>
        <stp>HISTORICAL_MARKET_CAP</stp>
        <stp>FQ3 1996</stp>
        <stp>FQ3 1996</stp>
        <stp>[FA1_ftkzu3fn.xlsx]Stock Value!R12C29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12" s="6"/>
      </tp>
      <tp t="s">
        <v>—</v>
        <stp/>
        <stp>##V3_BDHV12</stp>
        <stp>XOM US Equity</stp>
        <stp>IS_FOREIGN_EXCH_LOSS</stp>
        <stp>FQ2 1991</stp>
        <stp>FQ2 1991</stp>
        <stp>[FA1_ftkzu3fn.xlsx]Income - Adjusted!R12C8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H12" s="2"/>
      </tp>
      <tp t="s">
        <v>—</v>
        <stp/>
        <stp>##V3_BDHV12</stp>
        <stp>XOM US Equity</stp>
        <stp>IS_FOREIGN_EXCH_LOSS</stp>
        <stp>FQ3 1991</stp>
        <stp>FQ3 1991</stp>
        <stp>[FA1_ftkzu3fn.xlsx]Income - Adjusted!R12C9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I12" s="2"/>
      </tp>
      <tp>
        <v>13423</v>
        <stp/>
        <stp>##V3_BDHV12</stp>
        <stp>XOM US Equity</stp>
        <stp>GROSS_PROFIT</stp>
        <stp>FQ4 1991</stp>
        <stp>FQ4 1991</stp>
        <stp>[FA1_ftkzu3fn.xlsx]Income - Adjusted!R8C10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J8" s="2"/>
      </tp>
      <tp>
        <v>7212</v>
        <stp/>
        <stp>##V3_BDHV12</stp>
        <stp>XOM US Equity</stp>
        <stp>IS_OPERATING_EXPN</stp>
        <stp>FQ2 1991</stp>
        <stp>FQ2 1991</stp>
        <stp>[FA1_ftkzu3fn.xlsx]Income - Adjusted!R9C8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H9" s="2"/>
      </tp>
      <tp>
        <v>7157</v>
        <stp/>
        <stp>##V3_BDHV12</stp>
        <stp>XOM US Equity</stp>
        <stp>IS_OPERATING_EXPN</stp>
        <stp>FQ3 1991</stp>
        <stp>FQ3 1991</stp>
        <stp>[FA1_ftkzu3fn.xlsx]Income - Adjusted!R9C9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I9" s="2"/>
      </tp>
      <tp>
        <v>2044</v>
        <stp/>
        <stp>##V3_BDHV12</stp>
        <stp>XOM US Equity</stp>
        <stp>OTHER_CURRENT_LIABS_SUB_DETAILED</stp>
        <stp>FQ2 1994</stp>
        <stp>FQ2 1994</stp>
        <stp>[FA1_ftkzu3fn.xlsx]Bal Sheet - Standardized!R30C20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30" s="3"/>
      </tp>
      <tp>
        <v>2637</v>
        <stp/>
        <stp>##V3_BDHV12</stp>
        <stp>XOM US Equity</stp>
        <stp>OTHER_CURRENT_LIABS_SUB_DETAILED</stp>
        <stp>FQ3 1997</stp>
        <stp>FQ3 1997</stp>
        <stp>[FA1_ftkzu3fn.xlsx]Bal Sheet - Standardized!R30C33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30" s="3"/>
      </tp>
      <tp>
        <v>2362</v>
        <stp/>
        <stp>##V3_BDHV12</stp>
        <stp>XOM US Equity</stp>
        <stp>OTHER_CURRENT_LIABS_SUB_DETAILED</stp>
        <stp>FQ1 1993</stp>
        <stp>FQ1 1993</stp>
        <stp>[FA1_ftkzu3fn.xlsx]Bal Sheet - Standardized!R30C15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30" s="3"/>
      </tp>
      <tp>
        <v>2205</v>
        <stp/>
        <stp>##V3_BDHV12</stp>
        <stp>XOM US Equity</stp>
        <stp>OTHER_CURRENT_LIABS_SUB_DETAILED</stp>
        <stp>FQ1 1992</stp>
        <stp>FQ1 1992</stp>
        <stp>[FA1_ftkzu3fn.xlsx]Bal Sheet - Standardized!R30C11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30" s="3"/>
      </tp>
      <tp>
        <v>2403</v>
        <stp/>
        <stp>##V3_BDHV12</stp>
        <stp>XOM US Equity</stp>
        <stp>OTHER_CURRENT_LIABS_SUB_DETAILED</stp>
        <stp>FQ2 1995</stp>
        <stp>FQ2 1995</stp>
        <stp>[FA1_ftkzu3fn.xlsx]Bal Sheet - Standardized!R30C24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30" s="3"/>
      </tp>
      <tp>
        <v>2225</v>
        <stp/>
        <stp>##V3_BDHV12</stp>
        <stp>XOM US Equity</stp>
        <stp>OTHER_CURRENT_LIABS_SUB_DETAILED</stp>
        <stp>FQ1 1994</stp>
        <stp>FQ1 1994</stp>
        <stp>[FA1_ftkzu3fn.xlsx]Bal Sheet - Standardized!R30C19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30" s="3"/>
      </tp>
      <tp>
        <v>2859</v>
        <stp/>
        <stp>##V3_BDHV12</stp>
        <stp>XOM US Equity</stp>
        <stp>OTHER_CURRENT_LIABS_SUB_DETAILED</stp>
        <stp>FQ2 1996</stp>
        <stp>FQ2 1996</stp>
        <stp>[FA1_ftkzu3fn.xlsx]Bal Sheet - Standardized!R30C28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30" s="3"/>
      </tp>
      <tp>
        <v>17351</v>
        <stp/>
        <stp>##V3_BDHV12</stp>
        <stp>XOM US Equity</stp>
        <stp>BS_AMT_OF_TSY_STOCK</stp>
        <stp>FQ2 1996</stp>
        <stp>FQ2 1996</stp>
        <stp>[FA1_ftkzu3fn.xlsx]Bal Sheet - Standardized!R40C28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40" s="3"/>
      </tp>
      <tp>
        <v>16998</v>
        <stp/>
        <stp>##V3_BDHV12</stp>
        <stp>XOM US Equity</stp>
        <stp>BS_AMT_OF_TSY_STOCK</stp>
        <stp>FQ1 1994</stp>
        <stp>FQ1 1994</stp>
        <stp>[FA1_ftkzu3fn.xlsx]Bal Sheet - Standardized!R40C19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40" s="3"/>
      </tp>
      <tp>
        <v>17024</v>
        <stp/>
        <stp>##V3_BDHV12</stp>
        <stp>XOM US Equity</stp>
        <stp>BS_AMT_OF_TSY_STOCK</stp>
        <stp>FQ2 1994</stp>
        <stp>FQ2 1994</stp>
        <stp>[FA1_ftkzu3fn.xlsx]Bal Sheet - Standardized!R40C20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40" s="3"/>
      </tp>
      <tp>
        <v>16908</v>
        <stp/>
        <stp>##V3_BDHV12</stp>
        <stp>XOM US Equity</stp>
        <stp>BS_AMT_OF_TSY_STOCK</stp>
        <stp>FQ1 1993</stp>
        <stp>FQ1 1993</stp>
        <stp>[FA1_ftkzu3fn.xlsx]Bal Sheet - Standardized!R40C15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40" s="3"/>
      </tp>
      <tp>
        <v>9074</v>
        <stp/>
        <stp>##V3_BDHV12</stp>
        <stp>XOM US Equity</stp>
        <stp>BS_AMT_OF_TSY_STOCK</stp>
        <stp>FQ3 1997</stp>
        <stp>FQ3 1997</stp>
        <stp>[FA1_ftkzu3fn.xlsx]Bal Sheet - Standardized!R40C33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40" s="3"/>
      </tp>
      <tp>
        <v>16819</v>
        <stp/>
        <stp>##V3_BDHV12</stp>
        <stp>XOM US Equity</stp>
        <stp>BS_AMT_OF_TSY_STOCK</stp>
        <stp>FQ1 1992</stp>
        <stp>FQ1 1992</stp>
        <stp>[FA1_ftkzu3fn.xlsx]Bal Sheet - Standardized!R40C11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40" s="3"/>
      </tp>
      <tp>
        <v>17114</v>
        <stp/>
        <stp>##V3_BDHV12</stp>
        <stp>XOM US Equity</stp>
        <stp>BS_AMT_OF_TSY_STOCK</stp>
        <stp>FQ2 1995</stp>
        <stp>FQ2 1995</stp>
        <stp>[FA1_ftkzu3fn.xlsx]Bal Sheet - Standardized!R40C24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40" s="3"/>
      </tp>
      <tp>
        <v>231</v>
        <stp/>
        <stp>##V3_BDHV12</stp>
        <stp>XOM US Equity</stp>
        <stp>IS_INT_EXPENSE</stp>
        <stp>FQ3 1992</stp>
        <stp>FQ3 1992</stp>
        <stp>[FA1_ftkzu3fn.xlsx]Income - Adjusted!R11C13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M11" s="2"/>
      </tp>
      <tp>
        <v>176</v>
        <stp/>
        <stp>##V3_BDHV12</stp>
        <stp>XOM US Equity</stp>
        <stp>IS_INT_EXPENSE</stp>
        <stp>FQ2 1995</stp>
        <stp>FQ2 1995</stp>
        <stp>[FA1_ftkzu3fn.xlsx]Income - Adjusted!R11C24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X11" s="2"/>
      </tp>
      <tp>
        <v>76</v>
        <stp/>
        <stp>##V3_BDHV12</stp>
        <stp>XOM US Equity</stp>
        <stp>IS_INT_EXPENSE</stp>
        <stp>FQ1 1996</stp>
        <stp>FQ1 1996</stp>
        <stp>[FA1_ftkzu3fn.xlsx]Income - Adjusted!R11C27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A11" s="2"/>
      </tp>
      <tp>
        <v>226</v>
        <stp/>
        <stp>##V3_BDHV12</stp>
        <stp>XOM US Equity</stp>
        <stp>IS_INT_EXPENSE</stp>
        <stp>FQ4 1991</stp>
        <stp>FQ4 1991</stp>
        <stp>[FA1_ftkzu3fn.xlsx]Income - Adjusted!R11C10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J11" s="2"/>
      </tp>
      <tp>
        <v>157978.125</v>
        <stp/>
        <stp>##V3_BDHV12</stp>
        <stp>XOM US Equity</stp>
        <stp>HISTORICAL_MARKET_CAP</stp>
        <stp>FQ3 1997</stp>
        <stp>FQ3 1997</stp>
        <stp>[FA1_ftkzu3fn.xlsx]Stock Value!R12C33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12" s="6"/>
      </tp>
      <tp>
        <v>151532.5</v>
        <stp/>
        <stp>##V3_BDHV12</stp>
        <stp>XOM US Equity</stp>
        <stp>HISTORICAL_MARKET_CAP</stp>
        <stp>FQ2 1997</stp>
        <stp>FQ2 1997</stp>
        <stp>[FA1_ftkzu3fn.xlsx]Stock Value!R12C32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12" s="6"/>
      </tp>
      <tp>
        <v>133772.91399999999</v>
        <stp/>
        <stp>##V3_BDHV12</stp>
        <stp>XOM US Equity</stp>
        <stp>HISTORICAL_MARKET_CAP</stp>
        <stp>FQ1 1997</stp>
        <stp>FQ1 1997</stp>
        <stp>[FA1_ftkzu3fn.xlsx]Stock Value!R12C31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12" s="6"/>
      </tp>
      <tp>
        <v>150337.6875</v>
        <stp/>
        <stp>##V3_BDHV12</stp>
        <stp>XOM US Equity</stp>
        <stp>HISTORICAL_MARKET_CAP</stp>
        <stp>FQ4 1997</stp>
        <stp>FQ4 1997</stp>
        <stp>[FA1_ftkzu3fn.xlsx]Stock Value!R12C34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12" s="6"/>
      </tp>
      <tp>
        <v>121733.1548</v>
        <stp/>
        <stp>##V3_BDHV12</stp>
        <stp>XOM US Equity</stp>
        <stp>HISTORICAL_MARKET_CAP</stp>
        <stp>FQ4 1996</stp>
        <stp>FQ4 1996</stp>
        <stp>[FA1_ftkzu3fn.xlsx]Stock Value!R12C30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12" s="6"/>
      </tp>
      <tp>
        <v>165464.2911</v>
        <stp/>
        <stp>##V3_BDHV12</stp>
        <stp>XOM US Equity</stp>
        <stp>HISTORICAL_MARKET_CAP</stp>
        <stp>FQ1 1998</stp>
        <stp>FQ1 1998</stp>
        <stp>[FA1_ftkzu3fn.xlsx]Stock Value!R12C35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12" s="6"/>
      </tp>
      <tp>
        <v>174041.29829999999</v>
        <stp/>
        <stp>##V3_BDHV12</stp>
        <stp>XOM US Equity</stp>
        <stp>HISTORICAL_MARKET_CAP</stp>
        <stp>FQ2 1998</stp>
        <stp>FQ2 1998</stp>
        <stp>[FA1_ftkzu3fn.xlsx]Stock Value!R12C36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12" s="6"/>
      </tp>
      <tp>
        <v>769</v>
        <stp/>
        <stp>##V3_BDHV12</stp>
        <stp>XOM US Equity</stp>
        <stp>IS_INC_TAX_EXP</stp>
        <stp>FQ2 1990</stp>
        <stp>FQ2 1990</stp>
        <stp>[FA1_ftkzu3fn.xlsx]Income - Adjusted!R15C4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D15" s="2"/>
      </tp>
      <tp>
        <v>781</v>
        <stp/>
        <stp>##V3_BDHV12</stp>
        <stp>XOM US Equity</stp>
        <stp>IS_INC_TAX_EXP</stp>
        <stp>FQ3 1990</stp>
        <stp>FQ3 1990</stp>
        <stp>[FA1_ftkzu3fn.xlsx]Income - Adjusted!R15C5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E15" s="2"/>
      </tp>
      <tp>
        <v>8506</v>
        <stp/>
        <stp>##V3_BDHV12</stp>
        <stp>XOM US Equity</stp>
        <stp>OTHER_CURRENT_LIABS_SUB_DETAILED</stp>
        <stp>FQ4 1997</stp>
        <stp>FQ4 1997</stp>
        <stp>[FA1_ftkzu3fn.xlsx]Bal Sheet - Standardized!R30C34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30" s="3"/>
      </tp>
      <tp>
        <v>8652</v>
        <stp/>
        <stp>##V3_BDHV12</stp>
        <stp>XOM US Equity</stp>
        <stp>OTHER_CURRENT_LIABS_SUB_DETAILED</stp>
        <stp>FQ4 1996</stp>
        <stp>FQ4 1996</stp>
        <stp>[FA1_ftkzu3fn.xlsx]Bal Sheet - Standardized!R30C30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30" s="3"/>
      </tp>
      <tp>
        <v>9723</v>
        <stp/>
        <stp>##V3_BDHV12</stp>
        <stp>XOM US Equity</stp>
        <stp>BS_AMT_OF_TSY_STOCK</stp>
        <stp>FQ4 1997</stp>
        <stp>FQ4 1997</stp>
        <stp>[FA1_ftkzu3fn.xlsx]Bal Sheet - Standardized!R40C34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40" s="3"/>
      </tp>
      <tp>
        <v>17520</v>
        <stp/>
        <stp>##V3_BDHV12</stp>
        <stp>XOM US Equity</stp>
        <stp>BS_AMT_OF_TSY_STOCK</stp>
        <stp>FQ4 1996</stp>
        <stp>FQ4 1996</stp>
        <stp>[FA1_ftkzu3fn.xlsx]Bal Sheet - Standardized!R40C30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40" s="3"/>
      </tp>
      <tp>
        <v>151</v>
        <stp/>
        <stp>##V3_BDHV12</stp>
        <stp>XOM US Equity</stp>
        <stp>IS_INT_EXPENSE</stp>
        <stp>FQ1 1993</stp>
        <stp>FQ1 1993</stp>
        <stp>[FA1_ftkzu3fn.xlsx]Income - Adjusted!R11C15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O11" s="2"/>
      </tp>
      <tp>
        <v>72</v>
        <stp/>
        <stp>##V3_BDHV12</stp>
        <stp>XOM US Equity</stp>
        <stp>IS_INT_EXPENSE</stp>
        <stp>FQ1 1997</stp>
        <stp>FQ1 1997</stp>
        <stp>[FA1_ftkzu3fn.xlsx]Income - Adjusted!R11C31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E11" s="2"/>
      </tp>
      <tp>
        <v>143</v>
        <stp/>
        <stp>##V3_BDHV12</stp>
        <stp>XOM US Equity</stp>
        <stp>IS_INT_EXPENSE</stp>
        <stp>FQ1 1995</stp>
        <stp>FQ1 1995</stp>
        <stp>[FA1_ftkzu3fn.xlsx]Income - Adjusted!R11C23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W11" s="2"/>
      </tp>
      <tp>
        <v>158</v>
        <stp/>
        <stp>##V3_BDHV12</stp>
        <stp>XOM US Equity</stp>
        <stp>IS_INT_EXPENSE</stp>
        <stp>FQ4 1996</stp>
        <stp>FQ4 1996</stp>
        <stp>[FA1_ftkzu3fn.xlsx]Income - Adjusted!R11C30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D11" s="2"/>
      </tp>
      <tp>
        <v>239</v>
        <stp/>
        <stp>##V3_BDHV12</stp>
        <stp>XOM US Equity</stp>
        <stp>IS_INT_EXPENSE</stp>
        <stp>FQ4 1994</stp>
        <stp>FQ4 1994</stp>
        <stp>[FA1_ftkzu3fn.xlsx]Income - Adjusted!R11C22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V11" s="2"/>
      </tp>
      <tp>
        <v>136</v>
        <stp/>
        <stp>##V3_BDHV12</stp>
        <stp>XOM US Equity</stp>
        <stp>IS_INT_EXPENSE</stp>
        <stp>FQ4 1992</stp>
        <stp>FQ4 1992</stp>
        <stp>[FA1_ftkzu3fn.xlsx]Income - Adjusted!R11C14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N11" s="2"/>
      </tp>
      <tp t="s">
        <v>—</v>
        <stp/>
        <stp>##V3_BDHV12</stp>
        <stp>XOM US Equity</stp>
        <stp>PX_TO_FREE_CASH_FLOW</stp>
        <stp>FQ4 1990</stp>
        <stp>FQ4 1990</stp>
        <stp>[FA1_ftkzu3fn.xlsx]Cash Flow - Standardized!R44C6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44" s="4"/>
      </tp>
      <tp t="s">
        <v>—</v>
        <stp/>
        <stp>##V3_BDHV12</stp>
        <stp>XOM US Equity</stp>
        <stp>PX_TO_FREE_CASH_FLOW</stp>
        <stp>FQ1 1990</stp>
        <stp>FQ1 1990</stp>
        <stp>[FA1_ftkzu3fn.xlsx]Cash Flow - Standardized!R44C3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44" s="4"/>
      </tp>
      <tp>
        <v>10115</v>
        <stp/>
        <stp>##V3_BDHV12</stp>
        <stp>XOM US Equity</stp>
        <stp>GROSS_PROFIT</stp>
        <stp>FQ2 1995</stp>
        <stp>FQ2 1995</stp>
        <stp>[FA1_ftkzu3fn.xlsx]Income - Adjusted!R8C24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X8" s="2"/>
      </tp>
      <tp>
        <v>10378</v>
        <stp/>
        <stp>##V3_BDHV12</stp>
        <stp>XOM US Equity</stp>
        <stp>GROSS_PROFIT</stp>
        <stp>FQ3 1995</stp>
        <stp>FQ3 1995</stp>
        <stp>[FA1_ftkzu3fn.xlsx]Income - Adjusted!R8C25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Y8" s="2"/>
      </tp>
      <tp>
        <v>1181</v>
        <stp/>
        <stp>##V3_BDHV12</stp>
        <stp>XOM US Equity</stp>
        <stp>IS_INC_TAX_EXP</stp>
        <stp>FQ1 1991</stp>
        <stp>FQ1 1991</stp>
        <stp>[FA1_ftkzu3fn.xlsx]Income - Adjusted!R15C7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G15" s="2"/>
      </tp>
      <tp>
        <v>8019</v>
        <stp/>
        <stp>##V3_BDHV12</stp>
        <stp>XOM US Equity</stp>
        <stp>OTHER_CURRENT_LIABS_SUB_DETAILED</stp>
        <stp>FQ4 1995</stp>
        <stp>FQ4 1995</stp>
        <stp>[FA1_ftkzu3fn.xlsx]Bal Sheet - Standardized!R30C26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30" s="3"/>
      </tp>
      <tp>
        <v>8169</v>
        <stp/>
        <stp>##V3_BDHV12</stp>
        <stp>XOM US Equity</stp>
        <stp>OTHER_CURRENT_LIABS_SUB_DETAILED</stp>
        <stp>FQ4 1994</stp>
        <stp>FQ4 1994</stp>
        <stp>[FA1_ftkzu3fn.xlsx]Bal Sheet - Standardized!R30C22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30" s="3"/>
      </tp>
      <tp>
        <v>17217</v>
        <stp/>
        <stp>##V3_BDHV12</stp>
        <stp>XOM US Equity</stp>
        <stp>BS_AMT_OF_TSY_STOCK</stp>
        <stp>FQ4 1995</stp>
        <stp>FQ4 1995</stp>
        <stp>[FA1_ftkzu3fn.xlsx]Bal Sheet - Standardized!R40C26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40" s="3"/>
      </tp>
      <tp>
        <v>17017</v>
        <stp/>
        <stp>##V3_BDHV12</stp>
        <stp>XOM US Equity</stp>
        <stp>BS_AMT_OF_TSY_STOCK</stp>
        <stp>FQ4 1994</stp>
        <stp>FQ4 1994</stp>
        <stp>[FA1_ftkzu3fn.xlsx]Bal Sheet - Standardized!R40C22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40" s="3"/>
      </tp>
      <tp>
        <v>9879</v>
        <stp/>
        <stp>##V3_BDHV12</stp>
        <stp>XOM US Equity</stp>
        <stp>GROSS_PROFIT</stp>
        <stp>FQ3 1992</stp>
        <stp>FQ3 1992</stp>
        <stp>[FA1_ftkzu3fn.xlsx]Income - Adjusted!R8C13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M8" s="2"/>
      </tp>
      <tp>
        <v>8534</v>
        <stp/>
        <stp>##V3_BDHV12</stp>
        <stp>XOM US Equity</stp>
        <stp>GROSS_PROFIT</stp>
        <stp>FQ2 1992</stp>
        <stp>FQ2 1992</stp>
        <stp>[FA1_ftkzu3fn.xlsx]Income - Adjusted!R8C12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L8" s="2"/>
      </tp>
      <tp>
        <v>9108</v>
        <stp/>
        <stp>##V3_BDHV12</stp>
        <stp>XOM US Equity</stp>
        <stp>GROSS_PROFIT</stp>
        <stp>FQ1 1992</stp>
        <stp>FQ1 1992</stp>
        <stp>[FA1_ftkzu3fn.xlsx]Income - Adjusted!R8C11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K8" s="2"/>
      </tp>
      <tp>
        <v>12380</v>
        <stp/>
        <stp>##V3_BDHV12</stp>
        <stp>XOM US Equity</stp>
        <stp>GROSS_PROFIT</stp>
        <stp>FQ4 1992</stp>
        <stp>FQ4 1992</stp>
        <stp>[FA1_ftkzu3fn.xlsx]Income - Adjusted!R8C14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N8" s="2"/>
      </tp>
      <tp>
        <v>16323</v>
        <stp/>
        <stp>##V3_BDHV12</stp>
        <stp>XOM US Equity</stp>
        <stp>GROSS_PROFIT</stp>
        <stp>FQ4 1996</stp>
        <stp>FQ4 1996</stp>
        <stp>[FA1_ftkzu3fn.xlsx]Income - Adjusted!R8C30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D8" s="2"/>
      </tp>
      <tp>
        <v>14108</v>
        <stp/>
        <stp>##V3_BDHV12</stp>
        <stp>XOM US Equity</stp>
        <stp>GROSS_PROFIT</stp>
        <stp>FQ4 1994</stp>
        <stp>FQ4 1994</stp>
        <stp>[FA1_ftkzu3fn.xlsx]Income - Adjusted!R8C22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V8" s="2"/>
      </tp>
      <tp>
        <v>8620</v>
        <stp/>
        <stp>##V3_BDHV12</stp>
        <stp>XOM US Equity</stp>
        <stp>OTHER_CURRENT_LIABS_SUB_DETAILED</stp>
        <stp>FQ4 1991</stp>
        <stp>FQ4 1991</stp>
        <stp>[FA1_ftkzu3fn.xlsx]Bal Sheet - Standardized!R30C10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30" s="3"/>
      </tp>
      <tp>
        <v>7776</v>
        <stp/>
        <stp>##V3_BDHV12</stp>
        <stp>XOM US Equity</stp>
        <stp>OTHER_CURRENT_LIABS_SUB_DETAILED</stp>
        <stp>FQ4 1992</stp>
        <stp>FQ4 1992</stp>
        <stp>[FA1_ftkzu3fn.xlsx]Bal Sheet - Standardized!R30C14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30" s="3"/>
      </tp>
      <tp>
        <v>7571</v>
        <stp/>
        <stp>##V3_BDHV12</stp>
        <stp>XOM US Equity</stp>
        <stp>OTHER_CURRENT_LIABS_SUB_DETAILED</stp>
        <stp>FQ4 1993</stp>
        <stp>FQ4 1993</stp>
        <stp>[FA1_ftkzu3fn.xlsx]Bal Sheet - Standardized!R30C18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30" s="3"/>
      </tp>
      <tp>
        <v>16977</v>
        <stp/>
        <stp>##V3_BDHV12</stp>
        <stp>XOM US Equity</stp>
        <stp>BS_AMT_OF_TSY_STOCK</stp>
        <stp>FQ4 1993</stp>
        <stp>FQ4 1993</stp>
        <stp>[FA1_ftkzu3fn.xlsx]Bal Sheet - Standardized!R40C18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40" s="3"/>
      </tp>
      <tp>
        <v>16774</v>
        <stp/>
        <stp>##V3_BDHV12</stp>
        <stp>XOM US Equity</stp>
        <stp>BS_AMT_OF_TSY_STOCK</stp>
        <stp>FQ4 1991</stp>
        <stp>FQ4 1991</stp>
        <stp>[FA1_ftkzu3fn.xlsx]Bal Sheet - Standardized!R40C10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40" s="3"/>
      </tp>
      <tp>
        <v>16887</v>
        <stp/>
        <stp>##V3_BDHV12</stp>
        <stp>XOM US Equity</stp>
        <stp>BS_AMT_OF_TSY_STOCK</stp>
        <stp>FQ4 1992</stp>
        <stp>FQ4 1992</stp>
        <stp>[FA1_ftkzu3fn.xlsx]Bal Sheet - Standardized!R40C14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40" s="3"/>
      </tp>
      <tp>
        <v>193</v>
        <stp/>
        <stp>##V3_BDHV12</stp>
        <stp>XOM US Equity</stp>
        <stp>IS_INT_EXPENSE</stp>
        <stp>FQ3 1993</stp>
        <stp>FQ3 1993</stp>
        <stp>[FA1_ftkzu3fn.xlsx]Income - Adjusted!R11C17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Q11" s="2"/>
      </tp>
      <tp>
        <v>107</v>
        <stp/>
        <stp>##V3_BDHV12</stp>
        <stp>XOM US Equity</stp>
        <stp>IS_INT_EXPENSE</stp>
        <stp>FQ3 1997</stp>
        <stp>FQ3 1997</stp>
        <stp>[FA1_ftkzu3fn.xlsx]Income - Adjusted!R11C33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G11" s="2"/>
      </tp>
      <tp>
        <v>107</v>
        <stp/>
        <stp>##V3_BDHV12</stp>
        <stp>XOM US Equity</stp>
        <stp>IS_INT_EXPENSE</stp>
        <stp>FQ2 1994</stp>
        <stp>FQ2 1994</stp>
        <stp>[FA1_ftkzu3fn.xlsx]Income - Adjusted!R11C20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T11" s="2"/>
      </tp>
      <tp>
        <v>1.1437999999999999</v>
        <stp/>
        <stp>##V3_BDHV12</stp>
        <stp>XOM US Equity</stp>
        <stp>OPER_INC_PER_SH</stp>
        <stp>FQ4 1990</stp>
        <stp>FQ4 1990</stp>
        <stp>[FA1_ftkzu3fn.xlsx]Per Share!R13C6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F13" s="5"/>
      </tp>
      <tp>
        <v>0.39360000000000001</v>
        <stp/>
        <stp>##V3_BDHV12</stp>
        <stp>XOM US Equity</stp>
        <stp>OPER_INC_PER_SH</stp>
        <stp>FQ3 1990</stp>
        <stp>FQ3 1990</stp>
        <stp>[FA1_ftkzu3fn.xlsx]Per Share!R13C5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E13" s="5"/>
      </tp>
      <tp>
        <v>0.37680000000000002</v>
        <stp/>
        <stp>##V3_BDHV12</stp>
        <stp>XOM US Equity</stp>
        <stp>OPER_INC_PER_SH</stp>
        <stp>FQ2 1990</stp>
        <stp>FQ2 1990</stp>
        <stp>[FA1_ftkzu3fn.xlsx]Per Share!R13C4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D13" s="5"/>
      </tp>
      <tp>
        <v>0.46460000000000001</v>
        <stp/>
        <stp>##V3_BDHV12</stp>
        <stp>XOM US Equity</stp>
        <stp>OPER_INC_PER_SH</stp>
        <stp>FQ1 1990</stp>
        <stp>FQ1 1990</stp>
        <stp>[FA1_ftkzu3fn.xlsx]Per Share!R13C3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C13" s="5"/>
      </tp>
      <tp>
        <v>126</v>
        <stp/>
        <stp>##V3_BDHV12</stp>
        <stp>XOM US Equity</stp>
        <stp>IS_INT_EXPENSE</stp>
        <stp>FQ3 1994</stp>
        <stp>FQ3 1994</stp>
        <stp>[FA1_ftkzu3fn.xlsx]Income - Adjusted!R11C21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U11" s="2"/>
      </tp>
      <tp>
        <v>190</v>
        <stp/>
        <stp>##V3_BDHV12</stp>
        <stp>XOM US Equity</stp>
        <stp>IS_INT_EXPENSE</stp>
        <stp>FQ2 1993</stp>
        <stp>FQ2 1993</stp>
        <stp>[FA1_ftkzu3fn.xlsx]Income - Adjusted!R11C16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P11" s="2"/>
      </tp>
      <tp>
        <v>104</v>
        <stp/>
        <stp>##V3_BDHV12</stp>
        <stp>XOM US Equity</stp>
        <stp>IS_INT_EXPENSE</stp>
        <stp>FQ2 1997</stp>
        <stp>FQ2 1997</stp>
        <stp>[FA1_ftkzu3fn.xlsx]Income - Adjusted!R11C32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F11" s="2"/>
      </tp>
      <tp>
        <v>0.32569999999999999</v>
        <stp/>
        <stp>##V3_BDHV12</stp>
        <stp>XOM US Equity</stp>
        <stp>OPER_INC_PER_SH</stp>
        <stp>FQ3 1991</stp>
        <stp>FQ3 1991</stp>
        <stp>[FA1_ftkzu3fn.xlsx]Per Share!R13C9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I13" s="5"/>
      </tp>
      <tp>
        <v>0.34599999999999997</v>
        <stp/>
        <stp>##V3_BDHV12</stp>
        <stp>XOM US Equity</stp>
        <stp>OPER_INC_PER_SH</stp>
        <stp>FQ2 1991</stp>
        <stp>FQ2 1991</stp>
        <stp>[FA1_ftkzu3fn.xlsx]Per Share!R13C8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H13" s="5"/>
      </tp>
      <tp>
        <v>0.65820000000000001</v>
        <stp/>
        <stp>##V3_BDHV12</stp>
        <stp>XOM US Equity</stp>
        <stp>OPER_INC_PER_SH</stp>
        <stp>FQ1 1991</stp>
        <stp>FQ1 1991</stp>
        <stp>[FA1_ftkzu3fn.xlsx]Per Share!R13C7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G13" s="5"/>
      </tp>
      <tp>
        <v>0.22</v>
        <stp/>
        <stp>##V3_BDHV12</stp>
        <stp>XOM US Equity</stp>
        <stp>IS_BASIC_EPS_CONT_OPS</stp>
        <stp>FQ3 1991</stp>
        <stp>FQ3 1991</stp>
        <stp>[FA1_ftkzu3fn.xlsx]Income - Adjusted!R30C9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30" s="2"/>
      </tp>
      <tp t="s">
        <v>—</v>
        <stp/>
        <stp>##V3_BDHV12</stp>
        <stp>XOM US Equity</stp>
        <stp>IS_BASIC_EPS_CONT_OPS</stp>
        <stp>FQ2 1991</stp>
        <stp>FQ2 1991</stp>
        <stp>[FA1_ftkzu3fn.xlsx]Income - Adjusted!R30C8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30" s="2"/>
      </tp>
      <tp>
        <v>4977.0518000000002</v>
        <stp/>
        <stp>##V3_BDHV12</stp>
        <stp>XOM US Equity</stp>
        <stp>IS_SH_FOR_DILUTED_EPS</stp>
        <stp>FQ2 1991</stp>
        <stp>FQ2 1991</stp>
        <stp>[FA1_ftkzu3fn.xlsx]Income - Adjusted!R32C8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32" s="2"/>
      </tp>
      <tp>
        <v>4973.2002000000002</v>
        <stp/>
        <stp>##V3_BDHV12</stp>
        <stp>XOM US Equity</stp>
        <stp>IS_SH_FOR_DILUTED_EPS</stp>
        <stp>FQ3 1991</stp>
        <stp>FQ3 1991</stp>
        <stp>[FA1_ftkzu3fn.xlsx]Income - Adjusted!R32C9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32" s="2"/>
      </tp>
      <tp>
        <v>4973.2002000000002</v>
        <stp/>
        <stp>##V3_BDHV12</stp>
        <stp>XOM US Equity</stp>
        <stp>IS_AVG_NUM_SH_FOR_EPS</stp>
        <stp>FQ3 1991</stp>
        <stp>FQ3 1991</stp>
        <stp>[FA1_ftkzu3fn.xlsx]Income - Adjusted!R27C9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27" s="2"/>
      </tp>
      <tp>
        <v>4977.0518000000002</v>
        <stp/>
        <stp>##V3_BDHV12</stp>
        <stp>XOM US Equity</stp>
        <stp>IS_AVG_NUM_SH_FOR_EPS</stp>
        <stp>FQ2 1991</stp>
        <stp>FQ2 1991</stp>
        <stp>[FA1_ftkzu3fn.xlsx]Income - Adjusted!R27C8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27" s="2"/>
      </tp>
      <tp>
        <v>9907</v>
        <stp/>
        <stp>##V3_BDHV12</stp>
        <stp>XOM US Equity</stp>
        <stp>GROSS_PROFIT</stp>
        <stp>FQ1 1996</stp>
        <stp>FQ1 1996</stp>
        <stp>[FA1_ftkzu3fn.xlsx]Income - Adjusted!R8C27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A8" s="2"/>
      </tp>
      <tp>
        <v>7187</v>
        <stp/>
        <stp>##V3_BDHV12</stp>
        <stp>XOM US Equity</stp>
        <stp>BS_OTHER_ASSETS_DEF_CHRG_OTHER</stp>
        <stp>FQ4 1995</stp>
        <stp>FQ4 1995</stp>
        <stp>[FA1_ftkzu3fn.xlsx]Bal Sheet - Standardized!R21C26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21" s="3"/>
      </tp>
      <tp>
        <v>6654</v>
        <stp/>
        <stp>##V3_BDHV12</stp>
        <stp>XOM US Equity</stp>
        <stp>BS_OTHER_ASSETS_DEF_CHRG_OTHER</stp>
        <stp>FQ4 1994</stp>
        <stp>FQ4 1994</stp>
        <stp>[FA1_ftkzu3fn.xlsx]Bal Sheet - Standardized!R21C22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21" s="3"/>
      </tp>
      <tp>
        <v>5136</v>
        <stp/>
        <stp>##V3_BDHV12</stp>
        <stp>XOM US Equity</stp>
        <stp>BS_INVENTORIES</stp>
        <stp>FQ2 1997</stp>
        <stp>FQ2 1997</stp>
        <stp>[FA1_ftkzu3fn.xlsx]Bal Sheet - Standardized!R11C32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11" s="3"/>
      </tp>
      <tp>
        <v>5565</v>
        <stp/>
        <stp>##V3_BDHV12</stp>
        <stp>XOM US Equity</stp>
        <stp>BS_INVENTORIES</stp>
        <stp>FQ3 1994</stp>
        <stp>FQ3 1994</stp>
        <stp>[FA1_ftkzu3fn.xlsx]Bal Sheet - Standardized!R11C21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11" s="3"/>
      </tp>
      <tp>
        <v>5877</v>
        <stp/>
        <stp>##V3_BDHV12</stp>
        <stp>XOM US Equity</stp>
        <stp>BS_INVENTORIES</stp>
        <stp>FQ3 1995</stp>
        <stp>FQ3 1995</stp>
        <stp>[FA1_ftkzu3fn.xlsx]Bal Sheet - Standardized!R11C25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11" s="3"/>
      </tp>
      <tp>
        <v>5468</v>
        <stp/>
        <stp>##V3_BDHV12</stp>
        <stp>XOM US Equity</stp>
        <stp>BS_INVENTORIES</stp>
        <stp>FQ3 1996</stp>
        <stp>FQ3 1996</stp>
        <stp>[FA1_ftkzu3fn.xlsx]Bal Sheet - Standardized!R11C29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11" s="3"/>
      </tp>
      <tp>
        <v>5119</v>
        <stp/>
        <stp>##V3_BDHV12</stp>
        <stp>XOM US Equity</stp>
        <stp>BS_INVENTORIES</stp>
        <stp>FQ2 1998</stp>
        <stp>FQ2 1998</stp>
        <stp>[FA1_ftkzu3fn.xlsx]Bal Sheet - Standardized!R11C36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11" s="3"/>
      </tp>
      <tp>
        <v>20854</v>
        <stp/>
        <stp>##V3_BDHV12</stp>
        <stp>XOM US Equity</stp>
        <stp>BS_CUR_LIAB</stp>
        <stp>FQ4 1991</stp>
        <stp>FQ4 1991</stp>
        <stp>[FA1_ftkzu3fn.xlsx]Bal Sheet - Standardized!R32C10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32" s="3"/>
      </tp>
      <tp>
        <v>19663</v>
        <stp/>
        <stp>##V3_BDHV12</stp>
        <stp>XOM US Equity</stp>
        <stp>BS_CUR_LIAB</stp>
        <stp>FQ4 1992</stp>
        <stp>FQ4 1992</stp>
        <stp>[FA1_ftkzu3fn.xlsx]Bal Sheet - Standardized!R32C14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32" s="3"/>
      </tp>
      <tp>
        <v>18590</v>
        <stp/>
        <stp>##V3_BDHV12</stp>
        <stp>XOM US Equity</stp>
        <stp>BS_CUR_LIAB</stp>
        <stp>FQ4 1993</stp>
        <stp>FQ4 1993</stp>
        <stp>[FA1_ftkzu3fn.xlsx]Bal Sheet - Standardized!R32C18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32" s="3"/>
      </tp>
      <tp t="s">
        <v>—</v>
        <stp/>
        <stp>##V3_BDHV12</stp>
        <stp>XOM US Equity</stp>
        <stp>INVTRY_FINISHED_GOODS</stp>
        <stp>FQ4 1994</stp>
        <stp>FQ4 1994</stp>
        <stp>[FA1_ftkzu3fn.xlsx]Bal Sheet - Standardized!R14C22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14" s="3"/>
      </tp>
      <tp t="s">
        <v>—</v>
        <stp/>
        <stp>##V3_BDHV12</stp>
        <stp>XOM US Equity</stp>
        <stp>INVTRY_FINISHED_GOODS</stp>
        <stp>FQ4 1995</stp>
        <stp>FQ4 1995</stp>
        <stp>[FA1_ftkzu3fn.xlsx]Bal Sheet - Standardized!R14C26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14" s="3"/>
      </tp>
      <tp>
        <v>59703.426899999999</v>
        <stp/>
        <stp>##V3_BDHV12</stp>
        <stp>XOM US Equity</stp>
        <stp>HISTORICAL_MARKET_CAP</stp>
        <stp>FQ2 1990</stp>
        <stp>FQ2 1990</stp>
        <stp>[FA1_ftkzu3fn.xlsx]Stock Value!R12C4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2" s="6"/>
      </tp>
      <tp>
        <v>61063.067900000002</v>
        <stp/>
        <stp>##V3_BDHV12</stp>
        <stp>XOM US Equity</stp>
        <stp>HISTORICAL_MARKET_CAP</stp>
        <stp>FQ3 1990</stp>
        <stp>FQ3 1990</stp>
        <stp>[FA1_ftkzu3fn.xlsx]Stock Value!R12C5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2" s="6"/>
      </tp>
      <tp>
        <v>64428.75</v>
        <stp/>
        <stp>##V3_BDHV12</stp>
        <stp>XOM US Equity</stp>
        <stp>HISTORICAL_MARKET_CAP</stp>
        <stp>FQ4 1990</stp>
        <stp>FQ4 1990</stp>
        <stp>[FA1_ftkzu3fn.xlsx]Stock Value!R12C6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2" s="6"/>
      </tp>
      <tp>
        <v>57584.247300000003</v>
        <stp/>
        <stp>##V3_BDHV12</stp>
        <stp>XOM US Equity</stp>
        <stp>HISTORICAL_MARKET_CAP</stp>
        <stp>FQ1 1990</stp>
        <stp>FQ1 1990</stp>
        <stp>[FA1_ftkzu3fn.xlsx]Stock Value!R12C3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2" s="6"/>
      </tp>
      <tp>
        <v>12827</v>
        <stp/>
        <stp>##V3_BDHV12</stp>
        <stp>XOM US Equity</stp>
        <stp>GROSS_PROFIT</stp>
        <stp>FQ4 1993</stp>
        <stp>FQ4 1993</stp>
        <stp>[FA1_ftkzu3fn.xlsx]Income - Adjusted!R8C18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R8" s="2"/>
      </tp>
      <tp>
        <v>8458</v>
        <stp/>
        <stp>##V3_BDHV12</stp>
        <stp>XOM US Equity</stp>
        <stp>BS_OTHER_ASSETS_DEF_CHRG_OTHER</stp>
        <stp>FQ4 1997</stp>
        <stp>FQ4 1997</stp>
        <stp>[FA1_ftkzu3fn.xlsx]Bal Sheet - Standardized!R21C34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21" s="3"/>
      </tp>
      <tp>
        <v>9010</v>
        <stp/>
        <stp>##V3_BDHV12</stp>
        <stp>XOM US Equity</stp>
        <stp>BS_OTHER_ASSETS_DEF_CHRG_OTHER</stp>
        <stp>FQ4 1996</stp>
        <stp>FQ4 1996</stp>
        <stp>[FA1_ftkzu3fn.xlsx]Bal Sheet - Standardized!R21C30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21" s="3"/>
      </tp>
      <tp>
        <v>662</v>
        <stp/>
        <stp>##V3_BDHV12</stp>
        <stp>XOM US Equity</stp>
        <stp>IS_INC_TAX_EXP</stp>
        <stp>FQ2 1991</stp>
        <stp>FQ2 1991</stp>
        <stp>[FA1_ftkzu3fn.xlsx]Income - Adjusted!R15C8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H15" s="2"/>
      </tp>
      <tp>
        <v>454</v>
        <stp/>
        <stp>##V3_BDHV12</stp>
        <stp>XOM US Equity</stp>
        <stp>IS_INC_TAX_EXP</stp>
        <stp>FQ3 1991</stp>
        <stp>FQ3 1991</stp>
        <stp>[FA1_ftkzu3fn.xlsx]Income - Adjusted!R15C9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I15" s="2"/>
      </tp>
      <tp>
        <v>5486</v>
        <stp/>
        <stp>##V3_BDHV12</stp>
        <stp>XOM US Equity</stp>
        <stp>BS_INVENTORIES</stp>
        <stp>FQ3 1997</stp>
        <stp>FQ3 1997</stp>
        <stp>[FA1_ftkzu3fn.xlsx]Bal Sheet - Standardized!R11C33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11" s="3"/>
      </tp>
      <tp>
        <v>5582</v>
        <stp/>
        <stp>##V3_BDHV12</stp>
        <stp>XOM US Equity</stp>
        <stp>BS_INVENTORIES</stp>
        <stp>FQ1 1993</stp>
        <stp>FQ1 1993</stp>
        <stp>[FA1_ftkzu3fn.xlsx]Bal Sheet - Standardized!R11C15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11" s="3"/>
      </tp>
      <tp>
        <v>5469</v>
        <stp/>
        <stp>##V3_BDHV12</stp>
        <stp>XOM US Equity</stp>
        <stp>BS_INVENTORIES</stp>
        <stp>FQ2 1994</stp>
        <stp>FQ2 1994</stp>
        <stp>[FA1_ftkzu3fn.xlsx]Bal Sheet - Standardized!R11C20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11" s="3"/>
      </tp>
      <tp t="s">
        <v>—</v>
        <stp/>
        <stp>##V3_BDHV12</stp>
        <stp>XOM US Equity</stp>
        <stp>CASH_CONVERSION_CYCLE</stp>
        <stp>FQ4 1990</stp>
        <stp>FQ4 1990</stp>
        <stp>[FA1_ftkzu3fn.xlsx]Bal Sheet - Standardized!R54C6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F54" s="3"/>
      </tp>
      <tp>
        <v>5897</v>
        <stp/>
        <stp>##V3_BDHV12</stp>
        <stp>XOM US Equity</stp>
        <stp>BS_INVENTORIES</stp>
        <stp>FQ2 1995</stp>
        <stp>FQ2 1995</stp>
        <stp>[FA1_ftkzu3fn.xlsx]Bal Sheet - Standardized!R11C24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11" s="3"/>
      </tp>
      <tp>
        <v>5722</v>
        <stp/>
        <stp>##V3_BDHV12</stp>
        <stp>XOM US Equity</stp>
        <stp>BS_INVENTORIES</stp>
        <stp>FQ1 1992</stp>
        <stp>FQ1 1992</stp>
        <stp>[FA1_ftkzu3fn.xlsx]Bal Sheet - Standardized!R11C11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11" s="3"/>
      </tp>
      <tp>
        <v>5219</v>
        <stp/>
        <stp>##V3_BDHV12</stp>
        <stp>XOM US Equity</stp>
        <stp>BS_INVENTORIES</stp>
        <stp>FQ1 1994</stp>
        <stp>FQ1 1994</stp>
        <stp>[FA1_ftkzu3fn.xlsx]Bal Sheet - Standardized!R11C19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11" s="3"/>
      </tp>
      <tp>
        <v>5355</v>
        <stp/>
        <stp>##V3_BDHV12</stp>
        <stp>XOM US Equity</stp>
        <stp>BS_INVENTORIES</stp>
        <stp>FQ2 1996</stp>
        <stp>FQ2 1996</stp>
        <stp>[FA1_ftkzu3fn.xlsx]Bal Sheet - Standardized!R11C28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11" s="3"/>
      </tp>
      <tp t="s">
        <v>—</v>
        <stp/>
        <stp>##V3_BDHV12</stp>
        <stp>XOM US Equity</stp>
        <stp>INVTRY_FINISHED_GOODS</stp>
        <stp>FQ4 1996</stp>
        <stp>FQ4 1996</stp>
        <stp>[FA1_ftkzu3fn.xlsx]Bal Sheet - Standardized!R14C30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14" s="3"/>
      </tp>
      <tp>
        <v>48576</v>
        <stp/>
        <stp>##V3_BDHV12</stp>
        <stp>XOM US Equity</stp>
        <stp>BS_ACCUM_DEPR</stp>
        <stp>FQ4 1991</stp>
        <stp>FQ4 1991</stp>
        <stp>[FA1_ftkzu3fn.xlsx]Bal Sheet - Standardized!R19C10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19" s="3"/>
      </tp>
      <tp>
        <v>147</v>
        <stp/>
        <stp>##V3_BDHV12</stp>
        <stp>XOM US Equity</stp>
        <stp>IS_INT_EXPENSE</stp>
        <stp>FQ4 1993</stp>
        <stp>FQ4 1993</stp>
        <stp>[FA1_ftkzu3fn.xlsx]Income - Adjusted!R11C18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R11" s="2"/>
      </tp>
      <tp>
        <v>48939</v>
        <stp/>
        <stp>##V3_BDHV12</stp>
        <stp>XOM US Equity</stp>
        <stp>BS_ACCUM_DEPR</stp>
        <stp>FQ4 1992</stp>
        <stp>FQ4 1992</stp>
        <stp>[FA1_ftkzu3fn.xlsx]Bal Sheet - Standardized!R19C14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19" s="3"/>
      </tp>
      <tp t="s">
        <v>—</v>
        <stp/>
        <stp>##V3_BDHV12</stp>
        <stp>XOM US Equity</stp>
        <stp>INVTRY_FINISHED_GOODS</stp>
        <stp>FQ4 1997</stp>
        <stp>FQ4 1997</stp>
        <stp>[FA1_ftkzu3fn.xlsx]Bal Sheet - Standardized!R14C34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14" s="3"/>
      </tp>
      <tp>
        <v>49173</v>
        <stp/>
        <stp>##V3_BDHV12</stp>
        <stp>XOM US Equity</stp>
        <stp>BS_ACCUM_DEPR</stp>
        <stp>FQ4 1993</stp>
        <stp>FQ4 1993</stp>
        <stp>[FA1_ftkzu3fn.xlsx]Bal Sheet - Standardized!R19C18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19" s="3"/>
      </tp>
      <tp>
        <v>72817.6394</v>
        <stp/>
        <stp>##V3_BDHV12</stp>
        <stp>XOM US Equity</stp>
        <stp>HISTORICAL_MARKET_CAP</stp>
        <stp>FQ1 1991</stp>
        <stp>FQ1 1991</stp>
        <stp>[FA1_ftkzu3fn.xlsx]Stock Value!R12C7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2" s="6"/>
      </tp>
      <tp>
        <v>72298.084499999997</v>
        <stp/>
        <stp>##V3_BDHV12</stp>
        <stp>XOM US Equity</stp>
        <stp>HISTORICAL_MARKET_CAP</stp>
        <stp>FQ2 1991</stp>
        <stp>FQ2 1991</stp>
        <stp>[FA1_ftkzu3fn.xlsx]Stock Value!R12C8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2" s="6"/>
      </tp>
      <tp>
        <v>74100.822100000005</v>
        <stp/>
        <stp>##V3_BDHV12</stp>
        <stp>XOM US Equity</stp>
        <stp>HISTORICAL_MARKET_CAP</stp>
        <stp>FQ3 1991</stp>
        <stp>FQ3 1991</stp>
        <stp>[FA1_ftkzu3fn.xlsx]Stock Value!R12C9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2" s="6"/>
      </tp>
      <tp>
        <v>5522</v>
        <stp/>
        <stp>##V3_BDHV12</stp>
        <stp>XOM US Equity</stp>
        <stp>BS_INVENTORIES</stp>
        <stp>FQ1 1995</stp>
        <stp>FQ1 1995</stp>
        <stp>[FA1_ftkzu3fn.xlsx]Bal Sheet - Standardized!R11C23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11" s="3"/>
      </tp>
      <tp>
        <v>5491</v>
        <stp/>
        <stp>##V3_BDHV12</stp>
        <stp>XOM US Equity</stp>
        <stp>BS_INVENTORIES</stp>
        <stp>FQ2 1993</stp>
        <stp>FQ2 1993</stp>
        <stp>[FA1_ftkzu3fn.xlsx]Bal Sheet - Standardized!R11C16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11" s="3"/>
      </tp>
      <tp>
        <v>5339</v>
        <stp/>
        <stp>##V3_BDHV12</stp>
        <stp>XOM US Equity</stp>
        <stp>BS_INVENTORIES</stp>
        <stp>FQ1 1996</stp>
        <stp>FQ1 1996</stp>
        <stp>[FA1_ftkzu3fn.xlsx]Bal Sheet - Standardized!R11C27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11" s="3"/>
      </tp>
      <tp>
        <v>6149</v>
        <stp/>
        <stp>##V3_BDHV12</stp>
        <stp>XOM US Equity</stp>
        <stp>BS_INVENTORIES</stp>
        <stp>FQ2 1992</stp>
        <stp>FQ2 1992</stp>
        <stp>[FA1_ftkzu3fn.xlsx]Bal Sheet - Standardized!R11C12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11" s="3"/>
      </tp>
      <tp>
        <v>19654</v>
        <stp/>
        <stp>##V3_BDHV12</stp>
        <stp>XOM US Equity</stp>
        <stp>BS_CUR_LIAB</stp>
        <stp>FQ4 1997</stp>
        <stp>FQ4 1997</stp>
        <stp>[FA1_ftkzu3fn.xlsx]Bal Sheet - Standardized!R32C34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32" s="3"/>
      </tp>
      <tp>
        <v>19505</v>
        <stp/>
        <stp>##V3_BDHV12</stp>
        <stp>XOM US Equity</stp>
        <stp>BS_CUR_LIAB</stp>
        <stp>FQ4 1996</stp>
        <stp>FQ4 1996</stp>
        <stp>[FA1_ftkzu3fn.xlsx]Bal Sheet - Standardized!R32C30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32" s="3"/>
      </tp>
      <tp>
        <v>5.3052999999999999</v>
        <stp/>
        <stp>##V3_BDHV12</stp>
        <stp>XOM US Equity</stp>
        <stp>PROF_MARGIN</stp>
        <stp>FQ1 1990</stp>
        <stp>FQ1 1990</stp>
        <stp>[FA1_ftkzu3fn.xlsx]Income - Adjusted!R44C3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C44" s="2"/>
      </tp>
      <tp>
        <v>4.6920000000000002</v>
        <stp/>
        <stp>##V3_BDHV12</stp>
        <stp>XOM US Equity</stp>
        <stp>PROF_MARGIN</stp>
        <stp>FQ2 1990</stp>
        <stp>FQ2 1990</stp>
        <stp>[FA1_ftkzu3fn.xlsx]Income - Adjusted!R44C4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D44" s="2"/>
      </tp>
      <tp>
        <v>4.1210000000000004</v>
        <stp/>
        <stp>##V3_BDHV12</stp>
        <stp>XOM US Equity</stp>
        <stp>PROF_MARGIN</stp>
        <stp>FQ3 1990</stp>
        <stp>FQ3 1990</stp>
        <stp>[FA1_ftkzu3fn.xlsx]Income - Adjusted!R44C5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E44" s="2"/>
      </tp>
      <tp>
        <v>4.4274000000000004</v>
        <stp/>
        <stp>##V3_BDHV12</stp>
        <stp>XOM US Equity</stp>
        <stp>PROF_MARGIN</stp>
        <stp>FQ4 1990</stp>
        <stp>FQ4 1990</stp>
        <stp>[FA1_ftkzu3fn.xlsx]Income - Adjusted!R44C6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F44" s="2"/>
      </tp>
      <tp>
        <v>1.0766</v>
        <stp/>
        <stp>##V3_BDHV12</stp>
        <stp>XOM US Equity</stp>
        <stp>OPER_INC_PER_SH</stp>
        <stp>FQ4 1991</stp>
        <stp>FQ4 1991</stp>
        <stp>[FA1_ftkzu3fn.xlsx]Per Share!R13C10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J13" s="5"/>
      </tp>
      <tp>
        <v>1.0077</v>
        <stp/>
        <stp>##V3_BDHV12</stp>
        <stp>XOM US Equity</stp>
        <stp>OPER_INC_PER_SH</stp>
        <stp>FQ4 1992</stp>
        <stp>FQ4 1992</stp>
        <stp>[FA1_ftkzu3fn.xlsx]Per Share!R13C14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N13" s="5"/>
      </tp>
      <tp>
        <v>1.1032999999999999</v>
        <stp/>
        <stp>##V3_BDHV12</stp>
        <stp>XOM US Equity</stp>
        <stp>OPER_INC_PER_SH</stp>
        <stp>FQ4 1993</stp>
        <stp>FQ4 1993</stp>
        <stp>[FA1_ftkzu3fn.xlsx]Per Share!R13C18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R13" s="5"/>
      </tp>
      <tp>
        <v>1.6576</v>
        <stp/>
        <stp>##V3_BDHV12</stp>
        <stp>XOM US Equity</stp>
        <stp>OPER_INC_PER_SH</stp>
        <stp>FQ4 1996</stp>
        <stp>FQ4 1996</stp>
        <stp>[FA1_ftkzu3fn.xlsx]Per Share!R13C30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D13" s="5"/>
      </tp>
      <tp>
        <v>1.1721999999999999</v>
        <stp/>
        <stp>##V3_BDHV12</stp>
        <stp>XOM US Equity</stp>
        <stp>OPER_INC_PER_SH</stp>
        <stp>FQ4 1997</stp>
        <stp>FQ4 1997</stp>
        <stp>[FA1_ftkzu3fn.xlsx]Per Share!R13C34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H13" s="5"/>
      </tp>
      <tp>
        <v>1.026</v>
        <stp/>
        <stp>##V3_BDHV12</stp>
        <stp>XOM US Equity</stp>
        <stp>OPER_INC_PER_SH</stp>
        <stp>FQ4 1995</stp>
        <stp>FQ4 1995</stp>
        <stp>[FA1_ftkzu3fn.xlsx]Per Share!R13C26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Z13" s="5"/>
      </tp>
      <tp>
        <v>1.2407999999999999</v>
        <stp/>
        <stp>##V3_BDHV12</stp>
        <stp>XOM US Equity</stp>
        <stp>OPER_INC_PER_SH</stp>
        <stp>FQ4 1994</stp>
        <stp>FQ4 1994</stp>
        <stp>[FA1_ftkzu3fn.xlsx]Per Share!R13C22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V13" s="5"/>
      </tp>
      <tp>
        <v>0.47339999999999999</v>
        <stp/>
        <stp>##V3_BDHV12</stp>
        <stp>XOM US Equity</stp>
        <stp>OPER_INC_PER_SH</stp>
        <stp>FQ2 1995</stp>
        <stp>FQ2 1995</stp>
        <stp>[FA1_ftkzu3fn.xlsx]Per Share!R13C24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X13" s="5"/>
      </tp>
      <tp>
        <v>0.27479999999999999</v>
        <stp/>
        <stp>##V3_BDHV12</stp>
        <stp>XOM US Equity</stp>
        <stp>OPER_INC_PER_SH</stp>
        <stp>FQ2 1994</stp>
        <stp>FQ2 1994</stp>
        <stp>[FA1_ftkzu3fn.xlsx]Per Share!R13C20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T13" s="5"/>
      </tp>
      <tp>
        <v>0.57069999999999999</v>
        <stp/>
        <stp>##V3_BDHV12</stp>
        <stp>XOM US Equity</stp>
        <stp>OPER_INC_PER_SH</stp>
        <stp>FQ2 1997</stp>
        <stp>FQ2 1997</stp>
        <stp>[FA1_ftkzu3fn.xlsx]Per Share!R13C32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F13" s="5"/>
      </tp>
      <tp>
        <v>0.45929999999999999</v>
        <stp/>
        <stp>##V3_BDHV12</stp>
        <stp>XOM US Equity</stp>
        <stp>OPER_INC_PER_SH</stp>
        <stp>FQ2 1996</stp>
        <stp>FQ2 1996</stp>
        <stp>[FA1_ftkzu3fn.xlsx]Per Share!R13C28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B13" s="5"/>
      </tp>
      <tp>
        <v>0.26300000000000001</v>
        <stp/>
        <stp>##V3_BDHV12</stp>
        <stp>XOM US Equity</stp>
        <stp>OPER_INC_PER_SH</stp>
        <stp>FQ2 1992</stp>
        <stp>FQ2 1992</stp>
        <stp>[FA1_ftkzu3fn.xlsx]Per Share!R13C12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L13" s="5"/>
      </tp>
      <tp>
        <v>0.33500000000000002</v>
        <stp/>
        <stp>##V3_BDHV12</stp>
        <stp>XOM US Equity</stp>
        <stp>OPER_INC_PER_SH</stp>
        <stp>FQ2 1993</stp>
        <stp>FQ2 1993</stp>
        <stp>[FA1_ftkzu3fn.xlsx]Per Share!R13C16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P13" s="5"/>
      </tp>
      <tp>
        <v>0.39169999999999999</v>
        <stp/>
        <stp>##V3_BDHV12</stp>
        <stp>XOM US Equity</stp>
        <stp>OPER_INC_PER_SH</stp>
        <stp>FQ2 1998</stp>
        <stp>FQ2 1998</stp>
        <stp>[FA1_ftkzu3fn.xlsx]Per Share!R13C36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J13" s="5"/>
      </tp>
      <tp>
        <v>0.36990000000000001</v>
        <stp/>
        <stp>##V3_BDHV12</stp>
        <stp>XOM US Equity</stp>
        <stp>OPER_INC_PER_SH</stp>
        <stp>FQ3 1994</stp>
        <stp>FQ3 1994</stp>
        <stp>[FA1_ftkzu3fn.xlsx]Per Share!R13C21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U13" s="5"/>
      </tp>
      <tp>
        <v>0.47810000000000002</v>
        <stp/>
        <stp>##V3_BDHV12</stp>
        <stp>XOM US Equity</stp>
        <stp>OPER_INC_PER_SH</stp>
        <stp>FQ3 1995</stp>
        <stp>FQ3 1995</stp>
        <stp>[FA1_ftkzu3fn.xlsx]Per Share!R13C25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Y13" s="5"/>
      </tp>
      <tp>
        <v>0.52649999999999997</v>
        <stp/>
        <stp>##V3_BDHV12</stp>
        <stp>XOM US Equity</stp>
        <stp>OPER_INC_PER_SH</stp>
        <stp>FQ3 1997</stp>
        <stp>FQ3 1997</stp>
        <stp>[FA1_ftkzu3fn.xlsx]Per Share!R13C33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G13" s="5"/>
      </tp>
      <tp>
        <v>0.46960000000000002</v>
        <stp/>
        <stp>##V3_BDHV12</stp>
        <stp>XOM US Equity</stp>
        <stp>OPER_INC_PER_SH</stp>
        <stp>FQ3 1996</stp>
        <stp>FQ3 1996</stp>
        <stp>[FA1_ftkzu3fn.xlsx]Per Share!R13C29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C13" s="5"/>
      </tp>
      <tp>
        <v>0.35320000000000001</v>
        <stp/>
        <stp>##V3_BDHV12</stp>
        <stp>XOM US Equity</stp>
        <stp>OPER_INC_PER_SH</stp>
        <stp>FQ3 1993</stp>
        <stp>FQ3 1993</stp>
        <stp>[FA1_ftkzu3fn.xlsx]Per Share!R13C17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Q13" s="5"/>
      </tp>
      <tp>
        <v>0.41360000000000002</v>
        <stp/>
        <stp>##V3_BDHV12</stp>
        <stp>XOM US Equity</stp>
        <stp>OPER_INC_PER_SH</stp>
        <stp>FQ3 1992</stp>
        <stp>FQ3 1992</stp>
        <stp>[FA1_ftkzu3fn.xlsx]Per Share!R13C13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M13" s="5"/>
      </tp>
      <tp>
        <v>0.64490000000000003</v>
        <stp/>
        <stp>##V3_BDHV12</stp>
        <stp>XOM US Equity</stp>
        <stp>OPER_INC_PER_SH</stp>
        <stp>FQ1 1997</stp>
        <stp>FQ1 1997</stp>
        <stp>[FA1_ftkzu3fn.xlsx]Per Share!R13C31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E13" s="5"/>
      </tp>
      <tp>
        <v>0.46800000000000003</v>
        <stp/>
        <stp>##V3_BDHV12</stp>
        <stp>XOM US Equity</stp>
        <stp>OPER_INC_PER_SH</stp>
        <stp>FQ1 1996</stp>
        <stp>FQ1 1996</stp>
        <stp>[FA1_ftkzu3fn.xlsx]Per Share!R13C27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A13" s="5"/>
      </tp>
      <tp>
        <v>0.3468</v>
        <stp/>
        <stp>##V3_BDHV12</stp>
        <stp>XOM US Equity</stp>
        <stp>OPER_INC_PER_SH</stp>
        <stp>FQ1 1994</stp>
        <stp>FQ1 1994</stp>
        <stp>[FA1_ftkzu3fn.xlsx]Per Share!R13C19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S13" s="5"/>
      </tp>
      <tp>
        <v>0.432</v>
        <stp/>
        <stp>##V3_BDHV12</stp>
        <stp>XOM US Equity</stp>
        <stp>OPER_INC_PER_SH</stp>
        <stp>FQ1 1995</stp>
        <stp>FQ1 1995</stp>
        <stp>[FA1_ftkzu3fn.xlsx]Per Share!R13C23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W13" s="5"/>
      </tp>
      <tp>
        <v>0.34649999999999997</v>
        <stp/>
        <stp>##V3_BDHV12</stp>
        <stp>XOM US Equity</stp>
        <stp>OPER_INC_PER_SH</stp>
        <stp>FQ1 1993</stp>
        <stp>FQ1 1993</stp>
        <stp>[FA1_ftkzu3fn.xlsx]Per Share!R13C15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O13" s="5"/>
      </tp>
      <tp>
        <v>0.35920000000000002</v>
        <stp/>
        <stp>##V3_BDHV12</stp>
        <stp>XOM US Equity</stp>
        <stp>OPER_INC_PER_SH</stp>
        <stp>FQ1 1992</stp>
        <stp>FQ1 1992</stp>
        <stp>[FA1_ftkzu3fn.xlsx]Per Share!R13C11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K13" s="5"/>
      </tp>
      <tp>
        <v>0.47649999999999998</v>
        <stp/>
        <stp>##V3_BDHV12</stp>
        <stp>XOM US Equity</stp>
        <stp>OPER_INC_PER_SH</stp>
        <stp>FQ1 1998</stp>
        <stp>FQ1 1998</stp>
        <stp>[FA1_ftkzu3fn.xlsx]Per Share!R13C35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I13" s="5"/>
      </tp>
      <tp>
        <v>56891</v>
        <stp/>
        <stp>##V3_BDHV12</stp>
        <stp>XOM US Equity</stp>
        <stp>BS_ACCUM_DEPR</stp>
        <stp>FQ4 1995</stp>
        <stp>FQ4 1995</stp>
        <stp>[FA1_ftkzu3fn.xlsx]Bal Sheet - Standardized!R19C26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19" s="3"/>
      </tp>
      <tp>
        <v>52901</v>
        <stp/>
        <stp>##V3_BDHV12</stp>
        <stp>XOM US Equity</stp>
        <stp>BS_ACCUM_DEPR</stp>
        <stp>FQ4 1994</stp>
        <stp>FQ4 1994</stp>
        <stp>[FA1_ftkzu3fn.xlsx]Bal Sheet - Standardized!R19C22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19" s="3"/>
      </tp>
      <tp t="s">
        <v>—</v>
        <stp/>
        <stp>##V3_BDHV12</stp>
        <stp>XOM US Equity</stp>
        <stp>IS_BASIC_EPS_CONT_OPS</stp>
        <stp>FQ3 1990</stp>
        <stp>FQ3 1990</stp>
        <stp>[FA1_ftkzu3fn.xlsx]Income - Adjusted!R30C5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30" s="2"/>
      </tp>
      <tp t="s">
        <v>—</v>
        <stp/>
        <stp>##V3_BDHV12</stp>
        <stp>XOM US Equity</stp>
        <stp>IS_BASIC_EPS_CONT_OPS</stp>
        <stp>FQ2 1990</stp>
        <stp>FQ2 1990</stp>
        <stp>[FA1_ftkzu3fn.xlsx]Income - Adjusted!R30C4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30" s="2"/>
      </tp>
      <tp>
        <v>4991.6318000000001</v>
        <stp/>
        <stp>##V3_BDHV12</stp>
        <stp>XOM US Equity</stp>
        <stp>IS_SH_FOR_DILUTED_EPS</stp>
        <stp>FQ2 1990</stp>
        <stp>FQ2 1990</stp>
        <stp>[FA1_ftkzu3fn.xlsx]Income - Adjusted!R32C4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32" s="2"/>
      </tp>
      <tp>
        <v>4987.2002000000002</v>
        <stp/>
        <stp>##V3_BDHV12</stp>
        <stp>XOM US Equity</stp>
        <stp>IS_SH_FOR_DILUTED_EPS</stp>
        <stp>FQ3 1990</stp>
        <stp>FQ3 1990</stp>
        <stp>[FA1_ftkzu3fn.xlsx]Income - Adjusted!R32C5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32" s="2"/>
      </tp>
      <tp>
        <v>4987.2002000000002</v>
        <stp/>
        <stp>##V3_BDHV12</stp>
        <stp>XOM US Equity</stp>
        <stp>IS_AVG_NUM_SH_FOR_EPS</stp>
        <stp>FQ3 1990</stp>
        <stp>FQ3 1990</stp>
        <stp>[FA1_ftkzu3fn.xlsx]Income - Adjusted!R27C5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27" s="2"/>
      </tp>
      <tp>
        <v>4991.6318000000001</v>
        <stp/>
        <stp>##V3_BDHV12</stp>
        <stp>XOM US Equity</stp>
        <stp>IS_AVG_NUM_SH_FOR_EPS</stp>
        <stp>FQ2 1990</stp>
        <stp>FQ2 1990</stp>
        <stp>[FA1_ftkzu3fn.xlsx]Income - Adjusted!R27C4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27" s="2"/>
      </tp>
      <tp>
        <v>6270</v>
        <stp/>
        <stp>##V3_BDHV12</stp>
        <stp>XOM US Equity</stp>
        <stp>IS_OPERATING_EXPN</stp>
        <stp>FQ1 1990</stp>
        <stp>FQ1 1990</stp>
        <stp>[FA1_ftkzu3fn.xlsx]Income - Adjusted!R9C3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C9" s="2"/>
      </tp>
      <tp>
        <v>5536</v>
        <stp/>
        <stp>##V3_BDHV12</stp>
        <stp>XOM US Equity</stp>
        <stp>BS_OTHER_ASSETS_DEF_CHRG_OTHER</stp>
        <stp>FQ4 1991</stp>
        <stp>FQ4 1991</stp>
        <stp>[FA1_ftkzu3fn.xlsx]Bal Sheet - Standardized!R21C10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21" s="3"/>
      </tp>
      <tp>
        <v>30539</v>
        <stp/>
        <stp>##V3_BDHV12</stp>
        <stp>XOM US Equity</stp>
        <stp>TOTAL_EQUITY</stp>
        <stp>FQ1 1990</stp>
        <stp>FQ1 1990</stp>
        <stp>[FA1_ftkzu3fn.xlsx]Bal Sheet - Standardized!R44C3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44" s="3"/>
      </tp>
      <tp>
        <v>36005</v>
        <stp/>
        <stp>##V3_BDHV12</stp>
        <stp>XOM US Equity</stp>
        <stp>TOTAL_EQUITY</stp>
        <stp>FQ4 1990</stp>
        <stp>FQ4 1990</stp>
        <stp>[FA1_ftkzu3fn.xlsx]Bal Sheet - Standardized!R44C6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44" s="3"/>
      </tp>
      <tp>
        <v>84593</v>
        <stp/>
        <stp>##V3_BDHV12</stp>
        <stp>XOM US Equity</stp>
        <stp>BS_TOT_ASSET</stp>
        <stp>FQ3 1991</stp>
        <stp>FQ3 1991</stp>
        <stp>[FA1_ftkzu3fn.xlsx]Bal Sheet - Standardized!R24C9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4" s="3"/>
      </tp>
      <tp>
        <v>81744</v>
        <stp/>
        <stp>##V3_BDHV12</stp>
        <stp>XOM US Equity</stp>
        <stp>BS_TOT_ASSET</stp>
        <stp>FQ2 1991</stp>
        <stp>FQ2 1991</stp>
        <stp>[FA1_ftkzu3fn.xlsx]Bal Sheet - Standardized!R24C8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4" s="3"/>
      </tp>
      <tp>
        <v>8251</v>
        <stp/>
        <stp>##V3_BDHV12</stp>
        <stp>XOM US Equity</stp>
        <stp>IS_OPERATING_EXPN</stp>
        <stp>FQ4 1990</stp>
        <stp>FQ4 1990</stp>
        <stp>[FA1_ftkzu3fn.xlsx]Income - Adjusted!R9C6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F9" s="2"/>
      </tp>
      <tp>
        <v>5693</v>
        <stp/>
        <stp>##V3_BDHV12</stp>
        <stp>XOM US Equity</stp>
        <stp>BS_OTHER_ASSETS_DEF_CHRG_OTHER</stp>
        <stp>FQ4 1992</stp>
        <stp>FQ4 1992</stp>
        <stp>[FA1_ftkzu3fn.xlsx]Bal Sheet - Standardized!R21C14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21" s="3"/>
      </tp>
      <tp>
        <v>32255</v>
        <stp/>
        <stp>##V3_BDHV12</stp>
        <stp>XOM US Equity</stp>
        <stp>TOTAL_EQUITY</stp>
        <stp>FQ3 1990</stp>
        <stp>FQ3 1990</stp>
        <stp>[FA1_ftkzu3fn.xlsx]Bal Sheet - Standardized!R44C5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44" s="3"/>
      </tp>
      <tp>
        <v>31232</v>
        <stp/>
        <stp>##V3_BDHV12</stp>
        <stp>XOM US Equity</stp>
        <stp>TOTAL_EQUITY</stp>
        <stp>FQ2 1990</stp>
        <stp>FQ2 1990</stp>
        <stp>[FA1_ftkzu3fn.xlsx]Bal Sheet - Standardized!R44C4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44" s="3"/>
      </tp>
      <tp>
        <v>33037</v>
        <stp/>
        <stp>##V3_BDHV12</stp>
        <stp>XOM US Equity</stp>
        <stp>TOTAL_EQUITY</stp>
        <stp>FQ1 1991</stp>
        <stp>FQ1 1991</stp>
        <stp>[FA1_ftkzu3fn.xlsx]Bal Sheet - Standardized!R44C7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44" s="3"/>
      </tp>
      <tp>
        <v>32799</v>
        <stp/>
        <stp>##V3_BDHV12</stp>
        <stp>XOM US Equity</stp>
        <stp>TOTAL_EQUITY</stp>
        <stp>FQ2 1991</stp>
        <stp>FQ2 1991</stp>
        <stp>[FA1_ftkzu3fn.xlsx]Bal Sheet - Standardized!R44C8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44" s="3"/>
      </tp>
      <tp>
        <v>33888</v>
        <stp/>
        <stp>##V3_BDHV12</stp>
        <stp>XOM US Equity</stp>
        <stp>TOTAL_EQUITY</stp>
        <stp>FQ3 1991</stp>
        <stp>FQ3 1991</stp>
        <stp>[FA1_ftkzu3fn.xlsx]Bal Sheet - Standardized!R44C9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44" s="3"/>
      </tp>
      <tp>
        <v>87707</v>
        <stp/>
        <stp>##V3_BDHV12</stp>
        <stp>XOM US Equity</stp>
        <stp>BS_TOT_ASSET</stp>
        <stp>FQ4 1990</stp>
        <stp>FQ4 1990</stp>
        <stp>[FA1_ftkzu3fn.xlsx]Bal Sheet - Standardized!R24C6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4" s="3"/>
      </tp>
      <tp>
        <v>82285</v>
        <stp/>
        <stp>##V3_BDHV12</stp>
        <stp>XOM US Equity</stp>
        <stp>BS_TOT_ASSET</stp>
        <stp>FQ1 1990</stp>
        <stp>FQ1 1990</stp>
        <stp>[FA1_ftkzu3fn.xlsx]Bal Sheet - Standardized!R24C3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4" s="3"/>
      </tp>
      <tp>
        <v>6147</v>
        <stp/>
        <stp>##V3_BDHV12</stp>
        <stp>XOM US Equity</stp>
        <stp>BS_OTHER_ASSETS_DEF_CHRG_OTHER</stp>
        <stp>FQ4 1993</stp>
        <stp>FQ4 1993</stp>
        <stp>[FA1_ftkzu3fn.xlsx]Bal Sheet - Standardized!R21C18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21" s="3"/>
      </tp>
      <tp>
        <v>2261</v>
        <stp/>
        <stp>##V3_BDHV12</stp>
        <stp>XOM US Equity</stp>
        <stp>PRETAX_INC</stp>
        <stp>FQ1 1990</stp>
        <stp>FQ1 1990</stp>
        <stp>[FA1_ftkzu3fn.xlsx]Income - Adjusted!R13C3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C13" s="2"/>
      </tp>
      <tp>
        <v>2298</v>
        <stp/>
        <stp>##V3_BDHV12</stp>
        <stp>XOM US Equity</stp>
        <stp>PRETAX_INC</stp>
        <stp>FQ4 1990</stp>
        <stp>FQ4 1990</stp>
        <stp>[FA1_ftkzu3fn.xlsx]Income - Adjusted!R13C6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F13" s="2"/>
      </tp>
      <tp>
        <v>82608</v>
        <stp/>
        <stp>##V3_BDHV12</stp>
        <stp>XOM US Equity</stp>
        <stp>BS_TOT_ASSET</stp>
        <stp>FQ2 1990</stp>
        <stp>FQ2 1990</stp>
        <stp>[FA1_ftkzu3fn.xlsx]Bal Sheet - Standardized!R24C4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4" s="3"/>
      </tp>
      <tp>
        <v>86157</v>
        <stp/>
        <stp>##V3_BDHV12</stp>
        <stp>XOM US Equity</stp>
        <stp>BS_TOT_ASSET</stp>
        <stp>FQ3 1990</stp>
        <stp>FQ3 1990</stp>
        <stp>[FA1_ftkzu3fn.xlsx]Bal Sheet - Standardized!R24C5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4" s="3"/>
      </tp>
      <tp>
        <v>83661</v>
        <stp/>
        <stp>##V3_BDHV12</stp>
        <stp>XOM US Equity</stp>
        <stp>BS_TOT_ASSET</stp>
        <stp>FQ1 1991</stp>
        <stp>FQ1 1991</stp>
        <stp>[FA1_ftkzu3fn.xlsx]Bal Sheet - Standardized!R24C7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4" s="3"/>
      </tp>
      <tp>
        <v>5064</v>
        <stp/>
        <stp>##V3_BDHV12</stp>
        <stp>XOM US Equity</stp>
        <stp>BS_INVENTORIES</stp>
        <stp>FQ1 1997</stp>
        <stp>FQ1 1997</stp>
        <stp>[FA1_ftkzu3fn.xlsx]Bal Sheet - Standardized!R11C31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11" s="3"/>
      </tp>
      <tp>
        <v>5406</v>
        <stp/>
        <stp>##V3_BDHV12</stp>
        <stp>XOM US Equity</stp>
        <stp>BS_INVENTORIES</stp>
        <stp>FQ3 1993</stp>
        <stp>FQ3 1993</stp>
        <stp>[FA1_ftkzu3fn.xlsx]Bal Sheet - Standardized!R11C17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11" s="3"/>
      </tp>
      <tp t="s">
        <v>—</v>
        <stp/>
        <stp>##V3_BDHV12</stp>
        <stp>XOM US Equity</stp>
        <stp>BS_LT_INVEST</stp>
        <stp>FQ3 1991</stp>
        <stp>FQ3 1991</stp>
        <stp>[FA1_ftkzu3fn.xlsx]Bal Sheet - Standardized!R20C9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0" s="3"/>
      </tp>
      <tp t="s">
        <v>—</v>
        <stp/>
        <stp>##V3_BDHV12</stp>
        <stp>XOM US Equity</stp>
        <stp>BS_LT_INVEST</stp>
        <stp>FQ2 1991</stp>
        <stp>FQ2 1991</stp>
        <stp>[FA1_ftkzu3fn.xlsx]Bal Sheet - Standardized!R20C8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0" s="3"/>
      </tp>
      <tp>
        <v>68425</v>
        <stp/>
        <stp>##V3_BDHV12</stp>
        <stp>XOM US Equity</stp>
        <stp>BS_TOT_NON_CUR_ASSET</stp>
        <stp>FQ3 1991</stp>
        <stp>FQ3 1991</stp>
        <stp>[FA1_ftkzu3fn.xlsx]Bal Sheet - Standardized!R23C9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3" s="3"/>
      </tp>
      <tp>
        <v>66233</v>
        <stp/>
        <stp>##V3_BDHV12</stp>
        <stp>XOM US Equity</stp>
        <stp>BS_TOT_NON_CUR_ASSET</stp>
        <stp>FQ2 1991</stp>
        <stp>FQ2 1991</stp>
        <stp>[FA1_ftkzu3fn.xlsx]Bal Sheet - Standardized!R23C8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3" s="3"/>
      </tp>
      <tp>
        <v>6357</v>
        <stp/>
        <stp>##V3_BDHV12</stp>
        <stp>XOM US Equity</stp>
        <stp>BS_INVENTORIES</stp>
        <stp>FQ3 1992</stp>
        <stp>FQ3 1992</stp>
        <stp>[FA1_ftkzu3fn.xlsx]Bal Sheet - Standardized!R11C13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11" s="3"/>
      </tp>
      <tp t="s">
        <v>—</v>
        <stp/>
        <stp>##V3_BDHV12</stp>
        <stp>XOM US Equity</stp>
        <stp>BS_LT_INVEST</stp>
        <stp>FQ1 1991</stp>
        <stp>FQ1 1991</stp>
        <stp>[FA1_ftkzu3fn.xlsx]Bal Sheet - Standardized!R20C7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0" s="3"/>
      </tp>
      <tp t="s">
        <v>—</v>
        <stp/>
        <stp>##V3_BDHV12</stp>
        <stp>XOM US Equity</stp>
        <stp>BS_LT_INVEST</stp>
        <stp>FQ2 1990</stp>
        <stp>FQ2 1990</stp>
        <stp>[FA1_ftkzu3fn.xlsx]Bal Sheet - Standardized!R20C4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0" s="3"/>
      </tp>
      <tp t="s">
        <v>—</v>
        <stp/>
        <stp>##V3_BDHV12</stp>
        <stp>XOM US Equity</stp>
        <stp>BS_LT_INVEST</stp>
        <stp>FQ3 1990</stp>
        <stp>FQ3 1990</stp>
        <stp>[FA1_ftkzu3fn.xlsx]Bal Sheet - Standardized!R20C5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0" s="3"/>
      </tp>
      <tp>
        <v>5209</v>
        <stp/>
        <stp>##V3_BDHV12</stp>
        <stp>XOM US Equity</stp>
        <stp>BS_INVENTORIES</stp>
        <stp>FQ1 1998</stp>
        <stp>FQ1 1998</stp>
        <stp>[FA1_ftkzu3fn.xlsx]Bal Sheet - Standardized!R11C35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11" s="3"/>
      </tp>
      <tp>
        <v>66818</v>
        <stp/>
        <stp>##V3_BDHV12</stp>
        <stp>XOM US Equity</stp>
        <stp>BS_TOT_NON_CUR_ASSET</stp>
        <stp>FQ1 1991</stp>
        <stp>FQ1 1991</stp>
        <stp>[FA1_ftkzu3fn.xlsx]Bal Sheet - Standardized!R23C7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3" s="3"/>
      </tp>
      <tp>
        <v>66911</v>
        <stp/>
        <stp>##V3_BDHV12</stp>
        <stp>XOM US Equity</stp>
        <stp>BS_TOT_NON_CUR_ASSET</stp>
        <stp>FQ2 1990</stp>
        <stp>FQ2 1990</stp>
        <stp>[FA1_ftkzu3fn.xlsx]Bal Sheet - Standardized!R23C4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3" s="3"/>
      </tp>
      <tp>
        <v>68848</v>
        <stp/>
        <stp>##V3_BDHV12</stp>
        <stp>XOM US Equity</stp>
        <stp>BS_TOT_NON_CUR_ASSET</stp>
        <stp>FQ3 1990</stp>
        <stp>FQ3 1990</stp>
        <stp>[FA1_ftkzu3fn.xlsx]Bal Sheet - Standardized!R23C5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3" s="3"/>
      </tp>
      <tp t="s">
        <v>—</v>
        <stp/>
        <stp>##V3_BDHV12</stp>
        <stp>XOM US Equity</stp>
        <stp>BS_LT_INVEST</stp>
        <stp>FQ1 1990</stp>
        <stp>FQ1 1990</stp>
        <stp>[FA1_ftkzu3fn.xlsx]Bal Sheet - Standardized!R20C3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0" s="3"/>
      </tp>
      <tp>
        <v>1207</v>
        <stp/>
        <stp>##V3_BDHV12</stp>
        <stp>XOM US Equity</stp>
        <stp>BS_LT_INVEST</stp>
        <stp>FQ4 1990</stp>
        <stp>FQ4 1990</stp>
        <stp>[FA1_ftkzu3fn.xlsx]Bal Sheet - Standardized!R20C6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0" s="3"/>
      </tp>
      <tp>
        <v>69371</v>
        <stp/>
        <stp>##V3_BDHV12</stp>
        <stp>XOM US Equity</stp>
        <stp>BS_TOT_NON_CUR_ASSET</stp>
        <stp>FQ4 1990</stp>
        <stp>FQ4 1990</stp>
        <stp>[FA1_ftkzu3fn.xlsx]Bal Sheet - Standardized!R23C6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3" s="3"/>
      </tp>
      <tp>
        <v>66127</v>
        <stp/>
        <stp>##V3_BDHV12</stp>
        <stp>XOM US Equity</stp>
        <stp>BS_TOT_NON_CUR_ASSET</stp>
        <stp>FQ1 1990</stp>
        <stp>FQ1 1990</stp>
        <stp>[FA1_ftkzu3fn.xlsx]Bal Sheet - Standardized!R23C3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3" s="3"/>
      </tp>
      <tp>
        <v>18736</v>
        <stp/>
        <stp>##V3_BDHV12</stp>
        <stp>XOM US Equity</stp>
        <stp>BS_CUR_LIAB</stp>
        <stp>FQ4 1995</stp>
        <stp>FQ4 1995</stp>
        <stp>[FA1_ftkzu3fn.xlsx]Bal Sheet - Standardized!R32C26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32" s="3"/>
      </tp>
      <tp>
        <v>19493</v>
        <stp/>
        <stp>##V3_BDHV12</stp>
        <stp>XOM US Equity</stp>
        <stp>BS_CUR_LIAB</stp>
        <stp>FQ4 1994</stp>
        <stp>FQ4 1994</stp>
        <stp>[FA1_ftkzu3fn.xlsx]Bal Sheet - Standardized!R32C22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32" s="3"/>
      </tp>
      <tp>
        <v>8.2241</v>
        <stp/>
        <stp>##V3_BDHV12</stp>
        <stp>XOM US Equity</stp>
        <stp>PROF_MARGIN</stp>
        <stp>FQ1 1991</stp>
        <stp>FQ1 1991</stp>
        <stp>[FA1_ftkzu3fn.xlsx]Income - Adjusted!R44C7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G44" s="2"/>
      </tp>
      <tp>
        <v>4.6390000000000002</v>
        <stp/>
        <stp>##V3_BDHV12</stp>
        <stp>XOM US Equity</stp>
        <stp>PROF_MARGIN</stp>
        <stp>FQ2 1991</stp>
        <stp>FQ2 1991</stp>
        <stp>[FA1_ftkzu3fn.xlsx]Income - Adjusted!R44C8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H44" s="2"/>
      </tp>
      <tp>
        <v>4.6002000000000001</v>
        <stp/>
        <stp>##V3_BDHV12</stp>
        <stp>XOM US Equity</stp>
        <stp>PROF_MARGIN</stp>
        <stp>FQ3 1991</stp>
        <stp>FQ3 1991</stp>
        <stp>[FA1_ftkzu3fn.xlsx]Income - Adjusted!R44C9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I44" s="2"/>
      </tp>
      <tp>
        <v>61364</v>
        <stp/>
        <stp>##V3_BDHV12</stp>
        <stp>XOM US Equity</stp>
        <stp>BS_ACCUM_DEPR</stp>
        <stp>FQ4 1997</stp>
        <stp>FQ4 1997</stp>
        <stp>[FA1_ftkzu3fn.xlsx]Bal Sheet - Standardized!R19C34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19" s="3"/>
      </tp>
      <tp t="s">
        <v>—</v>
        <stp/>
        <stp>##V3_BDHV12</stp>
        <stp>XOM US Equity</stp>
        <stp>INVTRY_FINISHED_GOODS</stp>
        <stp>FQ4 1992</stp>
        <stp>FQ4 1992</stp>
        <stp>[FA1_ftkzu3fn.xlsx]Bal Sheet - Standardized!R14C14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14" s="3"/>
      </tp>
      <tp t="s">
        <v>—</v>
        <stp/>
        <stp>##V3_BDHV12</stp>
        <stp>XOM US Equity</stp>
        <stp>INVTRY_FINISHED_GOODS</stp>
        <stp>FQ4 1991</stp>
        <stp>FQ4 1991</stp>
        <stp>[FA1_ftkzu3fn.xlsx]Bal Sheet - Standardized!R14C10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14" s="3"/>
      </tp>
      <tp>
        <v>59759</v>
        <stp/>
        <stp>##V3_BDHV12</stp>
        <stp>XOM US Equity</stp>
        <stp>BS_ACCUM_DEPR</stp>
        <stp>FQ4 1996</stp>
        <stp>FQ4 1996</stp>
        <stp>[FA1_ftkzu3fn.xlsx]Bal Sheet - Standardized!R19C30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19" s="3"/>
      </tp>
      <tp t="s">
        <v>—</v>
        <stp/>
        <stp>##V3_BDHV12</stp>
        <stp>XOM US Equity</stp>
        <stp>INVTRY_FINISHED_GOODS</stp>
        <stp>FQ4 1993</stp>
        <stp>FQ4 1993</stp>
        <stp>[FA1_ftkzu3fn.xlsx]Bal Sheet - Standardized!R14C18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14" s="3"/>
      </tp>
      <tp>
        <v>0.44500000000000001</v>
        <stp/>
        <stp>##V3_BDHV12</stp>
        <stp>XOM US Equity</stp>
        <stp>IS_BASIC_EPS_CONT_OPS</stp>
        <stp>FQ1 1991</stp>
        <stp>FQ1 1991</stp>
        <stp>[FA1_ftkzu3fn.xlsx]Income - Adjusted!R30C7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30" s="2"/>
      </tp>
      <tp>
        <v>4980.0962</v>
        <stp/>
        <stp>##V3_BDHV12</stp>
        <stp>XOM US Equity</stp>
        <stp>IS_SH_FOR_DILUTED_EPS</stp>
        <stp>FQ1 1991</stp>
        <stp>FQ1 1991</stp>
        <stp>[FA1_ftkzu3fn.xlsx]Income - Adjusted!R32C7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32" s="2"/>
      </tp>
      <tp>
        <v>9698</v>
        <stp/>
        <stp>##V3_BDHV12</stp>
        <stp>XOM US Equity</stp>
        <stp>GROSS_PROFIT</stp>
        <stp>FQ1 1998</stp>
        <stp>FQ1 1998</stp>
        <stp>[FA1_ftkzu3fn.xlsx]Income - Adjusted!R8C35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I8" s="2"/>
      </tp>
      <tp>
        <v>9868</v>
        <stp/>
        <stp>##V3_BDHV12</stp>
        <stp>XOM US Equity</stp>
        <stp>GROSS_PROFIT</stp>
        <stp>FQ2 1998</stp>
        <stp>FQ2 1998</stp>
        <stp>[FA1_ftkzu3fn.xlsx]Income - Adjusted!R8C36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J8" s="2"/>
      </tp>
      <tp>
        <v>4980.0962</v>
        <stp/>
        <stp>##V3_BDHV12</stp>
        <stp>XOM US Equity</stp>
        <stp>IS_AVG_NUM_SH_FOR_EPS</stp>
        <stp>FQ1 1991</stp>
        <stp>FQ1 1991</stp>
        <stp>[FA1_ftkzu3fn.xlsx]Income - Adjusted!R27C7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27" s="2"/>
      </tp>
      <tp t="s">
        <v>—</v>
        <stp/>
        <stp>##V3_BDHV12</stp>
        <stp>XOM US Equity</stp>
        <stp>IS_FOREIGN_EXCH_LOSS</stp>
        <stp>FQ1 1990</stp>
        <stp>FQ1 1990</stp>
        <stp>[FA1_ftkzu3fn.xlsx]Income - Adjusted!R12C3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C12" s="2"/>
      </tp>
      <tp>
        <v>-240</v>
        <stp/>
        <stp>##V3_BDHV12</stp>
        <stp>XOM US Equity</stp>
        <stp>IS_FOREIGN_EXCH_LOSS</stp>
        <stp>FQ4 1990</stp>
        <stp>FQ4 1990</stp>
        <stp>[FA1_ftkzu3fn.xlsx]Income - Adjusted!R12C6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F12" s="2"/>
      </tp>
      <tp>
        <v>10074</v>
        <stp/>
        <stp>##V3_BDHV12</stp>
        <stp>XOM US Equity</stp>
        <stp>GROSS_PROFIT</stp>
        <stp>FQ2 1996</stp>
        <stp>FQ2 1996</stp>
        <stp>[FA1_ftkzu3fn.xlsx]Income - Adjusted!R8C28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B8" s="2"/>
      </tp>
      <tp>
        <v>10551</v>
        <stp/>
        <stp>##V3_BDHV12</stp>
        <stp>XOM US Equity</stp>
        <stp>GROSS_PROFIT</stp>
        <stp>FQ3 1996</stp>
        <stp>FQ3 1996</stp>
        <stp>[FA1_ftkzu3fn.xlsx]Income - Adjusted!R8C29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C8" s="2"/>
      </tp>
      <tp>
        <v>8269</v>
        <stp/>
        <stp>##V3_BDHV12</stp>
        <stp>XOM US Equity</stp>
        <stp>GROSS_PROFIT</stp>
        <stp>FQ1 1994</stp>
        <stp>FQ1 1994</stp>
        <stp>[FA1_ftkzu3fn.xlsx]Income - Adjusted!R8C19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S8" s="2"/>
      </tp>
      <tp>
        <v>7037</v>
        <stp/>
        <stp>##V3_BDHV12</stp>
        <stp>XOM US Equity</stp>
        <stp>BS_OTHER_ASSETS_DEF_CHRG_OTHER</stp>
        <stp>FQ3 1993</stp>
        <stp>FQ3 1993</stp>
        <stp>[FA1_ftkzu3fn.xlsx]Bal Sheet - Standardized!R21C17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21" s="3"/>
      </tp>
      <tp>
        <v>8386</v>
        <stp/>
        <stp>##V3_BDHV12</stp>
        <stp>XOM US Equity</stp>
        <stp>BS_OTHER_ASSETS_DEF_CHRG_OTHER</stp>
        <stp>FQ1 1997</stp>
        <stp>FQ1 1997</stp>
        <stp>[FA1_ftkzu3fn.xlsx]Bal Sheet - Standardized!R21C31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21" s="3"/>
      </tp>
      <tp>
        <v>6547</v>
        <stp/>
        <stp>##V3_BDHV12</stp>
        <stp>XOM US Equity</stp>
        <stp>BS_OTHER_ASSETS_DEF_CHRG_OTHER</stp>
        <stp>FQ3 1992</stp>
        <stp>FQ3 1992</stp>
        <stp>[FA1_ftkzu3fn.xlsx]Bal Sheet - Standardized!R21C13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21" s="3"/>
      </tp>
      <tp>
        <v>8186</v>
        <stp/>
        <stp>##V3_BDHV12</stp>
        <stp>XOM US Equity</stp>
        <stp>BS_OTHER_ASSETS_DEF_CHRG_OTHER</stp>
        <stp>FQ1 1998</stp>
        <stp>FQ1 1998</stp>
        <stp>[FA1_ftkzu3fn.xlsx]Bal Sheet - Standardized!R21C35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21" s="3"/>
      </tp>
      <tp>
        <v>6081</v>
        <stp/>
        <stp>##V3_BDHV12</stp>
        <stp>XOM US Equity</stp>
        <stp>BS_INVENTORIES</stp>
        <stp>FQ4 1991</stp>
        <stp>FQ4 1991</stp>
        <stp>[FA1_ftkzu3fn.xlsx]Bal Sheet - Standardized!R11C10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11" s="3"/>
      </tp>
      <tp t="s">
        <v>—</v>
        <stp/>
        <stp>##V3_BDHV12</stp>
        <stp>XOM US Equity</stp>
        <stp>CASH_CONVERSION_CYCLE</stp>
        <stp>FQ1 1990</stp>
        <stp>FQ1 1990</stp>
        <stp>[FA1_ftkzu3fn.xlsx]Bal Sheet - Standardized!R54C3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C54" s="3"/>
      </tp>
      <tp>
        <v>5807</v>
        <stp/>
        <stp>##V3_BDHV12</stp>
        <stp>XOM US Equity</stp>
        <stp>BS_INVENTORIES</stp>
        <stp>FQ4 1992</stp>
        <stp>FQ4 1992</stp>
        <stp>[FA1_ftkzu3fn.xlsx]Bal Sheet - Standardized!R11C14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11" s="3"/>
      </tp>
      <tp>
        <v>5472</v>
        <stp/>
        <stp>##V3_BDHV12</stp>
        <stp>XOM US Equity</stp>
        <stp>BS_INVENTORIES</stp>
        <stp>FQ4 1993</stp>
        <stp>FQ4 1993</stp>
        <stp>[FA1_ftkzu3fn.xlsx]Bal Sheet - Standardized!R11C18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11" s="3"/>
      </tp>
      <tp>
        <v>18732</v>
        <stp/>
        <stp>##V3_BDHV12</stp>
        <stp>XOM US Equity</stp>
        <stp>BS_CUR_LIAB</stp>
        <stp>FQ2 1997</stp>
        <stp>FQ2 1997</stp>
        <stp>[FA1_ftkzu3fn.xlsx]Bal Sheet - Standardized!R32C32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32" s="3"/>
      </tp>
      <tp>
        <v>19253</v>
        <stp/>
        <stp>##V3_BDHV12</stp>
        <stp>XOM US Equity</stp>
        <stp>BS_CUR_LIAB</stp>
        <stp>FQ3 1994</stp>
        <stp>FQ3 1994</stp>
        <stp>[FA1_ftkzu3fn.xlsx]Bal Sheet - Standardized!R32C21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32" s="3"/>
      </tp>
      <tp>
        <v>18583</v>
        <stp/>
        <stp>##V3_BDHV12</stp>
        <stp>XOM US Equity</stp>
        <stp>BS_CUR_LIAB</stp>
        <stp>FQ3 1995</stp>
        <stp>FQ3 1995</stp>
        <stp>[FA1_ftkzu3fn.xlsx]Bal Sheet - Standardized!R32C25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32" s="3"/>
      </tp>
      <tp>
        <v>12560</v>
        <stp/>
        <stp>##V3_BDHV12</stp>
        <stp>XOM US Equity</stp>
        <stp>BS_ACCT_PAYABLE</stp>
        <stp>FQ2 1991</stp>
        <stp>FQ2 1991</stp>
        <stp>[FA1_ftkzu3fn.xlsx]Bal Sheet - Standardized!R28C8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8" s="3"/>
      </tp>
      <tp>
        <v>13063</v>
        <stp/>
        <stp>##V3_BDHV12</stp>
        <stp>XOM US Equity</stp>
        <stp>BS_ACCT_PAYABLE</stp>
        <stp>FQ3 1991</stp>
        <stp>FQ3 1991</stp>
        <stp>[FA1_ftkzu3fn.xlsx]Bal Sheet - Standardized!R28C9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8" s="3"/>
      </tp>
      <tp>
        <v>17532</v>
        <stp/>
        <stp>##V3_BDHV12</stp>
        <stp>XOM US Equity</stp>
        <stp>BS_CUR_LIAB</stp>
        <stp>FQ2 1998</stp>
        <stp>FQ2 1998</stp>
        <stp>[FA1_ftkzu3fn.xlsx]Bal Sheet - Standardized!R32C36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32" s="3"/>
      </tp>
      <tp>
        <v>19698</v>
        <stp/>
        <stp>##V3_BDHV12</stp>
        <stp>XOM US Equity</stp>
        <stp>BS_CUR_LIAB</stp>
        <stp>FQ3 1996</stp>
        <stp>FQ3 1996</stp>
        <stp>[FA1_ftkzu3fn.xlsx]Bal Sheet - Standardized!R32C29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32" s="3"/>
      </tp>
      <tp>
        <v>13047</v>
        <stp/>
        <stp>##V3_BDHV12</stp>
        <stp>XOM US Equity</stp>
        <stp>BS_ACCT_PAYABLE</stp>
        <stp>FQ1 1991</stp>
        <stp>FQ1 1991</stp>
        <stp>[FA1_ftkzu3fn.xlsx]Bal Sheet - Standardized!R28C7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8" s="3"/>
      </tp>
      <tp>
        <v>14083</v>
        <stp/>
        <stp>##V3_BDHV12</stp>
        <stp>XOM US Equity</stp>
        <stp>BS_ACCT_PAYABLE</stp>
        <stp>FQ3 1990</stp>
        <stp>FQ3 1990</stp>
        <stp>[FA1_ftkzu3fn.xlsx]Bal Sheet - Standardized!R28C5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8" s="3"/>
      </tp>
      <tp>
        <v>12482</v>
        <stp/>
        <stp>##V3_BDHV12</stp>
        <stp>XOM US Equity</stp>
        <stp>BS_ACCT_PAYABLE</stp>
        <stp>FQ2 1990</stp>
        <stp>FQ2 1990</stp>
        <stp>[FA1_ftkzu3fn.xlsx]Bal Sheet - Standardized!R28C4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8" s="3"/>
      </tp>
      <tp>
        <v>12263</v>
        <stp/>
        <stp>##V3_BDHV12</stp>
        <stp>XOM US Equity</stp>
        <stp>BS_ACCT_PAYABLE</stp>
        <stp>FQ1 1990</stp>
        <stp>FQ1 1990</stp>
        <stp>[FA1_ftkzu3fn.xlsx]Bal Sheet - Standardized!R28C3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8" s="3"/>
      </tp>
      <tp>
        <v>8994</v>
        <stp/>
        <stp>##V3_BDHV12</stp>
        <stp>XOM US Equity</stp>
        <stp>BS_ACCT_PAYABLE</stp>
        <stp>FQ4 1990</stp>
        <stp>FQ4 1990</stp>
        <stp>[FA1_ftkzu3fn.xlsx]Bal Sheet - Standardized!R28C6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8" s="3"/>
      </tp>
      <tp t="s">
        <v>—</v>
        <stp/>
        <stp>##V3_BDHV12</stp>
        <stp>XOM US Equity</stp>
        <stp>BS_ACCUM_DEPR</stp>
        <stp>FQ2 1994</stp>
        <stp>FQ2 1994</stp>
        <stp>[FA1_ftkzu3fn.xlsx]Bal Sheet - Standardized!R19C20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19" s="3"/>
      </tp>
      <tp>
        <v>62168</v>
        <stp/>
        <stp>##V3_BDHV12</stp>
        <stp>XOM US Equity</stp>
        <stp>BS_ACCUM_DEPR</stp>
        <stp>FQ3 1997</stp>
        <stp>FQ3 1997</stp>
        <stp>[FA1_ftkzu3fn.xlsx]Bal Sheet - Standardized!R19C33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19" s="3"/>
      </tp>
      <tp t="s">
        <v>—</v>
        <stp/>
        <stp>##V3_BDHV12</stp>
        <stp>XOM US Equity</stp>
        <stp>BS_ACCUM_DEPR</stp>
        <stp>FQ1 1993</stp>
        <stp>FQ1 1993</stp>
        <stp>[FA1_ftkzu3fn.xlsx]Bal Sheet - Standardized!R19C15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19" s="3"/>
      </tp>
      <tp t="s">
        <v>—</v>
        <stp/>
        <stp>##V3_BDHV12</stp>
        <stp>XOM US Equity</stp>
        <stp>INVTRY_FINISHED_GOODS</stp>
        <stp>FQ3 1992</stp>
        <stp>FQ3 1992</stp>
        <stp>[FA1_ftkzu3fn.xlsx]Bal Sheet - Standardized!R14C13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14" s="3"/>
      </tp>
      <tp>
        <v>136</v>
        <stp/>
        <stp>##V3_BDHV12</stp>
        <stp>XOM US Equity</stp>
        <stp>IS_INT_EXPENSE</stp>
        <stp>FQ2 1996</stp>
        <stp>FQ2 1996</stp>
        <stp>[FA1_ftkzu3fn.xlsx]Income - Adjusted!R11C28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B11" s="2"/>
      </tp>
      <tp>
        <v>65</v>
        <stp/>
        <stp>##V3_BDHV12</stp>
        <stp>XOM US Equity</stp>
        <stp>IS_INT_EXPENSE</stp>
        <stp>FQ2 1998</stp>
        <stp>FQ2 1998</stp>
        <stp>[FA1_ftkzu3fn.xlsx]Income - Adjusted!R11C36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J11" s="2"/>
      </tp>
      <tp t="s">
        <v>—</v>
        <stp/>
        <stp>##V3_BDHV12</stp>
        <stp>XOM US Equity</stp>
        <stp>BS_ACCUM_DEPR</stp>
        <stp>FQ1 1992</stp>
        <stp>FQ1 1992</stp>
        <stp>[FA1_ftkzu3fn.xlsx]Bal Sheet - Standardized!R19C11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19" s="3"/>
      </tp>
      <tp t="s">
        <v>—</v>
        <stp/>
        <stp>##V3_BDHV12</stp>
        <stp>XOM US Equity</stp>
        <stp>BS_ACCUM_DEPR</stp>
        <stp>FQ2 1995</stp>
        <stp>FQ2 1995</stp>
        <stp>[FA1_ftkzu3fn.xlsx]Bal Sheet - Standardized!R19C24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19" s="3"/>
      </tp>
      <tp t="s">
        <v>—</v>
        <stp/>
        <stp>##V3_BDHV12</stp>
        <stp>XOM US Equity</stp>
        <stp>INVTRY_FINISHED_GOODS</stp>
        <stp>FQ1 1997</stp>
        <stp>FQ1 1997</stp>
        <stp>[FA1_ftkzu3fn.xlsx]Bal Sheet - Standardized!R14C31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14" s="3"/>
      </tp>
      <tp t="s">
        <v>—</v>
        <stp/>
        <stp>##V3_BDHV12</stp>
        <stp>XOM US Equity</stp>
        <stp>INVTRY_FINISHED_GOODS</stp>
        <stp>FQ3 1993</stp>
        <stp>FQ3 1993</stp>
        <stp>[FA1_ftkzu3fn.xlsx]Bal Sheet - Standardized!R14C17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14" s="3"/>
      </tp>
      <tp t="s">
        <v>—</v>
        <stp/>
        <stp>##V3_BDHV12</stp>
        <stp>XOM US Equity</stp>
        <stp>BS_ACCUM_DEPR</stp>
        <stp>FQ1 1994</stp>
        <stp>FQ1 1994</stp>
        <stp>[FA1_ftkzu3fn.xlsx]Bal Sheet - Standardized!R19C19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19" s="3"/>
      </tp>
      <tp t="s">
        <v>—</v>
        <stp/>
        <stp>##V3_BDHV12</stp>
        <stp>XOM US Equity</stp>
        <stp>BS_ACCUM_DEPR</stp>
        <stp>FQ2 1996</stp>
        <stp>FQ2 1996</stp>
        <stp>[FA1_ftkzu3fn.xlsx]Bal Sheet - Standardized!R19C28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19" s="3"/>
      </tp>
      <tp t="s">
        <v>—</v>
        <stp/>
        <stp>##V3_BDHV12</stp>
        <stp>XOM US Equity</stp>
        <stp>INVTRY_FINISHED_GOODS</stp>
        <stp>FQ1 1998</stp>
        <stp>FQ1 1998</stp>
        <stp>[FA1_ftkzu3fn.xlsx]Bal Sheet - Standardized!R14C35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14" s="3"/>
      </tp>
      <tp>
        <v>51702</v>
        <stp/>
        <stp>##V3_BDHV12</stp>
        <stp>XOM US Equity</stp>
        <stp>BS_TOT_LIAB2</stp>
        <stp>FQ4 1990</stp>
        <stp>FQ4 1990</stp>
        <stp>[FA1_ftkzu3fn.xlsx]Bal Sheet - Standardized!R37C6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37" s="3"/>
      </tp>
      <tp>
        <v>51746</v>
        <stp/>
        <stp>##V3_BDHV12</stp>
        <stp>XOM US Equity</stp>
        <stp>BS_TOT_LIAB2</stp>
        <stp>FQ1 1990</stp>
        <stp>FQ1 1990</stp>
        <stp>[FA1_ftkzu3fn.xlsx]Bal Sheet - Standardized!R37C3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37" s="3"/>
      </tp>
      <tp>
        <v>50624</v>
        <stp/>
        <stp>##V3_BDHV12</stp>
        <stp>XOM US Equity</stp>
        <stp>BS_TOT_LIAB2</stp>
        <stp>FQ1 1991</stp>
        <stp>FQ1 1991</stp>
        <stp>[FA1_ftkzu3fn.xlsx]Bal Sheet - Standardized!R37C7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37" s="3"/>
      </tp>
      <tp>
        <v>53902</v>
        <stp/>
        <stp>##V3_BDHV12</stp>
        <stp>XOM US Equity</stp>
        <stp>BS_TOT_LIAB2</stp>
        <stp>FQ3 1990</stp>
        <stp>FQ3 1990</stp>
        <stp>[FA1_ftkzu3fn.xlsx]Bal Sheet - Standardized!R37C5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37" s="3"/>
      </tp>
      <tp>
        <v>51376</v>
        <stp/>
        <stp>##V3_BDHV12</stp>
        <stp>XOM US Equity</stp>
        <stp>BS_TOT_LIAB2</stp>
        <stp>FQ2 1990</stp>
        <stp>FQ2 1990</stp>
        <stp>[FA1_ftkzu3fn.xlsx]Bal Sheet - Standardized!R37C4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37" s="3"/>
      </tp>
      <tp t="s">
        <v>—</v>
        <stp/>
        <stp>##V3_BDHV12</stp>
        <stp>XOM US Equity</stp>
        <stp>PX_TO_FREE_CASH_FLOW</stp>
        <stp>FQ3 1991</stp>
        <stp>FQ3 1991</stp>
        <stp>[FA1_ftkzu3fn.xlsx]Cash Flow - Standardized!R44C9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44" s="4"/>
      </tp>
      <tp t="s">
        <v>—</v>
        <stp/>
        <stp>##V3_BDHV12</stp>
        <stp>XOM US Equity</stp>
        <stp>PX_TO_FREE_CASH_FLOW</stp>
        <stp>FQ2 1991</stp>
        <stp>FQ2 1991</stp>
        <stp>[FA1_ftkzu3fn.xlsx]Cash Flow - Standardized!R44C8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44" s="4"/>
      </tp>
      <tp>
        <v>48945</v>
        <stp/>
        <stp>##V3_BDHV12</stp>
        <stp>XOM US Equity</stp>
        <stp>BS_TOT_LIAB2</stp>
        <stp>FQ2 1991</stp>
        <stp>FQ2 1991</stp>
        <stp>[FA1_ftkzu3fn.xlsx]Bal Sheet - Standardized!R37C8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37" s="3"/>
      </tp>
      <tp>
        <v>50705</v>
        <stp/>
        <stp>##V3_BDHV12</stp>
        <stp>XOM US Equity</stp>
        <stp>BS_TOT_LIAB2</stp>
        <stp>FQ3 1991</stp>
        <stp>FQ3 1991</stp>
        <stp>[FA1_ftkzu3fn.xlsx]Bal Sheet - Standardized!R37C9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37" s="3"/>
      </tp>
      <tp>
        <v>3861</v>
        <stp/>
        <stp>##V3_BDHV12</stp>
        <stp>XOM US Equity</stp>
        <stp>C&amp;CE_AND_STI_DETAILED</stp>
        <stp>FQ1 1998</stp>
        <stp>FQ1 1998</stp>
        <stp>[FA1_ftkzu3fn.xlsx]Bal Sheet - Standardized!R7C35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7" s="3"/>
      </tp>
      <tp>
        <v>2710</v>
        <stp/>
        <stp>##V3_BDHV12</stp>
        <stp>XOM US Equity</stp>
        <stp>C&amp;CE_AND_STI_DETAILED</stp>
        <stp>FQ2 1998</stp>
        <stp>FQ2 1998</stp>
        <stp>[FA1_ftkzu3fn.xlsx]Bal Sheet - Standardized!R7C36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7" s="3"/>
      </tp>
      <tp>
        <v>2969</v>
        <stp/>
        <stp>##V3_BDHV12</stp>
        <stp>XOM US Equity</stp>
        <stp>C&amp;CE_AND_STI_DETAILED</stp>
        <stp>FQ4 1996</stp>
        <stp>FQ4 1996</stp>
        <stp>[FA1_ftkzu3fn.xlsx]Bal Sheet - Standardized!R7C30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7" s="3"/>
      </tp>
      <tp>
        <v>4799</v>
        <stp/>
        <stp>##V3_BDHV12</stp>
        <stp>XOM US Equity</stp>
        <stp>C&amp;CE_AND_STI_DETAILED</stp>
        <stp>FQ3 1997</stp>
        <stp>FQ3 1997</stp>
        <stp>[FA1_ftkzu3fn.xlsx]Bal Sheet - Standardized!R7C33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7" s="3"/>
      </tp>
      <tp>
        <v>4742</v>
        <stp/>
        <stp>##V3_BDHV12</stp>
        <stp>XOM US Equity</stp>
        <stp>C&amp;CE_AND_STI_DETAILED</stp>
        <stp>FQ2 1997</stp>
        <stp>FQ2 1997</stp>
        <stp>[FA1_ftkzu3fn.xlsx]Bal Sheet - Standardized!R7C32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7" s="3"/>
      </tp>
      <tp>
        <v>5282</v>
        <stp/>
        <stp>##V3_BDHV12</stp>
        <stp>XOM US Equity</stp>
        <stp>C&amp;CE_AND_STI_DETAILED</stp>
        <stp>FQ1 1997</stp>
        <stp>FQ1 1997</stp>
        <stp>[FA1_ftkzu3fn.xlsx]Bal Sheet - Standardized!R7C31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7" s="3"/>
      </tp>
      <tp>
        <v>4062</v>
        <stp/>
        <stp>##V3_BDHV12</stp>
        <stp>XOM US Equity</stp>
        <stp>C&amp;CE_AND_STI_DETAILED</stp>
        <stp>FQ4 1997</stp>
        <stp>FQ4 1997</stp>
        <stp>[FA1_ftkzu3fn.xlsx]Bal Sheet - Standardized!R7C34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7" s="3"/>
      </tp>
      <tp>
        <v>6686</v>
        <stp/>
        <stp>##V3_BDHV12</stp>
        <stp>XOM US Equity</stp>
        <stp>BS_OTHER_ASSETS_DEF_CHRG_OTHER</stp>
        <stp>FQ2 1993</stp>
        <stp>FQ2 1993</stp>
        <stp>[FA1_ftkzu3fn.xlsx]Bal Sheet - Standardized!R21C16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21" s="3"/>
      </tp>
      <tp>
        <v>8284</v>
        <stp/>
        <stp>##V3_BDHV12</stp>
        <stp>XOM US Equity</stp>
        <stp>BS_OTHER_ASSETS_DEF_CHRG_OTHER</stp>
        <stp>FQ1 1995</stp>
        <stp>FQ1 1995</stp>
        <stp>[FA1_ftkzu3fn.xlsx]Bal Sheet - Standardized!R21C23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21" s="3"/>
      </tp>
      <tp>
        <v>8432</v>
        <stp/>
        <stp>##V3_BDHV12</stp>
        <stp>XOM US Equity</stp>
        <stp>BS_OTHER_ASSETS_DEF_CHRG_OTHER</stp>
        <stp>FQ1 1996</stp>
        <stp>FQ1 1996</stp>
        <stp>[FA1_ftkzu3fn.xlsx]Bal Sheet - Standardized!R21C27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21" s="3"/>
      </tp>
      <tp>
        <v>6445</v>
        <stp/>
        <stp>##V3_BDHV12</stp>
        <stp>XOM US Equity</stp>
        <stp>BS_OTHER_ASSETS_DEF_CHRG_OTHER</stp>
        <stp>FQ2 1992</stp>
        <stp>FQ2 1992</stp>
        <stp>[FA1_ftkzu3fn.xlsx]Bal Sheet - Standardized!R21C12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21" s="3"/>
      </tp>
      <tp>
        <v>-8.8995999999999995</v>
        <stp/>
        <stp>##V3_BDHV12</stp>
        <stp>XOM US Equity</stp>
        <stp>CASH_CONVERSION_CYCLE</stp>
        <stp>FQ1 1991</stp>
        <stp>FQ1 1991</stp>
        <stp>[FA1_ftkzu3fn.xlsx]Bal Sheet - Standardized!R54C7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G54" s="3"/>
      </tp>
      <tp>
        <v>19047</v>
        <stp/>
        <stp>##V3_BDHV12</stp>
        <stp>XOM US Equity</stp>
        <stp>BS_CUR_LIAB</stp>
        <stp>FQ1 1993</stp>
        <stp>FQ1 1993</stp>
        <stp>[FA1_ftkzu3fn.xlsx]Bal Sheet - Standardized!R32C15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32" s="3"/>
      </tp>
      <tp>
        <v>20250</v>
        <stp/>
        <stp>##V3_BDHV12</stp>
        <stp>XOM US Equity</stp>
        <stp>BS_CUR_LIAB</stp>
        <stp>FQ3 1997</stp>
        <stp>FQ3 1997</stp>
        <stp>[FA1_ftkzu3fn.xlsx]Bal Sheet - Standardized!R32C33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32" s="3"/>
      </tp>
      <tp>
        <v>18889</v>
        <stp/>
        <stp>##V3_BDHV12</stp>
        <stp>XOM US Equity</stp>
        <stp>BS_CUR_LIAB</stp>
        <stp>FQ2 1994</stp>
        <stp>FQ2 1994</stp>
        <stp>[FA1_ftkzu3fn.xlsx]Bal Sheet - Standardized!R32C20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32" s="3"/>
      </tp>
      <tp>
        <v>19461</v>
        <stp/>
        <stp>##V3_BDHV12</stp>
        <stp>XOM US Equity</stp>
        <stp>BS_CUR_LIAB</stp>
        <stp>FQ2 1995</stp>
        <stp>FQ2 1995</stp>
        <stp>[FA1_ftkzu3fn.xlsx]Bal Sheet - Standardized!R32C24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32" s="3"/>
      </tp>
      <tp>
        <v>18994</v>
        <stp/>
        <stp>##V3_BDHV12</stp>
        <stp>XOM US Equity</stp>
        <stp>BS_CUR_LIAB</stp>
        <stp>FQ1 1992</stp>
        <stp>FQ1 1992</stp>
        <stp>[FA1_ftkzu3fn.xlsx]Bal Sheet - Standardized!R32C11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32" s="3"/>
      </tp>
      <tp>
        <v>18414</v>
        <stp/>
        <stp>##V3_BDHV12</stp>
        <stp>XOM US Equity</stp>
        <stp>BS_CUR_LIAB</stp>
        <stp>FQ1 1994</stp>
        <stp>FQ1 1994</stp>
        <stp>[FA1_ftkzu3fn.xlsx]Bal Sheet - Standardized!R32C19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32" s="3"/>
      </tp>
      <tp>
        <v>18667</v>
        <stp/>
        <stp>##V3_BDHV12</stp>
        <stp>XOM US Equity</stp>
        <stp>BS_CUR_LIAB</stp>
        <stp>FQ2 1996</stp>
        <stp>FQ2 1996</stp>
        <stp>[FA1_ftkzu3fn.xlsx]Bal Sheet - Standardized!R32C28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32" s="3"/>
      </tp>
      <tp t="s">
        <v>—</v>
        <stp/>
        <stp>##V3_BDHV12</stp>
        <stp>XOM US Equity</stp>
        <stp>BS_ACCUM_DEPR</stp>
        <stp>FQ3 1994</stp>
        <stp>FQ3 1994</stp>
        <stp>[FA1_ftkzu3fn.xlsx]Bal Sheet - Standardized!R19C21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19" s="3"/>
      </tp>
      <tp t="s">
        <v>—</v>
        <stp/>
        <stp>##V3_BDHV12</stp>
        <stp>XOM US Equity</stp>
        <stp>INVTRY_FINISHED_GOODS</stp>
        <stp>FQ1 1996</stp>
        <stp>FQ1 1996</stp>
        <stp>[FA1_ftkzu3fn.xlsx]Bal Sheet - Standardized!R14C27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14" s="3"/>
      </tp>
      <tp>
        <v>60175</v>
        <stp/>
        <stp>##V3_BDHV12</stp>
        <stp>XOM US Equity</stp>
        <stp>BS_ACCUM_DEPR</stp>
        <stp>FQ2 1997</stp>
        <stp>FQ2 1997</stp>
        <stp>[FA1_ftkzu3fn.xlsx]Bal Sheet - Standardized!R19C32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19" s="3"/>
      </tp>
      <tp t="s">
        <v>—</v>
        <stp/>
        <stp>##V3_BDHV12</stp>
        <stp>XOM US Equity</stp>
        <stp>INVTRY_FINISHED_GOODS</stp>
        <stp>FQ2 1992</stp>
        <stp>FQ2 1992</stp>
        <stp>[FA1_ftkzu3fn.xlsx]Bal Sheet - Standardized!R14C12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14" s="3"/>
      </tp>
      <tp>
        <v>97</v>
        <stp/>
        <stp>##V3_BDHV12</stp>
        <stp>XOM US Equity</stp>
        <stp>IS_INT_EXPENSE</stp>
        <stp>FQ3 1996</stp>
        <stp>FQ3 1996</stp>
        <stp>[FA1_ftkzu3fn.xlsx]Income - Adjusted!R11C29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C11" s="2"/>
      </tp>
      <tp t="s">
        <v>—</v>
        <stp/>
        <stp>##V3_BDHV12</stp>
        <stp>XOM US Equity</stp>
        <stp>BS_ACCUM_DEPR</stp>
        <stp>FQ3 1995</stp>
        <stp>FQ3 1995</stp>
        <stp>[FA1_ftkzu3fn.xlsx]Bal Sheet - Standardized!R19C25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19" s="3"/>
      </tp>
      <tp t="s">
        <v>—</v>
        <stp/>
        <stp>##V3_BDHV12</stp>
        <stp>XOM US Equity</stp>
        <stp>INVTRY_FINISHED_GOODS</stp>
        <stp>FQ1 1995</stp>
        <stp>FQ1 1995</stp>
        <stp>[FA1_ftkzu3fn.xlsx]Bal Sheet - Standardized!R14C23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14" s="3"/>
      </tp>
      <tp t="s">
        <v>—</v>
        <stp/>
        <stp>##V3_BDHV12</stp>
        <stp>XOM US Equity</stp>
        <stp>INVTRY_FINISHED_GOODS</stp>
        <stp>FQ2 1993</stp>
        <stp>FQ2 1993</stp>
        <stp>[FA1_ftkzu3fn.xlsx]Bal Sheet - Standardized!R14C16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14" s="3"/>
      </tp>
      <tp>
        <v>63223</v>
        <stp/>
        <stp>##V3_BDHV12</stp>
        <stp>XOM US Equity</stp>
        <stp>BS_ACCUM_DEPR</stp>
        <stp>FQ2 1998</stp>
        <stp>FQ2 1998</stp>
        <stp>[FA1_ftkzu3fn.xlsx]Bal Sheet - Standardized!R19C36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19" s="3"/>
      </tp>
      <tp t="s">
        <v>—</v>
        <stp/>
        <stp>##V3_BDHV12</stp>
        <stp>XOM US Equity</stp>
        <stp>BS_ACCUM_DEPR</stp>
        <stp>FQ3 1996</stp>
        <stp>FQ3 1996</stp>
        <stp>[FA1_ftkzu3fn.xlsx]Bal Sheet - Standardized!R19C29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19" s="3"/>
      </tp>
      <tp>
        <v>3324</v>
        <stp/>
        <stp>##V3_BDHV12</stp>
        <stp>XOM US Equity</stp>
        <stp>C&amp;CE_AND_STI_DETAILED</stp>
        <stp>FQ2 1996</stp>
        <stp>FQ2 1996</stp>
        <stp>[FA1_ftkzu3fn.xlsx]Bal Sheet - Standardized!R7C28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7" s="3"/>
      </tp>
      <tp>
        <v>2933</v>
        <stp/>
        <stp>##V3_BDHV12</stp>
        <stp>XOM US Equity</stp>
        <stp>C&amp;CE_AND_STI_DETAILED</stp>
        <stp>FQ3 1996</stp>
        <stp>FQ3 1996</stp>
        <stp>[FA1_ftkzu3fn.xlsx]Bal Sheet - Standardized!R7C29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7" s="3"/>
      </tp>
      <tp>
        <v>2537</v>
        <stp/>
        <stp>##V3_BDHV12</stp>
        <stp>XOM US Equity</stp>
        <stp>C&amp;CE_AND_STI_DETAILED</stp>
        <stp>FQ3 1995</stp>
        <stp>FQ3 1995</stp>
        <stp>[FA1_ftkzu3fn.xlsx]Bal Sheet - Standardized!R7C25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7" s="3"/>
      </tp>
      <tp>
        <v>3663</v>
        <stp/>
        <stp>##V3_BDHV12</stp>
        <stp>XOM US Equity</stp>
        <stp>C&amp;CE_AND_STI_DETAILED</stp>
        <stp>FQ1 1996</stp>
        <stp>FQ1 1996</stp>
        <stp>[FA1_ftkzu3fn.xlsx]Bal Sheet - Standardized!R7C27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7" s="3"/>
      </tp>
      <tp>
        <v>2734</v>
        <stp/>
        <stp>##V3_BDHV12</stp>
        <stp>XOM US Equity</stp>
        <stp>C&amp;CE_AND_STI_DETAILED</stp>
        <stp>FQ2 1995</stp>
        <stp>FQ2 1995</stp>
        <stp>[FA1_ftkzu3fn.xlsx]Bal Sheet - Standardized!R7C24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7" s="3"/>
      </tp>
      <tp>
        <v>1775</v>
        <stp/>
        <stp>##V3_BDHV12</stp>
        <stp>XOM US Equity</stp>
        <stp>C&amp;CE_AND_STI_DETAILED</stp>
        <stp>FQ4 1994</stp>
        <stp>FQ4 1994</stp>
        <stp>[FA1_ftkzu3fn.xlsx]Bal Sheet - Standardized!R7C22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7" s="3"/>
      </tp>
      <tp>
        <v>3174</v>
        <stp/>
        <stp>##V3_BDHV12</stp>
        <stp>XOM US Equity</stp>
        <stp>C&amp;CE_AND_STI_DETAILED</stp>
        <stp>FQ1 1995</stp>
        <stp>FQ1 1995</stp>
        <stp>[FA1_ftkzu3fn.xlsx]Bal Sheet - Standardized!R7C23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7" s="3"/>
      </tp>
      <tp>
        <v>2121</v>
        <stp/>
        <stp>##V3_BDHV12</stp>
        <stp>XOM US Equity</stp>
        <stp>C&amp;CE_AND_STI_DETAILED</stp>
        <stp>FQ2 1994</stp>
        <stp>FQ2 1994</stp>
        <stp>[FA1_ftkzu3fn.xlsx]Bal Sheet - Standardized!R7C20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7" s="3"/>
      </tp>
      <tp>
        <v>2425</v>
        <stp/>
        <stp>##V3_BDHV12</stp>
        <stp>XOM US Equity</stp>
        <stp>C&amp;CE_AND_STI_DETAILED</stp>
        <stp>FQ3 1994</stp>
        <stp>FQ3 1994</stp>
        <stp>[FA1_ftkzu3fn.xlsx]Bal Sheet - Standardized!R7C21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7" s="3"/>
      </tp>
      <tp>
        <v>1789</v>
        <stp/>
        <stp>##V3_BDHV12</stp>
        <stp>XOM US Equity</stp>
        <stp>C&amp;CE_AND_STI_DETAILED</stp>
        <stp>FQ4 1995</stp>
        <stp>FQ4 1995</stp>
        <stp>[FA1_ftkzu3fn.xlsx]Bal Sheet - Standardized!R7C26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7" s="3"/>
      </tp>
      <tp>
        <v>7673</v>
        <stp/>
        <stp>##V3_BDHV12</stp>
        <stp>XOM US Equity</stp>
        <stp>BS_OTHER_ASSETS_DEF_CHRG_OTHER</stp>
        <stp>FQ2 1994</stp>
        <stp>FQ2 1994</stp>
        <stp>[FA1_ftkzu3fn.xlsx]Bal Sheet - Standardized!R21C20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21" s="3"/>
      </tp>
      <tp>
        <v>6736</v>
        <stp/>
        <stp>##V3_BDHV12</stp>
        <stp>XOM US Equity</stp>
        <stp>BS_OTHER_ASSETS_DEF_CHRG_OTHER</stp>
        <stp>FQ1 1993</stp>
        <stp>FQ1 1993</stp>
        <stp>[FA1_ftkzu3fn.xlsx]Bal Sheet - Standardized!R21C15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21" s="3"/>
      </tp>
      <tp>
        <v>8429</v>
        <stp/>
        <stp>##V3_BDHV12</stp>
        <stp>XOM US Equity</stp>
        <stp>BS_OTHER_ASSETS_DEF_CHRG_OTHER</stp>
        <stp>FQ3 1997</stp>
        <stp>FQ3 1997</stp>
        <stp>[FA1_ftkzu3fn.xlsx]Bal Sheet - Standardized!R21C33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21" s="3"/>
      </tp>
      <tp>
        <v>6383</v>
        <stp/>
        <stp>##V3_BDHV12</stp>
        <stp>XOM US Equity</stp>
        <stp>BS_OTHER_ASSETS_DEF_CHRG_OTHER</stp>
        <stp>FQ1 1992</stp>
        <stp>FQ1 1992</stp>
        <stp>[FA1_ftkzu3fn.xlsx]Bal Sheet - Standardized!R21C11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21" s="3"/>
      </tp>
      <tp>
        <v>8519</v>
        <stp/>
        <stp>##V3_BDHV12</stp>
        <stp>XOM US Equity</stp>
        <stp>BS_OTHER_ASSETS_DEF_CHRG_OTHER</stp>
        <stp>FQ2 1995</stp>
        <stp>FQ2 1995</stp>
        <stp>[FA1_ftkzu3fn.xlsx]Bal Sheet - Standardized!R21C24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21" s="3"/>
      </tp>
      <tp>
        <v>8508</v>
        <stp/>
        <stp>##V3_BDHV12</stp>
        <stp>XOM US Equity</stp>
        <stp>BS_OTHER_ASSETS_DEF_CHRG_OTHER</stp>
        <stp>FQ2 1996</stp>
        <stp>FQ2 1996</stp>
        <stp>[FA1_ftkzu3fn.xlsx]Bal Sheet - Standardized!R21C28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21" s="3"/>
      </tp>
      <tp>
        <v>7389</v>
        <stp/>
        <stp>##V3_BDHV12</stp>
        <stp>XOM US Equity</stp>
        <stp>BS_OTHER_ASSETS_DEF_CHRG_OTHER</stp>
        <stp>FQ1 1994</stp>
        <stp>FQ1 1994</stp>
        <stp>[FA1_ftkzu3fn.xlsx]Bal Sheet - Standardized!R21C19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21" s="3"/>
      </tp>
      <tp>
        <v>3522</v>
        <stp/>
        <stp>##V3_BDHV12</stp>
        <stp>XOM US Equity</stp>
        <stp>PRETAX_INC</stp>
        <stp>FQ1 1991</stp>
        <stp>FQ1 1991</stp>
        <stp>[FA1_ftkzu3fn.xlsx]Income - Adjusted!R13C7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G13" s="2"/>
      </tp>
      <tp>
        <v>5487</v>
        <stp/>
        <stp>##V3_BDHV12</stp>
        <stp>XOM US Equity</stp>
        <stp>BS_INVENTORIES</stp>
        <stp>FQ4 1997</stp>
        <stp>FQ4 1997</stp>
        <stp>[FA1_ftkzu3fn.xlsx]Bal Sheet - Standardized!R11C34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11" s="3"/>
      </tp>
      <tp>
        <v>1648</v>
        <stp/>
        <stp>##V3_BDHV12</stp>
        <stp>XOM US Equity</stp>
        <stp>OTHER_CURRENT_LIABS_DETAILED</stp>
        <stp>FQ2 1990</stp>
        <stp>FQ2 1990</stp>
        <stp>[FA1_ftkzu3fn.xlsx]Bal Sheet - Standardized!R31C4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31" s="3"/>
      </tp>
      <tp>
        <v>2090</v>
        <stp/>
        <stp>##V3_BDHV12</stp>
        <stp>XOM US Equity</stp>
        <stp>OTHER_CURRENT_LIABS_DETAILED</stp>
        <stp>FQ3 1990</stp>
        <stp>FQ3 1990</stp>
        <stp>[FA1_ftkzu3fn.xlsx]Bal Sheet - Standardized!R31C5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31" s="3"/>
      </tp>
      <tp>
        <v>2022</v>
        <stp/>
        <stp>##V3_BDHV12</stp>
        <stp>XOM US Equity</stp>
        <stp>OTHER_CURRENT_LIABS_DETAILED</stp>
        <stp>FQ1 1991</stp>
        <stp>FQ1 1991</stp>
        <stp>[FA1_ftkzu3fn.xlsx]Bal Sheet - Standardized!R31C7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31" s="3"/>
      </tp>
      <tp>
        <v>-10.7296</v>
        <stp/>
        <stp>##V3_BDHV12</stp>
        <stp>XOM US Equity</stp>
        <stp>CASH_CONVERSION_CYCLE</stp>
        <stp>FQ2 1991</stp>
        <stp>FQ2 1991</stp>
        <stp>[FA1_ftkzu3fn.xlsx]Bal Sheet - Standardized!R54C8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H54" s="3"/>
      </tp>
      <tp t="s">
        <v>—</v>
        <stp/>
        <stp>##V3_BDHV12</stp>
        <stp>XOM US Equity</stp>
        <stp>CASH_CONVERSION_CYCLE</stp>
        <stp>FQ3 1990</stp>
        <stp>FQ3 1990</stp>
        <stp>[FA1_ftkzu3fn.xlsx]Bal Sheet - Standardized!R54C5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E54" s="3"/>
      </tp>
      <tp>
        <v>8941</v>
        <stp/>
        <stp>##V3_BDHV12</stp>
        <stp>XOM US Equity</stp>
        <stp>OTHER_CURRENT_LIABS_DETAILED</stp>
        <stp>FQ4 1990</stp>
        <stp>FQ4 1990</stp>
        <stp>[FA1_ftkzu3fn.xlsx]Bal Sheet - Standardized!R31C6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31" s="3"/>
      </tp>
      <tp>
        <v>1818</v>
        <stp/>
        <stp>##V3_BDHV12</stp>
        <stp>XOM US Equity</stp>
        <stp>OTHER_CURRENT_LIABS_DETAILED</stp>
        <stp>FQ1 1990</stp>
        <stp>FQ1 1990</stp>
        <stp>[FA1_ftkzu3fn.xlsx]Bal Sheet - Standardized!R31C3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31" s="3"/>
      </tp>
      <tp>
        <v>5285</v>
        <stp/>
        <stp>##V3_BDHV12</stp>
        <stp>XOM US Equity</stp>
        <stp>BS_INVENTORIES</stp>
        <stp>FQ4 1996</stp>
        <stp>FQ4 1996</stp>
        <stp>[FA1_ftkzu3fn.xlsx]Bal Sheet - Standardized!R11C30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11" s="3"/>
      </tp>
      <tp>
        <v>2037</v>
        <stp/>
        <stp>##V3_BDHV12</stp>
        <stp>XOM US Equity</stp>
        <stp>OTHER_CURRENT_LIABS_DETAILED</stp>
        <stp>FQ3 1991</stp>
        <stp>FQ3 1991</stp>
        <stp>[FA1_ftkzu3fn.xlsx]Bal Sheet - Standardized!R31C9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31" s="3"/>
      </tp>
      <tp>
        <v>1727</v>
        <stp/>
        <stp>##V3_BDHV12</stp>
        <stp>XOM US Equity</stp>
        <stp>OTHER_CURRENT_LIABS_DETAILED</stp>
        <stp>FQ2 1991</stp>
        <stp>FQ2 1991</stp>
        <stp>[FA1_ftkzu3fn.xlsx]Bal Sheet - Standardized!R31C8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31" s="3"/>
      </tp>
      <tp>
        <v>19185</v>
        <stp/>
        <stp>##V3_BDHV12</stp>
        <stp>XOM US Equity</stp>
        <stp>BS_CUR_LIAB</stp>
        <stp>FQ2 1993</stp>
        <stp>FQ2 1993</stp>
        <stp>[FA1_ftkzu3fn.xlsx]Bal Sheet - Standardized!R32C16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32" s="3"/>
      </tp>
      <tp>
        <v>19965</v>
        <stp/>
        <stp>##V3_BDHV12</stp>
        <stp>XOM US Equity</stp>
        <stp>BS_CUR_LIAB</stp>
        <stp>FQ1 1995</stp>
        <stp>FQ1 1995</stp>
        <stp>[FA1_ftkzu3fn.xlsx]Bal Sheet - Standardized!R32C23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32" s="3"/>
      </tp>
      <tp>
        <v>19201</v>
        <stp/>
        <stp>##V3_BDHV12</stp>
        <stp>XOM US Equity</stp>
        <stp>BS_CUR_LIAB</stp>
        <stp>FQ1 1996</stp>
        <stp>FQ1 1996</stp>
        <stp>[FA1_ftkzu3fn.xlsx]Bal Sheet - Standardized!R32C27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32" s="3"/>
      </tp>
      <tp>
        <v>20418</v>
        <stp/>
        <stp>##V3_BDHV12</stp>
        <stp>XOM US Equity</stp>
        <stp>BS_CUR_LIAB</stp>
        <stp>FQ2 1992</stp>
        <stp>FQ2 1992</stp>
        <stp>[FA1_ftkzu3fn.xlsx]Bal Sheet - Standardized!R32C12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32" s="3"/>
      </tp>
      <tp t="s">
        <v>—</v>
        <stp/>
        <stp>##V3_BDHV12</stp>
        <stp>XOM US Equity</stp>
        <stp>BS_ACCUM_DEPR</stp>
        <stp>FQ1 1997</stp>
        <stp>FQ1 1997</stp>
        <stp>[FA1_ftkzu3fn.xlsx]Bal Sheet - Standardized!R19C31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19" s="3"/>
      </tp>
      <tp t="s">
        <v>—</v>
        <stp/>
        <stp>##V3_BDHV12</stp>
        <stp>XOM US Equity</stp>
        <stp>BS_ACCUM_DEPR</stp>
        <stp>FQ3 1993</stp>
        <stp>FQ3 1993</stp>
        <stp>[FA1_ftkzu3fn.xlsx]Bal Sheet - Standardized!R19C17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19" s="3"/>
      </tp>
      <tp t="s">
        <v>—</v>
        <stp/>
        <stp>##V3_BDHV12</stp>
        <stp>XOM US Equity</stp>
        <stp>INVTRY_FINISHED_GOODS</stp>
        <stp>FQ2 1995</stp>
        <stp>FQ2 1995</stp>
        <stp>[FA1_ftkzu3fn.xlsx]Bal Sheet - Standardized!R14C24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14" s="3"/>
      </tp>
      <tp t="s">
        <v>—</v>
        <stp/>
        <stp>##V3_BDHV12</stp>
        <stp>XOM US Equity</stp>
        <stp>INVTRY_FINISHED_GOODS</stp>
        <stp>FQ1 1992</stp>
        <stp>FQ1 1992</stp>
        <stp>[FA1_ftkzu3fn.xlsx]Bal Sheet - Standardized!R14C11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14" s="3"/>
      </tp>
      <tp t="s">
        <v>—</v>
        <stp/>
        <stp>##V3_BDHV12</stp>
        <stp>XOM US Equity</stp>
        <stp>BS_ACCUM_DEPR</stp>
        <stp>FQ3 1992</stp>
        <stp>FQ3 1992</stp>
        <stp>[FA1_ftkzu3fn.xlsx]Bal Sheet - Standardized!R19C13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19" s="3"/>
      </tp>
      <tp t="s">
        <v>—</v>
        <stp/>
        <stp>##V3_BDHV12</stp>
        <stp>XOM US Equity</stp>
        <stp>INVTRY_FINISHED_GOODS</stp>
        <stp>FQ3 1997</stp>
        <stp>FQ3 1997</stp>
        <stp>[FA1_ftkzu3fn.xlsx]Bal Sheet - Standardized!R14C33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14" s="3"/>
      </tp>
      <tp t="s">
        <v>—</v>
        <stp/>
        <stp>##V3_BDHV12</stp>
        <stp>XOM US Equity</stp>
        <stp>INVTRY_FINISHED_GOODS</stp>
        <stp>FQ1 1993</stp>
        <stp>FQ1 1993</stp>
        <stp>[FA1_ftkzu3fn.xlsx]Bal Sheet - Standardized!R14C15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14" s="3"/>
      </tp>
      <tp t="s">
        <v>—</v>
        <stp/>
        <stp>##V3_BDHV12</stp>
        <stp>XOM US Equity</stp>
        <stp>INVTRY_FINISHED_GOODS</stp>
        <stp>FQ2 1994</stp>
        <stp>FQ2 1994</stp>
        <stp>[FA1_ftkzu3fn.xlsx]Bal Sheet - Standardized!R14C20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14" s="3"/>
      </tp>
      <tp>
        <v>62435</v>
        <stp/>
        <stp>##V3_BDHV12</stp>
        <stp>XOM US Equity</stp>
        <stp>BS_ACCUM_DEPR</stp>
        <stp>FQ1 1998</stp>
        <stp>FQ1 1998</stp>
        <stp>[FA1_ftkzu3fn.xlsx]Bal Sheet - Standardized!R19C35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19" s="3"/>
      </tp>
      <tp t="s">
        <v>—</v>
        <stp/>
        <stp>##V3_BDHV12</stp>
        <stp>XOM US Equity</stp>
        <stp>INVTRY_FINISHED_GOODS</stp>
        <stp>FQ1 1994</stp>
        <stp>FQ1 1994</stp>
        <stp>[FA1_ftkzu3fn.xlsx]Bal Sheet - Standardized!R14C19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14" s="3"/>
      </tp>
      <tp t="s">
        <v>—</v>
        <stp/>
        <stp>##V3_BDHV12</stp>
        <stp>XOM US Equity</stp>
        <stp>INVTRY_FINISHED_GOODS</stp>
        <stp>FQ2 1996</stp>
        <stp>FQ2 1996</stp>
        <stp>[FA1_ftkzu3fn.xlsx]Bal Sheet - Standardized!R14C28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14" s="3"/>
      </tp>
      <tp t="s">
        <v>—</v>
        <stp/>
        <stp>##V3_BDHV12</stp>
        <stp>XOM US Equity</stp>
        <stp>IS_BASIC_EPS_CONT_OPS</stp>
        <stp>FQ1 1990</stp>
        <stp>FQ1 1990</stp>
        <stp>[FA1_ftkzu3fn.xlsx]Income - Adjusted!R30C3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30" s="2"/>
      </tp>
      <tp>
        <v>0.3075</v>
        <stp/>
        <stp>##V3_BDHV12</stp>
        <stp>XOM US Equity</stp>
        <stp>IS_BASIC_EPS_CONT_OPS</stp>
        <stp>FQ4 1990</stp>
        <stp>FQ4 1990</stp>
        <stp>[FA1_ftkzu3fn.xlsx]Income - Adjusted!R30C6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30" s="2"/>
      </tp>
      <tp>
        <v>1652</v>
        <stp/>
        <stp>##V3_BDHV12</stp>
        <stp>XOM US Equity</stp>
        <stp>C&amp;CE_AND_STI_DETAILED</stp>
        <stp>FQ4 1993</stp>
        <stp>FQ4 1993</stp>
        <stp>[FA1_ftkzu3fn.xlsx]Bal Sheet - Standardized!R7C18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7" s="3"/>
      </tp>
      <tp>
        <v>2116</v>
        <stp/>
        <stp>##V3_BDHV12</stp>
        <stp>XOM US Equity</stp>
        <stp>C&amp;CE_AND_STI_DETAILED</stp>
        <stp>FQ1 1994</stp>
        <stp>FQ1 1994</stp>
        <stp>[FA1_ftkzu3fn.xlsx]Bal Sheet - Standardized!R7C19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7" s="3"/>
      </tp>
      <tp>
        <v>1587</v>
        <stp/>
        <stp>##V3_BDHV12</stp>
        <stp>XOM US Equity</stp>
        <stp>C&amp;CE_AND_STI_DETAILED</stp>
        <stp>FQ4 1991</stp>
        <stp>FQ4 1991</stp>
        <stp>[FA1_ftkzu3fn.xlsx]Bal Sheet - Standardized!R7C10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7" s="3"/>
      </tp>
      <tp>
        <v>2280</v>
        <stp/>
        <stp>##V3_BDHV12</stp>
        <stp>XOM US Equity</stp>
        <stp>C&amp;CE_AND_STI_DETAILED</stp>
        <stp>FQ3 1993</stp>
        <stp>FQ3 1993</stp>
        <stp>[FA1_ftkzu3fn.xlsx]Bal Sheet - Standardized!R7C17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7" s="3"/>
      </tp>
      <tp>
        <v>2169</v>
        <stp/>
        <stp>##V3_BDHV12</stp>
        <stp>XOM US Equity</stp>
        <stp>C&amp;CE_AND_STI_DETAILED</stp>
        <stp>FQ2 1993</stp>
        <stp>FQ2 1993</stp>
        <stp>[FA1_ftkzu3fn.xlsx]Bal Sheet - Standardized!R7C16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7" s="3"/>
      </tp>
      <tp>
        <v>1752</v>
        <stp/>
        <stp>##V3_BDHV12</stp>
        <stp>XOM US Equity</stp>
        <stp>C&amp;CE_AND_STI_DETAILED</stp>
        <stp>FQ1 1993</stp>
        <stp>FQ1 1993</stp>
        <stp>[FA1_ftkzu3fn.xlsx]Bal Sheet - Standardized!R7C15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7" s="3"/>
      </tp>
      <tp>
        <v>4983.2002000000002</v>
        <stp/>
        <stp>##V3_BDHV12</stp>
        <stp>XOM US Equity</stp>
        <stp>IS_SH_FOR_DILUTED_EPS</stp>
        <stp>FQ4 1990</stp>
        <stp>FQ4 1990</stp>
        <stp>[FA1_ftkzu3fn.xlsx]Income - Adjusted!R32C6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32" s="2"/>
      </tp>
      <tp>
        <v>4998.1758</v>
        <stp/>
        <stp>##V3_BDHV12</stp>
        <stp>XOM US Equity</stp>
        <stp>IS_SH_FOR_DILUTED_EPS</stp>
        <stp>FQ1 1990</stp>
        <stp>FQ1 1990</stp>
        <stp>[FA1_ftkzu3fn.xlsx]Income - Adjusted!R32C3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32" s="2"/>
      </tp>
      <tp>
        <v>1515</v>
        <stp/>
        <stp>##V3_BDHV12</stp>
        <stp>XOM US Equity</stp>
        <stp>C&amp;CE_AND_STI_DETAILED</stp>
        <stp>FQ4 1992</stp>
        <stp>FQ4 1992</stp>
        <stp>[FA1_ftkzu3fn.xlsx]Bal Sheet - Standardized!R7C14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7" s="3"/>
      </tp>
      <tp>
        <v>1621</v>
        <stp/>
        <stp>##V3_BDHV12</stp>
        <stp>XOM US Equity</stp>
        <stp>C&amp;CE_AND_STI_DETAILED</stp>
        <stp>FQ2 1992</stp>
        <stp>FQ2 1992</stp>
        <stp>[FA1_ftkzu3fn.xlsx]Bal Sheet - Standardized!R7C12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7" s="3"/>
      </tp>
      <tp>
        <v>1567</v>
        <stp/>
        <stp>##V3_BDHV12</stp>
        <stp>XOM US Equity</stp>
        <stp>C&amp;CE_AND_STI_DETAILED</stp>
        <stp>FQ3 1992</stp>
        <stp>FQ3 1992</stp>
        <stp>[FA1_ftkzu3fn.xlsx]Bal Sheet - Standardized!R7C13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7" s="3"/>
      </tp>
      <tp>
        <v>1691</v>
        <stp/>
        <stp>##V3_BDHV12</stp>
        <stp>XOM US Equity</stp>
        <stp>C&amp;CE_AND_STI_DETAILED</stp>
        <stp>FQ1 1992</stp>
        <stp>FQ1 1992</stp>
        <stp>[FA1_ftkzu3fn.xlsx]Bal Sheet - Standardized!R7C11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7" s="3"/>
      </tp>
      <tp t="s">
        <v>—</v>
        <stp/>
        <stp>##V3_BDHV12</stp>
        <stp>XOM US Equity</stp>
        <stp>IS_FOREIGN_EXCH_LOSS</stp>
        <stp>FQ1 1991</stp>
        <stp>FQ1 1991</stp>
        <stp>[FA1_ftkzu3fn.xlsx]Income - Adjusted!R12C7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G12" s="2"/>
      </tp>
      <tp>
        <v>4983.2002000000002</v>
        <stp/>
        <stp>##V3_BDHV12</stp>
        <stp>XOM US Equity</stp>
        <stp>IS_AVG_NUM_SH_FOR_EPS</stp>
        <stp>FQ4 1990</stp>
        <stp>FQ4 1990</stp>
        <stp>[FA1_ftkzu3fn.xlsx]Income - Adjusted!R27C6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27" s="2"/>
      </tp>
      <tp>
        <v>4998.1758</v>
        <stp/>
        <stp>##V3_BDHV12</stp>
        <stp>XOM US Equity</stp>
        <stp>IS_AVG_NUM_SH_FOR_EPS</stp>
        <stp>FQ1 1990</stp>
        <stp>FQ1 1990</stp>
        <stp>[FA1_ftkzu3fn.xlsx]Income - Adjusted!R27C3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27" s="2"/>
      </tp>
      <tp>
        <v>7176</v>
        <stp/>
        <stp>##V3_BDHV12</stp>
        <stp>XOM US Equity</stp>
        <stp>IS_OPERATING_EXPN</stp>
        <stp>FQ1 1991</stp>
        <stp>FQ1 1991</stp>
        <stp>[FA1_ftkzu3fn.xlsx]Income - Adjusted!R9C7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G9" s="2"/>
      </tp>
      <tp>
        <v>7255</v>
        <stp/>
        <stp>##V3_BDHV12</stp>
        <stp>XOM US Equity</stp>
        <stp>IS_OPERATING_EXPN</stp>
        <stp>FQ3 1990</stp>
        <stp>FQ3 1990</stp>
        <stp>[FA1_ftkzu3fn.xlsx]Income - Adjusted!R9C5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E9" s="2"/>
      </tp>
      <tp>
        <v>7886</v>
        <stp/>
        <stp>##V3_BDHV12</stp>
        <stp>XOM US Equity</stp>
        <stp>BS_OTHER_ASSETS_DEF_CHRG_OTHER</stp>
        <stp>FQ3 1994</stp>
        <stp>FQ3 1994</stp>
        <stp>[FA1_ftkzu3fn.xlsx]Bal Sheet - Standardized!R21C21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21" s="3"/>
      </tp>
      <tp>
        <v>6851</v>
        <stp/>
        <stp>##V3_BDHV12</stp>
        <stp>XOM US Equity</stp>
        <stp>IS_OPERATING_EXPN</stp>
        <stp>FQ2 1990</stp>
        <stp>FQ2 1990</stp>
        <stp>[FA1_ftkzu3fn.xlsx]Income - Adjusted!R9C4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D9" s="2"/>
      </tp>
      <tp>
        <v>8606</v>
        <stp/>
        <stp>##V3_BDHV12</stp>
        <stp>XOM US Equity</stp>
        <stp>BS_OTHER_ASSETS_DEF_CHRG_OTHER</stp>
        <stp>FQ2 1997</stp>
        <stp>FQ2 1997</stp>
        <stp>[FA1_ftkzu3fn.xlsx]Bal Sheet - Standardized!R21C32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21" s="3"/>
      </tp>
      <tp>
        <v>8320</v>
        <stp/>
        <stp>##V3_BDHV12</stp>
        <stp>XOM US Equity</stp>
        <stp>BS_OTHER_ASSETS_DEF_CHRG_OTHER</stp>
        <stp>FQ3 1995</stp>
        <stp>FQ3 1995</stp>
        <stp>[FA1_ftkzu3fn.xlsx]Bal Sheet - Standardized!R21C25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21" s="3"/>
      </tp>
      <tp t="s">
        <v>—</v>
        <stp/>
        <stp>##V3_BDHV12</stp>
        <stp>XOM US Equity</stp>
        <stp>BS_OTHER_ASSETS_DEF_CHRG_OTHER</stp>
        <stp>FQ2 1998</stp>
        <stp>FQ2 1998</stp>
        <stp>[FA1_ftkzu3fn.xlsx]Bal Sheet - Standardized!R21C36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21" s="3"/>
      </tp>
      <tp>
        <v>8976</v>
        <stp/>
        <stp>##V3_BDHV12</stp>
        <stp>XOM US Equity</stp>
        <stp>BS_OTHER_ASSETS_DEF_CHRG_OTHER</stp>
        <stp>FQ3 1996</stp>
        <stp>FQ3 1996</stp>
        <stp>[FA1_ftkzu3fn.xlsx]Bal Sheet - Standardized!R21C29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21" s="3"/>
      </tp>
      <tp>
        <v>1979</v>
        <stp/>
        <stp>##V3_BDHV12</stp>
        <stp>XOM US Equity</stp>
        <stp>PRETAX_INC</stp>
        <stp>FQ2 1990</stp>
        <stp>FQ2 1990</stp>
        <stp>[FA1_ftkzu3fn.xlsx]Income - Adjusted!R13C4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D13" s="2"/>
      </tp>
      <tp>
        <v>1914</v>
        <stp/>
        <stp>##V3_BDHV12</stp>
        <stp>XOM US Equity</stp>
        <stp>PRETAX_INC</stp>
        <stp>FQ3 1990</stp>
        <stp>FQ3 1990</stp>
        <stp>[FA1_ftkzu3fn.xlsx]Income - Adjusted!R13C5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E13" s="2"/>
      </tp>
      <tp>
        <v>5681</v>
        <stp/>
        <stp>##V3_BDHV12</stp>
        <stp>XOM US Equity</stp>
        <stp>BS_INVENTORIES</stp>
        <stp>FQ4 1995</stp>
        <stp>FQ4 1995</stp>
        <stp>[FA1_ftkzu3fn.xlsx]Bal Sheet - Standardized!R11C26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11" s="3"/>
      </tp>
      <tp>
        <v>-12.024100000000001</v>
        <stp/>
        <stp>##V3_BDHV12</stp>
        <stp>XOM US Equity</stp>
        <stp>CASH_CONVERSION_CYCLE</stp>
        <stp>FQ3 1991</stp>
        <stp>FQ3 1991</stp>
        <stp>[FA1_ftkzu3fn.xlsx]Bal Sheet - Standardized!R54C9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I54" s="3"/>
      </tp>
      <tp t="s">
        <v>—</v>
        <stp/>
        <stp>##V3_BDHV12</stp>
        <stp>XOM US Equity</stp>
        <stp>CASH_CONVERSION_CYCLE</stp>
        <stp>FQ2 1990</stp>
        <stp>FQ2 1990</stp>
        <stp>[FA1_ftkzu3fn.xlsx]Bal Sheet - Standardized!R54C4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D54" s="3"/>
      </tp>
      <tp>
        <v>5541</v>
        <stp/>
        <stp>##V3_BDHV12</stp>
        <stp>XOM US Equity</stp>
        <stp>BS_INVENTORIES</stp>
        <stp>FQ4 1994</stp>
        <stp>FQ4 1994</stp>
        <stp>[FA1_ftkzu3fn.xlsx]Bal Sheet - Standardized!R11C22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11" s="3"/>
      </tp>
      <tp>
        <v>19466</v>
        <stp/>
        <stp>##V3_BDHV12</stp>
        <stp>XOM US Equity</stp>
        <stp>BS_CUR_LIAB</stp>
        <stp>FQ3 1993</stp>
        <stp>FQ3 1993</stp>
        <stp>[FA1_ftkzu3fn.xlsx]Bal Sheet - Standardized!R32C17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32" s="3"/>
      </tp>
      <tp>
        <v>19129</v>
        <stp/>
        <stp>##V3_BDHV12</stp>
        <stp>XOM US Equity</stp>
        <stp>BS_CUR_LIAB</stp>
        <stp>FQ1 1997</stp>
        <stp>FQ1 1997</stp>
        <stp>[FA1_ftkzu3fn.xlsx]Bal Sheet - Standardized!R32C31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32" s="3"/>
      </tp>
      <tp>
        <v>20302</v>
        <stp/>
        <stp>##V3_BDHV12</stp>
        <stp>XOM US Equity</stp>
        <stp>BS_CUR_LIAB</stp>
        <stp>FQ3 1992</stp>
        <stp>FQ3 1992</stp>
        <stp>[FA1_ftkzu3fn.xlsx]Bal Sheet - Standardized!R32C13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32" s="3"/>
      </tp>
      <tp>
        <v>18576</v>
        <stp/>
        <stp>##V3_BDHV12</stp>
        <stp>XOM US Equity</stp>
        <stp>BS_CUR_LIAB</stp>
        <stp>FQ1 1998</stp>
        <stp>FQ1 1998</stp>
        <stp>[FA1_ftkzu3fn.xlsx]Bal Sheet - Standardized!R32C35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32" s="3"/>
      </tp>
      <tp t="s">
        <v>—</v>
        <stp/>
        <stp>##V3_BDHV12</stp>
        <stp>XOM US Equity</stp>
        <stp>BS_ACCUM_DEPR</stp>
        <stp>FQ1 1995</stp>
        <stp>FQ1 1995</stp>
        <stp>[FA1_ftkzu3fn.xlsx]Bal Sheet - Standardized!R19C23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19" s="3"/>
      </tp>
      <tp t="s">
        <v>—</v>
        <stp/>
        <stp>##V3_BDHV12</stp>
        <stp>XOM US Equity</stp>
        <stp>BS_ACCUM_DEPR</stp>
        <stp>FQ2 1993</stp>
        <stp>FQ2 1993</stp>
        <stp>[FA1_ftkzu3fn.xlsx]Bal Sheet - Standardized!R19C16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19" s="3"/>
      </tp>
      <tp t="s">
        <v>—</v>
        <stp/>
        <stp>##V3_BDHV12</stp>
        <stp>XOM US Equity</stp>
        <stp>INVTRY_FINISHED_GOODS</stp>
        <stp>FQ3 1995</stp>
        <stp>FQ3 1995</stp>
        <stp>[FA1_ftkzu3fn.xlsx]Bal Sheet - Standardized!R14C25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14" s="3"/>
      </tp>
      <tp>
        <v>301</v>
        <stp/>
        <stp>##V3_BDHV12</stp>
        <stp>XOM US Equity</stp>
        <stp>IS_INT_EXPENSE</stp>
        <stp>FQ1 1994</stp>
        <stp>FQ1 1994</stp>
        <stp>[FA1_ftkzu3fn.xlsx]Income - Adjusted!R11C19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S11" s="2"/>
      </tp>
      <tp>
        <v>67</v>
        <stp/>
        <stp>##V3_BDHV12</stp>
        <stp>XOM US Equity</stp>
        <stp>IS_INT_EXPENSE</stp>
        <stp>FQ1 1998</stp>
        <stp>FQ1 1998</stp>
        <stp>[FA1_ftkzu3fn.xlsx]Income - Adjusted!R11C35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I11" s="2"/>
      </tp>
      <tp t="s">
        <v>—</v>
        <stp/>
        <stp>##V3_BDHV12</stp>
        <stp>XOM US Equity</stp>
        <stp>BS_ACCUM_DEPR</stp>
        <stp>FQ2 1992</stp>
        <stp>FQ2 1992</stp>
        <stp>[FA1_ftkzu3fn.xlsx]Bal Sheet - Standardized!R19C12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19" s="3"/>
      </tp>
      <tp t="s">
        <v>—</v>
        <stp/>
        <stp>##V3_BDHV12</stp>
        <stp>XOM US Equity</stp>
        <stp>INVTRY_FINISHED_GOODS</stp>
        <stp>FQ2 1997</stp>
        <stp>FQ2 1997</stp>
        <stp>[FA1_ftkzu3fn.xlsx]Bal Sheet - Standardized!R14C32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14" s="3"/>
      </tp>
      <tp t="s">
        <v>—</v>
        <stp/>
        <stp>##V3_BDHV12</stp>
        <stp>XOM US Equity</stp>
        <stp>BS_ACCUM_DEPR</stp>
        <stp>FQ1 1996</stp>
        <stp>FQ1 1996</stp>
        <stp>[FA1_ftkzu3fn.xlsx]Bal Sheet - Standardized!R19C27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19" s="3"/>
      </tp>
      <tp t="s">
        <v>—</v>
        <stp/>
        <stp>##V3_BDHV12</stp>
        <stp>XOM US Equity</stp>
        <stp>INVTRY_FINISHED_GOODS</stp>
        <stp>FQ3 1994</stp>
        <stp>FQ3 1994</stp>
        <stp>[FA1_ftkzu3fn.xlsx]Bal Sheet - Standardized!R14C21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14" s="3"/>
      </tp>
      <tp t="s">
        <v>—</v>
        <stp/>
        <stp>##V3_BDHV12</stp>
        <stp>XOM US Equity</stp>
        <stp>INVTRY_FINISHED_GOODS</stp>
        <stp>FQ3 1996</stp>
        <stp>FQ3 1996</stp>
        <stp>[FA1_ftkzu3fn.xlsx]Bal Sheet - Standardized!R14C29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14" s="3"/>
      </tp>
      <tp>
        <v>4383</v>
        <stp/>
        <stp>##V3_BDHV12</stp>
        <stp>XOM US Equity</stp>
        <stp>INVTRY_FINISHED_GOODS</stp>
        <stp>FQ2 1998</stp>
        <stp>FQ2 1998</stp>
        <stp>[FA1_ftkzu3fn.xlsx]Bal Sheet - Standardized!R14C36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14" s="3"/>
      </tp>
      <tp t="s">
        <v>—</v>
        <stp/>
        <stp>##V3_BDHV12</stp>
        <stp>XOM US Equity</stp>
        <stp>IS_FOREIGN_EXCH_LOSS</stp>
        <stp>FQ2 1990</stp>
        <stp>FQ2 1990</stp>
        <stp>[FA1_ftkzu3fn.xlsx]Income - Adjusted!R12C4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D12" s="2"/>
      </tp>
      <tp t="s">
        <v>—</v>
        <stp/>
        <stp>##V3_BDHV12</stp>
        <stp>XOM US Equity</stp>
        <stp>IS_FOREIGN_EXCH_LOSS</stp>
        <stp>FQ3 1990</stp>
        <stp>FQ3 1990</stp>
        <stp>[FA1_ftkzu3fn.xlsx]Income - Adjusted!R12C5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E12" s="2"/>
      </tp>
      <tp>
        <v>57</v>
        <stp/>
        <stp>##V3_BDHV12</stp>
        <stp>XOM US Equity</stp>
        <stp>MIN_NONCONTROL_INTEREST_CREDITS</stp>
        <stp>FQ4 1995</stp>
        <stp>FQ4 1995</stp>
        <stp>[FA1_ftkzu3fn.xlsx]Income - Adjusted!R19C26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Z19" s="2"/>
      </tp>
      <tp>
        <v>113</v>
        <stp/>
        <stp>##V3_BDHV12</stp>
        <stp>XOM US Equity</stp>
        <stp>MIN_NONCONTROL_INTEREST_CREDITS</stp>
        <stp>FQ4 1997</stp>
        <stp>FQ4 1997</stp>
        <stp>[FA1_ftkzu3fn.xlsx]Income - Adjusted!R19C34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H19" s="2"/>
      </tp>
      <tp>
        <v>50</v>
        <stp/>
        <stp>##V3_BDHV12</stp>
        <stp>XOM US Equity</stp>
        <stp>MIN_NONCONTROL_INTEREST_CREDITS</stp>
        <stp>FQ1 1992</stp>
        <stp>FQ1 1992</stp>
        <stp>[FA1_ftkzu3fn.xlsx]Income - Adjusted!R19C11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K19" s="2"/>
      </tp>
      <tp>
        <v>4.25</v>
        <stp/>
        <stp>##V3_BDHV12</stp>
        <stp>XOM US Equity</stp>
        <stp>IS_TOT_CASH_PFD_DVD</stp>
        <stp>FQ4 1997</stp>
        <stp>FQ4 1997</stp>
        <stp>[FA1_ftkzu3fn.xlsx]Income - Adjusted!R21C34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21" s="2"/>
      </tp>
      <tp>
        <v>15</v>
        <stp/>
        <stp>##V3_BDHV12</stp>
        <stp>XOM US Equity</stp>
        <stp>IS_TOT_CASH_PFD_DVD</stp>
        <stp>FQ3 1992</stp>
        <stp>FQ3 1992</stp>
        <stp>[FA1_ftkzu3fn.xlsx]Income - Adjusted!R21C13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21" s="2"/>
      </tp>
      <tp>
        <v>13.5</v>
        <stp/>
        <stp>##V3_BDHV12</stp>
        <stp>XOM US Equity</stp>
        <stp>IS_TOT_CASH_PFD_DVD</stp>
        <stp>FQ2 1993</stp>
        <stp>FQ2 1993</stp>
        <stp>[FA1_ftkzu3fn.xlsx]Income - Adjusted!R21C16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21" s="2"/>
      </tp>
      <tp>
        <v>5969</v>
        <stp/>
        <stp>##V3_BDHV12</stp>
        <stp>XOM US Equity</stp>
        <stp>NET_DEBT</stp>
        <stp>FQ1 1998</stp>
        <stp>FQ1 1998</stp>
        <stp>[FA1_ftkzu3fn.xlsx]Bal Sheet - Standardized!R51C35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51" s="3"/>
      </tp>
      <tp>
        <v>47.665199999999999</v>
        <stp/>
        <stp>##V3_BDHV12</stp>
        <stp>XOM US Equity</stp>
        <stp>GROSS_MARGIN</stp>
        <stp>FQ4 1995</stp>
        <stp>FQ4 1995</stp>
        <stp>[FA1_ftkzu3fn.xlsx]Income - Adjusted!R42C26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Z42" s="2"/>
      </tp>
      <tp>
        <v>46.163400000000003</v>
        <stp/>
        <stp>##V3_BDHV12</stp>
        <stp>XOM US Equity</stp>
        <stp>GROSS_MARGIN</stp>
        <stp>FQ4 1994</stp>
        <stp>FQ4 1994</stp>
        <stp>[FA1_ftkzu3fn.xlsx]Income - Adjusted!R42C22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V42" s="2"/>
      </tp>
      <tp>
        <v>43.389200000000002</v>
        <stp/>
        <stp>##V3_BDHV12</stp>
        <stp>XOM US Equity</stp>
        <stp>GROSS_MARGIN</stp>
        <stp>FQ4 1996</stp>
        <stp>FQ4 1996</stp>
        <stp>[FA1_ftkzu3fn.xlsx]Income - Adjusted!R42C30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D42" s="2"/>
      </tp>
      <tp>
        <v>39.066499999999998</v>
        <stp/>
        <stp>##V3_BDHV12</stp>
        <stp>XOM US Equity</stp>
        <stp>GROSS_MARGIN</stp>
        <stp>FQ4 1997</stp>
        <stp>FQ4 1997</stp>
        <stp>[FA1_ftkzu3fn.xlsx]Income - Adjusted!R42C34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H42" s="2"/>
      </tp>
      <tp>
        <v>41.046399999999998</v>
        <stp/>
        <stp>##V3_BDHV12</stp>
        <stp>XOM US Equity</stp>
        <stp>GROSS_MARGIN</stp>
        <stp>FQ4 1992</stp>
        <stp>FQ4 1992</stp>
        <stp>[FA1_ftkzu3fn.xlsx]Income - Adjusted!R42C14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N42" s="2"/>
      </tp>
      <tp>
        <v>46.069000000000003</v>
        <stp/>
        <stp>##V3_BDHV12</stp>
        <stp>XOM US Equity</stp>
        <stp>GROSS_MARGIN</stp>
        <stp>FQ4 1993</stp>
        <stp>FQ4 1993</stp>
        <stp>[FA1_ftkzu3fn.xlsx]Income - Adjusted!R42C18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R42" s="2"/>
      </tp>
      <tp>
        <v>43.272100000000002</v>
        <stp/>
        <stp>##V3_BDHV12</stp>
        <stp>XOM US Equity</stp>
        <stp>GROSS_MARGIN</stp>
        <stp>FQ4 1991</stp>
        <stp>FQ4 1991</stp>
        <stp>[FA1_ftkzu3fn.xlsx]Income - Adjusted!R42C10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J42" s="2"/>
      </tp>
      <tp>
        <v>894</v>
        <stp/>
        <stp>##V3_BDHV12</stp>
        <stp>XOM US Equity</stp>
        <stp>IS_TOT_CASH_COM_DVD</stp>
        <stp>FQ2 1993</stp>
        <stp>FQ2 1993</stp>
        <stp>[FA1_ftkzu3fn.xlsx]Income - Adjusted!R47C16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47" s="2"/>
      </tp>
      <tp>
        <v>35.150300000000001</v>
        <stp/>
        <stp>##V3_BDHV12</stp>
        <stp>XOM US Equity</stp>
        <stp>GROSS_MARGIN</stp>
        <stp>FQ3 1993</stp>
        <stp>FQ3 1993</stp>
        <stp>[FA1_ftkzu3fn.xlsx]Income - Adjusted!R42C17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Q42" s="2"/>
      </tp>
      <tp>
        <v>36.2652</v>
        <stp/>
        <stp>##V3_BDHV12</stp>
        <stp>XOM US Equity</stp>
        <stp>GROSS_MARGIN</stp>
        <stp>FQ3 1992</stp>
        <stp>FQ3 1992</stp>
        <stp>[FA1_ftkzu3fn.xlsx]Income - Adjusted!R42C13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M42" s="2"/>
      </tp>
      <tp>
        <v>37.062399999999997</v>
        <stp/>
        <stp>##V3_BDHV12</stp>
        <stp>XOM US Equity</stp>
        <stp>GROSS_MARGIN</stp>
        <stp>FQ3 1997</stp>
        <stp>FQ3 1997</stp>
        <stp>[FA1_ftkzu3fn.xlsx]Income - Adjusted!R42C33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G42" s="2"/>
      </tp>
      <tp>
        <v>36.275199999999998</v>
        <stp/>
        <stp>##V3_BDHV12</stp>
        <stp>XOM US Equity</stp>
        <stp>GROSS_MARGIN</stp>
        <stp>FQ3 1996</stp>
        <stp>FQ3 1996</stp>
        <stp>[FA1_ftkzu3fn.xlsx]Income - Adjusted!R42C29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C42" s="2"/>
      </tp>
      <tp>
        <v>36.111600000000003</v>
        <stp/>
        <stp>##V3_BDHV12</stp>
        <stp>XOM US Equity</stp>
        <stp>GROSS_MARGIN</stp>
        <stp>FQ3 1994</stp>
        <stp>FQ3 1994</stp>
        <stp>[FA1_ftkzu3fn.xlsx]Income - Adjusted!R42C21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U42" s="2"/>
      </tp>
      <tp>
        <v>38.401499999999999</v>
        <stp/>
        <stp>##V3_BDHV12</stp>
        <stp>XOM US Equity</stp>
        <stp>GROSS_MARGIN</stp>
        <stp>FQ3 1995</stp>
        <stp>FQ3 1995</stp>
        <stp>[FA1_ftkzu3fn.xlsx]Income - Adjusted!R42C25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Y42" s="2"/>
      </tp>
      <tp>
        <v>38.6601</v>
        <stp/>
        <stp>##V3_BDHV12</stp>
        <stp>XOM US Equity</stp>
        <stp>GROSS_MARGIN</stp>
        <stp>FQ2 1998</stp>
        <stp>FQ2 1998</stp>
        <stp>[FA1_ftkzu3fn.xlsx]Income - Adjusted!R42C36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J42" s="2"/>
      </tp>
      <tp>
        <v>34.765999999999998</v>
        <stp/>
        <stp>##V3_BDHV12</stp>
        <stp>XOM US Equity</stp>
        <stp>GROSS_MARGIN</stp>
        <stp>FQ2 1992</stp>
        <stp>FQ2 1992</stp>
        <stp>[FA1_ftkzu3fn.xlsx]Income - Adjusted!R42C12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L42" s="2"/>
      </tp>
      <tp>
        <v>34.640900000000002</v>
        <stp/>
        <stp>##V3_BDHV12</stp>
        <stp>XOM US Equity</stp>
        <stp>GROSS_MARGIN</stp>
        <stp>FQ2 1993</stp>
        <stp>FQ2 1993</stp>
        <stp>[FA1_ftkzu3fn.xlsx]Income - Adjusted!R42C16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P42" s="2"/>
      </tp>
      <tp>
        <v>36.366500000000002</v>
        <stp/>
        <stp>##V3_BDHV12</stp>
        <stp>XOM US Equity</stp>
        <stp>GROSS_MARGIN</stp>
        <stp>FQ2 1997</stp>
        <stp>FQ2 1997</stp>
        <stp>[FA1_ftkzu3fn.xlsx]Income - Adjusted!R42C32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F42" s="2"/>
      </tp>
      <tp>
        <v>36.0107</v>
        <stp/>
        <stp>##V3_BDHV12</stp>
        <stp>XOM US Equity</stp>
        <stp>GROSS_MARGIN</stp>
        <stp>FQ2 1996</stp>
        <stp>FQ2 1996</stp>
        <stp>[FA1_ftkzu3fn.xlsx]Income - Adjusted!R42C28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B42" s="2"/>
      </tp>
      <tp>
        <v>36.324800000000003</v>
        <stp/>
        <stp>##V3_BDHV12</stp>
        <stp>XOM US Equity</stp>
        <stp>GROSS_MARGIN</stp>
        <stp>FQ2 1995</stp>
        <stp>FQ2 1995</stp>
        <stp>[FA1_ftkzu3fn.xlsx]Income - Adjusted!R42C24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X42" s="2"/>
      </tp>
      <tp>
        <v>34.566499999999998</v>
        <stp/>
        <stp>##V3_BDHV12</stp>
        <stp>XOM US Equity</stp>
        <stp>GROSS_MARGIN</stp>
        <stp>FQ2 1994</stp>
        <stp>FQ2 1994</stp>
        <stp>[FA1_ftkzu3fn.xlsx]Income - Adjusted!R42C20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T42" s="2"/>
      </tp>
      <tp>
        <v>1009.092</v>
        <stp/>
        <stp>##V3_BDHV12</stp>
        <stp>XOM US Equity</stp>
        <stp>IS_TOT_CASH_COM_DVD</stp>
        <stp>FQ4 1997</stp>
        <stp>FQ4 1997</stp>
        <stp>[FA1_ftkzu3fn.xlsx]Income - Adjusted!R47C34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47" s="2"/>
      </tp>
    </main>
    <main first="bloomberg.rtd">
      <tp>
        <v>36.999699999999997</v>
        <stp/>
        <stp>##V3_BDHV12</stp>
        <stp>XOM US Equity</stp>
        <stp>GROSS_MARGIN</stp>
        <stp>FQ1 1998</stp>
        <stp>FQ1 1998</stp>
        <stp>[FA1_ftkzu3fn.xlsx]Income - Adjusted!R42C35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I42" s="2"/>
      </tp>
      <tp>
        <v>33.307099999999998</v>
        <stp/>
        <stp>##V3_BDHV12</stp>
        <stp>XOM US Equity</stp>
        <stp>GROSS_MARGIN</stp>
        <stp>FQ1 1993</stp>
        <stp>FQ1 1993</stp>
        <stp>[FA1_ftkzu3fn.xlsx]Income - Adjusted!R42C15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O42" s="2"/>
      </tp>
      <tp>
        <v>37.213500000000003</v>
        <stp/>
        <stp>##V3_BDHV12</stp>
        <stp>XOM US Equity</stp>
        <stp>GROSS_MARGIN</stp>
        <stp>FQ1 1992</stp>
        <stp>FQ1 1992</stp>
        <stp>[FA1_ftkzu3fn.xlsx]Income - Adjusted!R42C11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K42" s="2"/>
      </tp>
      <tp>
        <v>36.395299999999999</v>
        <stp/>
        <stp>##V3_BDHV12</stp>
        <stp>XOM US Equity</stp>
        <stp>GROSS_MARGIN</stp>
        <stp>FQ1 1995</stp>
        <stp>FQ1 1995</stp>
        <stp>[FA1_ftkzu3fn.xlsx]Income - Adjusted!R42C23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W42" s="2"/>
      </tp>
      <tp>
        <v>35.3262</v>
        <stp/>
        <stp>##V3_BDHV12</stp>
        <stp>XOM US Equity</stp>
        <stp>GROSS_MARGIN</stp>
        <stp>FQ1 1997</stp>
        <stp>FQ1 1997</stp>
        <stp>[FA1_ftkzu3fn.xlsx]Income - Adjusted!R42C31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E42" s="2"/>
      </tp>
      <tp>
        <v>36.4711</v>
        <stp/>
        <stp>##V3_BDHV12</stp>
        <stp>XOM US Equity</stp>
        <stp>GROSS_MARGIN</stp>
        <stp>FQ1 1996</stp>
        <stp>FQ1 1996</stp>
        <stp>[FA1_ftkzu3fn.xlsx]Income - Adjusted!R42C27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A42" s="2"/>
      </tp>
      <tp>
        <v>36.136000000000003</v>
        <stp/>
        <stp>##V3_BDHV12</stp>
        <stp>XOM US Equity</stp>
        <stp>GROSS_MARGIN</stp>
        <stp>FQ1 1994</stp>
        <stp>FQ1 1994</stp>
        <stp>[FA1_ftkzu3fn.xlsx]Income - Adjusted!R42C19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S42" s="2"/>
      </tp>
      <tp>
        <v>894</v>
        <stp/>
        <stp>##V3_BDHV12</stp>
        <stp>XOM US Equity</stp>
        <stp>IS_TOT_CASH_COM_DVD</stp>
        <stp>FQ3 1992</stp>
        <stp>FQ3 1992</stp>
        <stp>[FA1_ftkzu3fn.xlsx]Income - Adjusted!R47C13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47" s="2"/>
      </tp>
      <tp>
        <v>18.031300000000002</v>
        <stp/>
        <stp>##V3_BDHV12</stp>
        <stp>XOM US Equity</stp>
        <stp>PX_OPEN</stp>
        <stp>FQ4 1995</stp>
        <stp>FQ4 1995</stp>
        <stp>[FA1_ftkzu3fn.xlsx]Stock Value!R8C26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8" s="6"/>
      </tp>
      <tp>
        <v>4558</v>
        <stp/>
        <stp>##V3_BDHV12</stp>
        <stp>XOM US Equity</stp>
        <stp>NET_DEBT</stp>
        <stp>FQ1 1997</stp>
        <stp>FQ1 1997</stp>
        <stp>[FA1_ftkzu3fn.xlsx]Bal Sheet - Standardized!R51C31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51" s="3"/>
      </tp>
      <tp>
        <v>10886</v>
        <stp/>
        <stp>##V3_BDHV12</stp>
        <stp>XOM US Equity</stp>
        <stp>NET_DEBT</stp>
        <stp>FQ3 1993</stp>
        <stp>FQ3 1993</stp>
        <stp>[FA1_ftkzu3fn.xlsx]Bal Sheet - Standardized!R51C17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51" s="3"/>
      </tp>
      <tp>
        <v>18.093800000000002</v>
        <stp/>
        <stp>##V3_BDHV12</stp>
        <stp>XOM US Equity</stp>
        <stp>PX_HIGH</stp>
        <stp>FQ2 1995</stp>
        <stp>FQ2 1995</stp>
        <stp>[FA1_ftkzu3fn.xlsx]Stock Value!R9C24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9" s="6"/>
      </tp>
      <tp>
        <v>16.531300000000002</v>
        <stp/>
        <stp>##V3_BDHV12</stp>
        <stp>XOM US Equity</stp>
        <stp>PX_OPEN</stp>
        <stp>FQ2 1993</stp>
        <stp>FQ2 1993</stp>
        <stp>[FA1_ftkzu3fn.xlsx]Stock Value!R8C16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8" s="6"/>
      </tp>
      <tp>
        <v>33.875</v>
        <stp/>
        <stp>##V3_BDHV12</stp>
        <stp>XOM US Equity</stp>
        <stp>PX_OPEN</stp>
        <stp>FQ2 1998</stp>
        <stp>FQ2 1998</stp>
        <stp>[FA1_ftkzu3fn.xlsx]Stock Value!R8C36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8" s="6"/>
      </tp>
      <tp>
        <v>16.031300000000002</v>
        <stp/>
        <stp>##V3_BDHV12</stp>
        <stp>XOM US Equity</stp>
        <stp>PX_HIGH</stp>
        <stp>FQ4 1992</stp>
        <stp>FQ4 1992</stp>
        <stp>[FA1_ftkzu3fn.xlsx]Stock Value!R9C14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9" s="6"/>
      </tp>
      <tp>
        <v>33.4375</v>
        <stp/>
        <stp>##V3_BDHV12</stp>
        <stp>XOM US Equity</stp>
        <stp>PX_HIGH</stp>
        <stp>FQ4 1997</stp>
        <stp>FQ4 1997</stp>
        <stp>[FA1_ftkzu3fn.xlsx]Stock Value!R9C34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9" s="6"/>
      </tp>
      <tp>
        <v>11396</v>
        <stp/>
        <stp>##V3_BDHV12</stp>
        <stp>XOM US Equity</stp>
        <stp>NET_DEBT</stp>
        <stp>FQ3 1992</stp>
        <stp>FQ3 1992</stp>
        <stp>[FA1_ftkzu3fn.xlsx]Bal Sheet - Standardized!R51C13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51" s="3"/>
      </tp>
      <tp>
        <v>0.31</v>
        <stp/>
        <stp>##V3_BDHV12</stp>
        <stp>XOM US Equity</stp>
        <stp>IS_EARN_BEF_XO_ITEMS_PER_SH</stp>
        <stp>FQ3 1996</stp>
        <stp>FQ3 1996</stp>
        <stp>[FA1_ftkzu3fn.xlsx]Per Share!R15C29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15" s="5"/>
      </tp>
      <tp t="s">
        <v>—</v>
        <stp/>
        <stp>##V3_BDHV12</stp>
        <stp>XOM US Equity</stp>
        <stp>NUM_OF_EMPLOYEES</stp>
        <stp>FQ2 1994</stp>
        <stp>FQ2 1994</stp>
        <stp>[FA1_ftkzu3fn.xlsx]Bal Sheet - Standardized!R55C20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55" s="3"/>
      </tp>
      <tp t="s">
        <v>—</v>
        <stp/>
        <stp>##V3_BDHV12</stp>
        <stp>XOM US Equity</stp>
        <stp>NUM_OF_EMPLOYEES</stp>
        <stp>FQ3 1994</stp>
        <stp>FQ3 1994</stp>
        <stp>[FA1_ftkzu3fn.xlsx]Bal Sheet - Standardized!R55C21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55" s="3"/>
      </tp>
      <tp>
        <v>14.5938</v>
        <stp/>
        <stp>##V3_BDHV12</stp>
        <stp>XOM US Equity</stp>
        <stp>PX_OPEN</stp>
        <stp>FQ2 1991</stp>
        <stp>FQ2 1991</stp>
        <stp>[FA1_ftkzu3fn.xlsx]Stock Value!R8C8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8" s="6"/>
      </tp>
      <tp t="s">
        <v>—</v>
        <stp/>
        <stp>##V3_BDHV12</stp>
        <stp>XOM US Equity</stp>
        <stp>NET_CHG_IN_LT_INVEST_DETAILED</stp>
        <stp>FQ3 1992</stp>
        <stp>FQ3 1992</stp>
        <stp>[FA1_ftkzu3fn.xlsx]Cash Flow - Standardized!R19C13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19" s="4"/>
      </tp>
      <tp>
        <v>0</v>
        <stp/>
        <stp>##V3_BDHV12</stp>
        <stp>XOM US Equity</stp>
        <stp>NET_CHG_IN_LT_INVEST_DETAILED</stp>
        <stp>FQ1 1997</stp>
        <stp>FQ1 1997</stp>
        <stp>[FA1_ftkzu3fn.xlsx]Cash Flow - Standardized!R19C31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19" s="4"/>
      </tp>
      <tp t="s">
        <v>—</v>
        <stp/>
        <stp>##V3_BDHV12</stp>
        <stp>XOM US Equity</stp>
        <stp>NET_CHG_IN_LT_INVEST_DETAILED</stp>
        <stp>FQ3 1993</stp>
        <stp>FQ3 1993</stp>
        <stp>[FA1_ftkzu3fn.xlsx]Cash Flow - Standardized!R19C17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19" s="4"/>
      </tp>
      <tp>
        <v>0</v>
        <stp/>
        <stp>##V3_BDHV12</stp>
        <stp>XOM US Equity</stp>
        <stp>NET_CHG_IN_LT_INVEST_DETAILED</stp>
        <stp>FQ1 1998</stp>
        <stp>FQ1 1998</stp>
        <stp>[FA1_ftkzu3fn.xlsx]Cash Flow - Standardized!R19C35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19" s="4"/>
      </tp>
      <tp>
        <v>0.33250000000000002</v>
        <stp/>
        <stp>##V3_BDHV12</stp>
        <stp>XOM US Equity</stp>
        <stp>IS_DIL_EPS_BEF_XO</stp>
        <stp>FQ1 1995</stp>
        <stp>FQ1 1995</stp>
        <stp>[FA1_ftkzu3fn.xlsx]Per Share!R18C23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18" s="5"/>
      </tp>
      <tp>
        <v>0.43</v>
        <stp/>
        <stp>##V3_BDHV12</stp>
        <stp>XOM US Equity</stp>
        <stp>IS_DIL_EPS_BEF_XO</stp>
        <stp>FQ1 1997</stp>
        <stp>FQ1 1997</stp>
        <stp>[FA1_ftkzu3fn.xlsx]Per Share!R18C31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18" s="5"/>
      </tp>
      <tp>
        <v>0.23499999999999999</v>
        <stp/>
        <stp>##V3_BDHV12</stp>
        <stp>XOM US Equity</stp>
        <stp>IS_DIL_EPS_BEF_XO</stp>
        <stp>FQ1 1993</stp>
        <stp>FQ1 1993</stp>
        <stp>[FA1_ftkzu3fn.xlsx]Per Share!R18C15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18" s="5"/>
      </tp>
      <tp>
        <v>0.3175</v>
        <stp/>
        <stp>##V3_BDHV12</stp>
        <stp>XOM US Equity</stp>
        <stp>IS_DIL_EPS_BEF_XO</stp>
        <stp>FQ4 1992</stp>
        <stp>FQ4 1992</stp>
        <stp>[FA1_ftkzu3fn.xlsx]Per Share!R18C14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18" s="5"/>
      </tp>
      <tp>
        <v>0.38250000000000001</v>
        <stp/>
        <stp>##V3_BDHV12</stp>
        <stp>XOM US Equity</stp>
        <stp>IS_DIL_EPS_BEF_XO</stp>
        <stp>FQ4 1994</stp>
        <stp>FQ4 1994</stp>
        <stp>[FA1_ftkzu3fn.xlsx]Per Share!R18C22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18" s="5"/>
      </tp>
      <tp>
        <v>0.5</v>
        <stp/>
        <stp>##V3_BDHV12</stp>
        <stp>XOM US Equity</stp>
        <stp>IS_DIL_EPS_BEF_XO</stp>
        <stp>FQ4 1996</stp>
        <stp>FQ4 1996</stp>
        <stp>[FA1_ftkzu3fn.xlsx]Per Share!R18C30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18" s="5"/>
      </tp>
      <tp>
        <v>1.2422</v>
        <stp/>
        <stp>##V3_BDHV12</stp>
        <stp>XOM US Equity</stp>
        <stp>CHG_PCT_PERIOD</stp>
        <stp>FQ1 1996</stp>
        <stp>FQ1 1996</stp>
        <stp>[FA1_ftkzu3fn.xlsx]Stock Value!R7C27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7" s="6"/>
      </tp>
      <tp>
        <v>-0.94520000000000004</v>
        <stp/>
        <stp>##V3_BDHV12</stp>
        <stp>XOM US Equity</stp>
        <stp>CHG_PCT_PERIOD</stp>
        <stp>FQ3 1993</stp>
        <stp>FQ3 1993</stp>
        <stp>[FA1_ftkzu3fn.xlsx]Stock Value!R7C17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7" s="6"/>
      </tp>
      <tp>
        <v>0.27250000000000002</v>
        <stp/>
        <stp>##V3_BDHV12</stp>
        <stp>XOM US Equity</stp>
        <stp>IS_DIL_EPS_CONT_OPS</stp>
        <stp>FQ3 1993</stp>
        <stp>FQ3 1993</stp>
        <stp>[FA1_ftkzu3fn.xlsx]Income - Adjusted!R35C17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35" s="2"/>
      </tp>
      <tp>
        <v>0.36499999999999999</v>
        <stp/>
        <stp>##V3_BDHV12</stp>
        <stp>XOM US Equity</stp>
        <stp>IS_DIL_EPS_CONT_OPS</stp>
        <stp>FQ3 1997</stp>
        <stp>FQ3 1997</stp>
        <stp>[FA1_ftkzu3fn.xlsx]Income - Adjusted!R35C33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35" s="2"/>
      </tp>
      <tp>
        <v>0.17499999999999999</v>
        <stp/>
        <stp>##V3_BDHV12</stp>
        <stp>XOM US Equity</stp>
        <stp>IS_DIL_EPS_CONT_OPS</stp>
        <stp>FQ2 1994</stp>
        <stp>FQ2 1994</stp>
        <stp>[FA1_ftkzu3fn.xlsx]Income - Adjusted!R35C20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35" s="2"/>
      </tp>
      <tp>
        <v>15</v>
        <stp/>
        <stp>##V3_BDHV12</stp>
        <stp>XOM US Equity</stp>
        <stp>IS_TOT_CASH_PFD_DVD</stp>
        <stp>FQ2 1992</stp>
        <stp>FQ2 1992</stp>
        <stp>[FA1_ftkzu3fn.xlsx]Income - Adjusted!R21C12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21" s="2"/>
      </tp>
      <tp>
        <v>1486.5</v>
        <stp/>
        <stp>##V3_BDHV12</stp>
        <stp>XOM US Equity</stp>
        <stp>EARN_FOR_COMMON</stp>
        <stp>FQ4 1993</stp>
        <stp>FQ4 1993</stp>
        <stp>[FA1_ftkzu3fn.xlsx]Income - Adjusted!R22C18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R22" s="2"/>
      </tp>
      <tp>
        <v>6.75</v>
        <stp/>
        <stp>##V3_BDHV12</stp>
        <stp>XOM US Equity</stp>
        <stp>IS_TOT_CASH_PFD_DVD</stp>
        <stp>FQ4 1996</stp>
        <stp>FQ4 1996</stp>
        <stp>[FA1_ftkzu3fn.xlsx]Income - Adjusted!R21C30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21" s="2"/>
      </tp>
      <tp>
        <v>13.5</v>
        <stp/>
        <stp>##V3_BDHV12</stp>
        <stp>XOM US Equity</stp>
        <stp>IS_TOT_CASH_PFD_DVD</stp>
        <stp>FQ3 1993</stp>
        <stp>FQ3 1993</stp>
        <stp>[FA1_ftkzu3fn.xlsx]Income - Adjusted!R21C17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21" s="2"/>
      </tp>
      <tp>
        <v>979.5</v>
        <stp/>
        <stp>##V3_BDHV12</stp>
        <stp>XOM US Equity</stp>
        <stp>IS_TOT_CASH_COM_DVD</stp>
        <stp>FQ4 1996</stp>
        <stp>FQ4 1996</stp>
        <stp>[FA1_ftkzu3fn.xlsx]Income - Adjusted!R47C30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47" s="2"/>
      </tp>
      <tp>
        <v>2000</v>
        <stp/>
        <stp>##V3_BDHV12</stp>
        <stp>XOM US Equity</stp>
        <stp>NI_INCLUDING_MINORITY_INT_RATIO</stp>
        <stp>FQ1 1998</stp>
        <stp>FQ1 1998</stp>
        <stp>[FA1_ftkzu3fn.xlsx]Income - Adjusted!R18C35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I18" s="2"/>
      </tp>
      <tp>
        <v>1214</v>
        <stp/>
        <stp>##V3_BDHV12</stp>
        <stp>XOM US Equity</stp>
        <stp>NI_INCLUDING_MINORITY_INT_RATIO</stp>
        <stp>FQ1 1994</stp>
        <stp>FQ1 1994</stp>
        <stp>[FA1_ftkzu3fn.xlsx]Income - Adjusted!R18C19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S18" s="2"/>
      </tp>
      <tp>
        <v>893</v>
        <stp/>
        <stp>##V3_BDHV12</stp>
        <stp>XOM US Equity</stp>
        <stp>IS_TOT_CASH_COM_DVD</stp>
        <stp>FQ3 1993</stp>
        <stp>FQ3 1993</stp>
        <stp>[FA1_ftkzu3fn.xlsx]Income - Adjusted!R47C17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47" s="2"/>
      </tp>
      <tp>
        <v>895</v>
        <stp/>
        <stp>##V3_BDHV12</stp>
        <stp>XOM US Equity</stp>
        <stp>IS_TOT_CASH_COM_DVD</stp>
        <stp>FQ2 1992</stp>
        <stp>FQ2 1992</stp>
        <stp>[FA1_ftkzu3fn.xlsx]Income - Adjusted!R47C12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47" s="2"/>
      </tp>
      <tp>
        <v>16.6875</v>
        <stp/>
        <stp>##V3_BDHV12</stp>
        <stp>XOM US Equity</stp>
        <stp>PX_HIGH</stp>
        <stp>FQ1 1993</stp>
        <stp>FQ1 1993</stp>
        <stp>[FA1_ftkzu3fn.xlsx]Stock Value!R9C15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9" s="6"/>
      </tp>
      <tp>
        <v>35</v>
        <stp/>
        <stp>##V3_BDHV12</stp>
        <stp>XOM US Equity</stp>
        <stp>PX_HIGH</stp>
        <stp>FQ1 1998</stp>
        <stp>FQ1 1998</stp>
        <stp>[FA1_ftkzu3fn.xlsx]Stock Value!R9C35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9" s="6"/>
      </tp>
      <tp>
        <v>18.5625</v>
        <stp/>
        <stp>##V3_BDHV12</stp>
        <stp>XOM US Equity</stp>
        <stp>PX_HIGH</stp>
        <stp>FQ3 1995</stp>
        <stp>FQ3 1995</stp>
        <stp>[FA1_ftkzu3fn.xlsx]Stock Value!R9C25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9" s="6"/>
      </tp>
      <tp>
        <v>9585</v>
        <stp/>
        <stp>##V3_BDHV12</stp>
        <stp>XOM US Equity</stp>
        <stp>NET_DEBT</stp>
        <stp>FQ1 1995</stp>
        <stp>FQ1 1995</stp>
        <stp>[FA1_ftkzu3fn.xlsx]Bal Sheet - Standardized!R51C23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51" s="3"/>
      </tp>
      <tp>
        <v>11428</v>
        <stp/>
        <stp>##V3_BDHV12</stp>
        <stp>XOM US Equity</stp>
        <stp>NET_DEBT</stp>
        <stp>FQ2 1993</stp>
        <stp>FQ2 1993</stp>
        <stp>[FA1_ftkzu3fn.xlsx]Bal Sheet - Standardized!R51C16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51" s="3"/>
      </tp>
      <tp>
        <v>6449</v>
        <stp/>
        <stp>##V3_BDHV12</stp>
        <stp>XOM US Equity</stp>
        <stp>NET_DEBT</stp>
        <stp>FQ1 1996</stp>
        <stp>FQ1 1996</stp>
        <stp>[FA1_ftkzu3fn.xlsx]Bal Sheet - Standardized!R51C27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51" s="3"/>
      </tp>
      <tp>
        <v>16.531300000000002</v>
        <stp/>
        <stp>##V3_BDHV12</stp>
        <stp>XOM US Equity</stp>
        <stp>PX_OPEN</stp>
        <stp>FQ3 1993</stp>
        <stp>FQ3 1993</stp>
        <stp>[FA1_ftkzu3fn.xlsx]Stock Value!R8C17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8" s="6"/>
      </tp>
      <tp>
        <v>11662</v>
        <stp/>
        <stp>##V3_BDHV12</stp>
        <stp>XOM US Equity</stp>
        <stp>NET_DEBT</stp>
        <stp>FQ2 1992</stp>
        <stp>FQ2 1992</stp>
        <stp>[FA1_ftkzu3fn.xlsx]Bal Sheet - Standardized!R51C12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51" s="3"/>
      </tp>
      <tp>
        <v>20.0625</v>
        <stp/>
        <stp>##V3_BDHV12</stp>
        <stp>XOM US Equity</stp>
        <stp>PX_OPEN</stp>
        <stp>FQ1 1996</stp>
        <stp>FQ1 1996</stp>
        <stp>[FA1_ftkzu3fn.xlsx]Stock Value!R8C27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8" s="6"/>
      </tp>
      <tp>
        <v>1261</v>
        <stp/>
        <stp>##V3_BDHV12</stp>
        <stp>XOM US Equity</stp>
        <stp>EARN_FOR_COMMON</stp>
        <stp>FQ1 1990</stp>
        <stp>FQ1 1990</stp>
        <stp>[FA1_ftkzu3fn.xlsx]Income - Adjusted!R24C3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C24" s="2"/>
      </tp>
      <tp>
        <v>1537</v>
        <stp/>
        <stp>##V3_BDHV12</stp>
        <stp>XOM US Equity</stp>
        <stp>EARN_FOR_COMMON</stp>
        <stp>FQ4 1990</stp>
        <stp>FQ4 1990</stp>
        <stp>[FA1_ftkzu3fn.xlsx]Income - Adjusted!R24C6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F24" s="2"/>
      </tp>
      <tp>
        <v>0.22</v>
        <stp/>
        <stp>##V3_BDHV12</stp>
        <stp>XOM US Equity</stp>
        <stp>IS_DIL_EPS_CONT_OPS</stp>
        <stp>FQ3 1991</stp>
        <stp>FQ3 1991</stp>
        <stp>[FA1_ftkzu3fn.xlsx]Per Share!R19C9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19" s="5"/>
      </tp>
      <tp>
        <v>0.22500000000000001</v>
        <stp/>
        <stp>##V3_BDHV12</stp>
        <stp>XOM US Equity</stp>
        <stp>IS_DIL_EPS_CONT_OPS</stp>
        <stp>FQ2 1991</stp>
        <stp>FQ2 1991</stp>
        <stp>[FA1_ftkzu3fn.xlsx]Per Share!R19C8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19" s="5"/>
      </tp>
      <tp t="s">
        <v>—</v>
        <stp/>
        <stp>##V3_BDHV12</stp>
        <stp>XOM US Equity</stp>
        <stp>NUM_OF_EMPLOYEES</stp>
        <stp>FQ4 1997</stp>
        <stp>FQ4 1997</stp>
        <stp>[FA1_ftkzu3fn.xlsx]Bal Sheet - Standardized!R55C34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55" s="3"/>
      </tp>
      <tp t="s">
        <v>—</v>
        <stp/>
        <stp>##V3_BDHV12</stp>
        <stp>XOM US Equity</stp>
        <stp>NUM_OF_EMPLOYEES</stp>
        <stp>FQ1 1997</stp>
        <stp>FQ1 1997</stp>
        <stp>[FA1_ftkzu3fn.xlsx]Bal Sheet - Standardized!R55C31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55" s="3"/>
      </tp>
      <tp t="s">
        <v>—</v>
        <stp/>
        <stp>##V3_BDHV12</stp>
        <stp>XOM US Equity</stp>
        <stp>NUM_OF_EMPLOYEES</stp>
        <stp>FQ3 1997</stp>
        <stp>FQ3 1997</stp>
        <stp>[FA1_ftkzu3fn.xlsx]Bal Sheet - Standardized!R55C33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55" s="3"/>
      </tp>
      <tp t="s">
        <v>—</v>
        <stp/>
        <stp>##V3_BDHV12</stp>
        <stp>XOM US Equity</stp>
        <stp>NUM_OF_EMPLOYEES</stp>
        <stp>FQ2 1997</stp>
        <stp>FQ2 1997</stp>
        <stp>[FA1_ftkzu3fn.xlsx]Bal Sheet - Standardized!R55C32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55" s="3"/>
      </tp>
      <tp>
        <v>0.315</v>
        <stp/>
        <stp>##V3_BDHV12</stp>
        <stp>XOM US Equity</stp>
        <stp>IS_EARN_BEF_XO_ITEMS_PER_SH</stp>
        <stp>FQ2 1996</stp>
        <stp>FQ2 1996</stp>
        <stp>[FA1_ftkzu3fn.xlsx]Per Share!R15C28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15" s="5"/>
      </tp>
      <tp>
        <v>0.33</v>
        <stp/>
        <stp>##V3_BDHV12</stp>
        <stp>XOM US Equity</stp>
        <stp>IS_EARN_BEF_XO_ITEMS_PER_SH</stp>
        <stp>FQ2 1998</stp>
        <stp>FQ2 1998</stp>
        <stp>[FA1_ftkzu3fn.xlsx]Per Share!R15C36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15" s="5"/>
      </tp>
      <tp t="s">
        <v>—</v>
        <stp/>
        <stp>##V3_BDHV12</stp>
        <stp>XOM US Equity</stp>
        <stp>NUM_OF_EMPLOYEES</stp>
        <stp>FQ4 1995</stp>
        <stp>FQ4 1995</stp>
        <stp>[FA1_ftkzu3fn.xlsx]Bal Sheet - Standardized!R55C26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55" s="3"/>
      </tp>
      <tp t="s">
        <v>—</v>
        <stp/>
        <stp>##V3_BDHV12</stp>
        <stp>XOM US Equity</stp>
        <stp>NUM_OF_EMPLOYEES</stp>
        <stp>FQ1 1995</stp>
        <stp>FQ1 1995</stp>
        <stp>[FA1_ftkzu3fn.xlsx]Bal Sheet - Standardized!R55C23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55" s="3"/>
      </tp>
      <tp>
        <v>14.5938</v>
        <stp/>
        <stp>##V3_BDHV12</stp>
        <stp>XOM US Equity</stp>
        <stp>PX_OPEN</stp>
        <stp>FQ3 1991</stp>
        <stp>FQ3 1991</stp>
        <stp>[FA1_ftkzu3fn.xlsx]Stock Value!R8C9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8" s="6"/>
      </tp>
      <tp t="s">
        <v>—</v>
        <stp/>
        <stp>##V3_BDHV12</stp>
        <stp>XOM US Equity</stp>
        <stp>NUM_OF_EMPLOYEES</stp>
        <stp>FQ3 1993</stp>
        <stp>FQ3 1993</stp>
        <stp>[FA1_ftkzu3fn.xlsx]Bal Sheet - Standardized!R55C17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55" s="3"/>
      </tp>
      <tp t="s">
        <v>—</v>
        <stp/>
        <stp>##V3_BDHV12</stp>
        <stp>XOM US Equity</stp>
        <stp>NUM_OF_EMPLOYEES</stp>
        <stp>FQ2 1993</stp>
        <stp>FQ2 1993</stp>
        <stp>[FA1_ftkzu3fn.xlsx]Bal Sheet - Standardized!R55C16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55" s="3"/>
      </tp>
      <tp t="s">
        <v>—</v>
        <stp/>
        <stp>##V3_BDHV12</stp>
        <stp>XOM US Equity</stp>
        <stp>NUM_OF_EMPLOYEES</stp>
        <stp>FQ1 1993</stp>
        <stp>FQ1 1993</stp>
        <stp>[FA1_ftkzu3fn.xlsx]Bal Sheet - Standardized!R55C15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55" s="3"/>
      </tp>
      <tp t="s">
        <v>—</v>
        <stp/>
        <stp>##V3_BDHV12</stp>
        <stp>XOM US Equity</stp>
        <stp>NET_CHG_IN_LT_INVEST_DETAILED</stp>
        <stp>FQ1 1996</stp>
        <stp>FQ1 1996</stp>
        <stp>[FA1_ftkzu3fn.xlsx]Cash Flow - Standardized!R19C27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19" s="4"/>
      </tp>
      <tp t="s">
        <v>—</v>
        <stp/>
        <stp>##V3_BDHV12</stp>
        <stp>XOM US Equity</stp>
        <stp>NET_CHG_IN_LT_INVEST_DETAILED</stp>
        <stp>FQ2 1992</stp>
        <stp>FQ2 1992</stp>
        <stp>[FA1_ftkzu3fn.xlsx]Cash Flow - Standardized!R19C12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19" s="4"/>
      </tp>
      <tp t="s">
        <v>—</v>
        <stp/>
        <stp>##V3_BDHV12</stp>
        <stp>XOM US Equity</stp>
        <stp>NET_CHG_IN_LT_INVEST_DETAILED</stp>
        <stp>FQ1 1995</stp>
        <stp>FQ1 1995</stp>
        <stp>[FA1_ftkzu3fn.xlsx]Cash Flow - Standardized!R19C23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19" s="4"/>
      </tp>
      <tp t="s">
        <v>—</v>
        <stp/>
        <stp>##V3_BDHV12</stp>
        <stp>XOM US Equity</stp>
        <stp>NET_CHG_IN_LT_INVEST_DETAILED</stp>
        <stp>FQ2 1993</stp>
        <stp>FQ2 1993</stp>
        <stp>[FA1_ftkzu3fn.xlsx]Cash Flow - Standardized!R19C16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19" s="4"/>
      </tp>
      <tp>
        <v>11.418699999999999</v>
        <stp/>
        <stp>##V3_BDHV12</stp>
        <stp>XOM US Equity</stp>
        <stp>CHG_PCT_PERIOD</stp>
        <stp>FQ4 1995</stp>
        <stp>FQ4 1995</stp>
        <stp>[FA1_ftkzu3fn.xlsx]Stock Value!R7C26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7" s="6"/>
      </tp>
      <tp>
        <v>0</v>
        <stp/>
        <stp>##V3_BDHV12</stp>
        <stp>XOM US Equity</stp>
        <stp>CHG_PCT_PERIOD</stp>
        <stp>FQ2 1993</stp>
        <stp>FQ2 1993</stp>
        <stp>[FA1_ftkzu3fn.xlsx]Stock Value!R7C16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7" s="6"/>
      </tp>
      <tp>
        <v>5.5453000000000001</v>
        <stp/>
        <stp>##V3_BDHV12</stp>
        <stp>XOM US Equity</stp>
        <stp>CHG_PCT_PERIOD</stp>
        <stp>FQ2 1998</stp>
        <stp>FQ2 1998</stp>
        <stp>[FA1_ftkzu3fn.xlsx]Stock Value!R7C36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7" s="6"/>
      </tp>
      <tp>
        <v>0.23</v>
        <stp/>
        <stp>##V3_BDHV12</stp>
        <stp>XOM US Equity</stp>
        <stp>IS_DIL_EPS_CONT_OPS</stp>
        <stp>FQ3 1994</stp>
        <stp>FQ3 1994</stp>
        <stp>[FA1_ftkzu3fn.xlsx]Income - Adjusted!R35C21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35" s="2"/>
      </tp>
      <tp>
        <v>0.245</v>
        <stp/>
        <stp>##V3_BDHV12</stp>
        <stp>XOM US Equity</stp>
        <stp>IS_DIL_EPS_CONT_OPS</stp>
        <stp>FQ2 1993</stp>
        <stp>FQ2 1993</stp>
        <stp>[FA1_ftkzu3fn.xlsx]Income - Adjusted!R35C16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35" s="2"/>
      </tp>
      <tp>
        <v>0.39</v>
        <stp/>
        <stp>##V3_BDHV12</stp>
        <stp>XOM US Equity</stp>
        <stp>IS_DIL_EPS_CONT_OPS</stp>
        <stp>FQ2 1997</stp>
        <stp>FQ2 1997</stp>
        <stp>[FA1_ftkzu3fn.xlsx]Income - Adjusted!R35C32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35" s="2"/>
      </tp>
      <tp>
        <v>4968</v>
        <stp/>
        <stp>##V3_BDHV12</stp>
        <stp>XOM US Equity</stp>
        <stp>BS_SH_OUT</stp>
        <stp>FQ4 1993</stp>
        <stp>FQ4 1993</stp>
        <stp>[FA1_ftkzu3fn.xlsx]Bal Sheet - Standardized!R49C18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49" s="3"/>
      </tp>
      <tp>
        <v>-57</v>
        <stp/>
        <stp>##V3_BDHV12</stp>
        <stp>XOM US Equity</stp>
        <stp>MIN_NONCONTROL_INTEREST_CREDITS</stp>
        <stp>FQ4 1991</stp>
        <stp>FQ4 1991</stp>
        <stp>[FA1_ftkzu3fn.xlsx]Income - Adjusted!R19C10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J19" s="2"/>
      </tp>
      <tp>
        <v>92</v>
        <stp/>
        <stp>##V3_BDHV12</stp>
        <stp>XOM US Equity</stp>
        <stp>MIN_NONCONTROL_INTEREST_CREDITS</stp>
        <stp>FQ3 1992</stp>
        <stp>FQ3 1992</stp>
        <stp>[FA1_ftkzu3fn.xlsx]Income - Adjusted!R19C13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M19" s="2"/>
      </tp>
      <tp>
        <v>86</v>
        <stp/>
        <stp>##V3_BDHV12</stp>
        <stp>XOM US Equity</stp>
        <stp>MIN_NONCONTROL_INTEREST_CREDITS</stp>
        <stp>FQ2 1995</stp>
        <stp>FQ2 1995</stp>
        <stp>[FA1_ftkzu3fn.xlsx]Income - Adjusted!R19C24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X19" s="2"/>
      </tp>
      <tp>
        <v>139</v>
        <stp/>
        <stp>##V3_BDHV12</stp>
        <stp>XOM US Equity</stp>
        <stp>MIN_NONCONTROL_INTEREST_CREDITS</stp>
        <stp>FQ1 1996</stp>
        <stp>FQ1 1996</stp>
        <stp>[FA1_ftkzu3fn.xlsx]Income - Adjusted!R19C27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A19" s="2"/>
      </tp>
      <tp>
        <v>16</v>
        <stp/>
        <stp>##V3_BDHV12</stp>
        <stp>XOM US Equity</stp>
        <stp>IS_TOT_CASH_PFD_DVD</stp>
        <stp>FQ1 1992</stp>
        <stp>FQ1 1992</stp>
        <stp>[FA1_ftkzu3fn.xlsx]Income - Adjusted!R21C11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21" s="2"/>
      </tp>
      <tp>
        <v>11.5</v>
        <stp/>
        <stp>##V3_BDHV12</stp>
        <stp>XOM US Equity</stp>
        <stp>IS_TOT_CASH_PFD_DVD</stp>
        <stp>FQ4 1994</stp>
        <stp>FQ4 1994</stp>
        <stp>[FA1_ftkzu3fn.xlsx]Income - Adjusted!R21C22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21" s="2"/>
      </tp>
      <tp>
        <v>915.5</v>
        <stp/>
        <stp>##V3_BDHV12</stp>
        <stp>XOM US Equity</stp>
        <stp>IS_TOT_CASH_COM_DVD</stp>
        <stp>FQ4 1994</stp>
        <stp>FQ4 1994</stp>
        <stp>[FA1_ftkzu3fn.xlsx]Income - Adjusted!R47C22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47" s="2"/>
      </tp>
      <tp>
        <v>10459</v>
        <stp/>
        <stp>##V3_BDHV12</stp>
        <stp>XOM US Equity</stp>
        <stp>NET_DEBT</stp>
        <stp>FQ1 1994</stp>
        <stp>FQ1 1994</stp>
        <stp>[FA1_ftkzu3fn.xlsx]Bal Sheet - Standardized!R51C19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51" s="3"/>
      </tp>
      <tp>
        <v>6721</v>
        <stp/>
        <stp>##V3_BDHV12</stp>
        <stp>XOM US Equity</stp>
        <stp>NET_DEBT</stp>
        <stp>FQ2 1996</stp>
        <stp>FQ2 1996</stp>
        <stp>[FA1_ftkzu3fn.xlsx]Bal Sheet - Standardized!R51C28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51" s="3"/>
      </tp>
      <tp>
        <v>1685</v>
        <stp/>
        <stp>##V3_BDHV12</stp>
        <stp>XOM US Equity</stp>
        <stp>NI_INCLUDING_MINORITY_INT_RATIO</stp>
        <stp>FQ2 1998</stp>
        <stp>FQ2 1998</stp>
        <stp>[FA1_ftkzu3fn.xlsx]Income - Adjusted!R18C36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J18" s="2"/>
      </tp>
      <tp>
        <v>1650</v>
        <stp/>
        <stp>##V3_BDHV12</stp>
        <stp>XOM US Equity</stp>
        <stp>NI_INCLUDING_MINORITY_INT_RATIO</stp>
        <stp>FQ2 1996</stp>
        <stp>FQ2 1996</stp>
        <stp>[FA1_ftkzu3fn.xlsx]Income - Adjusted!R18C28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B18" s="2"/>
      </tp>
      <tp>
        <v>832</v>
        <stp/>
        <stp>##V3_BDHV12</stp>
        <stp>XOM US Equity</stp>
        <stp>IS_TOT_CASH_COM_DVD</stp>
        <stp>FQ1 1992</stp>
        <stp>FQ1 1992</stp>
        <stp>[FA1_ftkzu3fn.xlsx]Income - Adjusted!R47C11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47" s="2"/>
      </tp>
      <tp>
        <v>10749</v>
        <stp/>
        <stp>##V3_BDHV12</stp>
        <stp>XOM US Equity</stp>
        <stp>NET_DEBT</stp>
        <stp>FQ2 1994</stp>
        <stp>FQ2 1994</stp>
        <stp>[FA1_ftkzu3fn.xlsx]Bal Sheet - Standardized!R51C20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51" s="3"/>
      </tp>
      <tp>
        <v>32.125</v>
        <stp/>
        <stp>##V3_BDHV12</stp>
        <stp>XOM US Equity</stp>
        <stp>PX_OPEN</stp>
        <stp>FQ4 1997</stp>
        <stp>FQ4 1997</stp>
        <stp>[FA1_ftkzu3fn.xlsx]Stock Value!R8C34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8" s="6"/>
      </tp>
      <tp>
        <v>16.031300000000002</v>
        <stp/>
        <stp>##V3_BDHV12</stp>
        <stp>XOM US Equity</stp>
        <stp>PX_OPEN</stp>
        <stp>FQ4 1992</stp>
        <stp>FQ4 1992</stp>
        <stp>[FA1_ftkzu3fn.xlsx]Stock Value!R8C14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8" s="6"/>
      </tp>
      <tp>
        <v>5129</v>
        <stp/>
        <stp>##V3_BDHV12</stp>
        <stp>XOM US Equity</stp>
        <stp>NET_DEBT</stp>
        <stp>FQ3 1997</stp>
        <stp>FQ3 1997</stp>
        <stp>[FA1_ftkzu3fn.xlsx]Bal Sheet - Standardized!R51C33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51" s="3"/>
      </tp>
      <tp>
        <v>11468</v>
        <stp/>
        <stp>##V3_BDHV12</stp>
        <stp>XOM US Equity</stp>
        <stp>NET_DEBT</stp>
        <stp>FQ1 1993</stp>
        <stp>FQ1 1993</stp>
        <stp>[FA1_ftkzu3fn.xlsx]Bal Sheet - Standardized!R51C15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51" s="3"/>
      </tp>
      <tp>
        <v>17.25</v>
        <stp/>
        <stp>##V3_BDHV12</stp>
        <stp>XOM US Equity</stp>
        <stp>PX_HIGH</stp>
        <stp>FQ2 1993</stp>
        <stp>FQ2 1993</stp>
        <stp>[FA1_ftkzu3fn.xlsx]Stock Value!R9C16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9" s="6"/>
      </tp>
      <tp>
        <v>38</v>
        <stp/>
        <stp>##V3_BDHV12</stp>
        <stp>XOM US Equity</stp>
        <stp>PX_HIGH</stp>
        <stp>FQ2 1998</stp>
        <stp>FQ2 1998</stp>
        <stp>[FA1_ftkzu3fn.xlsx]Stock Value!R9C36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9" s="6"/>
      </tp>
      <tp>
        <v>16.625</v>
        <stp/>
        <stp>##V3_BDHV12</stp>
        <stp>XOM US Equity</stp>
        <stp>PX_OPEN</stp>
        <stp>FQ2 1995</stp>
        <stp>FQ2 1995</stp>
        <stp>[FA1_ftkzu3fn.xlsx]Stock Value!R8C24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8" s="6"/>
      </tp>
      <tp>
        <v>21.5</v>
        <stp/>
        <stp>##V3_BDHV12</stp>
        <stp>XOM US Equity</stp>
        <stp>PX_HIGH</stp>
        <stp>FQ4 1995</stp>
        <stp>FQ4 1995</stp>
        <stp>[FA1_ftkzu3fn.xlsx]Stock Value!R9C26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9" s="6"/>
      </tp>
      <tp>
        <v>10870</v>
        <stp/>
        <stp>##V3_BDHV12</stp>
        <stp>XOM US Equity</stp>
        <stp>NET_DEBT</stp>
        <stp>FQ1 1992</stp>
        <stp>FQ1 1992</stp>
        <stp>[FA1_ftkzu3fn.xlsx]Bal Sheet - Standardized!R51C11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51" s="3"/>
      </tp>
      <tp>
        <v>9124</v>
        <stp/>
        <stp>##V3_BDHV12</stp>
        <stp>XOM US Equity</stp>
        <stp>NET_DEBT</stp>
        <stp>FQ2 1995</stp>
        <stp>FQ2 1995</stp>
        <stp>[FA1_ftkzu3fn.xlsx]Bal Sheet - Standardized!R51C24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51" s="3"/>
      </tp>
      <tp>
        <v>0.23</v>
        <stp/>
        <stp>##V3_BDHV12</stp>
        <stp>XOM US Equity</stp>
        <stp>IS_EARN_BEF_XO_ITEMS_PER_SH</stp>
        <stp>FQ1 1994</stp>
        <stp>FQ1 1994</stp>
        <stp>[FA1_ftkzu3fn.xlsx]Per Share!R15C19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15" s="5"/>
      </tp>
      <tp>
        <v>0.38500000000000001</v>
        <stp/>
        <stp>##V3_BDHV12</stp>
        <stp>XOM US Equity</stp>
        <stp>IS_EARN_BEF_XO_ITEMS_PER_SH</stp>
        <stp>FQ1 1998</stp>
        <stp>FQ1 1998</stp>
        <stp>[FA1_ftkzu3fn.xlsx]Per Share!R15C35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15" s="5"/>
      </tp>
      <tp t="s">
        <v>—</v>
        <stp/>
        <stp>##V3_BDHV12</stp>
        <stp>XOM US Equity</stp>
        <stp>NET_CHG_IN_LT_INVEST_DETAILED</stp>
        <stp>FQ1 1992</stp>
        <stp>FQ1 1992</stp>
        <stp>[FA1_ftkzu3fn.xlsx]Cash Flow - Standardized!R19C11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19" s="4"/>
      </tp>
      <tp t="s">
        <v>—</v>
        <stp/>
        <stp>##V3_BDHV12</stp>
        <stp>XOM US Equity</stp>
        <stp>NET_CHG_IN_LT_INVEST_DETAILED</stp>
        <stp>FQ2 1995</stp>
        <stp>FQ2 1995</stp>
        <stp>[FA1_ftkzu3fn.xlsx]Cash Flow - Standardized!R19C24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19" s="4"/>
      </tp>
      <tp t="s">
        <v>—</v>
        <stp/>
        <stp>##V3_BDHV12</stp>
        <stp>XOM US Equity</stp>
        <stp>NET_CHG_IN_LT_INVEST_DETAILED</stp>
        <stp>FQ2 1994</stp>
        <stp>FQ2 1994</stp>
        <stp>[FA1_ftkzu3fn.xlsx]Cash Flow - Standardized!R19C20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19" s="4"/>
      </tp>
      <tp>
        <v>0</v>
        <stp/>
        <stp>##V3_BDHV12</stp>
        <stp>XOM US Equity</stp>
        <stp>NET_CHG_IN_LT_INVEST_DETAILED</stp>
        <stp>FQ3 1997</stp>
        <stp>FQ3 1997</stp>
        <stp>[FA1_ftkzu3fn.xlsx]Cash Flow - Standardized!R19C33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19" s="4"/>
      </tp>
      <tp t="s">
        <v>—</v>
        <stp/>
        <stp>##V3_BDHV12</stp>
        <stp>XOM US Equity</stp>
        <stp>NET_CHG_IN_LT_INVEST_DETAILED</stp>
        <stp>FQ1 1993</stp>
        <stp>FQ1 1993</stp>
        <stp>[FA1_ftkzu3fn.xlsx]Cash Flow - Standardized!R19C15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19" s="4"/>
      </tp>
      <tp t="s">
        <v>—</v>
        <stp/>
        <stp>##V3_BDHV12</stp>
        <stp>XOM US Equity</stp>
        <stp>NET_CHG_IN_LT_INVEST_DETAILED</stp>
        <stp>FQ2 1996</stp>
        <stp>FQ2 1996</stp>
        <stp>[FA1_ftkzu3fn.xlsx]Cash Flow - Standardized!R19C28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19" s="4"/>
      </tp>
      <tp t="s">
        <v>—</v>
        <stp/>
        <stp>##V3_BDHV12</stp>
        <stp>XOM US Equity</stp>
        <stp>NET_CHG_IN_LT_INVEST_DETAILED</stp>
        <stp>FQ1 1994</stp>
        <stp>FQ1 1994</stp>
        <stp>[FA1_ftkzu3fn.xlsx]Cash Flow - Standardized!R19C19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19" s="4"/>
      </tp>
      <tp>
        <v>0.17499999999999999</v>
        <stp/>
        <stp>##V3_BDHV12</stp>
        <stp>XOM US Equity</stp>
        <stp>IS_DIL_EPS_BEF_XO</stp>
        <stp>FQ2 1994</stp>
        <stp>FQ2 1994</stp>
        <stp>[FA1_ftkzu3fn.xlsx]Per Share!R18C20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18" s="5"/>
      </tp>
      <tp>
        <v>0.36499999999999999</v>
        <stp/>
        <stp>##V3_BDHV12</stp>
        <stp>XOM US Equity</stp>
        <stp>IS_DIL_EPS_BEF_XO</stp>
        <stp>FQ3 1997</stp>
        <stp>FQ3 1997</stp>
        <stp>[FA1_ftkzu3fn.xlsx]Per Share!R18C33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18" s="5"/>
      </tp>
      <tp>
        <v>0.27250000000000002</v>
        <stp/>
        <stp>##V3_BDHV12</stp>
        <stp>XOM US Equity</stp>
        <stp>IS_DIL_EPS_BEF_XO</stp>
        <stp>FQ3 1993</stp>
        <stp>FQ3 1993</stp>
        <stp>[FA1_ftkzu3fn.xlsx]Per Share!R18C17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18" s="5"/>
      </tp>
      <tp>
        <v>8.18</v>
        <stp/>
        <stp>##V3_BDHV12</stp>
        <stp>XOM US Equity</stp>
        <stp>CHG_PCT_PERIOD</stp>
        <stp>FQ1 1993</stp>
        <stp>FQ1 1993</stp>
        <stp>[FA1_ftkzu3fn.xlsx]Stock Value!R7C15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7" s="6"/>
      </tp>
      <tp>
        <v>10.520899999999999</v>
        <stp/>
        <stp>##V3_BDHV12</stp>
        <stp>XOM US Equity</stp>
        <stp>CHG_PCT_PERIOD</stp>
        <stp>FQ1 1998</stp>
        <stp>FQ1 1998</stp>
        <stp>[FA1_ftkzu3fn.xlsx]Stock Value!R7C35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7" s="6"/>
      </tp>
      <tp>
        <v>2.3008999999999999</v>
        <stp/>
        <stp>##V3_BDHV12</stp>
        <stp>XOM US Equity</stp>
        <stp>CHG_PCT_PERIOD</stp>
        <stp>FQ3 1995</stp>
        <stp>FQ3 1995</stp>
        <stp>[FA1_ftkzu3fn.xlsx]Stock Value!R7C25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7" s="6"/>
      </tp>
      <tp>
        <v>0.23499999999999999</v>
        <stp/>
        <stp>##V3_BDHV12</stp>
        <stp>XOM US Equity</stp>
        <stp>IS_DIL_EPS_CONT_OPS</stp>
        <stp>FQ1 1993</stp>
        <stp>FQ1 1993</stp>
        <stp>[FA1_ftkzu3fn.xlsx]Income - Adjusted!R35C15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35" s="2"/>
      </tp>
      <tp>
        <v>0.33250000000000002</v>
        <stp/>
        <stp>##V3_BDHV12</stp>
        <stp>XOM US Equity</stp>
        <stp>IS_DIL_EPS_CONT_OPS</stp>
        <stp>FQ1 1995</stp>
        <stp>FQ1 1995</stp>
        <stp>[FA1_ftkzu3fn.xlsx]Income - Adjusted!R35C23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35" s="2"/>
      </tp>
      <tp>
        <v>0.43</v>
        <stp/>
        <stp>##V3_BDHV12</stp>
        <stp>XOM US Equity</stp>
        <stp>IS_DIL_EPS_CONT_OPS</stp>
        <stp>FQ1 1997</stp>
        <stp>FQ1 1997</stp>
        <stp>[FA1_ftkzu3fn.xlsx]Income - Adjusted!R35C31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35" s="2"/>
      </tp>
      <tp>
        <v>0.38250000000000001</v>
        <stp/>
        <stp>##V3_BDHV12</stp>
        <stp>XOM US Equity</stp>
        <stp>IS_DIL_EPS_CONT_OPS</stp>
        <stp>FQ4 1994</stp>
        <stp>FQ4 1994</stp>
        <stp>[FA1_ftkzu3fn.xlsx]Income - Adjusted!R35C22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35" s="2"/>
      </tp>
      <tp>
        <v>0.5</v>
        <stp/>
        <stp>##V3_BDHV12</stp>
        <stp>XOM US Equity</stp>
        <stp>IS_DIL_EPS_CONT_OPS</stp>
        <stp>FQ4 1996</stp>
        <stp>FQ4 1996</stp>
        <stp>[FA1_ftkzu3fn.xlsx]Income - Adjusted!R35C30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35" s="2"/>
      </tp>
      <tp>
        <v>0.3175</v>
        <stp/>
        <stp>##V3_BDHV12</stp>
        <stp>XOM US Equity</stp>
        <stp>IS_DIL_EPS_CONT_OPS</stp>
        <stp>FQ4 1992</stp>
        <stp>FQ4 1992</stp>
        <stp>[FA1_ftkzu3fn.xlsx]Income - Adjusted!R35C14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35" s="2"/>
      </tp>
      <tp>
        <v>4893.5834999999997</v>
        <stp/>
        <stp>##V3_BDHV12</stp>
        <stp>XOM US Equity</stp>
        <stp>BS_SH_OUT</stp>
        <stp>FQ1 1998</stp>
        <stp>FQ1 1998</stp>
        <stp>[FA1_ftkzu3fn.xlsx]Bal Sheet - Standardized!R49C35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49" s="3"/>
      </tp>
      <tp>
        <v>4876.8140000000003</v>
        <stp/>
        <stp>##V3_BDHV12</stp>
        <stp>XOM US Equity</stp>
        <stp>BS_SH_OUT</stp>
        <stp>FQ2 1998</stp>
        <stp>FQ2 1998</stp>
        <stp>[FA1_ftkzu3fn.xlsx]Bal Sheet - Standardized!R49C36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49" s="3"/>
      </tp>
      <tp>
        <v>4967.1239999999998</v>
        <stp/>
        <stp>##V3_BDHV12</stp>
        <stp>XOM US Equity</stp>
        <stp>BS_SH_OUT</stp>
        <stp>FQ3 1996</stp>
        <stp>FQ3 1996</stp>
        <stp>[FA1_ftkzu3fn.xlsx]Bal Sheet - Standardized!R49C29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49" s="3"/>
      </tp>
      <tp>
        <v>4967.3999000000003</v>
        <stp/>
        <stp>##V3_BDHV12</stp>
        <stp>XOM US Equity</stp>
        <stp>BS_SH_OUT</stp>
        <stp>FQ2 1996</stp>
        <stp>FQ2 1996</stp>
        <stp>[FA1_ftkzu3fn.xlsx]Bal Sheet - Standardized!R49C28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49" s="3"/>
      </tp>
      <tp>
        <v>4968</v>
        <stp/>
        <stp>##V3_BDHV12</stp>
        <stp>XOM US Equity</stp>
        <stp>BS_SH_OUT</stp>
        <stp>FQ1 1994</stp>
        <stp>FQ1 1994</stp>
        <stp>[FA1_ftkzu3fn.xlsx]Bal Sheet - Standardized!R49C19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49" s="3"/>
      </tp>
      <tp>
        <v>84</v>
        <stp/>
        <stp>##V3_BDHV12</stp>
        <stp>XOM US Equity</stp>
        <stp>MIN_NONCONTROL_INTEREST_CREDITS</stp>
        <stp>FQ3 1995</stp>
        <stp>FQ3 1995</stp>
        <stp>[FA1_ftkzu3fn.xlsx]Income - Adjusted!R19C25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Y19" s="2"/>
      </tp>
      <tp>
        <v>57</v>
        <stp/>
        <stp>##V3_BDHV12</stp>
        <stp>XOM US Equity</stp>
        <stp>MIN_NONCONTROL_INTEREST_CREDITS</stp>
        <stp>FQ2 1992</stp>
        <stp>FQ2 1992</stp>
        <stp>[FA1_ftkzu3fn.xlsx]Income - Adjusted!R19C12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L19" s="2"/>
      </tp>
      <tp>
        <v>9.5</v>
        <stp/>
        <stp>##V3_BDHV12</stp>
        <stp>XOM US Equity</stp>
        <stp>IS_TOT_CASH_PFD_DVD</stp>
        <stp>FQ4 1995</stp>
        <stp>FQ4 1995</stp>
        <stp>[FA1_ftkzu3fn.xlsx]Income - Adjusted!R21C26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21" s="2"/>
      </tp>
      <tp>
        <v>13.5</v>
        <stp/>
        <stp>##V3_BDHV12</stp>
        <stp>XOM US Equity</stp>
        <stp>IS_TOT_CASH_PFD_DVD</stp>
        <stp>FQ1 1993</stp>
        <stp>FQ1 1993</stp>
        <stp>[FA1_ftkzu3fn.xlsx]Income - Adjusted!R21C15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21" s="2"/>
      </tp>
      <tp>
        <v>894</v>
        <stp/>
        <stp>##V3_BDHV12</stp>
        <stp>XOM US Equity</stp>
        <stp>IS_TOT_CASH_COM_DVD</stp>
        <stp>FQ1 1993</stp>
        <stp>FQ1 1993</stp>
        <stp>[FA1_ftkzu3fn.xlsx]Income - Adjusted!R47C15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47" s="2"/>
      </tp>
      <tp>
        <v>6757</v>
        <stp/>
        <stp>##V3_BDHV12</stp>
        <stp>XOM US Equity</stp>
        <stp>NET_DEBT</stp>
        <stp>FQ3 1996</stp>
        <stp>FQ3 1996</stp>
        <stp>[FA1_ftkzu3fn.xlsx]Bal Sheet - Standardized!R51C29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51" s="3"/>
      </tp>
      <tp>
        <v>6774</v>
        <stp/>
        <stp>##V3_BDHV12</stp>
        <stp>XOM US Equity</stp>
        <stp>NET_DEBT</stp>
        <stp>FQ2 1998</stp>
        <stp>FQ2 1998</stp>
        <stp>[FA1_ftkzu3fn.xlsx]Bal Sheet - Standardized!R51C36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51" s="3"/>
      </tp>
      <tp>
        <v>1632</v>
        <stp/>
        <stp>##V3_BDHV12</stp>
        <stp>XOM US Equity</stp>
        <stp>NI_INCLUDING_MINORITY_INT_RATIO</stp>
        <stp>FQ3 1996</stp>
        <stp>FQ3 1996</stp>
        <stp>[FA1_ftkzu3fn.xlsx]Income - Adjusted!R18C29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C18" s="2"/>
      </tp>
      <tp>
        <v>924.5</v>
        <stp/>
        <stp>##V3_BDHV12</stp>
        <stp>XOM US Equity</stp>
        <stp>IS_TOT_CASH_COM_DVD</stp>
        <stp>FQ4 1995</stp>
        <stp>FQ4 1995</stp>
        <stp>[FA1_ftkzu3fn.xlsx]Income - Adjusted!R47C26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47" s="2"/>
      </tp>
      <tp>
        <v>21.5</v>
        <stp/>
        <stp>##V3_BDHV12</stp>
        <stp>XOM US Equity</stp>
        <stp>PX_HIGH</stp>
        <stp>FQ1 1996</stp>
        <stp>FQ1 1996</stp>
        <stp>[FA1_ftkzu3fn.xlsx]Stock Value!R9C27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9" s="6"/>
      </tp>
      <tp>
        <v>10706</v>
        <stp/>
        <stp>##V3_BDHV12</stp>
        <stp>XOM US Equity</stp>
        <stp>NET_DEBT</stp>
        <stp>FQ3 1994</stp>
        <stp>FQ3 1994</stp>
        <stp>[FA1_ftkzu3fn.xlsx]Bal Sheet - Standardized!R51C21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51" s="3"/>
      </tp>
      <tp>
        <v>16.718800000000002</v>
        <stp/>
        <stp>##V3_BDHV12</stp>
        <stp>XOM US Equity</stp>
        <stp>PX_HIGH</stp>
        <stp>FQ3 1993</stp>
        <stp>FQ3 1993</stp>
        <stp>[FA1_ftkzu3fn.xlsx]Stock Value!R9C17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9" s="6"/>
      </tp>
      <tp>
        <v>4942</v>
        <stp/>
        <stp>##V3_BDHV12</stp>
        <stp>XOM US Equity</stp>
        <stp>NET_DEBT</stp>
        <stp>FQ2 1997</stp>
        <stp>FQ2 1997</stp>
        <stp>[FA1_ftkzu3fn.xlsx]Bal Sheet - Standardized!R51C32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51" s="3"/>
      </tp>
      <tp>
        <v>17.656300000000002</v>
        <stp/>
        <stp>##V3_BDHV12</stp>
        <stp>XOM US Equity</stp>
        <stp>PX_OPEN</stp>
        <stp>FQ3 1995</stp>
        <stp>FQ3 1995</stp>
        <stp>[FA1_ftkzu3fn.xlsx]Stock Value!R8C25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8" s="6"/>
      </tp>
      <tp>
        <v>8375</v>
        <stp/>
        <stp>##V3_BDHV12</stp>
        <stp>XOM US Equity</stp>
        <stp>NET_DEBT</stp>
        <stp>FQ3 1995</stp>
        <stp>FQ3 1995</stp>
        <stp>[FA1_ftkzu3fn.xlsx]Bal Sheet - Standardized!R51C25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51" s="3"/>
      </tp>
      <tp>
        <v>15.3125</v>
        <stp/>
        <stp>##V3_BDHV12</stp>
        <stp>XOM US Equity</stp>
        <stp>PX_OPEN</stp>
        <stp>FQ1 1993</stp>
        <stp>FQ1 1993</stp>
        <stp>[FA1_ftkzu3fn.xlsx]Stock Value!R8C15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8" s="6"/>
      </tp>
      <tp>
        <v>30.531300000000002</v>
        <stp/>
        <stp>##V3_BDHV12</stp>
        <stp>XOM US Equity</stp>
        <stp>PX_OPEN</stp>
        <stp>FQ1 1998</stp>
        <stp>FQ1 1998</stp>
        <stp>[FA1_ftkzu3fn.xlsx]Stock Value!R8C35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8" s="6"/>
      </tp>
      <tp>
        <v>101000</v>
        <stp/>
        <stp>##V3_BDHV12</stp>
        <stp>XOM US Equity</stp>
        <stp>NUM_OF_EMPLOYEES</stp>
        <stp>FQ4 1991</stp>
        <stp>FQ4 1991</stp>
        <stp>[FA1_ftkzu3fn.xlsx]Bal Sheet - Standardized!R55C10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55" s="3"/>
      </tp>
      <tp t="s">
        <v>—</v>
        <stp/>
        <stp>##V3_BDHV12</stp>
        <stp>XOM US Equity</stp>
        <stp>NET_CHG_IN_LT_INVEST_DETAILED</stp>
        <stp>FQ3 1995</stp>
        <stp>FQ3 1995</stp>
        <stp>[FA1_ftkzu3fn.xlsx]Cash Flow - Standardized!R19C25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19" s="4"/>
      </tp>
      <tp t="s">
        <v>—</v>
        <stp/>
        <stp>##V3_BDHV12</stp>
        <stp>XOM US Equity</stp>
        <stp>NET_CHG_IN_LT_INVEST_DETAILED</stp>
        <stp>FQ3 1994</stp>
        <stp>FQ3 1994</stp>
        <stp>[FA1_ftkzu3fn.xlsx]Cash Flow - Standardized!R19C21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19" s="4"/>
      </tp>
      <tp>
        <v>0</v>
        <stp/>
        <stp>##V3_BDHV12</stp>
        <stp>XOM US Equity</stp>
        <stp>NET_CHG_IN_LT_INVEST_DETAILED</stp>
        <stp>FQ2 1997</stp>
        <stp>FQ2 1997</stp>
        <stp>[FA1_ftkzu3fn.xlsx]Cash Flow - Standardized!R19C32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19" s="4"/>
      </tp>
      <tp>
        <v>0</v>
        <stp/>
        <stp>##V3_BDHV12</stp>
        <stp>XOM US Equity</stp>
        <stp>NET_CHG_IN_LT_INVEST_DETAILED</stp>
        <stp>FQ2 1998</stp>
        <stp>FQ2 1998</stp>
        <stp>[FA1_ftkzu3fn.xlsx]Cash Flow - Standardized!R19C36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19" s="4"/>
      </tp>
      <tp t="s">
        <v>—</v>
        <stp/>
        <stp>##V3_BDHV12</stp>
        <stp>XOM US Equity</stp>
        <stp>NET_CHG_IN_LT_INVEST_DETAILED</stp>
        <stp>FQ3 1996</stp>
        <stp>FQ3 1996</stp>
        <stp>[FA1_ftkzu3fn.xlsx]Cash Flow - Standardized!R19C29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19" s="4"/>
      </tp>
      <tp>
        <v>-4.3052999999999999</v>
        <stp/>
        <stp>##V3_BDHV12</stp>
        <stp>XOM US Equity</stp>
        <stp>CHG_PCT_PERIOD</stp>
        <stp>FQ4 1992</stp>
        <stp>FQ4 1992</stp>
        <stp>[FA1_ftkzu3fn.xlsx]Stock Value!R7C14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7" s="6"/>
      </tp>
      <tp>
        <v>-4.4878</v>
        <stp/>
        <stp>##V3_BDHV12</stp>
        <stp>XOM US Equity</stp>
        <stp>CHG_PCT_PERIOD</stp>
        <stp>FQ4 1997</stp>
        <stp>FQ4 1997</stp>
        <stp>[FA1_ftkzu3fn.xlsx]Stock Value!R7C34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7" s="6"/>
      </tp>
      <tp>
        <v>0.39</v>
        <stp/>
        <stp>##V3_BDHV12</stp>
        <stp>XOM US Equity</stp>
        <stp>IS_DIL_EPS_BEF_XO</stp>
        <stp>FQ2 1997</stp>
        <stp>FQ2 1997</stp>
        <stp>[FA1_ftkzu3fn.xlsx]Per Share!R18C32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18" s="5"/>
      </tp>
      <tp>
        <v>0.245</v>
        <stp/>
        <stp>##V3_BDHV12</stp>
        <stp>XOM US Equity</stp>
        <stp>IS_DIL_EPS_BEF_XO</stp>
        <stp>FQ2 1993</stp>
        <stp>FQ2 1993</stp>
        <stp>[FA1_ftkzu3fn.xlsx]Per Share!R18C16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18" s="5"/>
      </tp>
      <tp>
        <v>0.23</v>
        <stp/>
        <stp>##V3_BDHV12</stp>
        <stp>XOM US Equity</stp>
        <stp>IS_DIL_EPS_BEF_XO</stp>
        <stp>FQ3 1994</stp>
        <stp>FQ3 1994</stp>
        <stp>[FA1_ftkzu3fn.xlsx]Per Share!R18C21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18" s="5"/>
      </tp>
      <tp>
        <v>6.0038</v>
        <stp/>
        <stp>##V3_BDHV12</stp>
        <stp>XOM US Equity</stp>
        <stp>CHG_PCT_PERIOD</stp>
        <stp>FQ2 1995</stp>
        <stp>FQ2 1995</stp>
        <stp>[FA1_ftkzu3fn.xlsx]Stock Value!R7C24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7" s="6"/>
      </tp>
      <tp>
        <v>44739</v>
        <stp/>
        <stp>##V3_BDHV12</stp>
        <stp>XOM US Equity</stp>
        <stp>OTHER_INS_RES_TO_SHRHLDR_EQY</stp>
        <stp>FQ2 1990</stp>
        <stp>FQ2 1990</stp>
        <stp>[FA1_ftkzu3fn.xlsx]Bal Sheet - Standardized!R41C4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41" s="3"/>
      </tp>
      <tp>
        <v>45838</v>
        <stp/>
        <stp>##V3_BDHV12</stp>
        <stp>XOM US Equity</stp>
        <stp>OTHER_INS_RES_TO_SHRHLDR_EQY</stp>
        <stp>FQ3 1990</stp>
        <stp>FQ3 1990</stp>
        <stp>[FA1_ftkzu3fn.xlsx]Bal Sheet - Standardized!R41C5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41" s="3"/>
      </tp>
      <tp>
        <v>45837</v>
        <stp/>
        <stp>##V3_BDHV12</stp>
        <stp>XOM US Equity</stp>
        <stp>OTHER_INS_RES_TO_SHRHLDR_EQY</stp>
        <stp>FQ1 1991</stp>
        <stp>FQ1 1991</stp>
        <stp>[FA1_ftkzu3fn.xlsx]Bal Sheet - Standardized!R41C7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41" s="3"/>
      </tp>
      <tp>
        <v>17</v>
        <stp/>
        <stp>##V3_BDHV12</stp>
        <stp>XOM US Equity</stp>
        <stp>IS_TOT_CASH_PFD_DVD</stp>
        <stp>FQ4 1991</stp>
        <stp>FQ4 1991</stp>
        <stp>[FA1_ftkzu3fn.xlsx]Income - Adjusted!R21C10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21" s="2"/>
      </tp>
      <tp>
        <v>9.5</v>
        <stp/>
        <stp>##V3_BDHV12</stp>
        <stp>XOM US Equity</stp>
        <stp>IS_TOT_CASH_PFD_DVD</stp>
        <stp>FQ3 1995</stp>
        <stp>FQ3 1995</stp>
        <stp>[FA1_ftkzu3fn.xlsx]Income - Adjusted!R21C25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21" s="2"/>
      </tp>
      <tp>
        <v>1563.25</v>
        <stp/>
        <stp>##V3_BDHV12</stp>
        <stp>XOM US Equity</stp>
        <stp>EARN_FOR_COMMON</stp>
        <stp>FQ2 1996</stp>
        <stp>FQ2 1996</stp>
        <stp>[FA1_ftkzu3fn.xlsx]Income - Adjusted!R22C28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B22" s="2"/>
      </tp>
      <tp>
        <v>1617.5</v>
        <stp/>
        <stp>##V3_BDHV12</stp>
        <stp>XOM US Equity</stp>
        <stp>EARN_FOR_COMMON</stp>
        <stp>FQ2 1998</stp>
        <stp>FQ2 1998</stp>
        <stp>[FA1_ftkzu3fn.xlsx]Income - Adjusted!R22C36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J22" s="2"/>
      </tp>
      <tp>
        <v>11.5</v>
        <stp/>
        <stp>##V3_BDHV12</stp>
        <stp>XOM US Equity</stp>
        <stp>IS_TOT_CASH_PFD_DVD</stp>
        <stp>FQ2 1994</stp>
        <stp>FQ2 1994</stp>
        <stp>[FA1_ftkzu3fn.xlsx]Income - Adjusted!R21C20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21" s="2"/>
      </tp>
      <tp>
        <v>11.5</v>
        <stp/>
        <stp>##V3_BDHV12</stp>
        <stp>XOM US Equity</stp>
        <stp>IS_TOT_CASH_PFD_DVD</stp>
        <stp>FQ1 1994</stp>
        <stp>FQ1 1994</stp>
        <stp>[FA1_ftkzu3fn.xlsx]Income - Adjusted!R21C19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21" s="2"/>
      </tp>
      <tp>
        <v>894.5</v>
        <stp/>
        <stp>##V3_BDHV12</stp>
        <stp>XOM US Equity</stp>
        <stp>IS_TOT_CASH_COM_DVD</stp>
        <stp>FQ2 1994</stp>
        <stp>FQ2 1994</stp>
        <stp>[FA1_ftkzu3fn.xlsx]Income - Adjusted!R47C20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47" s="2"/>
      </tp>
      <tp>
        <v>928.5</v>
        <stp/>
        <stp>##V3_BDHV12</stp>
        <stp>XOM US Equity</stp>
        <stp>IS_TOT_CASH_COM_DVD</stp>
        <stp>FQ3 1995</stp>
        <stp>FQ3 1995</stp>
        <stp>[FA1_ftkzu3fn.xlsx]Income - Adjusted!R47C25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47" s="2"/>
      </tp>
      <tp>
        <v>832</v>
        <stp/>
        <stp>##V3_BDHV12</stp>
        <stp>XOM US Equity</stp>
        <stp>IS_TOT_CASH_COM_DVD</stp>
        <stp>FQ4 1991</stp>
        <stp>FQ4 1991</stp>
        <stp>[FA1_ftkzu3fn.xlsx]Income - Adjusted!R47C10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47" s="2"/>
      </tp>
      <tp>
        <v>14.4063</v>
        <stp/>
        <stp>##V3_BDHV12</stp>
        <stp>XOM US Equity</stp>
        <stp>PX_OPEN</stp>
        <stp>FQ4 1994</stp>
        <stp>FQ4 1994</stp>
        <stp>[FA1_ftkzu3fn.xlsx]Stock Value!R8C22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8" s="6"/>
      </tp>
      <tp>
        <v>894.5</v>
        <stp/>
        <stp>##V3_BDHV12</stp>
        <stp>XOM US Equity</stp>
        <stp>IS_TOT_CASH_COM_DVD</stp>
        <stp>FQ1 1994</stp>
        <stp>FQ1 1994</stp>
        <stp>[FA1_ftkzu3fn.xlsx]Income - Adjusted!R47C19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47" s="2"/>
      </tp>
      <tp>
        <v>8236</v>
        <stp/>
        <stp>##V3_BDHV12</stp>
        <stp>XOM US Equity</stp>
        <stp>NET_DEBT</stp>
        <stp>FQ4 1995</stp>
        <stp>FQ4 1995</stp>
        <stp>[FA1_ftkzu3fn.xlsx]Bal Sheet - Standardized!R51C26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51" s="3"/>
      </tp>
      <tp>
        <v>15.9063</v>
        <stp/>
        <stp>##V3_BDHV12</stp>
        <stp>XOM US Equity</stp>
        <stp>PX_HIGH</stp>
        <stp>FQ2 1994</stp>
        <stp>FQ2 1994</stp>
        <stp>[FA1_ftkzu3fn.xlsx]Stock Value!R9C20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9" s="6"/>
      </tp>
      <tp>
        <v>13.625</v>
        <stp/>
        <stp>##V3_BDHV12</stp>
        <stp>XOM US Equity</stp>
        <stp>PX_OPEN</stp>
        <stp>FQ2 1992</stp>
        <stp>FQ2 1992</stp>
        <stp>[FA1_ftkzu3fn.xlsx]Stock Value!R8C12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8" s="6"/>
      </tp>
      <tp>
        <v>26.75</v>
        <stp/>
        <stp>##V3_BDHV12</stp>
        <stp>XOM US Equity</stp>
        <stp>PX_OPEN</stp>
        <stp>FQ2 1997</stp>
        <stp>FQ2 1997</stp>
        <stp>[FA1_ftkzu3fn.xlsx]Stock Value!R8C32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8" s="6"/>
      </tp>
      <tp>
        <v>15.4688</v>
        <stp/>
        <stp>##V3_BDHV12</stp>
        <stp>XOM US Equity</stp>
        <stp>PX_HIGH</stp>
        <stp>FQ4 1991</stp>
        <stp>FQ4 1991</stp>
        <stp>[FA1_ftkzu3fn.xlsx]Stock Value!R9C10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9" s="6"/>
      </tp>
      <tp>
        <v>25.3125</v>
        <stp/>
        <stp>##V3_BDHV12</stp>
        <stp>XOM US Equity</stp>
        <stp>PX_HIGH</stp>
        <stp>FQ4 1996</stp>
        <stp>FQ4 1996</stp>
        <stp>[FA1_ftkzu3fn.xlsx]Stock Value!R9C30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9" s="6"/>
      </tp>
      <tp>
        <v>10914</v>
        <stp/>
        <stp>##V3_BDHV12</stp>
        <stp>XOM US Equity</stp>
        <stp>NET_DEBT</stp>
        <stp>FQ4 1994</stp>
        <stp>FQ4 1994</stp>
        <stp>[FA1_ftkzu3fn.xlsx]Bal Sheet - Standardized!R51C22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51" s="3"/>
      </tp>
      <tp>
        <v>2222</v>
        <stp/>
        <stp>##V3_BDHV12</stp>
        <stp>XOM US Equity</stp>
        <stp>EARN_FOR_COMMON</stp>
        <stp>FQ1 1991</stp>
        <stp>FQ1 1991</stp>
        <stp>[FA1_ftkzu3fn.xlsx]Income - Adjusted!R24C7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G24" s="2"/>
      </tp>
      <tp t="s">
        <v>—</v>
        <stp/>
        <stp>##V3_BDHV12</stp>
        <stp>XOM US Equity</stp>
        <stp>CHG_IN_FXD_&amp;_INTANG_AST_DETAILED</stp>
        <stp>FQ1 1991</stp>
        <stp>FQ1 1991</stp>
        <stp>[FA1_ftkzu3fn.xlsx]Cash Flow - Standardized!R16C7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6" s="4"/>
      </tp>
      <tp t="s">
        <v>—</v>
        <stp/>
        <stp>##V3_BDHV12</stp>
        <stp>XOM US Equity</stp>
        <stp>CHG_IN_FXD_&amp;_INTANG_AST_DETAILED</stp>
        <stp>FQ3 1990</stp>
        <stp>FQ3 1990</stp>
        <stp>[FA1_ftkzu3fn.xlsx]Cash Flow - Standardized!R16C5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6" s="4"/>
      </tp>
      <tp t="s">
        <v>—</v>
        <stp/>
        <stp>##V3_BDHV12</stp>
        <stp>XOM US Equity</stp>
        <stp>CHG_IN_FXD_&amp;_INTANG_AST_DETAILED</stp>
        <stp>FQ2 1990</stp>
        <stp>FQ2 1990</stp>
        <stp>[FA1_ftkzu3fn.xlsx]Cash Flow - Standardized!R16C4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6" s="4"/>
      </tp>
      <tp t="s">
        <v>—</v>
        <stp/>
        <stp>##V3_BDHV12</stp>
        <stp>XOM US Equity</stp>
        <stp>CHG_IN_FXD_&amp;_INTANG_AST_DETAILED</stp>
        <stp>FQ4 1990</stp>
        <stp>FQ4 1990</stp>
        <stp>[FA1_ftkzu3fn.xlsx]Cash Flow - Standardized!R16C6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6" s="4"/>
      </tp>
      <tp t="s">
        <v>—</v>
        <stp/>
        <stp>##V3_BDHV12</stp>
        <stp>XOM US Equity</stp>
        <stp>CHG_IN_FXD_&amp;_INTANG_AST_DETAILED</stp>
        <stp>FQ1 1990</stp>
        <stp>FQ1 1990</stp>
        <stp>[FA1_ftkzu3fn.xlsx]Cash Flow - Standardized!R16C3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6" s="4"/>
      </tp>
      <tp t="s">
        <v>—</v>
        <stp/>
        <stp>##V3_BDHV12</stp>
        <stp>XOM US Equity</stp>
        <stp>CHG_IN_FXD_&amp;_INTANG_AST_DETAILED</stp>
        <stp>FQ2 1991</stp>
        <stp>FQ2 1991</stp>
        <stp>[FA1_ftkzu3fn.xlsx]Cash Flow - Standardized!R16C8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6" s="4"/>
      </tp>
      <tp t="s">
        <v>—</v>
        <stp/>
        <stp>##V3_BDHV12</stp>
        <stp>XOM US Equity</stp>
        <stp>CHG_IN_FXD_&amp;_INTANG_AST_DETAILED</stp>
        <stp>FQ3 1991</stp>
        <stp>FQ3 1991</stp>
        <stp>[FA1_ftkzu3fn.xlsx]Cash Flow - Standardized!R16C9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6" s="4"/>
      </tp>
      <tp>
        <v>0.3</v>
        <stp/>
        <stp>##V3_BDHV12</stp>
        <stp>XOM US Equity</stp>
        <stp>IS_EARN_BEF_XO_ITEMS_PER_SH</stp>
        <stp>FQ4 1993</stp>
        <stp>FQ4 1993</stp>
        <stp>[FA1_ftkzu3fn.xlsx]Per Share!R15C18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15" s="5"/>
      </tp>
      <tp t="s">
        <v>—</v>
        <stp/>
        <stp>##V3_BDHV12</stp>
        <stp>XOM US Equity</stp>
        <stp>NUM_OF_EMPLOYEES</stp>
        <stp>FQ4 1996</stp>
        <stp>FQ4 1996</stp>
        <stp>[FA1_ftkzu3fn.xlsx]Bal Sheet - Standardized!R55C30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55" s="3"/>
      </tp>
      <tp t="s">
        <v>—</v>
        <stp/>
        <stp>##V3_BDHV12</stp>
        <stp>XOM US Equity</stp>
        <stp>NUM_OF_EMPLOYEES</stp>
        <stp>FQ4 1994</stp>
        <stp>FQ4 1994</stp>
        <stp>[FA1_ftkzu3fn.xlsx]Bal Sheet - Standardized!R55C22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55" s="3"/>
      </tp>
      <tp>
        <v>95000</v>
        <stp/>
        <stp>##V3_BDHV12</stp>
        <stp>XOM US Equity</stp>
        <stp>NUM_OF_EMPLOYEES</stp>
        <stp>FQ4 1992</stp>
        <stp>FQ4 1992</stp>
        <stp>[FA1_ftkzu3fn.xlsx]Bal Sheet - Standardized!R55C14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55" s="3"/>
      </tp>
      <tp t="s">
        <v>—</v>
        <stp/>
        <stp>##V3_BDHV12</stp>
        <stp>XOM US Equity</stp>
        <stp>NUM_OF_EMPLOYEES</stp>
        <stp>FQ3 1992</stp>
        <stp>FQ3 1992</stp>
        <stp>[FA1_ftkzu3fn.xlsx]Bal Sheet - Standardized!R55C13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55" s="3"/>
      </tp>
      <tp t="s">
        <v>—</v>
        <stp/>
        <stp>##V3_BDHV12</stp>
        <stp>XOM US Equity</stp>
        <stp>NUM_OF_EMPLOYEES</stp>
        <stp>FQ2 1992</stp>
        <stp>FQ2 1992</stp>
        <stp>[FA1_ftkzu3fn.xlsx]Bal Sheet - Standardized!R55C12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55" s="3"/>
      </tp>
      <tp t="s">
        <v>—</v>
        <stp/>
        <stp>##V3_BDHV12</stp>
        <stp>XOM US Equity</stp>
        <stp>NUM_OF_EMPLOYEES</stp>
        <stp>FQ1 1992</stp>
        <stp>FQ1 1992</stp>
        <stp>[FA1_ftkzu3fn.xlsx]Bal Sheet - Standardized!R55C11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55" s="3"/>
      </tp>
      <tp t="s">
        <v>—</v>
        <stp/>
        <stp>##V3_BDHV12</stp>
        <stp>XOM US Equity</stp>
        <stp>NET_CHG_IN_LT_INVEST_DETAILED</stp>
        <stp>FQ4 1994</stp>
        <stp>FQ4 1994</stp>
        <stp>[FA1_ftkzu3fn.xlsx]Cash Flow - Standardized!R19C22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19" s="4"/>
      </tp>
      <tp t="s">
        <v>—</v>
        <stp/>
        <stp>##V3_BDHV12</stp>
        <stp>XOM US Equity</stp>
        <stp>NET_CHG_IN_LT_INVEST_DETAILED</stp>
        <stp>FQ4 1995</stp>
        <stp>FQ4 1995</stp>
        <stp>[FA1_ftkzu3fn.xlsx]Cash Flow - Standardized!R19C26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19" s="4"/>
      </tp>
      <tp>
        <v>9.6707999999999998</v>
        <stp/>
        <stp>##V3_BDHV12</stp>
        <stp>XOM US Equity</stp>
        <stp>CHG_PCT_PERIOD</stp>
        <stp>FQ1 1995</stp>
        <stp>FQ1 1995</stp>
        <stp>[FA1_ftkzu3fn.xlsx]Stock Value!R7C23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7" s="6"/>
      </tp>
      <tp>
        <v>4.5918000000000001</v>
        <stp/>
        <stp>##V3_BDHV12</stp>
        <stp>XOM US Equity</stp>
        <stp>CHG_PCT_PERIOD</stp>
        <stp>FQ3 1997</stp>
        <stp>FQ3 1997</stp>
        <stp>[FA1_ftkzu3fn.xlsx]Stock Value!R7C33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7" s="6"/>
      </tp>
      <tp>
        <v>3.2323</v>
        <stp/>
        <stp>##V3_BDHV12</stp>
        <stp>XOM US Equity</stp>
        <stp>CHG_PCT_PERIOD</stp>
        <stp>FQ3 1992</stp>
        <stp>FQ3 1992</stp>
        <stp>[FA1_ftkzu3fn.xlsx]Stock Value!R7C13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7" s="6"/>
      </tp>
      <tp>
        <v>0.3</v>
        <stp/>
        <stp>##V3_BDHV12</stp>
        <stp>XOM US Equity</stp>
        <stp>IS_DIL_EPS_CONT_OPS</stp>
        <stp>FQ3 1995</stp>
        <stp>FQ3 1995</stp>
        <stp>[FA1_ftkzu3fn.xlsx]Income - Adjusted!R35C25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35" s="2"/>
      </tp>
      <tp>
        <v>0.19</v>
        <stp/>
        <stp>##V3_BDHV12</stp>
        <stp>XOM US Equity</stp>
        <stp>IS_DIL_EPS_CONT_OPS</stp>
        <stp>FQ2 1992</stp>
        <stp>FQ2 1992</stp>
        <stp>[FA1_ftkzu3fn.xlsx]Income - Adjusted!R35C12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35" s="2"/>
      </tp>
      <tp>
        <v>44</v>
        <stp/>
        <stp>##V3_BDHV12</stp>
        <stp>XOM US Equity</stp>
        <stp>MIN_NONCONTROL_INTEREST_CREDITS</stp>
        <stp>FQ4 1994</stp>
        <stp>FQ4 1994</stp>
        <stp>[FA1_ftkzu3fn.xlsx]Income - Adjusted!R19C22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V19" s="2"/>
      </tp>
      <tp>
        <v>93</v>
        <stp/>
        <stp>##V3_BDHV12</stp>
        <stp>XOM US Equity</stp>
        <stp>MIN_NONCONTROL_INTEREST_CREDITS</stp>
        <stp>FQ4 1996</stp>
        <stp>FQ4 1996</stp>
        <stp>[FA1_ftkzu3fn.xlsx]Income - Adjusted!R19C30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D19" s="2"/>
      </tp>
      <tp>
        <v>48</v>
        <stp/>
        <stp>##V3_BDHV12</stp>
        <stp>XOM US Equity</stp>
        <stp>MIN_NONCONTROL_INTEREST_CREDITS</stp>
        <stp>FQ4 1992</stp>
        <stp>FQ4 1992</stp>
        <stp>[FA1_ftkzu3fn.xlsx]Income - Adjusted!R19C14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N19" s="2"/>
      </tp>
      <tp>
        <v>65</v>
        <stp/>
        <stp>##V3_BDHV12</stp>
        <stp>XOM US Equity</stp>
        <stp>MIN_NONCONTROL_INTEREST_CREDITS</stp>
        <stp>FQ1 1993</stp>
        <stp>FQ1 1993</stp>
        <stp>[FA1_ftkzu3fn.xlsx]Income - Adjusted!R19C15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O19" s="2"/>
      </tp>
      <tp>
        <v>74</v>
        <stp/>
        <stp>##V3_BDHV12</stp>
        <stp>XOM US Equity</stp>
        <stp>MIN_NONCONTROL_INTEREST_CREDITS</stp>
        <stp>FQ1 1995</stp>
        <stp>FQ1 1995</stp>
        <stp>[FA1_ftkzu3fn.xlsx]Income - Adjusted!R19C23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W19" s="2"/>
      </tp>
      <tp>
        <v>99</v>
        <stp/>
        <stp>##V3_BDHV12</stp>
        <stp>XOM US Equity</stp>
        <stp>MIN_NONCONTROL_INTEREST_CREDITS</stp>
        <stp>FQ1 1997</stp>
        <stp>FQ1 1997</stp>
        <stp>[FA1_ftkzu3fn.xlsx]Income - Adjusted!R19C31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E19" s="2"/>
      </tp>
      <tp>
        <v>9.5</v>
        <stp/>
        <stp>##V3_BDHV12</stp>
        <stp>XOM US Equity</stp>
        <stp>IS_TOT_CASH_PFD_DVD</stp>
        <stp>FQ2 1995</stp>
        <stp>FQ2 1995</stp>
        <stp>[FA1_ftkzu3fn.xlsx]Income - Adjusted!R21C24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21" s="2"/>
      </tp>
      <tp>
        <v>6.75</v>
        <stp/>
        <stp>##V3_BDHV12</stp>
        <stp>XOM US Equity</stp>
        <stp>IS_TOT_CASH_PFD_DVD</stp>
        <stp>FQ1 1996</stp>
        <stp>FQ1 1996</stp>
        <stp>[FA1_ftkzu3fn.xlsx]Income - Adjusted!R21C27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21" s="2"/>
      </tp>
      <tp>
        <v>1553.25</v>
        <stp/>
        <stp>##V3_BDHV12</stp>
        <stp>XOM US Equity</stp>
        <stp>EARN_FOR_COMMON</stp>
        <stp>FQ3 1996</stp>
        <stp>FQ3 1996</stp>
        <stp>[FA1_ftkzu3fn.xlsx]Income - Adjusted!R22C29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C22" s="2"/>
      </tp>
      <tp>
        <v>4.25</v>
        <stp/>
        <stp>##V3_BDHV12</stp>
        <stp>XOM US Equity</stp>
        <stp>IS_TOT_CASH_PFD_DVD</stp>
        <stp>FQ1 1997</stp>
        <stp>FQ1 1997</stp>
        <stp>[FA1_ftkzu3fn.xlsx]Income - Adjusted!R21C31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21" s="2"/>
      </tp>
      <tp>
        <v>11.5</v>
        <stp/>
        <stp>##V3_BDHV12</stp>
        <stp>XOM US Equity</stp>
        <stp>IS_TOT_CASH_PFD_DVD</stp>
        <stp>FQ3 1994</stp>
        <stp>FQ3 1994</stp>
        <stp>[FA1_ftkzu3fn.xlsx]Income - Adjusted!R21C21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21" s="2"/>
      </tp>
      <tp>
        <v>979.25</v>
        <stp/>
        <stp>##V3_BDHV12</stp>
        <stp>XOM US Equity</stp>
        <stp>IS_TOT_CASH_COM_DVD</stp>
        <stp>FQ1 1997</stp>
        <stp>FQ1 1997</stp>
        <stp>[FA1_ftkzu3fn.xlsx]Income - Adjusted!R47C31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47" s="2"/>
      </tp>
      <tp>
        <v>893.5</v>
        <stp/>
        <stp>##V3_BDHV12</stp>
        <stp>XOM US Equity</stp>
        <stp>IS_TOT_CASH_COM_DVD</stp>
        <stp>FQ3 1994</stp>
        <stp>FQ3 1994</stp>
        <stp>[FA1_ftkzu3fn.xlsx]Income - Adjusted!R47C21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47" s="2"/>
      </tp>
      <tp>
        <v>930.5</v>
        <stp/>
        <stp>##V3_BDHV12</stp>
        <stp>XOM US Equity</stp>
        <stp>IS_TOT_CASH_COM_DVD</stp>
        <stp>FQ2 1995</stp>
        <stp>FQ2 1995</stp>
        <stp>[FA1_ftkzu3fn.xlsx]Income - Adjusted!R47C24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47" s="2"/>
      </tp>
      <tp>
        <v>930.5</v>
        <stp/>
        <stp>##V3_BDHV12</stp>
        <stp>XOM US Equity</stp>
        <stp>IS_TOT_CASH_COM_DVD</stp>
        <stp>FQ1 1996</stp>
        <stp>FQ1 1996</stp>
        <stp>[FA1_ftkzu3fn.xlsx]Income - Adjusted!R47C27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47" s="2"/>
      </tp>
      <tp>
        <v>27.8125</v>
        <stp/>
        <stp>##V3_BDHV12</stp>
        <stp>XOM US Equity</stp>
        <stp>PX_HIGH</stp>
        <stp>FQ1 1997</stp>
        <stp>FQ1 1997</stp>
        <stp>[FA1_ftkzu3fn.xlsx]Stock Value!R9C31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9" s="6"/>
      </tp>
      <tp>
        <v>15.3125</v>
        <stp/>
        <stp>##V3_BDHV12</stp>
        <stp>XOM US Equity</stp>
        <stp>PX_HIGH</stp>
        <stp>FQ1 1992</stp>
        <stp>FQ1 1992</stp>
        <stp>[FA1_ftkzu3fn.xlsx]Stock Value!R9C11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9" s="6"/>
      </tp>
      <tp>
        <v>15.1563</v>
        <stp/>
        <stp>##V3_BDHV12</stp>
        <stp>XOM US Equity</stp>
        <stp>PX_HIGH</stp>
        <stp>FQ3 1994</stp>
        <stp>FQ3 1994</stp>
        <stp>[FA1_ftkzu3fn.xlsx]Stock Value!R9C21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9" s="6"/>
      </tp>
      <tp>
        <v>5890</v>
        <stp/>
        <stp>##V3_BDHV12</stp>
        <stp>XOM US Equity</stp>
        <stp>NET_DEBT</stp>
        <stp>FQ4 1997</stp>
        <stp>FQ4 1997</stp>
        <stp>[FA1_ftkzu3fn.xlsx]Bal Sheet - Standardized!R51C34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51" s="3"/>
      </tp>
      <tp>
        <v>15.4688</v>
        <stp/>
        <stp>##V3_BDHV12</stp>
        <stp>XOM US Equity</stp>
        <stp>PX_OPEN</stp>
        <stp>FQ3 1992</stp>
        <stp>FQ3 1992</stp>
        <stp>[FA1_ftkzu3fn.xlsx]Stock Value!R8C13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8" s="6"/>
      </tp>
      <tp>
        <v>30.75</v>
        <stp/>
        <stp>##V3_BDHV12</stp>
        <stp>XOM US Equity</stp>
        <stp>PX_OPEN</stp>
        <stp>FQ3 1997</stp>
        <stp>FQ3 1997</stp>
        <stp>[FA1_ftkzu3fn.xlsx]Stock Value!R8C33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8" s="6"/>
      </tp>
      <tp>
        <v>6777</v>
        <stp/>
        <stp>##V3_BDHV12</stp>
        <stp>XOM US Equity</stp>
        <stp>NET_DEBT</stp>
        <stp>FQ4 1996</stp>
        <stp>FQ4 1996</stp>
        <stp>[FA1_ftkzu3fn.xlsx]Bal Sheet - Standardized!R51C30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51" s="3"/>
      </tp>
      <tp>
        <v>15.125</v>
        <stp/>
        <stp>##V3_BDHV12</stp>
        <stp>XOM US Equity</stp>
        <stp>PX_OPEN</stp>
        <stp>FQ1 1995</stp>
        <stp>FQ1 1995</stp>
        <stp>[FA1_ftkzu3fn.xlsx]Stock Value!R8C23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8" s="6"/>
      </tp>
      <tp>
        <v>1081</v>
        <stp/>
        <stp>##V3_BDHV12</stp>
        <stp>XOM US Equity</stp>
        <stp>EARN_FOR_COMMON</stp>
        <stp>FQ2 1990</stp>
        <stp>FQ2 1990</stp>
        <stp>[FA1_ftkzu3fn.xlsx]Income - Adjusted!R24C4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D24" s="2"/>
      </tp>
      <tp>
        <v>1056</v>
        <stp/>
        <stp>##V3_BDHV12</stp>
        <stp>XOM US Equity</stp>
        <stp>EARN_FOR_COMMON</stp>
        <stp>FQ3 1990</stp>
        <stp>FQ3 1990</stp>
        <stp>[FA1_ftkzu3fn.xlsx]Income - Adjusted!R24C5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E24" s="2"/>
      </tp>
      <tp t="s">
        <v>—</v>
        <stp/>
        <stp>##V3_BDHV12</stp>
        <stp>XOM US Equity</stp>
        <stp>CF_FREE_CASH_FLOW_FIRM</stp>
        <stp>FQ2 1991</stp>
        <stp>FQ2 1991</stp>
        <stp>[FA1_ftkzu3fn.xlsx]Cash Flow - Standardized!R41C8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H41" s="4"/>
      </tp>
      <tp t="s">
        <v>—</v>
        <stp/>
        <stp>##V3_BDHV12</stp>
        <stp>XOM US Equity</stp>
        <stp>CF_FREE_CASH_FLOW_FIRM</stp>
        <stp>FQ3 1991</stp>
        <stp>FQ3 1991</stp>
        <stp>[FA1_ftkzu3fn.xlsx]Cash Flow - Standardized!R41C9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I41" s="4"/>
      </tp>
      <tp t="s">
        <v>—</v>
        <stp/>
        <stp>##V3_BDHV12</stp>
        <stp>XOM US Equity</stp>
        <stp>NUM_OF_EMPLOYEES</stp>
        <stp>FQ2 1995</stp>
        <stp>FQ2 1995</stp>
        <stp>[FA1_ftkzu3fn.xlsx]Bal Sheet - Standardized!R55C24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55" s="3"/>
      </tp>
      <tp t="s">
        <v>—</v>
        <stp/>
        <stp>##V3_BDHV12</stp>
        <stp>XOM US Equity</stp>
        <stp>NUM_OF_EMPLOYEES</stp>
        <stp>FQ3 1995</stp>
        <stp>FQ3 1995</stp>
        <stp>[FA1_ftkzu3fn.xlsx]Bal Sheet - Standardized!R55C25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55" s="3"/>
      </tp>
      <tp t="s">
        <v>—</v>
        <stp/>
        <stp>##V3_BDHV12</stp>
        <stp>XOM US Equity</stp>
        <stp>NET_CHG_IN_LT_INVEST_DETAILED</stp>
        <stp>FQ4 1996</stp>
        <stp>FQ4 1996</stp>
        <stp>[FA1_ftkzu3fn.xlsx]Cash Flow - Standardized!R19C30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19" s="4"/>
      </tp>
      <tp>
        <v>0</v>
        <stp/>
        <stp>##V3_BDHV12</stp>
        <stp>XOM US Equity</stp>
        <stp>NET_CHG_IN_LT_INVEST_DETAILED</stp>
        <stp>FQ4 1997</stp>
        <stp>FQ4 1997</stp>
        <stp>[FA1_ftkzu3fn.xlsx]Cash Flow - Standardized!R19C34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19" s="4"/>
      </tp>
      <tp>
        <v>5.6521999999999997</v>
        <stp/>
        <stp>##V3_BDHV12</stp>
        <stp>XOM US Equity</stp>
        <stp>CHG_PCT_PERIOD</stp>
        <stp>FQ4 1994</stp>
        <stp>FQ4 1994</stp>
        <stp>[FA1_ftkzu3fn.xlsx]Stock Value!R7C22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7" s="6"/>
      </tp>
      <tp>
        <v>0.26750000000000002</v>
        <stp/>
        <stp>##V3_BDHV12</stp>
        <stp>XOM US Equity</stp>
        <stp>IS_DIL_EPS_BEF_XO</stp>
        <stp>FQ1 1992</stp>
        <stp>FQ1 1992</stp>
        <stp>[FA1_ftkzu3fn.xlsx]Per Share!R18C11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18" s="5"/>
      </tp>
      <tp>
        <v>0.33750000000000002</v>
        <stp/>
        <stp>##V3_BDHV12</stp>
        <stp>XOM US Equity</stp>
        <stp>IS_DIL_EPS_BEF_XO</stp>
        <stp>FQ4 1995</stp>
        <stp>FQ4 1995</stp>
        <stp>[FA1_ftkzu3fn.xlsx]Per Share!R18C26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18" s="5"/>
      </tp>
      <tp>
        <v>0.505</v>
        <stp/>
        <stp>##V3_BDHV12</stp>
        <stp>XOM US Equity</stp>
        <stp>IS_DIL_EPS_BEF_XO</stp>
        <stp>FQ4 1997</stp>
        <stp>FQ4 1997</stp>
        <stp>[FA1_ftkzu3fn.xlsx]Per Share!R18C34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18" s="5"/>
      </tp>
      <tp>
        <v>13.6891</v>
        <stp/>
        <stp>##V3_BDHV12</stp>
        <stp>XOM US Equity</stp>
        <stp>CHG_PCT_PERIOD</stp>
        <stp>FQ2 1997</stp>
        <stp>FQ2 1997</stp>
        <stp>[FA1_ftkzu3fn.xlsx]Stock Value!R7C32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7" s="6"/>
      </tp>
      <tp>
        <v>13.0137</v>
        <stp/>
        <stp>##V3_BDHV12</stp>
        <stp>XOM US Equity</stp>
        <stp>CHG_PCT_PERIOD</stp>
        <stp>FQ2 1992</stp>
        <stp>FQ2 1992</stp>
        <stp>[FA1_ftkzu3fn.xlsx]Stock Value!R7C12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7" s="6"/>
      </tp>
      <tp>
        <v>0.22500000000000001</v>
        <stp/>
        <stp>##V3_BDHV12</stp>
        <stp>XOM US Equity</stp>
        <stp>IS_DIL_EPS_CONT_OPS</stp>
        <stp>FQ3 1992</stp>
        <stp>FQ3 1992</stp>
        <stp>[FA1_ftkzu3fn.xlsx]Income - Adjusted!R35C13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35" s="2"/>
      </tp>
      <tp>
        <v>0.32500000000000001</v>
        <stp/>
        <stp>##V3_BDHV12</stp>
        <stp>XOM US Equity</stp>
        <stp>IS_DIL_EPS_CONT_OPS</stp>
        <stp>FQ2 1995</stp>
        <stp>FQ2 1995</stp>
        <stp>[FA1_ftkzu3fn.xlsx]Income - Adjusted!R35C24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35" s="2"/>
      </tp>
      <tp>
        <v>0.34749999999999998</v>
        <stp/>
        <stp>##V3_BDHV12</stp>
        <stp>XOM US Equity</stp>
        <stp>IS_DIL_EPS_CONT_OPS</stp>
        <stp>FQ1 1996</stp>
        <stp>FQ1 1996</stp>
        <stp>[FA1_ftkzu3fn.xlsx]Income - Adjusted!R35C27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35" s="2"/>
      </tp>
      <tp>
        <v>0.2225</v>
        <stp/>
        <stp>##V3_BDHV12</stp>
        <stp>XOM US Equity</stp>
        <stp>IS_DIL_EPS_CONT_OPS</stp>
        <stp>FQ4 1991</stp>
        <stp>FQ4 1991</stp>
        <stp>[FA1_ftkzu3fn.xlsx]Income - Adjusted!R35C10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35" s="2"/>
      </tp>
      <tp>
        <v>97</v>
        <stp/>
        <stp>##V3_BDHV12</stp>
        <stp>XOM US Equity</stp>
        <stp>MIN_NONCONTROL_INTEREST_CREDITS</stp>
        <stp>FQ3 1994</stp>
        <stp>FQ3 1994</stp>
        <stp>[FA1_ftkzu3fn.xlsx]Income - Adjusted!R19C21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U19" s="2"/>
      </tp>
      <tp>
        <v>58</v>
        <stp/>
        <stp>##V3_BDHV12</stp>
        <stp>XOM US Equity</stp>
        <stp>MIN_NONCONTROL_INTEREST_CREDITS</stp>
        <stp>FQ2 1993</stp>
        <stp>FQ2 1993</stp>
        <stp>[FA1_ftkzu3fn.xlsx]Income - Adjusted!R19C16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P19" s="2"/>
      </tp>
      <tp>
        <v>98</v>
        <stp/>
        <stp>##V3_BDHV12</stp>
        <stp>XOM US Equity</stp>
        <stp>MIN_NONCONTROL_INTEREST_CREDITS</stp>
        <stp>FQ2 1997</stp>
        <stp>FQ2 1997</stp>
        <stp>[FA1_ftkzu3fn.xlsx]Income - Adjusted!R19C32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F19" s="2"/>
      </tp>
      <tp>
        <v>9.5</v>
        <stp/>
        <stp>##V3_BDHV12</stp>
        <stp>XOM US Equity</stp>
        <stp>IS_TOT_CASH_PFD_DVD</stp>
        <stp>FQ1 1995</stp>
        <stp>FQ1 1995</stp>
        <stp>[FA1_ftkzu3fn.xlsx]Income - Adjusted!R21C23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21" s="2"/>
      </tp>
      <tp>
        <v>4.25</v>
        <stp/>
        <stp>##V3_BDHV12</stp>
        <stp>XOM US Equity</stp>
        <stp>IS_TOT_CASH_PFD_DVD</stp>
        <stp>FQ2 1997</stp>
        <stp>FQ2 1997</stp>
        <stp>[FA1_ftkzu3fn.xlsx]Income - Adjusted!R21C32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21" s="2"/>
      </tp>
      <tp>
        <v>13.5</v>
        <stp/>
        <stp>##V3_BDHV12</stp>
        <stp>XOM US Equity</stp>
        <stp>IS_TOT_CASH_PFD_DVD</stp>
        <stp>FQ4 1993</stp>
        <stp>FQ4 1993</stp>
        <stp>[FA1_ftkzu3fn.xlsx]Income - Adjusted!R21C18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21" s="2"/>
      </tp>
      <tp>
        <v>6.75</v>
        <stp/>
        <stp>##V3_BDHV12</stp>
        <stp>XOM US Equity</stp>
        <stp>IS_TOT_CASH_PFD_DVD</stp>
        <stp>FQ2 1996</stp>
        <stp>FQ2 1996</stp>
        <stp>[FA1_ftkzu3fn.xlsx]Income - Adjusted!R21C28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21" s="2"/>
      </tp>
      <tp>
        <v>930.5</v>
        <stp/>
        <stp>##V3_BDHV12</stp>
        <stp>XOM US Equity</stp>
        <stp>IS_TOT_CASH_COM_DVD</stp>
        <stp>FQ1 1995</stp>
        <stp>FQ1 1995</stp>
        <stp>[FA1_ftkzu3fn.xlsx]Income - Adjusted!R47C23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47" s="2"/>
      </tp>
      <tp>
        <v>1014.25</v>
        <stp/>
        <stp>##V3_BDHV12</stp>
        <stp>XOM US Equity</stp>
        <stp>IS_TOT_CASH_COM_DVD</stp>
        <stp>FQ2 1997</stp>
        <stp>FQ2 1997</stp>
        <stp>[FA1_ftkzu3fn.xlsx]Income - Adjusted!R47C32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47" s="2"/>
      </tp>
      <tp>
        <v>978.5</v>
        <stp/>
        <stp>##V3_BDHV12</stp>
        <stp>XOM US Equity</stp>
        <stp>IS_TOT_CASH_COM_DVD</stp>
        <stp>FQ2 1996</stp>
        <stp>FQ2 1996</stp>
        <stp>[FA1_ftkzu3fn.xlsx]Income - Adjusted!R47C28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47" s="2"/>
      </tp>
      <tp>
        <v>20.8125</v>
        <stp/>
        <stp>##V3_BDHV12</stp>
        <stp>XOM US Equity</stp>
        <stp>PX_OPEN</stp>
        <stp>FQ4 1996</stp>
        <stp>FQ4 1996</stp>
        <stp>[FA1_ftkzu3fn.xlsx]Stock Value!R8C30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8" s="6"/>
      </tp>
      <tp>
        <v>14.9375</v>
        <stp/>
        <stp>##V3_BDHV12</stp>
        <stp>XOM US Equity</stp>
        <stp>PX_OPEN</stp>
        <stp>FQ4 1991</stp>
        <stp>FQ4 1991</stp>
        <stp>[FA1_ftkzu3fn.xlsx]Stock Value!R8C10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8" s="6"/>
      </tp>
      <tp>
        <v>32.5625</v>
        <stp/>
        <stp>##V3_BDHV12</stp>
        <stp>XOM US Equity</stp>
        <stp>PX_HIGH</stp>
        <stp>FQ2 1997</stp>
        <stp>FQ2 1997</stp>
        <stp>[FA1_ftkzu3fn.xlsx]Stock Value!R9C32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9" s="6"/>
      </tp>
      <tp>
        <v>16.0625</v>
        <stp/>
        <stp>##V3_BDHV12</stp>
        <stp>XOM US Equity</stp>
        <stp>PX_HIGH</stp>
        <stp>FQ2 1992</stp>
        <stp>FQ2 1992</stp>
        <stp>[FA1_ftkzu3fn.xlsx]Stock Value!R9C12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9" s="6"/>
      </tp>
      <tp>
        <v>15.4063</v>
        <stp/>
        <stp>##V3_BDHV12</stp>
        <stp>XOM US Equity</stp>
        <stp>PX_OPEN</stp>
        <stp>FQ2 1994</stp>
        <stp>FQ2 1994</stp>
        <stp>[FA1_ftkzu3fn.xlsx]Stock Value!R8C20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8" s="6"/>
      </tp>
      <tp>
        <v>877</v>
        <stp/>
        <stp>##V3_BDHV12</stp>
        <stp>XOM US Equity</stp>
        <stp>IS_TOT_CASH_COM_DVD</stp>
        <stp>FQ4 1993</stp>
        <stp>FQ4 1993</stp>
        <stp>[FA1_ftkzu3fn.xlsx]Income - Adjusted!R47C18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47" s="2"/>
      </tp>
      <tp>
        <v>15.8125</v>
        <stp/>
        <stp>##V3_BDHV12</stp>
        <stp>XOM US Equity</stp>
        <stp>PX_HIGH</stp>
        <stp>FQ4 1994</stp>
        <stp>FQ4 1994</stp>
        <stp>[FA1_ftkzu3fn.xlsx]Stock Value!R9C22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9" s="6"/>
      </tp>
      <tp t="s">
        <v>—</v>
        <stp/>
        <stp>##V3_BDHV12</stp>
        <stp>XOM US Equity</stp>
        <stp>NUM_OF_EMPLOYEES</stp>
        <stp>FQ1 1996</stp>
        <stp>FQ1 1996</stp>
        <stp>[FA1_ftkzu3fn.xlsx]Bal Sheet - Standardized!R55C27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55" s="3"/>
      </tp>
      <tp>
        <v>0.19</v>
        <stp/>
        <stp>##V3_BDHV12</stp>
        <stp>XOM US Equity</stp>
        <stp>IS_DIL_EPS_BEF_XO</stp>
        <stp>FQ2 1992</stp>
        <stp>FQ2 1992</stp>
        <stp>[FA1_ftkzu3fn.xlsx]Per Share!R18C12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18" s="5"/>
      </tp>
      <tp>
        <v>0.3</v>
        <stp/>
        <stp>##V3_BDHV12</stp>
        <stp>XOM US Equity</stp>
        <stp>IS_DIL_EPS_BEF_XO</stp>
        <stp>FQ3 1995</stp>
        <stp>FQ3 1995</stp>
        <stp>[FA1_ftkzu3fn.xlsx]Per Share!R18C25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18" s="5"/>
      </tp>
      <tp>
        <v>9.9489999999999998</v>
        <stp/>
        <stp>##V3_BDHV12</stp>
        <stp>XOM US Equity</stp>
        <stp>CHG_PCT_PERIOD</stp>
        <stp>FQ1 1997</stp>
        <stp>FQ1 1997</stp>
        <stp>[FA1_ftkzu3fn.xlsx]Stock Value!R7C31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7" s="6"/>
      </tp>
      <tp>
        <v>-10.0616</v>
        <stp/>
        <stp>##V3_BDHV12</stp>
        <stp>XOM US Equity</stp>
        <stp>CHG_PCT_PERIOD</stp>
        <stp>FQ1 1992</stp>
        <stp>FQ1 1992</stp>
        <stp>[FA1_ftkzu3fn.xlsx]Stock Value!R7C11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7" s="6"/>
      </tp>
      <tp>
        <v>1.3216000000000001</v>
        <stp/>
        <stp>##V3_BDHV12</stp>
        <stp>XOM US Equity</stp>
        <stp>CHG_PCT_PERIOD</stp>
        <stp>FQ3 1994</stp>
        <stp>FQ3 1994</stp>
        <stp>[FA1_ftkzu3fn.xlsx]Stock Value!R7C21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7" s="6"/>
      </tp>
      <tp>
        <v>64</v>
        <stp/>
        <stp>##V3_BDHV12</stp>
        <stp>XOM US Equity</stp>
        <stp>MIN_NONCONTROL_INTEREST_CREDITS</stp>
        <stp>FQ3 1993</stp>
        <stp>FQ3 1993</stp>
        <stp>[FA1_ftkzu3fn.xlsx]Income - Adjusted!R19C17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Q19" s="2"/>
      </tp>
      <tp>
        <v>96</v>
        <stp/>
        <stp>##V3_BDHV12</stp>
        <stp>XOM US Equity</stp>
        <stp>MIN_NONCONTROL_INTEREST_CREDITS</stp>
        <stp>FQ3 1997</stp>
        <stp>FQ3 1997</stp>
        <stp>[FA1_ftkzu3fn.xlsx]Income - Adjusted!R19C33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G19" s="2"/>
      </tp>
      <tp>
        <v>38</v>
        <stp/>
        <stp>##V3_BDHV12</stp>
        <stp>XOM US Equity</stp>
        <stp>MIN_NONCONTROL_INTEREST_CREDITS</stp>
        <stp>FQ2 1994</stp>
        <stp>FQ2 1994</stp>
        <stp>[FA1_ftkzu3fn.xlsx]Income - Adjusted!R19C20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T19" s="2"/>
      </tp>
      <tp>
        <v>1148.5</v>
        <stp/>
        <stp>##V3_BDHV12</stp>
        <stp>XOM US Equity</stp>
        <stp>EARN_FOR_COMMON</stp>
        <stp>FQ1 1994</stp>
        <stp>FQ1 1994</stp>
        <stp>[FA1_ftkzu3fn.xlsx]Income - Adjusted!R22C19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S22" s="2"/>
      </tp>
      <tp>
        <v>1887.5</v>
        <stp/>
        <stp>##V3_BDHV12</stp>
        <stp>XOM US Equity</stp>
        <stp>EARN_FOR_COMMON</stp>
        <stp>FQ1 1998</stp>
        <stp>FQ1 1998</stp>
        <stp>[FA1_ftkzu3fn.xlsx]Income - Adjusted!R22C35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I22" s="2"/>
      </tp>
      <tp>
        <v>15</v>
        <stp/>
        <stp>##V3_BDHV12</stp>
        <stp>XOM US Equity</stp>
        <stp>IS_TOT_CASH_PFD_DVD</stp>
        <stp>FQ4 1992</stp>
        <stp>FQ4 1992</stp>
        <stp>[FA1_ftkzu3fn.xlsx]Income - Adjusted!R21C14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21" s="2"/>
      </tp>
      <tp>
        <v>4.25</v>
        <stp/>
        <stp>##V3_BDHV12</stp>
        <stp>XOM US Equity</stp>
        <stp>IS_TOT_CASH_PFD_DVD</stp>
        <stp>FQ3 1997</stp>
        <stp>FQ3 1997</stp>
        <stp>[FA1_ftkzu3fn.xlsx]Income - Adjusted!R21C33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21" s="2"/>
      </tp>
      <tp>
        <v>6.75</v>
        <stp/>
        <stp>##V3_BDHV12</stp>
        <stp>XOM US Equity</stp>
        <stp>IS_TOT_CASH_PFD_DVD</stp>
        <stp>FQ3 1996</stp>
        <stp>FQ3 1996</stp>
        <stp>[FA1_ftkzu3fn.xlsx]Income - Adjusted!R21C29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21" s="2"/>
      </tp>
      <tp>
        <v>874</v>
        <stp/>
        <stp>##V3_BDHV12</stp>
        <stp>XOM US Equity</stp>
        <stp>IS_TOT_CASH_COM_DVD</stp>
        <stp>FQ4 1992</stp>
        <stp>FQ4 1992</stp>
        <stp>[FA1_ftkzu3fn.xlsx]Income - Adjusted!R47C14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47" s="2"/>
      </tp>
      <tp>
        <v>1563</v>
        <stp/>
        <stp>##V3_BDHV12</stp>
        <stp>XOM US Equity</stp>
        <stp>NI_INCLUDING_MINORITY_INT_RATIO</stp>
        <stp>FQ4 1993</stp>
        <stp>FQ4 1993</stp>
        <stp>[FA1_ftkzu3fn.xlsx]Income - Adjusted!R18C18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R18" s="2"/>
      </tp>
      <tp>
        <v>1010.25</v>
        <stp/>
        <stp>##V3_BDHV12</stp>
        <stp>XOM US Equity</stp>
        <stp>IS_TOT_CASH_COM_DVD</stp>
        <stp>FQ3 1997</stp>
        <stp>FQ3 1997</stp>
        <stp>[FA1_ftkzu3fn.xlsx]Income - Adjusted!R47C33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47" s="2"/>
      </tp>
      <tp>
        <v>10963</v>
        <stp/>
        <stp>##V3_BDHV12</stp>
        <stp>XOM US Equity</stp>
        <stp>NET_DEBT</stp>
        <stp>FQ4 1993</stp>
        <stp>FQ4 1993</stp>
        <stp>[FA1_ftkzu3fn.xlsx]Bal Sheet - Standardized!R51C18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51" s="3"/>
      </tp>
      <tp>
        <v>16.75</v>
        <stp/>
        <stp>##V3_BDHV12</stp>
        <stp>XOM US Equity</stp>
        <stp>PX_HIGH</stp>
        <stp>FQ1 1995</stp>
        <stp>FQ1 1995</stp>
        <stp>[FA1_ftkzu3fn.xlsx]Stock Value!R9C23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9" s="6"/>
      </tp>
      <tp>
        <v>977.5</v>
        <stp/>
        <stp>##V3_BDHV12</stp>
        <stp>XOM US Equity</stp>
        <stp>IS_TOT_CASH_COM_DVD</stp>
        <stp>FQ3 1996</stp>
        <stp>FQ3 1996</stp>
        <stp>[FA1_ftkzu3fn.xlsx]Income - Adjusted!R47C29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47" s="2"/>
      </tp>
      <tp>
        <v>11455</v>
        <stp/>
        <stp>##V3_BDHV12</stp>
        <stp>XOM US Equity</stp>
        <stp>NET_DEBT</stp>
        <stp>FQ4 1991</stp>
        <stp>FQ4 1991</stp>
        <stp>[FA1_ftkzu3fn.xlsx]Bal Sheet - Standardized!R51C10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51" s="3"/>
      </tp>
      <tp>
        <v>33.625</v>
        <stp/>
        <stp>##V3_BDHV12</stp>
        <stp>XOM US Equity</stp>
        <stp>PX_HIGH</stp>
        <stp>FQ3 1997</stp>
        <stp>FQ3 1997</stp>
        <stp>[FA1_ftkzu3fn.xlsx]Stock Value!R9C33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9" s="6"/>
      </tp>
      <tp>
        <v>16.375</v>
        <stp/>
        <stp>##V3_BDHV12</stp>
        <stp>XOM US Equity</stp>
        <stp>PX_HIGH</stp>
        <stp>FQ3 1992</stp>
        <stp>FQ3 1992</stp>
        <stp>[FA1_ftkzu3fn.xlsx]Stock Value!R9C13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9" s="6"/>
      </tp>
      <tp>
        <v>14.2813</v>
        <stp/>
        <stp>##V3_BDHV12</stp>
        <stp>XOM US Equity</stp>
        <stp>PX_OPEN</stp>
        <stp>FQ3 1994</stp>
        <stp>FQ3 1994</stp>
        <stp>[FA1_ftkzu3fn.xlsx]Stock Value!R8C21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8" s="6"/>
      </tp>
      <tp>
        <v>11909</v>
        <stp/>
        <stp>##V3_BDHV12</stp>
        <stp>XOM US Equity</stp>
        <stp>NET_DEBT</stp>
        <stp>FQ4 1992</stp>
        <stp>FQ4 1992</stp>
        <stp>[FA1_ftkzu3fn.xlsx]Bal Sheet - Standardized!R51C14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51" s="3"/>
      </tp>
      <tp>
        <v>15.0625</v>
        <stp/>
        <stp>##V3_BDHV12</stp>
        <stp>XOM US Equity</stp>
        <stp>PX_OPEN</stp>
        <stp>FQ1 1992</stp>
        <stp>FQ1 1992</stp>
        <stp>[FA1_ftkzu3fn.xlsx]Stock Value!R8C11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8" s="6"/>
      </tp>
      <tp>
        <v>24.5625</v>
        <stp/>
        <stp>##V3_BDHV12</stp>
        <stp>XOM US Equity</stp>
        <stp>PX_OPEN</stp>
        <stp>FQ1 1997</stp>
        <stp>FQ1 1997</stp>
        <stp>[FA1_ftkzu3fn.xlsx]Stock Value!R8C31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8" s="6"/>
      </tp>
      <tp t="s">
        <v>—</v>
        <stp/>
        <stp>##V3_BDHV12</stp>
        <stp>XOM US Equity</stp>
        <stp>NET_CHG_IN_LT_INVEST_DETAILED</stp>
        <stp>FQ4 1992</stp>
        <stp>FQ4 1992</stp>
        <stp>[FA1_ftkzu3fn.xlsx]Cash Flow - Standardized!R19C14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19" s="4"/>
      </tp>
      <tp t="s">
        <v>—</v>
        <stp/>
        <stp>##V3_BDHV12</stp>
        <stp>XOM US Equity</stp>
        <stp>NET_CHG_IN_LT_INVEST_DETAILED</stp>
        <stp>FQ4 1991</stp>
        <stp>FQ4 1991</stp>
        <stp>[FA1_ftkzu3fn.xlsx]Cash Flow - Standardized!R19C10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19" s="4"/>
      </tp>
      <tp t="s">
        <v>—</v>
        <stp/>
        <stp>##V3_BDHV12</stp>
        <stp>XOM US Equity</stp>
        <stp>NET_CHG_IN_LT_INVEST_DETAILED</stp>
        <stp>FQ4 1993</stp>
        <stp>FQ4 1993</stp>
        <stp>[FA1_ftkzu3fn.xlsx]Cash Flow - Standardized!R19C18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19" s="4"/>
      </tp>
      <tp>
        <v>2.3109000000000002</v>
        <stp/>
        <stp>##V3_BDHV12</stp>
        <stp>XOM US Equity</stp>
        <stp>CHG_PCT_PERIOD</stp>
        <stp>FQ4 1991</stp>
        <stp>FQ4 1991</stp>
        <stp>[FA1_ftkzu3fn.xlsx]Stock Value!R7C10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7" s="6"/>
      </tp>
      <tp>
        <v>17.717700000000001</v>
        <stp/>
        <stp>##V3_BDHV12</stp>
        <stp>XOM US Equity</stp>
        <stp>CHG_PCT_PERIOD</stp>
        <stp>FQ4 1996</stp>
        <stp>FQ4 1996</stp>
        <stp>[FA1_ftkzu3fn.xlsx]Stock Value!R7C30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7" s="6"/>
      </tp>
      <tp>
        <v>8777</v>
        <stp/>
        <stp>##V3_BDHV12</stp>
        <stp>XOM US Equity</stp>
        <stp>GROSS_PROFIT</stp>
        <stp>FQ3 1991</stp>
        <stp>FQ3 1991</stp>
        <stp>[FA1_ftkzu3fn.xlsx]Income - Adjusted!R8C9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I8" s="2"/>
      </tp>
      <tp>
        <v>0.32500000000000001</v>
        <stp/>
        <stp>##V3_BDHV12</stp>
        <stp>XOM US Equity</stp>
        <stp>IS_DIL_EPS_BEF_XO</stp>
        <stp>FQ2 1995</stp>
        <stp>FQ2 1995</stp>
        <stp>[FA1_ftkzu3fn.xlsx]Per Share!R18C24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18" s="5"/>
      </tp>
      <tp>
        <v>0.22500000000000001</v>
        <stp/>
        <stp>##V3_BDHV12</stp>
        <stp>XOM US Equity</stp>
        <stp>IS_DIL_EPS_BEF_XO</stp>
        <stp>FQ3 1992</stp>
        <stp>FQ3 1992</stp>
        <stp>[FA1_ftkzu3fn.xlsx]Per Share!R18C13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18" s="5"/>
      </tp>
      <tp>
        <v>0.375</v>
        <stp/>
        <stp>##V3_BDHV12</stp>
        <stp>XOM US Equity</stp>
        <stp>IS_DIL_EPS_BEF_XO</stp>
        <stp>FQ1 1996</stp>
        <stp>FQ1 1996</stp>
        <stp>[FA1_ftkzu3fn.xlsx]Per Share!R18C27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18" s="5"/>
      </tp>
      <tp>
        <v>0.2225</v>
        <stp/>
        <stp>##V3_BDHV12</stp>
        <stp>XOM US Equity</stp>
        <stp>IS_DIL_EPS_BEF_XO</stp>
        <stp>FQ4 1991</stp>
        <stp>FQ4 1991</stp>
        <stp>[FA1_ftkzu3fn.xlsx]Per Share!R18C10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18" s="5"/>
      </tp>
      <tp>
        <v>8934</v>
        <stp/>
        <stp>##V3_BDHV12</stp>
        <stp>XOM US Equity</stp>
        <stp>GROSS_PROFIT</stp>
        <stp>FQ2 1991</stp>
        <stp>FQ2 1991</stp>
        <stp>[FA1_ftkzu3fn.xlsx]Income - Adjusted!R8C8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H8" s="2"/>
      </tp>
      <tp>
        <v>-9.7416</v>
        <stp/>
        <stp>##V3_BDHV12</stp>
        <stp>XOM US Equity</stp>
        <stp>CHG_PCT_PERIOD</stp>
        <stp>FQ2 1994</stp>
        <stp>FQ2 1994</stp>
        <stp>[FA1_ftkzu3fn.xlsx]Stock Value!R7C20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7" s="6"/>
      </tp>
      <tp>
        <v>0.26750000000000002</v>
        <stp/>
        <stp>##V3_BDHV12</stp>
        <stp>XOM US Equity</stp>
        <stp>IS_DIL_EPS_CONT_OPS</stp>
        <stp>FQ1 1992</stp>
        <stp>FQ1 1992</stp>
        <stp>[FA1_ftkzu3fn.xlsx]Income - Adjusted!R35C11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35" s="2"/>
      </tp>
      <tp>
        <v>0.33750000000000002</v>
        <stp/>
        <stp>##V3_BDHV12</stp>
        <stp>XOM US Equity</stp>
        <stp>IS_DIL_EPS_CONT_OPS</stp>
        <stp>FQ4 1995</stp>
        <stp>FQ4 1995</stp>
        <stp>[FA1_ftkzu3fn.xlsx]Income - Adjusted!R35C26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35" s="2"/>
      </tp>
      <tp>
        <v>0.44500000000000001</v>
        <stp/>
        <stp>##V3_BDHV12</stp>
        <stp>XOM US Equity</stp>
        <stp>IS_DIL_EPS_CONT_OPS</stp>
        <stp>FQ4 1997</stp>
        <stp>FQ4 1997</stp>
        <stp>[FA1_ftkzu3fn.xlsx]Income - Adjusted!R35C34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35" s="2"/>
      </tp>
      <tp>
        <v>44028</v>
        <stp/>
        <stp>##V3_BDHV12</stp>
        <stp>XOM US Equity</stp>
        <stp>OTHER_INS_RES_TO_SHRHLDR_EQY</stp>
        <stp>FQ1 1990</stp>
        <stp>FQ1 1990</stp>
        <stp>[FA1_ftkzu3fn.xlsx]Bal Sheet - Standardized!R41C3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41" s="3"/>
      </tp>
      <tp>
        <v>46712</v>
        <stp/>
        <stp>##V3_BDHV12</stp>
        <stp>XOM US Equity</stp>
        <stp>OTHER_INS_RES_TO_SHRHLDR_EQY</stp>
        <stp>FQ4 1990</stp>
        <stp>FQ4 1990</stp>
        <stp>[FA1_ftkzu3fn.xlsx]Bal Sheet - Standardized!R41C6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41" s="3"/>
      </tp>
      <tp>
        <v>63</v>
        <stp/>
        <stp>##V3_BDHV12</stp>
        <stp>XOM US Equity</stp>
        <stp>MIN_NONCONTROL_INTEREST_CREDITS</stp>
        <stp>FQ4 1993</stp>
        <stp>FQ4 1993</stp>
        <stp>[FA1_ftkzu3fn.xlsx]Income - Adjusted!R19C18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R19" s="2"/>
      </tp>
      <tp>
        <v>923</v>
        <stp/>
        <stp>##V3_BDHV12</stp>
        <stp>XOM US Equity</stp>
        <stp>NI_INCLUDING_MINORITY_INT_RATIO</stp>
        <stp>FQ2 1994</stp>
        <stp>FQ2 1994</stp>
        <stp>[FA1_ftkzu3fn.xlsx]Income - Adjusted!R18C20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T18" s="2"/>
      </tp>
      <tp>
        <v>1424</v>
        <stp/>
        <stp>##V3_BDHV12</stp>
        <stp>XOM US Equity</stp>
        <stp>NI_INCLUDING_MINORITY_INT_RATIO</stp>
        <stp>FQ3 1993</stp>
        <stp>FQ3 1993</stp>
        <stp>[FA1_ftkzu3fn.xlsx]Income - Adjusted!R18C17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Q18" s="2"/>
      </tp>
      <tp>
        <v>1916</v>
        <stp/>
        <stp>##V3_BDHV12</stp>
        <stp>XOM US Equity</stp>
        <stp>NI_INCLUDING_MINORITY_INT_RATIO</stp>
        <stp>FQ3 1997</stp>
        <stp>FQ3 1997</stp>
        <stp>[FA1_ftkzu3fn.xlsx]Income - Adjusted!R18C33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G18" s="2"/>
      </tp>
      <tp>
        <v>1108</v>
        <stp/>
        <stp>##V3_BDHV12</stp>
        <stp>XOM US Equity</stp>
        <stp>EARN_FOR_COMMON</stp>
        <stp>FQ2 1991</stp>
        <stp>FQ2 1991</stp>
        <stp>[FA1_ftkzu3fn.xlsx]Income - Adjusted!R24C8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H24" s="2"/>
      </tp>
      <tp>
        <v>1098</v>
        <stp/>
        <stp>##V3_BDHV12</stp>
        <stp>XOM US Equity</stp>
        <stp>EARN_FOR_COMMON</stp>
        <stp>FQ3 1991</stp>
        <stp>FQ3 1991</stp>
        <stp>[FA1_ftkzu3fn.xlsx]Income - Adjusted!R24C9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I24" s="2"/>
      </tp>
      <tp>
        <v>0.3075</v>
        <stp/>
        <stp>##V3_BDHV12</stp>
        <stp>XOM US Equity</stp>
        <stp>IS_DIL_EPS_CONT_OPS</stp>
        <stp>FQ4 1990</stp>
        <stp>FQ4 1990</stp>
        <stp>[FA1_ftkzu3fn.xlsx]Per Share!R19C6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19" s="5"/>
      </tp>
      <tp>
        <v>0.2525</v>
        <stp/>
        <stp>##V3_BDHV12</stp>
        <stp>XOM US Equity</stp>
        <stp>IS_DIL_EPS_CONT_OPS</stp>
        <stp>FQ1 1990</stp>
        <stp>FQ1 1990</stp>
        <stp>[FA1_ftkzu3fn.xlsx]Per Share!R19C3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19" s="5"/>
      </tp>
      <tp>
        <v>-1969</v>
        <stp/>
        <stp>##V3_BDHV12</stp>
        <stp>XOM US Equity</stp>
        <stp>ACQUIS_FXD_&amp;_INTANG_DETAILED</stp>
        <stp>FQ3 1997</stp>
        <stp>FQ3 1997</stp>
        <stp>[FA1_ftkzu3fn.xlsx]Cash Flow - Standardized!R18C33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18" s="4"/>
      </tp>
      <tp t="s">
        <v>—</v>
        <stp/>
        <stp>##V3_BDHV12</stp>
        <stp>XOM US Equity</stp>
        <stp>ACQUIS_FXD_&amp;_INTANG_DETAILED</stp>
        <stp>FQ1 1993</stp>
        <stp>FQ1 1993</stp>
        <stp>[FA1_ftkzu3fn.xlsx]Cash Flow - Standardized!R18C15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18" s="4"/>
      </tp>
      <tp t="s">
        <v>—</v>
        <stp/>
        <stp>##V3_BDHV12</stp>
        <stp>XOM US Equity</stp>
        <stp>ACQUIS_FXD_&amp;_INTANG_DETAILED</stp>
        <stp>FQ2 1994</stp>
        <stp>FQ2 1994</stp>
        <stp>[FA1_ftkzu3fn.xlsx]Cash Flow - Standardized!R18C20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18" s="4"/>
      </tp>
      <tp>
        <v>-116</v>
        <stp/>
        <stp>##V3_BDHV12</stp>
        <stp>XOM US Equity</stp>
        <stp>INC_DEC_IN_OT_OP_AST_LIAB_DETAIL</stp>
        <stp>FQ2 1991</stp>
        <stp>FQ2 1991</stp>
        <stp>[FA1_ftkzu3fn.xlsx]Cash Flow - Standardized!R12C8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2" s="4"/>
      </tp>
      <tp>
        <v>215</v>
        <stp/>
        <stp>##V3_BDHV12</stp>
        <stp>XOM US Equity</stp>
        <stp>INC_DEC_IN_OT_OP_AST_LIAB_DETAIL</stp>
        <stp>FQ3 1991</stp>
        <stp>FQ3 1991</stp>
        <stp>[FA1_ftkzu3fn.xlsx]Cash Flow - Standardized!R12C9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2" s="4"/>
      </tp>
      <tp>
        <v>-1647</v>
        <stp/>
        <stp>##V3_BDHV12</stp>
        <stp>XOM US Equity</stp>
        <stp>ACQUIS_FXD_&amp;_INTANG_DETAILED</stp>
        <stp>FQ2 1995</stp>
        <stp>FQ2 1995</stp>
        <stp>[FA1_ftkzu3fn.xlsx]Cash Flow - Standardized!R18C24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18" s="4"/>
      </tp>
      <tp t="s">
        <v>—</v>
        <stp/>
        <stp>##V3_BDHV12</stp>
        <stp>XOM US Equity</stp>
        <stp>ACQUIS_FXD_&amp;_INTANG_DETAILED</stp>
        <stp>FQ1 1992</stp>
        <stp>FQ1 1992</stp>
        <stp>[FA1_ftkzu3fn.xlsx]Cash Flow - Standardized!R18C11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18" s="4"/>
      </tp>
      <tp t="s">
        <v>—</v>
        <stp/>
        <stp>##V3_BDHV12</stp>
        <stp>XOM US Equity</stp>
        <stp>ACQUIS_FXD_&amp;_INTANG_DETAILED</stp>
        <stp>FQ1 1994</stp>
        <stp>FQ1 1994</stp>
        <stp>[FA1_ftkzu3fn.xlsx]Cash Flow - Standardized!R18C19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18" s="4"/>
      </tp>
      <tp>
        <v>-1846</v>
        <stp/>
        <stp>##V3_BDHV12</stp>
        <stp>XOM US Equity</stp>
        <stp>ACQUIS_FXD_&amp;_INTANG_DETAILED</stp>
        <stp>FQ2 1996</stp>
        <stp>FQ2 1996</stp>
        <stp>[FA1_ftkzu3fn.xlsx]Cash Flow - Standardized!R18C28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18" s="4"/>
      </tp>
      <tp>
        <v>-923</v>
        <stp/>
        <stp>##V3_BDHV12</stp>
        <stp>XOM US Equity</stp>
        <stp>INC_DEC_IN_OT_OP_AST_LIAB_DETAIL</stp>
        <stp>FQ1 1990</stp>
        <stp>FQ1 1990</stp>
        <stp>[FA1_ftkzu3fn.xlsx]Cash Flow - Standardized!R12C3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2" s="4"/>
      </tp>
      <tp>
        <v>556</v>
        <stp/>
        <stp>##V3_BDHV12</stp>
        <stp>XOM US Equity</stp>
        <stp>INC_DEC_IN_OT_OP_AST_LIAB_DETAIL</stp>
        <stp>FQ4 1990</stp>
        <stp>FQ4 1990</stp>
        <stp>[FA1_ftkzu3fn.xlsx]Cash Flow - Standardized!R12C6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2" s="4"/>
      </tp>
      <tp>
        <v>182</v>
        <stp/>
        <stp>##V3_BDHV12</stp>
        <stp>XOM US Equity</stp>
        <stp>INC_DEC_IN_OT_OP_AST_LIAB_DETAIL</stp>
        <stp>FQ3 1990</stp>
        <stp>FQ3 1990</stp>
        <stp>[FA1_ftkzu3fn.xlsx]Cash Flow - Standardized!R12C5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2" s="4"/>
      </tp>
      <tp>
        <v>274</v>
        <stp/>
        <stp>##V3_BDHV12</stp>
        <stp>XOM US Equity</stp>
        <stp>INC_DEC_IN_OT_OP_AST_LIAB_DETAIL</stp>
        <stp>FQ2 1990</stp>
        <stp>FQ2 1990</stp>
        <stp>[FA1_ftkzu3fn.xlsx]Cash Flow - Standardized!R12C4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2" s="4"/>
      </tp>
      <tp>
        <v>-880</v>
        <stp/>
        <stp>##V3_BDHV12</stp>
        <stp>XOM US Equity</stp>
        <stp>INC_DEC_IN_OT_OP_AST_LIAB_DETAIL</stp>
        <stp>FQ1 1991</stp>
        <stp>FQ1 1991</stp>
        <stp>[FA1_ftkzu3fn.xlsx]Cash Flow - Standardized!R12C7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2" s="4"/>
      </tp>
      <tp>
        <v>185</v>
        <stp/>
        <stp>##V3_BDHV12</stp>
        <stp>XOM US Equity</stp>
        <stp>OTHER_NON_CASH_ADJ_LESS_DETAILED</stp>
        <stp>FQ1 1991</stp>
        <stp>FQ1 1991</stp>
        <stp>[FA1_ftkzu3fn.xlsx]Cash Flow - Standardized!R10C7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0" s="4"/>
      </tp>
      <tp>
        <v>-481</v>
        <stp/>
        <stp>##V3_BDHV12</stp>
        <stp>XOM US Equity</stp>
        <stp>OTHER_NON_CASH_ADJ_LESS_DETAILED</stp>
        <stp>FQ3 1990</stp>
        <stp>FQ3 1990</stp>
        <stp>[FA1_ftkzu3fn.xlsx]Cash Flow - Standardized!R10C5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0" s="4"/>
      </tp>
      <tp>
        <v>54</v>
        <stp/>
        <stp>##V3_BDHV12</stp>
        <stp>XOM US Equity</stp>
        <stp>OTHER_NON_CASH_ADJ_LESS_DETAILED</stp>
        <stp>FQ2 1990</stp>
        <stp>FQ2 1990</stp>
        <stp>[FA1_ftkzu3fn.xlsx]Cash Flow - Standardized!R10C4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0" s="4"/>
      </tp>
      <tp t="s">
        <v>—</v>
        <stp/>
        <stp>##V3_BDHV12</stp>
        <stp>XOM US Equity</stp>
        <stp>FREE_CASH_FLOW_EQUITY</stp>
        <stp>FQ2 1996</stp>
        <stp>FQ2 1996</stp>
        <stp>[FA1_ftkzu3fn.xlsx]Cash Flow - Standardized!R42C28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42" s="4"/>
      </tp>
      <tp t="s">
        <v>—</v>
        <stp/>
        <stp>##V3_BDHV12</stp>
        <stp>XOM US Equity</stp>
        <stp>FREE_CASH_FLOW_EQUITY</stp>
        <stp>FQ1 1994</stp>
        <stp>FQ1 1994</stp>
        <stp>[FA1_ftkzu3fn.xlsx]Cash Flow - Standardized!R42C19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42" s="4"/>
      </tp>
      <tp>
        <v>0.32500000000000001</v>
        <stp/>
        <stp>##V3_BDHV12</stp>
        <stp>XOM US Equity</stp>
        <stp>IS_DIL_EPS_BEF_XO</stp>
        <stp>FQ2 1998</stp>
        <stp>FQ2 1998</stp>
        <stp>[FA1_ftkzu3fn.xlsx]Per Share!R18C36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18" s="5"/>
      </tp>
      <tp>
        <v>0.31</v>
        <stp/>
        <stp>##V3_BDHV12</stp>
        <stp>XOM US Equity</stp>
        <stp>IS_DIL_EPS_BEF_XO</stp>
        <stp>FQ2 1996</stp>
        <stp>FQ2 1996</stp>
        <stp>[FA1_ftkzu3fn.xlsx]Per Share!R18C28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18" s="5"/>
      </tp>
      <tp>
        <v>127</v>
        <stp/>
        <stp>##V3_BDHV12</stp>
        <stp>XOM US Equity</stp>
        <stp>OTHER_NON_CASH_ADJ_LESS_DETAILED</stp>
        <stp>FQ1 1990</stp>
        <stp>FQ1 1990</stp>
        <stp>[FA1_ftkzu3fn.xlsx]Cash Flow - Standardized!R10C3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0" s="4"/>
      </tp>
      <tp>
        <v>302</v>
        <stp/>
        <stp>##V3_BDHV12</stp>
        <stp>XOM US Equity</stp>
        <stp>OTHER_NON_CASH_ADJ_LESS_DETAILED</stp>
        <stp>FQ4 1990</stp>
        <stp>FQ4 1990</stp>
        <stp>[FA1_ftkzu3fn.xlsx]Cash Flow - Standardized!R10C6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0" s="4"/>
      </tp>
      <tp>
        <v>2039.75</v>
        <stp/>
        <stp>##V3_BDHV12</stp>
        <stp>XOM US Equity</stp>
        <stp>FREE_CASH_FLOW_EQUITY</stp>
        <stp>FQ3 1997</stp>
        <stp>FQ3 1997</stp>
        <stp>[FA1_ftkzu3fn.xlsx]Cash Flow - Standardized!R42C33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42" s="4"/>
      </tp>
      <tp t="s">
        <v>—</v>
        <stp/>
        <stp>##V3_BDHV12</stp>
        <stp>XOM US Equity</stp>
        <stp>FREE_CASH_FLOW_EQUITY</stp>
        <stp>FQ1 1993</stp>
        <stp>FQ1 1993</stp>
        <stp>[FA1_ftkzu3fn.xlsx]Cash Flow - Standardized!R42C15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42" s="4"/>
      </tp>
      <tp t="s">
        <v>—</v>
        <stp/>
        <stp>##V3_BDHV12</stp>
        <stp>XOM US Equity</stp>
        <stp>FREE_CASH_FLOW_EQUITY</stp>
        <stp>FQ2 1994</stp>
        <stp>FQ2 1994</stp>
        <stp>[FA1_ftkzu3fn.xlsx]Cash Flow - Standardized!R42C20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42" s="4"/>
      </tp>
      <tp t="s">
        <v>—</v>
        <stp/>
        <stp>##V3_BDHV12</stp>
        <stp>XOM US Equity</stp>
        <stp>PROC_FR_REPURCH_EQTY_DETAILED</stp>
        <stp>FQ4 1994</stp>
        <stp>FQ4 1994</stp>
        <stp>[FA1_ftkzu3fn.xlsx]Cash Flow - Standardized!R28C22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28" s="4"/>
      </tp>
      <tp>
        <v>396</v>
        <stp/>
        <stp>##V3_BDHV12</stp>
        <stp>XOM US Equity</stp>
        <stp>OTHER_NON_CASH_ADJ_LESS_DETAILED</stp>
        <stp>FQ2 1991</stp>
        <stp>FQ2 1991</stp>
        <stp>[FA1_ftkzu3fn.xlsx]Cash Flow - Standardized!R10C8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0" s="4"/>
      </tp>
      <tp>
        <v>275</v>
        <stp/>
        <stp>##V3_BDHV12</stp>
        <stp>XOM US Equity</stp>
        <stp>OTHER_NON_CASH_ADJ_LESS_DETAILED</stp>
        <stp>FQ3 1991</stp>
        <stp>FQ3 1991</stp>
        <stp>[FA1_ftkzu3fn.xlsx]Cash Flow - Standardized!R10C9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0" s="4"/>
      </tp>
      <tp t="s">
        <v>—</v>
        <stp/>
        <stp>##V3_BDHV12</stp>
        <stp>XOM US Equity</stp>
        <stp>FREE_CASH_FLOW_EQUITY</stp>
        <stp>FQ2 1995</stp>
        <stp>FQ2 1995</stp>
        <stp>[FA1_ftkzu3fn.xlsx]Cash Flow - Standardized!R42C24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42" s="4"/>
      </tp>
      <tp t="s">
        <v>—</v>
        <stp/>
        <stp>##V3_BDHV12</stp>
        <stp>XOM US Equity</stp>
        <stp>PROC_FR_REPURCH_EQTY_DETAILED</stp>
        <stp>FQ4 1995</stp>
        <stp>FQ4 1995</stp>
        <stp>[FA1_ftkzu3fn.xlsx]Cash Flow - Standardized!R28C26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28" s="4"/>
      </tp>
      <tp t="s">
        <v>—</v>
        <stp/>
        <stp>##V3_BDHV12</stp>
        <stp>XOM US Equity</stp>
        <stp>FREE_CASH_FLOW_EQUITY</stp>
        <stp>FQ1 1992</stp>
        <stp>FQ1 1992</stp>
        <stp>[FA1_ftkzu3fn.xlsx]Cash Flow - Standardized!R42C11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42" s="4"/>
      </tp>
      <tp>
        <v>4968</v>
        <stp/>
        <stp>##V3_BDHV12</stp>
        <stp>XOM US Equity</stp>
        <stp>BS_SH_OUT</stp>
        <stp>FQ3 1994</stp>
        <stp>FQ3 1994</stp>
        <stp>[FA1_ftkzu3fn.xlsx]Bal Sheet - Standardized!R49C21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49" s="3"/>
      </tp>
      <tp>
        <v>4965.6602000000003</v>
        <stp/>
        <stp>##V3_BDHV12</stp>
        <stp>XOM US Equity</stp>
        <stp>BS_SH_OUT</stp>
        <stp>FQ2 1994</stp>
        <stp>FQ2 1994</stp>
        <stp>[FA1_ftkzu3fn.xlsx]Bal Sheet - Standardized!R49C20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49" s="3"/>
      </tp>
      <tp>
        <v>-83</v>
        <stp/>
        <stp>##V3_BDHV12</stp>
        <stp>XOM US Equity</stp>
        <stp>INC_DEC_IN_OT_OP_AST_LIAB_DETAIL</stp>
        <stp>FQ4 1992</stp>
        <stp>FQ4 1992</stp>
        <stp>[FA1_ftkzu3fn.xlsx]Cash Flow - Standardized!R12C14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12" s="4"/>
      </tp>
      <tp>
        <v>61962</v>
        <stp/>
        <stp>##V3_BDHV12</stp>
        <stp>XOM US Equity</stp>
        <stp>BS_NET_FIX_ASSET</stp>
        <stp>FQ4 1993</stp>
        <stp>FQ4 1993</stp>
        <stp>[FA1_ftkzu3fn.xlsx]Bal Sheet - Standardized!R17C18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17" s="3"/>
      </tp>
      <tp>
        <v>2495.75</v>
        <stp/>
        <stp>##V3_BDHV12</stp>
        <stp>XOM US Equity</stp>
        <stp>EARN_FOR_COMMON</stp>
        <stp>FQ4 1997</stp>
        <stp>FQ4 1997</stp>
        <stp>[FA1_ftkzu3fn.xlsx]Income - Adjusted!R22C34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H22" s="2"/>
      </tp>
      <tp>
        <v>1670.5</v>
        <stp/>
        <stp>##V3_BDHV12</stp>
        <stp>XOM US Equity</stp>
        <stp>EARN_FOR_COMMON</stp>
        <stp>FQ4 1995</stp>
        <stp>FQ4 1995</stp>
        <stp>[FA1_ftkzu3fn.xlsx]Income - Adjusted!R22C26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Z22" s="2"/>
      </tp>
      <tp>
        <v>1334</v>
        <stp/>
        <stp>##V3_BDHV12</stp>
        <stp>XOM US Equity</stp>
        <stp>EARN_FOR_COMMON</stp>
        <stp>FQ1 1992</stp>
        <stp>FQ1 1992</stp>
        <stp>[FA1_ftkzu3fn.xlsx]Income - Adjusted!R22C11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K22" s="2"/>
      </tp>
      <tp>
        <v>646</v>
        <stp/>
        <stp>##V3_BDHV12</stp>
        <stp>XOM US Equity</stp>
        <stp>INC_DEC_IN_OT_OP_AST_LIAB_DETAIL</stp>
        <stp>FQ4 1991</stp>
        <stp>FQ4 1991</stp>
        <stp>[FA1_ftkzu3fn.xlsx]Cash Flow - Standardized!R12C10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12" s="4"/>
      </tp>
      <tp>
        <v>63864</v>
        <stp/>
        <stp>##V3_BDHV12</stp>
        <stp>XOM US Equity</stp>
        <stp>BS_NET_FIX_ASSET</stp>
        <stp>FQ4 1991</stp>
        <stp>FQ4 1991</stp>
        <stp>[FA1_ftkzu3fn.xlsx]Bal Sheet - Standardized!R17C10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17" s="3"/>
      </tp>
      <tp>
        <v>-27</v>
        <stp/>
        <stp>##V3_BDHV12</stp>
        <stp>XOM US Equity</stp>
        <stp>INC_DEC_IN_OT_OP_AST_LIAB_DETAIL</stp>
        <stp>FQ4 1993</stp>
        <stp>FQ4 1993</stp>
        <stp>[FA1_ftkzu3fn.xlsx]Cash Flow - Standardized!R12C18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12" s="4"/>
      </tp>
      <tp>
        <v>2.5</v>
        <stp/>
        <stp>##V3_BDHV12</stp>
        <stp>XOM US Equity</stp>
        <stp>IS_TOT_CASH_PFD_DVD</stp>
        <stp>FQ2 1998</stp>
        <stp>FQ2 1998</stp>
        <stp>[FA1_ftkzu3fn.xlsx]Income - Adjusted!R21C36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21" s="2"/>
      </tp>
      <tp>
        <v>61799</v>
        <stp/>
        <stp>##V3_BDHV12</stp>
        <stp>XOM US Equity</stp>
        <stp>BS_NET_FIX_ASSET</stp>
        <stp>FQ4 1992</stp>
        <stp>FQ4 1992</stp>
        <stp>[FA1_ftkzu3fn.xlsx]Bal Sheet - Standardized!R17C14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17" s="3"/>
      </tp>
      <tp>
        <v>1293</v>
        <stp/>
        <stp>##V3_BDHV12</stp>
        <stp>XOM US Equity</stp>
        <stp>NI_INCLUDING_MINORITY_INT_RATIO</stp>
        <stp>FQ2 1993</stp>
        <stp>FQ2 1993</stp>
        <stp>[FA1_ftkzu3fn.xlsx]Income - Adjusted!R18C16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P18" s="2"/>
      </tp>
      <tp>
        <v>2063</v>
        <stp/>
        <stp>##V3_BDHV12</stp>
        <stp>XOM US Equity</stp>
        <stp>NI_INCLUDING_MINORITY_INT_RATIO</stp>
        <stp>FQ2 1997</stp>
        <stp>FQ2 1997</stp>
        <stp>[FA1_ftkzu3fn.xlsx]Income - Adjusted!R18C32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F18" s="2"/>
      </tp>
      <tp>
        <v>1252</v>
        <stp/>
        <stp>##V3_BDHV12</stp>
        <stp>XOM US Equity</stp>
        <stp>NI_INCLUDING_MINORITY_INT_RATIO</stp>
        <stp>FQ3 1994</stp>
        <stp>FQ3 1994</stp>
        <stp>[FA1_ftkzu3fn.xlsx]Income - Adjusted!R18C21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U18" s="2"/>
      </tp>
      <tp>
        <v>1000</v>
        <stp/>
        <stp>##V3_BDHV12</stp>
        <stp>XOM US Equity</stp>
        <stp>IS_TOT_CASH_COM_DVD</stp>
        <stp>FQ2 1998</stp>
        <stp>FQ2 1998</stp>
        <stp>[FA1_ftkzu3fn.xlsx]Income - Adjusted!R47C36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47" s="2"/>
      </tp>
      <tp t="s">
        <v>—</v>
        <stp/>
        <stp>##V3_BDHV12</stp>
        <stp>XOM US Equity</stp>
        <stp>CF_FREE_CASH_FLOW_FIRM</stp>
        <stp>FQ3 1990</stp>
        <stp>FQ3 1990</stp>
        <stp>[FA1_ftkzu3fn.xlsx]Cash Flow - Standardized!R41C5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E41" s="4"/>
      </tp>
      <tp t="s">
        <v>—</v>
        <stp/>
        <stp>##V3_BDHV12</stp>
        <stp>XOM US Equity</stp>
        <stp>CF_FREE_CASH_FLOW_FIRM</stp>
        <stp>FQ2 1990</stp>
        <stp>FQ2 1990</stp>
        <stp>[FA1_ftkzu3fn.xlsx]Cash Flow - Standardized!R41C4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D41" s="4"/>
      </tp>
      <tp t="s">
        <v>—</v>
        <stp/>
        <stp>##V3_BDHV12</stp>
        <stp>XOM US Equity</stp>
        <stp>CF_FREE_CASH_FLOW_FIRM</stp>
        <stp>FQ1 1991</stp>
        <stp>FQ1 1991</stp>
        <stp>[FA1_ftkzu3fn.xlsx]Cash Flow - Standardized!R41C7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G41" s="4"/>
      </tp>
      <tp>
        <v>0.38250000000000001</v>
        <stp/>
        <stp>##V3_BDHV12</stp>
        <stp>XOM US Equity</stp>
        <stp>IS_EARN_BEF_XO_ITEMS_PER_SH</stp>
        <stp>FQ4 1994</stp>
        <stp>FQ4 1994</stp>
        <stp>[FA1_ftkzu3fn.xlsx]Per Share!R15C22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15" s="5"/>
      </tp>
      <tp>
        <v>0.5</v>
        <stp/>
        <stp>##V3_BDHV12</stp>
        <stp>XOM US Equity</stp>
        <stp>IS_EARN_BEF_XO_ITEMS_PER_SH</stp>
        <stp>FQ4 1996</stp>
        <stp>FQ4 1996</stp>
        <stp>[FA1_ftkzu3fn.xlsx]Per Share!R15C30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15" s="5"/>
      </tp>
      <tp>
        <v>0.3175</v>
        <stp/>
        <stp>##V3_BDHV12</stp>
        <stp>XOM US Equity</stp>
        <stp>IS_EARN_BEF_XO_ITEMS_PER_SH</stp>
        <stp>FQ4 1992</stp>
        <stp>FQ4 1992</stp>
        <stp>[FA1_ftkzu3fn.xlsx]Per Share!R15C14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15" s="5"/>
      </tp>
      <tp>
        <v>0.23499999999999999</v>
        <stp/>
        <stp>##V3_BDHV12</stp>
        <stp>XOM US Equity</stp>
        <stp>IS_EARN_BEF_XO_ITEMS_PER_SH</stp>
        <stp>FQ1 1993</stp>
        <stp>FQ1 1993</stp>
        <stp>[FA1_ftkzu3fn.xlsx]Per Share!R15C15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15" s="5"/>
      </tp>
      <tp>
        <v>0.33250000000000002</v>
        <stp/>
        <stp>##V3_BDHV12</stp>
        <stp>XOM US Equity</stp>
        <stp>IS_EARN_BEF_XO_ITEMS_PER_SH</stp>
        <stp>FQ1 1995</stp>
        <stp>FQ1 1995</stp>
        <stp>[FA1_ftkzu3fn.xlsx]Per Share!R15C23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15" s="5"/>
      </tp>
      <tp>
        <v>0.435</v>
        <stp/>
        <stp>##V3_BDHV12</stp>
        <stp>XOM US Equity</stp>
        <stp>IS_EARN_BEF_XO_ITEMS_PER_SH</stp>
        <stp>FQ1 1997</stp>
        <stp>FQ1 1997</stp>
        <stp>[FA1_ftkzu3fn.xlsx]Per Share!R15C31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15" s="5"/>
      </tp>
      <tp t="s">
        <v>—</v>
        <stp/>
        <stp>##V3_BDHV12</stp>
        <stp>XOM US Equity</stp>
        <stp>NUM_OF_EMPLOYEES</stp>
        <stp>FQ4 1993</stp>
        <stp>FQ4 1993</stp>
        <stp>[FA1_ftkzu3fn.xlsx]Bal Sheet - Standardized!R55C18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55" s="3"/>
      </tp>
      <tp>
        <v>-1850</v>
        <stp/>
        <stp>##V3_BDHV12</stp>
        <stp>XOM US Equity</stp>
        <stp>ACQUIS_FXD_&amp;_INTANG_DETAILED</stp>
        <stp>FQ2 1997</stp>
        <stp>FQ2 1997</stp>
        <stp>[FA1_ftkzu3fn.xlsx]Cash Flow - Standardized!R18C32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18" s="4"/>
      </tp>
      <tp t="s">
        <v>—</v>
        <stp/>
        <stp>##V3_BDHV12</stp>
        <stp>XOM US Equity</stp>
        <stp>ACQUIS_FXD_&amp;_INTANG_DETAILED</stp>
        <stp>FQ3 1994</stp>
        <stp>FQ3 1994</stp>
        <stp>[FA1_ftkzu3fn.xlsx]Cash Flow - Standardized!R18C21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18" s="4"/>
      </tp>
      <tp>
        <v>-1779</v>
        <stp/>
        <stp>##V3_BDHV12</stp>
        <stp>XOM US Equity</stp>
        <stp>ACQUIS_FXD_&amp;_INTANG_DETAILED</stp>
        <stp>FQ3 1995</stp>
        <stp>FQ3 1995</stp>
        <stp>[FA1_ftkzu3fn.xlsx]Cash Flow - Standardized!R18C25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18" s="4"/>
      </tp>
      <tp>
        <v>-1842</v>
        <stp/>
        <stp>##V3_BDHV12</stp>
        <stp>XOM US Equity</stp>
        <stp>ACQUIS_FXD_&amp;_INTANG_DETAILED</stp>
        <stp>FQ3 1996</stp>
        <stp>FQ3 1996</stp>
        <stp>[FA1_ftkzu3fn.xlsx]Cash Flow - Standardized!R18C29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18" s="4"/>
      </tp>
      <tp>
        <v>-2035</v>
        <stp/>
        <stp>##V3_BDHV12</stp>
        <stp>XOM US Equity</stp>
        <stp>ACQUIS_FXD_&amp;_INTANG_DETAILED</stp>
        <stp>FQ2 1998</stp>
        <stp>FQ2 1998</stp>
        <stp>[FA1_ftkzu3fn.xlsx]Cash Flow - Standardized!R18C36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18" s="4"/>
      </tp>
      <tp>
        <v>847.5</v>
        <stp/>
        <stp>##V3_BDHV12</stp>
        <stp>XOM US Equity</stp>
        <stp>FREE_CASH_FLOW_EQUITY</stp>
        <stp>FQ2 1998</stp>
        <stp>FQ2 1998</stp>
        <stp>[FA1_ftkzu3fn.xlsx]Cash Flow - Standardized!R42C36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42" s="4"/>
      </tp>
      <tp t="s">
        <v>—</v>
        <stp/>
        <stp>##V3_BDHV12</stp>
        <stp>XOM US Equity</stp>
        <stp>FREE_CASH_FLOW_EQUITY</stp>
        <stp>FQ3 1996</stp>
        <stp>FQ3 1996</stp>
        <stp>[FA1_ftkzu3fn.xlsx]Cash Flow - Standardized!R42C29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42" s="4"/>
      </tp>
      <tp>
        <v>0.31</v>
        <stp/>
        <stp>##V3_BDHV12</stp>
        <stp>XOM US Equity</stp>
        <stp>IS_DIL_EPS_BEF_XO</stp>
        <stp>FQ3 1996</stp>
        <stp>FQ3 1996</stp>
        <stp>[FA1_ftkzu3fn.xlsx]Per Share!R18C29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18" s="5"/>
      </tp>
      <tp>
        <v>1440.75</v>
        <stp/>
        <stp>##V3_BDHV12</stp>
        <stp>XOM US Equity</stp>
        <stp>FREE_CASH_FLOW_EQUITY</stp>
        <stp>FQ2 1997</stp>
        <stp>FQ2 1997</stp>
        <stp>[FA1_ftkzu3fn.xlsx]Cash Flow - Standardized!R42C32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42" s="4"/>
      </tp>
      <tp t="s">
        <v>—</v>
        <stp/>
        <stp>##V3_BDHV12</stp>
        <stp>XOM US Equity</stp>
        <stp>FREE_CASH_FLOW_EQUITY</stp>
        <stp>FQ3 1994</stp>
        <stp>FQ3 1994</stp>
        <stp>[FA1_ftkzu3fn.xlsx]Cash Flow - Standardized!R42C21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42" s="4"/>
      </tp>
      <tp t="s">
        <v>—</v>
        <stp/>
        <stp>##V3_BDHV12</stp>
        <stp>XOM US Equity</stp>
        <stp>PROC_FR_REPURCH_EQTY_DETAILED</stp>
        <stp>FQ4 1996</stp>
        <stp>FQ4 1996</stp>
        <stp>[FA1_ftkzu3fn.xlsx]Cash Flow - Standardized!R28C30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28" s="4"/>
      </tp>
      <tp>
        <v>0.38</v>
        <stp/>
        <stp>##V3_BDHV12</stp>
        <stp>XOM US Equity</stp>
        <stp>IS_DIL_EPS_CONT_OPS</stp>
        <stp>FQ1 1998</stp>
        <stp>FQ1 1998</stp>
        <stp>[FA1_ftkzu3fn.xlsx]Income - Adjusted!R35C35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35" s="2"/>
      </tp>
      <tp>
        <v>0.23</v>
        <stp/>
        <stp>##V3_BDHV12</stp>
        <stp>XOM US Equity</stp>
        <stp>IS_DIL_EPS_CONT_OPS</stp>
        <stp>FQ1 1994</stp>
        <stp>FQ1 1994</stp>
        <stp>[FA1_ftkzu3fn.xlsx]Income - Adjusted!R35C19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35" s="2"/>
      </tp>
      <tp t="s">
        <v>—</v>
        <stp/>
        <stp>##V3_BDHV12</stp>
        <stp>XOM US Equity</stp>
        <stp>FREE_CASH_FLOW_EQUITY</stp>
        <stp>FQ3 1995</stp>
        <stp>FQ3 1995</stp>
        <stp>[FA1_ftkzu3fn.xlsx]Cash Flow - Standardized!R42C25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42" s="4"/>
      </tp>
      <tp>
        <v>-691</v>
        <stp/>
        <stp>##V3_BDHV12</stp>
        <stp>XOM US Equity</stp>
        <stp>PROC_FR_REPURCH_EQTY_DETAILED</stp>
        <stp>FQ4 1997</stp>
        <stp>FQ4 1997</stp>
        <stp>[FA1_ftkzu3fn.xlsx]Cash Flow - Standardized!R28C34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28" s="4"/>
      </tp>
      <tp>
        <v>4968</v>
        <stp/>
        <stp>##V3_BDHV12</stp>
        <stp>XOM US Equity</stp>
        <stp>BS_SH_OUT</stp>
        <stp>FQ2 1993</stp>
        <stp>FQ2 1993</stp>
        <stp>[FA1_ftkzu3fn.xlsx]Bal Sheet - Standardized!R49C16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49" s="3"/>
      </tp>
      <tp>
        <v>4968</v>
        <stp/>
        <stp>##V3_BDHV12</stp>
        <stp>XOM US Equity</stp>
        <stp>BS_SH_OUT</stp>
        <stp>FQ3 1993</stp>
        <stp>FQ3 1993</stp>
        <stp>[FA1_ftkzu3fn.xlsx]Bal Sheet - Standardized!R49C17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49" s="3"/>
      </tp>
      <tp>
        <v>4968</v>
        <stp/>
        <stp>##V3_BDHV12</stp>
        <stp>XOM US Equity</stp>
        <stp>BS_SH_OUT</stp>
        <stp>FQ1 1993</stp>
        <stp>FQ1 1993</stp>
        <stp>[FA1_ftkzu3fn.xlsx]Bal Sheet - Standardized!R49C15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49" s="3"/>
      </tp>
      <tp>
        <v>4914</v>
        <stp/>
        <stp>##V3_BDHV12</stp>
        <stp>XOM US Equity</stp>
        <stp>BS_SH_OUT</stp>
        <stp>FQ4 1997</stp>
        <stp>FQ4 1997</stp>
        <stp>[FA1_ftkzu3fn.xlsx]Bal Sheet - Standardized!R49C34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49" s="3"/>
      </tp>
      <tp>
        <v>4966.0478999999996</v>
        <stp/>
        <stp>##V3_BDHV12</stp>
        <stp>XOM US Equity</stp>
        <stp>BS_SH_OUT</stp>
        <stp>FQ1 1997</stp>
        <stp>FQ1 1997</stp>
        <stp>[FA1_ftkzu3fn.xlsx]Bal Sheet - Standardized!R49C31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49" s="3"/>
      </tp>
      <tp>
        <v>4948</v>
        <stp/>
        <stp>##V3_BDHV12</stp>
        <stp>XOM US Equity</stp>
        <stp>BS_SH_OUT</stp>
        <stp>FQ2 1997</stp>
        <stp>FQ2 1997</stp>
        <stp>[FA1_ftkzu3fn.xlsx]Bal Sheet - Standardized!R49C32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49" s="3"/>
      </tp>
      <tp>
        <v>4932</v>
        <stp/>
        <stp>##V3_BDHV12</stp>
        <stp>XOM US Equity</stp>
        <stp>BS_SH_OUT</stp>
        <stp>FQ3 1997</stp>
        <stp>FQ3 1997</stp>
        <stp>[FA1_ftkzu3fn.xlsx]Bal Sheet - Standardized!R49C33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49" s="3"/>
      </tp>
      <tp>
        <v>4968.5239000000001</v>
        <stp/>
        <stp>##V3_BDHV12</stp>
        <stp>XOM US Equity</stp>
        <stp>BS_SH_OUT</stp>
        <stp>FQ4 1995</stp>
        <stp>FQ4 1995</stp>
        <stp>[FA1_ftkzu3fn.xlsx]Bal Sheet - Standardized!R49C26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49" s="3"/>
      </tp>
      <tp>
        <v>4968</v>
        <stp/>
        <stp>##V3_BDHV12</stp>
        <stp>XOM US Equity</stp>
        <stp>BS_SH_OUT</stp>
        <stp>FQ1 1995</stp>
        <stp>FQ1 1995</stp>
        <stp>[FA1_ftkzu3fn.xlsx]Bal Sheet - Standardized!R49C23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49" s="3"/>
      </tp>
      <tp>
        <v>23</v>
        <stp/>
        <stp>##V3_BDHV12</stp>
        <stp>XOM US Equity</stp>
        <stp>INC_DEC_IN_OT_OP_AST_LIAB_DETAIL</stp>
        <stp>FQ4 1994</stp>
        <stp>FQ4 1994</stp>
        <stp>[FA1_ftkzu3fn.xlsx]Cash Flow - Standardized!R12C22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12" s="4"/>
      </tp>
      <tp>
        <v>-119</v>
        <stp/>
        <stp>##V3_BDHV12</stp>
        <stp>XOM US Equity</stp>
        <stp>INC_DEC_IN_OT_OP_AST_LIAB_DETAIL</stp>
        <stp>FQ4 1995</stp>
        <stp>FQ4 1995</stp>
        <stp>[FA1_ftkzu3fn.xlsx]Cash Flow - Standardized!R12C26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12" s="4"/>
      </tp>
      <tp>
        <v>1490.5</v>
        <stp/>
        <stp>##V3_BDHV12</stp>
        <stp>XOM US Equity</stp>
        <stp>EARN_FOR_COMMON</stp>
        <stp>FQ3 1995</stp>
        <stp>FQ3 1995</stp>
        <stp>[FA1_ftkzu3fn.xlsx]Income - Adjusted!R22C25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Y22" s="2"/>
      </tp>
      <tp>
        <v>940</v>
        <stp/>
        <stp>##V3_BDHV12</stp>
        <stp>XOM US Equity</stp>
        <stp>EARN_FOR_COMMON</stp>
        <stp>FQ2 1992</stp>
        <stp>FQ2 1992</stp>
        <stp>[FA1_ftkzu3fn.xlsx]Income - Adjusted!R22C12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L22" s="2"/>
      </tp>
      <tp>
        <v>65446</v>
        <stp/>
        <stp>##V3_BDHV12</stp>
        <stp>XOM US Equity</stp>
        <stp>BS_NET_FIX_ASSET</stp>
        <stp>FQ4 1995</stp>
        <stp>FQ4 1995</stp>
        <stp>[FA1_ftkzu3fn.xlsx]Bal Sheet - Standardized!R17C26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17" s="3"/>
      </tp>
      <tp>
        <v>63425</v>
        <stp/>
        <stp>##V3_BDHV12</stp>
        <stp>XOM US Equity</stp>
        <stp>BS_NET_FIX_ASSET</stp>
        <stp>FQ4 1994</stp>
        <stp>FQ4 1994</stp>
        <stp>[FA1_ftkzu3fn.xlsx]Bal Sheet - Standardized!R17C22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17" s="3"/>
      </tp>
      <tp>
        <v>2.5</v>
        <stp/>
        <stp>##V3_BDHV12</stp>
        <stp>XOM US Equity</stp>
        <stp>IS_TOT_CASH_PFD_DVD</stp>
        <stp>FQ1 1998</stp>
        <stp>FQ1 1998</stp>
        <stp>[FA1_ftkzu3fn.xlsx]Income - Adjusted!R21C35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21" s="2"/>
      </tp>
      <tp>
        <v>1250</v>
        <stp/>
        <stp>##V3_BDHV12</stp>
        <stp>XOM US Equity</stp>
        <stp>NI_INCLUDING_MINORITY_INT_RATIO</stp>
        <stp>FQ1 1993</stp>
        <stp>FQ1 1993</stp>
        <stp>[FA1_ftkzu3fn.xlsx]Income - Adjusted!R18C15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O18" s="2"/>
      </tp>
      <tp>
        <v>1734</v>
        <stp/>
        <stp>##V3_BDHV12</stp>
        <stp>XOM US Equity</stp>
        <stp>NI_INCLUDING_MINORITY_INT_RATIO</stp>
        <stp>FQ1 1995</stp>
        <stp>FQ1 1995</stp>
        <stp>[FA1_ftkzu3fn.xlsx]Income - Adjusted!R18C23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W18" s="2"/>
      </tp>
      <tp>
        <v>2274</v>
        <stp/>
        <stp>##V3_BDHV12</stp>
        <stp>XOM US Equity</stp>
        <stp>NI_INCLUDING_MINORITY_INT_RATIO</stp>
        <stp>FQ1 1997</stp>
        <stp>FQ1 1997</stp>
        <stp>[FA1_ftkzu3fn.xlsx]Income - Adjusted!R18C31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E18" s="2"/>
      </tp>
      <tp>
        <v>1944</v>
        <stp/>
        <stp>##V3_BDHV12</stp>
        <stp>XOM US Equity</stp>
        <stp>NI_INCLUDING_MINORITY_INT_RATIO</stp>
        <stp>FQ4 1994</stp>
        <stp>FQ4 1994</stp>
        <stp>[FA1_ftkzu3fn.xlsx]Income - Adjusted!R18C22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V18" s="2"/>
      </tp>
      <tp>
        <v>2588</v>
        <stp/>
        <stp>##V3_BDHV12</stp>
        <stp>XOM US Equity</stp>
        <stp>NI_INCLUDING_MINORITY_INT_RATIO</stp>
        <stp>FQ4 1996</stp>
        <stp>FQ4 1996</stp>
        <stp>[FA1_ftkzu3fn.xlsx]Income - Adjusted!R18C30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D18" s="2"/>
      </tp>
      <tp>
        <v>1608</v>
        <stp/>
        <stp>##V3_BDHV12</stp>
        <stp>XOM US Equity</stp>
        <stp>NI_INCLUDING_MINORITY_INT_RATIO</stp>
        <stp>FQ4 1992</stp>
        <stp>FQ4 1992</stp>
        <stp>[FA1_ftkzu3fn.xlsx]Income - Adjusted!R18C14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N18" s="2"/>
      </tp>
      <tp>
        <v>1005</v>
        <stp/>
        <stp>##V3_BDHV12</stp>
        <stp>XOM US Equity</stp>
        <stp>IS_TOT_CASH_COM_DVD</stp>
        <stp>FQ1 1998</stp>
        <stp>FQ1 1998</stp>
        <stp>[FA1_ftkzu3fn.xlsx]Income - Adjusted!R47C35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47" s="2"/>
      </tp>
      <tp t="s">
        <v>—</v>
        <stp/>
        <stp>##V3_BDHV12</stp>
        <stp>XOM US Equity</stp>
        <stp>NUM_OF_EMPLOYEES</stp>
        <stp>FQ1 1998</stp>
        <stp>FQ1 1998</stp>
        <stp>[FA1_ftkzu3fn.xlsx]Bal Sheet - Standardized!R55C35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55" s="3"/>
      </tp>
      <tp t="s">
        <v>—</v>
        <stp/>
        <stp>##V3_BDHV12</stp>
        <stp>XOM US Equity</stp>
        <stp>NUM_OF_EMPLOYEES</stp>
        <stp>FQ2 1998</stp>
        <stp>FQ2 1998</stp>
        <stp>[FA1_ftkzu3fn.xlsx]Bal Sheet - Standardized!R55C36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55" s="3"/>
      </tp>
      <tp>
        <v>0.23</v>
        <stp/>
        <stp>##V3_BDHV12</stp>
        <stp>XOM US Equity</stp>
        <stp>IS_EARN_BEF_XO_ITEMS_PER_SH</stp>
        <stp>FQ3 1994</stp>
        <stp>FQ3 1994</stp>
        <stp>[FA1_ftkzu3fn.xlsx]Per Share!R15C21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15" s="5"/>
      </tp>
      <tp>
        <v>0.245</v>
        <stp/>
        <stp>##V3_BDHV12</stp>
        <stp>XOM US Equity</stp>
        <stp>IS_EARN_BEF_XO_ITEMS_PER_SH</stp>
        <stp>FQ2 1993</stp>
        <stp>FQ2 1993</stp>
        <stp>[FA1_ftkzu3fn.xlsx]Per Share!R15C16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15" s="5"/>
      </tp>
      <tp>
        <v>0.39500000000000002</v>
        <stp/>
        <stp>##V3_BDHV12</stp>
        <stp>XOM US Equity</stp>
        <stp>IS_EARN_BEF_XO_ITEMS_PER_SH</stp>
        <stp>FQ2 1997</stp>
        <stp>FQ2 1997</stp>
        <stp>[FA1_ftkzu3fn.xlsx]Per Share!R15C32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15" s="5"/>
      </tp>
      <tp t="s">
        <v>—</v>
        <stp/>
        <stp>##V3_BDHV12</stp>
        <stp>XOM US Equity</stp>
        <stp>NUM_OF_EMPLOYEES</stp>
        <stp>FQ2 1996</stp>
        <stp>FQ2 1996</stp>
        <stp>[FA1_ftkzu3fn.xlsx]Bal Sheet - Standardized!R55C28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55" s="3"/>
      </tp>
      <tp t="s">
        <v>—</v>
        <stp/>
        <stp>##V3_BDHV12</stp>
        <stp>XOM US Equity</stp>
        <stp>NUM_OF_EMPLOYEES</stp>
        <stp>FQ3 1996</stp>
        <stp>FQ3 1996</stp>
        <stp>[FA1_ftkzu3fn.xlsx]Bal Sheet - Standardized!R55C29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55" s="3"/>
      </tp>
      <tp t="s">
        <v>—</v>
        <stp/>
        <stp>##V3_BDHV12</stp>
        <stp>XOM US Equity</stp>
        <stp>NUM_OF_EMPLOYEES</stp>
        <stp>FQ1 1994</stp>
        <stp>FQ1 1994</stp>
        <stp>[FA1_ftkzu3fn.xlsx]Bal Sheet - Standardized!R55C19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55" s="3"/>
      </tp>
      <tp>
        <v>12.4688</v>
        <stp/>
        <stp>##V3_BDHV12</stp>
        <stp>XOM US Equity</stp>
        <stp>PX_OPEN</stp>
        <stp>FQ1 1990</stp>
        <stp>FQ1 1990</stp>
        <stp>[FA1_ftkzu3fn.xlsx]Stock Value!R8C3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8" s="6"/>
      </tp>
      <tp>
        <v>-1481</v>
        <stp/>
        <stp>##V3_BDHV12</stp>
        <stp>XOM US Equity</stp>
        <stp>ACQUIS_FXD_&amp;_INTANG_DETAILED</stp>
        <stp>FQ1 1997</stp>
        <stp>FQ1 1997</stp>
        <stp>[FA1_ftkzu3fn.xlsx]Cash Flow - Standardized!R18C31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18" s="4"/>
      </tp>
      <tp t="s">
        <v>—</v>
        <stp/>
        <stp>##V3_BDHV12</stp>
        <stp>XOM US Equity</stp>
        <stp>ACQUIS_FXD_&amp;_INTANG_DETAILED</stp>
        <stp>FQ3 1993</stp>
        <stp>FQ3 1993</stp>
        <stp>[FA1_ftkzu3fn.xlsx]Cash Flow - Standardized!R18C17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18" s="4"/>
      </tp>
      <tp t="s">
        <v>—</v>
        <stp/>
        <stp>##V3_BDHV12</stp>
        <stp>XOM US Equity</stp>
        <stp>ACQUIS_FXD_&amp;_INTANG_DETAILED</stp>
        <stp>FQ3 1992</stp>
        <stp>FQ3 1992</stp>
        <stp>[FA1_ftkzu3fn.xlsx]Cash Flow - Standardized!R18C13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18" s="4"/>
      </tp>
      <tp>
        <v>-1709</v>
        <stp/>
        <stp>##V3_BDHV12</stp>
        <stp>XOM US Equity</stp>
        <stp>ACQUIS_FXD_&amp;_INTANG_DETAILED</stp>
        <stp>FQ1 1998</stp>
        <stp>FQ1 1998</stp>
        <stp>[FA1_ftkzu3fn.xlsx]Cash Flow - Standardized!R18C35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18" s="4"/>
      </tp>
      <tp>
        <v>1285.5</v>
        <stp/>
        <stp>##V3_BDHV12</stp>
        <stp>XOM US Equity</stp>
        <stp>FREE_CASH_FLOW_EQUITY</stp>
        <stp>FQ1 1998</stp>
        <stp>FQ1 1998</stp>
        <stp>[FA1_ftkzu3fn.xlsx]Cash Flow - Standardized!R42C35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42" s="4"/>
      </tp>
      <tp>
        <v>3093.75</v>
        <stp/>
        <stp>##V3_BDHV12</stp>
        <stp>XOM US Equity</stp>
        <stp>FREE_CASH_FLOW_EQUITY</stp>
        <stp>FQ1 1997</stp>
        <stp>FQ1 1997</stp>
        <stp>[FA1_ftkzu3fn.xlsx]Cash Flow - Standardized!R42C31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42" s="4"/>
      </tp>
      <tp t="s">
        <v>—</v>
        <stp/>
        <stp>##V3_BDHV12</stp>
        <stp>XOM US Equity</stp>
        <stp>FREE_CASH_FLOW_EQUITY</stp>
        <stp>FQ3 1993</stp>
        <stp>FQ3 1993</stp>
        <stp>[FA1_ftkzu3fn.xlsx]Cash Flow - Standardized!R42C17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42" s="4"/>
      </tp>
      <tp>
        <v>0.32500000000000001</v>
        <stp/>
        <stp>##V3_BDHV12</stp>
        <stp>XOM US Equity</stp>
        <stp>IS_DIL_EPS_CONT_OPS</stp>
        <stp>FQ2 1998</stp>
        <stp>FQ2 1998</stp>
        <stp>[FA1_ftkzu3fn.xlsx]Income - Adjusted!R35C36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35" s="2"/>
      </tp>
      <tp>
        <v>0.31</v>
        <stp/>
        <stp>##V3_BDHV12</stp>
        <stp>XOM US Equity</stp>
        <stp>IS_DIL_EPS_CONT_OPS</stp>
        <stp>FQ2 1996</stp>
        <stp>FQ2 1996</stp>
        <stp>[FA1_ftkzu3fn.xlsx]Income - Adjusted!R35C28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35" s="2"/>
      </tp>
      <tp t="s">
        <v>—</v>
        <stp/>
        <stp>##V3_BDHV12</stp>
        <stp>XOM US Equity</stp>
        <stp>FREE_CASH_FLOW_EQUITY</stp>
        <stp>FQ3 1992</stp>
        <stp>FQ3 1992</stp>
        <stp>[FA1_ftkzu3fn.xlsx]Cash Flow - Standardized!R42C13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42" s="4"/>
      </tp>
      <tp>
        <v>-2055</v>
        <stp/>
        <stp>##V3_BDHV12</stp>
        <stp>XOM US Equity</stp>
        <stp>INC_DEC_IN_OT_OP_AST_LIAB_DETAIL</stp>
        <stp>FQ4 1996</stp>
        <stp>FQ4 1996</stp>
        <stp>[FA1_ftkzu3fn.xlsx]Cash Flow - Standardized!R12C30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12" s="4"/>
      </tp>
      <tp>
        <v>-1200</v>
        <stp/>
        <stp>##V3_BDHV12</stp>
        <stp>XOM US Equity</stp>
        <stp>INC_DEC_IN_OT_OP_AST_LIAB_DETAIL</stp>
        <stp>FQ4 1997</stp>
        <stp>FQ4 1997</stp>
        <stp>[FA1_ftkzu3fn.xlsx]Cash Flow - Standardized!R12C34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12" s="4"/>
      </tp>
      <tp>
        <v>1103</v>
        <stp/>
        <stp>##V3_BDHV12</stp>
        <stp>XOM US Equity</stp>
        <stp>EARN_FOR_COMMON</stp>
        <stp>FQ4 1991</stp>
        <stp>FQ4 1991</stp>
        <stp>[FA1_ftkzu3fn.xlsx]Income - Adjusted!R22C10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J22" s="2"/>
      </tp>
      <tp>
        <v>1120</v>
        <stp/>
        <stp>##V3_BDHV12</stp>
        <stp>XOM US Equity</stp>
        <stp>EARN_FOR_COMMON</stp>
        <stp>FQ3 1992</stp>
        <stp>FQ3 1992</stp>
        <stp>[FA1_ftkzu3fn.xlsx]Income - Adjusted!R22C13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M22" s="2"/>
      </tp>
      <tp>
        <v>1620.5</v>
        <stp/>
        <stp>##V3_BDHV12</stp>
        <stp>XOM US Equity</stp>
        <stp>EARN_FOR_COMMON</stp>
        <stp>FQ2 1995</stp>
        <stp>FQ2 1995</stp>
        <stp>[FA1_ftkzu3fn.xlsx]Income - Adjusted!R22C24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X22" s="2"/>
      </tp>
      <tp>
        <v>1878.25</v>
        <stp/>
        <stp>##V3_BDHV12</stp>
        <stp>XOM US Equity</stp>
        <stp>EARN_FOR_COMMON</stp>
        <stp>FQ1 1996</stp>
        <stp>FQ1 1996</stp>
        <stp>[FA1_ftkzu3fn.xlsx]Income - Adjusted!R22C27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A22" s="2"/>
      </tp>
      <tp>
        <v>66414</v>
        <stp/>
        <stp>##V3_BDHV12</stp>
        <stp>XOM US Equity</stp>
        <stp>BS_NET_FIX_ASSET</stp>
        <stp>FQ4 1997</stp>
        <stp>FQ4 1997</stp>
        <stp>[FA1_ftkzu3fn.xlsx]Bal Sheet - Standardized!R17C34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17" s="3"/>
      </tp>
      <tp>
        <v>66607</v>
        <stp/>
        <stp>##V3_BDHV12</stp>
        <stp>XOM US Equity</stp>
        <stp>BS_NET_FIX_ASSET</stp>
        <stp>FQ4 1996</stp>
        <stp>FQ4 1996</stp>
        <stp>[FA1_ftkzu3fn.xlsx]Bal Sheet - Standardized!R17C30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17" s="3"/>
      </tp>
      <tp>
        <v>0.27250000000000002</v>
        <stp/>
        <stp>##V3_BDHV12</stp>
        <stp>XOM US Equity</stp>
        <stp>IS_EARN_BEF_XO_ITEMS_PER_SH</stp>
        <stp>FQ3 1993</stp>
        <stp>FQ3 1993</stp>
        <stp>[FA1_ftkzu3fn.xlsx]Per Share!R15C17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15" s="5"/>
      </tp>
      <tp>
        <v>0.37</v>
        <stp/>
        <stp>##V3_BDHV12</stp>
        <stp>XOM US Equity</stp>
        <stp>IS_EARN_BEF_XO_ITEMS_PER_SH</stp>
        <stp>FQ3 1997</stp>
        <stp>FQ3 1997</stp>
        <stp>[FA1_ftkzu3fn.xlsx]Per Share!R15C33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15" s="5"/>
      </tp>
      <tp>
        <v>0.17499999999999999</v>
        <stp/>
        <stp>##V3_BDHV12</stp>
        <stp>XOM US Equity</stp>
        <stp>IS_EARN_BEF_XO_ITEMS_PER_SH</stp>
        <stp>FQ2 1994</stp>
        <stp>FQ2 1994</stp>
        <stp>[FA1_ftkzu3fn.xlsx]Per Share!R15C20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15" s="5"/>
      </tp>
      <tp>
        <v>-1399</v>
        <stp/>
        <stp>##V3_BDHV12</stp>
        <stp>XOM US Equity</stp>
        <stp>ACQUIS_FXD_&amp;_INTANG_DETAILED</stp>
        <stp>FQ1 1995</stp>
        <stp>FQ1 1995</stp>
        <stp>[FA1_ftkzu3fn.xlsx]Cash Flow - Standardized!R18C23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18" s="4"/>
      </tp>
      <tp t="s">
        <v>—</v>
        <stp/>
        <stp>##V3_BDHV12</stp>
        <stp>XOM US Equity</stp>
        <stp>ACQUIS_FXD_&amp;_INTANG_DETAILED</stp>
        <stp>FQ2 1993</stp>
        <stp>FQ2 1993</stp>
        <stp>[FA1_ftkzu3fn.xlsx]Cash Flow - Standardized!R18C16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18" s="4"/>
      </tp>
      <tp t="s">
        <v>—</v>
        <stp/>
        <stp>##V3_BDHV12</stp>
        <stp>XOM US Equity</stp>
        <stp>ACQUIS_FXD_&amp;_INTANG_DETAILED</stp>
        <stp>FQ2 1992</stp>
        <stp>FQ2 1992</stp>
        <stp>[FA1_ftkzu3fn.xlsx]Cash Flow - Standardized!R18C12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18" s="4"/>
      </tp>
      <tp>
        <v>-1413</v>
        <stp/>
        <stp>##V3_BDHV12</stp>
        <stp>XOM US Equity</stp>
        <stp>ACQUIS_FXD_&amp;_INTANG_DETAILED</stp>
        <stp>FQ1 1996</stp>
        <stp>FQ1 1996</stp>
        <stp>[FA1_ftkzu3fn.xlsx]Cash Flow - Standardized!R18C27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18" s="4"/>
      </tp>
      <tp>
        <v>10454</v>
        <stp/>
        <stp>##V3_BDHV12</stp>
        <stp>XOM US Equity</stp>
        <stp>GROSS_PROFIT</stp>
        <stp>FQ1 1991</stp>
        <stp>FQ1 1991</stp>
        <stp>[FA1_ftkzu3fn.xlsx]Income - Adjusted!R8C7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G8" s="2"/>
      </tp>
      <tp>
        <v>8732</v>
        <stp/>
        <stp>##V3_BDHV12</stp>
        <stp>XOM US Equity</stp>
        <stp>GROSS_PROFIT</stp>
        <stp>FQ2 1990</stp>
        <stp>FQ2 1990</stp>
        <stp>[FA1_ftkzu3fn.xlsx]Income - Adjusted!R8C4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D8" s="2"/>
      </tp>
      <tp>
        <v>0.38</v>
        <stp/>
        <stp>##V3_BDHV12</stp>
        <stp>XOM US Equity</stp>
        <stp>IS_DIL_EPS_BEF_XO</stp>
        <stp>FQ1 1998</stp>
        <stp>FQ1 1998</stp>
        <stp>[FA1_ftkzu3fn.xlsx]Per Share!R18C35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18" s="5"/>
      </tp>
      <tp>
        <v>0.23</v>
        <stp/>
        <stp>##V3_BDHV12</stp>
        <stp>XOM US Equity</stp>
        <stp>IS_DIL_EPS_BEF_XO</stp>
        <stp>FQ1 1994</stp>
        <stp>FQ1 1994</stp>
        <stp>[FA1_ftkzu3fn.xlsx]Per Share!R18C19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18" s="5"/>
      </tp>
      <tp>
        <v>9218</v>
        <stp/>
        <stp>##V3_BDHV12</stp>
        <stp>XOM US Equity</stp>
        <stp>GROSS_PROFIT</stp>
        <stp>FQ3 1990</stp>
        <stp>FQ3 1990</stp>
        <stp>[FA1_ftkzu3fn.xlsx]Income - Adjusted!R8C5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E8" s="2"/>
      </tp>
      <tp t="s">
        <v>—</v>
        <stp/>
        <stp>##V3_BDHV12</stp>
        <stp>XOM US Equity</stp>
        <stp>PROC_FR_REPURCH_EQTY_DETAILED</stp>
        <stp>FQ4 1993</stp>
        <stp>FQ4 1993</stp>
        <stp>[FA1_ftkzu3fn.xlsx]Cash Flow - Standardized!R28C18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28" s="4"/>
      </tp>
      <tp t="s">
        <v>—</v>
        <stp/>
        <stp>##V3_BDHV12</stp>
        <stp>XOM US Equity</stp>
        <stp>FREE_CASH_FLOW_EQUITY</stp>
        <stp>FQ1 1995</stp>
        <stp>FQ1 1995</stp>
        <stp>[FA1_ftkzu3fn.xlsx]Cash Flow - Standardized!R42C23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42" s="4"/>
      </tp>
      <tp t="s">
        <v>—</v>
        <stp/>
        <stp>##V3_BDHV12</stp>
        <stp>XOM US Equity</stp>
        <stp>FREE_CASH_FLOW_EQUITY</stp>
        <stp>FQ2 1993</stp>
        <stp>FQ2 1993</stp>
        <stp>[FA1_ftkzu3fn.xlsx]Cash Flow - Standardized!R42C16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42" s="4"/>
      </tp>
      <tp t="s">
        <v>—</v>
        <stp/>
        <stp>##V3_BDHV12</stp>
        <stp>XOM US Equity</stp>
        <stp>PROC_FR_REPURCH_EQTY_DETAILED</stp>
        <stp>FQ4 1992</stp>
        <stp>FQ4 1992</stp>
        <stp>[FA1_ftkzu3fn.xlsx]Cash Flow - Standardized!R28C14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28" s="4"/>
      </tp>
      <tp t="s">
        <v>—</v>
        <stp/>
        <stp>##V3_BDHV12</stp>
        <stp>XOM US Equity</stp>
        <stp>PROC_FR_REPURCH_EQTY_DETAILED</stp>
        <stp>FQ4 1991</stp>
        <stp>FQ4 1991</stp>
        <stp>[FA1_ftkzu3fn.xlsx]Cash Flow - Standardized!R28C10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28" s="4"/>
      </tp>
      <tp t="s">
        <v>—</v>
        <stp/>
        <stp>##V3_BDHV12</stp>
        <stp>XOM US Equity</stp>
        <stp>FREE_CASH_FLOW_EQUITY</stp>
        <stp>FQ1 1996</stp>
        <stp>FQ1 1996</stp>
        <stp>[FA1_ftkzu3fn.xlsx]Cash Flow - Standardized!R42C27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42" s="4"/>
      </tp>
      <tp>
        <v>0.31</v>
        <stp/>
        <stp>##V3_BDHV12</stp>
        <stp>XOM US Equity</stp>
        <stp>IS_DIL_EPS_CONT_OPS</stp>
        <stp>FQ3 1996</stp>
        <stp>FQ3 1996</stp>
        <stp>[FA1_ftkzu3fn.xlsx]Income - Adjusted!R35C29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35" s="2"/>
      </tp>
      <tp t="s">
        <v>—</v>
        <stp/>
        <stp>##V3_BDHV12</stp>
        <stp>XOM US Equity</stp>
        <stp>FREE_CASH_FLOW_EQUITY</stp>
        <stp>FQ2 1992</stp>
        <stp>FQ2 1992</stp>
        <stp>[FA1_ftkzu3fn.xlsx]Cash Flow - Standardized!R42C12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42" s="4"/>
      </tp>
      <tp>
        <v>4968</v>
        <stp/>
        <stp>##V3_BDHV12</stp>
        <stp>XOM US Equity</stp>
        <stp>BS_SH_OUT</stp>
        <stp>FQ4 1991</stp>
        <stp>FQ4 1991</stp>
        <stp>[FA1_ftkzu3fn.xlsx]Bal Sheet - Standardized!R49C10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49" s="3"/>
      </tp>
      <tp>
        <v>72</v>
        <stp/>
        <stp>##V3_BDHV12</stp>
        <stp>XOM US Equity</stp>
        <stp>MIN_NONCONTROL_INTEREST_CREDITS</stp>
        <stp>FQ3 1996</stp>
        <stp>FQ3 1996</stp>
        <stp>[FA1_ftkzu3fn.xlsx]Income - Adjusted!R19C29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C19" s="2"/>
      </tp>
      <tp>
        <v>-44</v>
        <stp/>
        <stp>##V3_BDHV12</stp>
        <stp>XOM US Equity</stp>
        <stp>INC_DEC_IN_OT_OP_AST_LIAB_DETAIL</stp>
        <stp>FQ1 1992</stp>
        <stp>FQ1 1992</stp>
        <stp>[FA1_ftkzu3fn.xlsx]Cash Flow - Standardized!R12C11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12" s="4"/>
      </tp>
      <tp>
        <v>-220</v>
        <stp/>
        <stp>##V3_BDHV12</stp>
        <stp>XOM US Equity</stp>
        <stp>INC_DEC_IN_OT_OP_AST_LIAB_DETAIL</stp>
        <stp>FQ2 1995</stp>
        <stp>FQ2 1995</stp>
        <stp>[FA1_ftkzu3fn.xlsx]Cash Flow - Standardized!R12C24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12" s="4"/>
      </tp>
      <tp>
        <v>65487</v>
        <stp/>
        <stp>##V3_BDHV12</stp>
        <stp>XOM US Equity</stp>
        <stp>BS_NET_FIX_ASSET</stp>
        <stp>FQ2 1996</stp>
        <stp>FQ2 1996</stp>
        <stp>[FA1_ftkzu3fn.xlsx]Bal Sheet - Standardized!R17C28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17" s="3"/>
      </tp>
      <tp>
        <v>61777</v>
        <stp/>
        <stp>##V3_BDHV12</stp>
        <stp>XOM US Equity</stp>
        <stp>BS_NET_FIX_ASSET</stp>
        <stp>FQ1 1994</stp>
        <stp>FQ1 1994</stp>
        <stp>[FA1_ftkzu3fn.xlsx]Bal Sheet - Standardized!R17C19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17" s="3"/>
      </tp>
      <tp>
        <v>81</v>
        <stp/>
        <stp>##V3_BDHV12</stp>
        <stp>XOM US Equity</stp>
        <stp>INC_DEC_IN_OT_OP_AST_LIAB_DETAIL</stp>
        <stp>FQ2 1994</stp>
        <stp>FQ2 1994</stp>
        <stp>[FA1_ftkzu3fn.xlsx]Cash Flow - Standardized!R12C20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12" s="4"/>
      </tp>
      <tp>
        <v>473</v>
        <stp/>
        <stp>##V3_BDHV12</stp>
        <stp>XOM US Equity</stp>
        <stp>INC_DEC_IN_OT_OP_AST_LIAB_DETAIL</stp>
        <stp>FQ3 1997</stp>
        <stp>FQ3 1997</stp>
        <stp>[FA1_ftkzu3fn.xlsx]Cash Flow - Standardized!R12C33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12" s="4"/>
      </tp>
      <tp>
        <v>1545</v>
        <stp/>
        <stp>##V3_BDHV12</stp>
        <stp>XOM US Equity</stp>
        <stp>EARN_FOR_COMMON</stp>
        <stp>FQ4 1992</stp>
        <stp>FQ4 1992</stp>
        <stp>[FA1_ftkzu3fn.xlsx]Income - Adjusted!R22C14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N22" s="2"/>
      </tp>
      <tp>
        <v>2488.25</v>
        <stp/>
        <stp>##V3_BDHV12</stp>
        <stp>XOM US Equity</stp>
        <stp>EARN_FOR_COMMON</stp>
        <stp>FQ4 1996</stp>
        <stp>FQ4 1996</stp>
        <stp>[FA1_ftkzu3fn.xlsx]Income - Adjusted!R22C30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D22" s="2"/>
      </tp>
      <tp>
        <v>1888.5</v>
        <stp/>
        <stp>##V3_BDHV12</stp>
        <stp>XOM US Equity</stp>
        <stp>EARN_FOR_COMMON</stp>
        <stp>FQ4 1994</stp>
        <stp>FQ4 1994</stp>
        <stp>[FA1_ftkzu3fn.xlsx]Income - Adjusted!R22C22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V22" s="2"/>
      </tp>
      <tp>
        <v>2170.75</v>
        <stp/>
        <stp>##V3_BDHV12</stp>
        <stp>XOM US Equity</stp>
        <stp>EARN_FOR_COMMON</stp>
        <stp>FQ1 1997</stp>
        <stp>FQ1 1997</stp>
        <stp>[FA1_ftkzu3fn.xlsx]Income - Adjusted!R22C31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E22" s="2"/>
      </tp>
      <tp>
        <v>1650.5</v>
        <stp/>
        <stp>##V3_BDHV12</stp>
        <stp>XOM US Equity</stp>
        <stp>EARN_FOR_COMMON</stp>
        <stp>FQ1 1995</stp>
        <stp>FQ1 1995</stp>
        <stp>[FA1_ftkzu3fn.xlsx]Income - Adjusted!R22C23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W22" s="2"/>
      </tp>
      <tp>
        <v>1171.5</v>
        <stp/>
        <stp>##V3_BDHV12</stp>
        <stp>XOM US Equity</stp>
        <stp>EARN_FOR_COMMON</stp>
        <stp>FQ1 1993</stp>
        <stp>FQ1 1993</stp>
        <stp>[FA1_ftkzu3fn.xlsx]Income - Adjusted!R22C15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O22" s="2"/>
      </tp>
      <tp>
        <v>268</v>
        <stp/>
        <stp>##V3_BDHV12</stp>
        <stp>XOM US Equity</stp>
        <stp>INC_DEC_IN_OT_OP_AST_LIAB_DETAIL</stp>
        <stp>FQ1 1993</stp>
        <stp>FQ1 1993</stp>
        <stp>[FA1_ftkzu3fn.xlsx]Cash Flow - Standardized!R12C15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12" s="4"/>
      </tp>
      <tp>
        <v>67008</v>
        <stp/>
        <stp>##V3_BDHV12</stp>
        <stp>XOM US Equity</stp>
        <stp>BS_NET_FIX_ASSET</stp>
        <stp>FQ3 1997</stp>
        <stp>FQ3 1997</stp>
        <stp>[FA1_ftkzu3fn.xlsx]Bal Sheet - Standardized!R17C33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17" s="3"/>
      </tp>
      <tp>
        <v>61821</v>
        <stp/>
        <stp>##V3_BDHV12</stp>
        <stp>XOM US Equity</stp>
        <stp>BS_NET_FIX_ASSET</stp>
        <stp>FQ1 1993</stp>
        <stp>FQ1 1993</stp>
        <stp>[FA1_ftkzu3fn.xlsx]Bal Sheet - Standardized!R17C15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17" s="3"/>
      </tp>
      <tp>
        <v>62443</v>
        <stp/>
        <stp>##V3_BDHV12</stp>
        <stp>XOM US Equity</stp>
        <stp>BS_NET_FIX_ASSET</stp>
        <stp>FQ2 1994</stp>
        <stp>FQ2 1994</stp>
        <stp>[FA1_ftkzu3fn.xlsx]Bal Sheet - Standardized!R17C20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17" s="3"/>
      </tp>
      <tp>
        <v>64653</v>
        <stp/>
        <stp>##V3_BDHV12</stp>
        <stp>XOM US Equity</stp>
        <stp>BS_NET_FIX_ASSET</stp>
        <stp>FQ2 1995</stp>
        <stp>FQ2 1995</stp>
        <stp>[FA1_ftkzu3fn.xlsx]Bal Sheet - Standardized!R17C24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17" s="3"/>
      </tp>
      <tp>
        <v>62454</v>
        <stp/>
        <stp>##V3_BDHV12</stp>
        <stp>XOM US Equity</stp>
        <stp>BS_NET_FIX_ASSET</stp>
        <stp>FQ1 1992</stp>
        <stp>FQ1 1992</stp>
        <stp>[FA1_ftkzu3fn.xlsx]Bal Sheet - Standardized!R17C11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17" s="3"/>
      </tp>
      <tp>
        <v>-145</v>
        <stp/>
        <stp>##V3_BDHV12</stp>
        <stp>XOM US Equity</stp>
        <stp>INC_DEC_IN_OT_OP_AST_LIAB_DETAIL</stp>
        <stp>FQ1 1994</stp>
        <stp>FQ1 1994</stp>
        <stp>[FA1_ftkzu3fn.xlsx]Cash Flow - Standardized!R12C19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12" s="4"/>
      </tp>
      <tp>
        <v>-365</v>
        <stp/>
        <stp>##V3_BDHV12</stp>
        <stp>XOM US Equity</stp>
        <stp>INC_DEC_IN_OT_OP_AST_LIAB_DETAIL</stp>
        <stp>FQ2 1996</stp>
        <stp>FQ2 1996</stp>
        <stp>[FA1_ftkzu3fn.xlsx]Cash Flow - Standardized!R12C28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12" s="4"/>
      </tp>
      <tp>
        <v>1012</v>
        <stp/>
        <stp>##V3_BDHV12</stp>
        <stp>XOM US Equity</stp>
        <stp>NI_INCLUDING_MINORITY_INT_RATIO</stp>
        <stp>FQ2 1992</stp>
        <stp>FQ2 1992</stp>
        <stp>[FA1_ftkzu3fn.xlsx]Income - Adjusted!R18C12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L18" s="2"/>
      </tp>
      <tp>
        <v>1584</v>
        <stp/>
        <stp>##V3_BDHV12</stp>
        <stp>XOM US Equity</stp>
        <stp>NI_INCLUDING_MINORITY_INT_RATIO</stp>
        <stp>FQ3 1995</stp>
        <stp>FQ3 1995</stp>
        <stp>[FA1_ftkzu3fn.xlsx]Income - Adjusted!R18C25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Y18" s="2"/>
      </tp>
      <tp>
        <v>22.1875</v>
        <stp/>
        <stp>##V3_BDHV12</stp>
        <stp>XOM US Equity</stp>
        <stp>PX_HIGH</stp>
        <stp>FQ2 1996</stp>
        <stp>FQ2 1996</stp>
        <stp>[FA1_ftkzu3fn.xlsx]Stock Value!R9C28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9" s="6"/>
      </tp>
      <tp>
        <v>16.593800000000002</v>
        <stp/>
        <stp>##V3_BDHV12</stp>
        <stp>XOM US Equity</stp>
        <stp>PX_HIGH</stp>
        <stp>FQ4 1993</stp>
        <stp>FQ4 1993</stp>
        <stp>[FA1_ftkzu3fn.xlsx]Stock Value!R9C18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9" s="6"/>
      </tp>
      <tp>
        <v>0.21249999999999999</v>
        <stp/>
        <stp>##V3_BDHV12</stp>
        <stp>XOM US Equity</stp>
        <stp>IS_DIL_EPS_CONT_OPS</stp>
        <stp>FQ3 1990</stp>
        <stp>FQ3 1990</stp>
        <stp>[FA1_ftkzu3fn.xlsx]Per Share!R19C5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19" s="5"/>
      </tp>
      <tp>
        <v>0.2175</v>
        <stp/>
        <stp>##V3_BDHV12</stp>
        <stp>XOM US Equity</stp>
        <stp>IS_DIL_EPS_CONT_OPS</stp>
        <stp>FQ2 1990</stp>
        <stp>FQ2 1990</stp>
        <stp>[FA1_ftkzu3fn.xlsx]Per Share!R19C4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19" s="5"/>
      </tp>
      <tp>
        <v>0.33750000000000002</v>
        <stp/>
        <stp>##V3_BDHV12</stp>
        <stp>XOM US Equity</stp>
        <stp>IS_EARN_BEF_XO_ITEMS_PER_SH</stp>
        <stp>FQ4 1995</stp>
        <stp>FQ4 1995</stp>
        <stp>[FA1_ftkzu3fn.xlsx]Per Share!R15C26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15" s="5"/>
      </tp>
      <tp>
        <v>0.505</v>
        <stp/>
        <stp>##V3_BDHV12</stp>
        <stp>XOM US Equity</stp>
        <stp>IS_EARN_BEF_XO_ITEMS_PER_SH</stp>
        <stp>FQ4 1997</stp>
        <stp>FQ4 1997</stp>
        <stp>[FA1_ftkzu3fn.xlsx]Per Share!R15C34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15" s="5"/>
      </tp>
      <tp>
        <v>0.26750000000000002</v>
        <stp/>
        <stp>##V3_BDHV12</stp>
        <stp>XOM US Equity</stp>
        <stp>IS_EARN_BEF_XO_ITEMS_PER_SH</stp>
        <stp>FQ1 1992</stp>
        <stp>FQ1 1992</stp>
        <stp>[FA1_ftkzu3fn.xlsx]Per Share!R15C11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15" s="5"/>
      </tp>
      <tp>
        <v>11.9063</v>
        <stp/>
        <stp>##V3_BDHV12</stp>
        <stp>XOM US Equity</stp>
        <stp>PX_OPEN</stp>
        <stp>FQ3 1990</stp>
        <stp>FQ3 1990</stp>
        <stp>[FA1_ftkzu3fn.xlsx]Stock Value!R8C5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8" s="6"/>
      </tp>
      <tp>
        <v>-797</v>
        <stp/>
        <stp>##V3_BDHV12</stp>
        <stp>XOM US Equity</stp>
        <stp>PROC_FR_REPURCH_EQTY_DETAILED</stp>
        <stp>FQ1 1998</stp>
        <stp>FQ1 1998</stp>
        <stp>[FA1_ftkzu3fn.xlsx]Cash Flow - Standardized!R28C35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28" s="4"/>
      </tp>
      <tp t="s">
        <v>—</v>
        <stp/>
        <stp>##V3_BDHV12</stp>
        <stp>XOM US Equity</stp>
        <stp>PROC_FR_REPURCH_EQTY_DETAILED</stp>
        <stp>FQ3 1992</stp>
        <stp>FQ3 1992</stp>
        <stp>[FA1_ftkzu3fn.xlsx]Cash Flow - Standardized!R28C13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28" s="4"/>
      </tp>
      <tp t="s">
        <v>—</v>
        <stp/>
        <stp>##V3_BDHV12</stp>
        <stp>XOM US Equity</stp>
        <stp>PROC_FR_REPURCH_EQTY_DETAILED</stp>
        <stp>FQ3 1993</stp>
        <stp>FQ3 1993</stp>
        <stp>[FA1_ftkzu3fn.xlsx]Cash Flow - Standardized!R28C17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28" s="4"/>
      </tp>
      <tp>
        <v>-166</v>
        <stp/>
        <stp>##V3_BDHV12</stp>
        <stp>XOM US Equity</stp>
        <stp>PROC_FR_REPURCH_EQTY_DETAILED</stp>
        <stp>FQ1 1997</stp>
        <stp>FQ1 1997</stp>
        <stp>[FA1_ftkzu3fn.xlsx]Cash Flow - Standardized!R28C31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28" s="4"/>
      </tp>
      <tp>
        <v>1469</v>
        <stp/>
        <stp>##V3_BDHV12</stp>
        <stp>XOM US Equity</stp>
        <stp>C&amp;CE_AND_STI_DETAILED</stp>
        <stp>FQ3 1991</stp>
        <stp>FQ3 1991</stp>
        <stp>[FA1_ftkzu3fn.xlsx]Bal Sheet - Standardized!R7C9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7" s="3"/>
      </tp>
      <tp>
        <v>1088</v>
        <stp/>
        <stp>##V3_BDHV12</stp>
        <stp>XOM US Equity</stp>
        <stp>C&amp;CE_AND_STI_DETAILED</stp>
        <stp>FQ2 1991</stp>
        <stp>FQ2 1991</stp>
        <stp>[FA1_ftkzu3fn.xlsx]Bal Sheet - Standardized!R7C8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7" s="3"/>
      </tp>
      <tp>
        <v>4968</v>
        <stp/>
        <stp>##V3_BDHV12</stp>
        <stp>XOM US Equity</stp>
        <stp>BS_SH_OUT</stp>
        <stp>FQ4 1992</stp>
        <stp>FQ4 1992</stp>
        <stp>[FA1_ftkzu3fn.xlsx]Bal Sheet - Standardized!R49C14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49" s="3"/>
      </tp>
      <tp>
        <v>4966</v>
        <stp/>
        <stp>##V3_BDHV12</stp>
        <stp>XOM US Equity</stp>
        <stp>BS_SH_OUT</stp>
        <stp>FQ2 1992</stp>
        <stp>FQ2 1992</stp>
        <stp>[FA1_ftkzu3fn.xlsx]Bal Sheet - Standardized!R49C12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49" s="3"/>
      </tp>
      <tp>
        <v>4966</v>
        <stp/>
        <stp>##V3_BDHV12</stp>
        <stp>XOM US Equity</stp>
        <stp>BS_SH_OUT</stp>
        <stp>FQ3 1992</stp>
        <stp>FQ3 1992</stp>
        <stp>[FA1_ftkzu3fn.xlsx]Bal Sheet - Standardized!R49C13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49" s="3"/>
      </tp>
      <tp>
        <v>4965.6880000000001</v>
        <stp/>
        <stp>##V3_BDHV12</stp>
        <stp>XOM US Equity</stp>
        <stp>BS_SH_OUT</stp>
        <stp>FQ1 1992</stp>
        <stp>FQ1 1992</stp>
        <stp>[FA1_ftkzu3fn.xlsx]Bal Sheet - Standardized!R49C11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49" s="3"/>
      </tp>
      <tp>
        <v>4968.7002000000002</v>
        <stp/>
        <stp>##V3_BDHV12</stp>
        <stp>XOM US Equity</stp>
        <stp>BS_SH_OUT</stp>
        <stp>FQ4 1996</stp>
        <stp>FQ4 1996</stp>
        <stp>[FA1_ftkzu3fn.xlsx]Bal Sheet - Standardized!R49C30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49" s="3"/>
      </tp>
      <tp>
        <v>1687</v>
        <stp/>
        <stp>##V3_BDHV12</stp>
        <stp>XOM US Equity</stp>
        <stp>C&amp;CE_AND_STI_DETAILED</stp>
        <stp>FQ1 1991</stp>
        <stp>FQ1 1991</stp>
        <stp>[FA1_ftkzu3fn.xlsx]Bal Sheet - Standardized!R7C7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7" s="3"/>
      </tp>
      <tp>
        <v>4968</v>
        <stp/>
        <stp>##V3_BDHV12</stp>
        <stp>XOM US Equity</stp>
        <stp>BS_SH_OUT</stp>
        <stp>FQ4 1994</stp>
        <stp>FQ4 1994</stp>
        <stp>[FA1_ftkzu3fn.xlsx]Bal Sheet - Standardized!R49C22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49" s="3"/>
      </tp>
      <tp>
        <v>65</v>
        <stp/>
        <stp>##V3_BDHV12</stp>
        <stp>XOM US Equity</stp>
        <stp>MIN_NONCONTROL_INTEREST_CREDITS</stp>
        <stp>FQ2 1998</stp>
        <stp>FQ2 1998</stp>
        <stp>[FA1_ftkzu3fn.xlsx]Income - Adjusted!R19C36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J19" s="2"/>
      </tp>
      <tp>
        <v>80</v>
        <stp/>
        <stp>##V3_BDHV12</stp>
        <stp>XOM US Equity</stp>
        <stp>MIN_NONCONTROL_INTEREST_CREDITS</stp>
        <stp>FQ2 1996</stp>
        <stp>FQ2 1996</stp>
        <stp>[FA1_ftkzu3fn.xlsx]Income - Adjusted!R19C28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B19" s="2"/>
      </tp>
      <tp>
        <v>117</v>
        <stp/>
        <stp>##V3_BDHV12</stp>
        <stp>XOM US Equity</stp>
        <stp>INC_DEC_IN_OT_OP_AST_LIAB_DETAIL</stp>
        <stp>FQ3 1995</stp>
        <stp>FQ3 1995</stp>
        <stp>[FA1_ftkzu3fn.xlsx]Cash Flow - Standardized!R12C25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12" s="4"/>
      </tp>
      <tp>
        <v>66752</v>
        <stp/>
        <stp>##V3_BDHV12</stp>
        <stp>XOM US Equity</stp>
        <stp>BS_NET_FIX_ASSET</stp>
        <stp>FQ2 1998</stp>
        <stp>FQ2 1998</stp>
        <stp>[FA1_ftkzu3fn.xlsx]Bal Sheet - Standardized!R17C36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17" s="3"/>
      </tp>
      <tp>
        <v>65914</v>
        <stp/>
        <stp>##V3_BDHV12</stp>
        <stp>XOM US Equity</stp>
        <stp>BS_NET_FIX_ASSET</stp>
        <stp>FQ3 1996</stp>
        <stp>FQ3 1996</stp>
        <stp>[FA1_ftkzu3fn.xlsx]Bal Sheet - Standardized!R17C29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17" s="3"/>
      </tp>
      <tp>
        <v>-248</v>
        <stp/>
        <stp>##V3_BDHV12</stp>
        <stp>XOM US Equity</stp>
        <stp>INC_DEC_IN_OT_OP_AST_LIAB_DETAIL</stp>
        <stp>FQ3 1994</stp>
        <stp>FQ3 1994</stp>
        <stp>[FA1_ftkzu3fn.xlsx]Cash Flow - Standardized!R12C21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12" s="4"/>
      </tp>
      <tp>
        <v>-117</v>
        <stp/>
        <stp>##V3_BDHV12</stp>
        <stp>XOM US Equity</stp>
        <stp>INC_DEC_IN_OT_OP_AST_LIAB_DETAIL</stp>
        <stp>FQ2 1997</stp>
        <stp>FQ2 1997</stp>
        <stp>[FA1_ftkzu3fn.xlsx]Cash Flow - Standardized!R12C32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12" s="4"/>
      </tp>
      <tp>
        <v>65520</v>
        <stp/>
        <stp>##V3_BDHV12</stp>
        <stp>XOM US Equity</stp>
        <stp>BS_NET_FIX_ASSET</stp>
        <stp>FQ2 1997</stp>
        <stp>FQ2 1997</stp>
        <stp>[FA1_ftkzu3fn.xlsx]Bal Sheet - Standardized!R17C32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17" s="3"/>
      </tp>
      <tp>
        <v>63454</v>
        <stp/>
        <stp>##V3_BDHV12</stp>
        <stp>XOM US Equity</stp>
        <stp>BS_NET_FIX_ASSET</stp>
        <stp>FQ3 1994</stp>
        <stp>FQ3 1994</stp>
        <stp>[FA1_ftkzu3fn.xlsx]Bal Sheet - Standardized!R17C21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17" s="3"/>
      </tp>
      <tp>
        <v>64888</v>
        <stp/>
        <stp>##V3_BDHV12</stp>
        <stp>XOM US Equity</stp>
        <stp>BS_NET_FIX_ASSET</stp>
        <stp>FQ3 1995</stp>
        <stp>FQ3 1995</stp>
        <stp>[FA1_ftkzu3fn.xlsx]Bal Sheet - Standardized!R17C25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17" s="3"/>
      </tp>
      <tp>
        <v>40</v>
        <stp/>
        <stp>##V3_BDHV12</stp>
        <stp>XOM US Equity</stp>
        <stp>INC_DEC_IN_OT_OP_AST_LIAB_DETAIL</stp>
        <stp>FQ2 1998</stp>
        <stp>FQ2 1998</stp>
        <stp>[FA1_ftkzu3fn.xlsx]Cash Flow - Standardized!R12C36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12" s="4"/>
      </tp>
      <tp>
        <v>471</v>
        <stp/>
        <stp>##V3_BDHV12</stp>
        <stp>XOM US Equity</stp>
        <stp>INC_DEC_IN_OT_OP_AST_LIAB_DETAIL</stp>
        <stp>FQ3 1996</stp>
        <stp>FQ3 1996</stp>
        <stp>[FA1_ftkzu3fn.xlsx]Cash Flow - Standardized!R12C29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12" s="4"/>
      </tp>
      <tp>
        <v>1716</v>
        <stp/>
        <stp>##V3_BDHV12</stp>
        <stp>XOM US Equity</stp>
        <stp>NI_INCLUDING_MINORITY_INT_RATIO</stp>
        <stp>FQ2 1995</stp>
        <stp>FQ2 1995</stp>
        <stp>[FA1_ftkzu3fn.xlsx]Income - Adjusted!R18C24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X18" s="2"/>
      </tp>
      <tp>
        <v>1227</v>
        <stp/>
        <stp>##V3_BDHV12</stp>
        <stp>XOM US Equity</stp>
        <stp>NI_INCLUDING_MINORITY_INT_RATIO</stp>
        <stp>FQ3 1992</stp>
        <stp>FQ3 1992</stp>
        <stp>[FA1_ftkzu3fn.xlsx]Income - Adjusted!R18C13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M18" s="2"/>
      </tp>
      <tp>
        <v>2024</v>
        <stp/>
        <stp>##V3_BDHV12</stp>
        <stp>XOM US Equity</stp>
        <stp>NI_INCLUDING_MINORITY_INT_RATIO</stp>
        <stp>FQ1 1996</stp>
        <stp>FQ1 1996</stp>
        <stp>[FA1_ftkzu3fn.xlsx]Income - Adjusted!R18C27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A18" s="2"/>
      </tp>
      <tp>
        <v>1063</v>
        <stp/>
        <stp>##V3_BDHV12</stp>
        <stp>XOM US Equity</stp>
        <stp>NI_INCLUDING_MINORITY_INT_RATIO</stp>
        <stp>FQ4 1991</stp>
        <stp>FQ4 1991</stp>
        <stp>[FA1_ftkzu3fn.xlsx]Income - Adjusted!R18C10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J18" s="2"/>
      </tp>
      <tp>
        <v>16.843800000000002</v>
        <stp/>
        <stp>##V3_BDHV12</stp>
        <stp>XOM US Equity</stp>
        <stp>PX_HIGH</stp>
        <stp>FQ1 1994</stp>
        <stp>FQ1 1994</stp>
        <stp>[FA1_ftkzu3fn.xlsx]Stock Value!R9C19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9" s="6"/>
      </tp>
      <tp>
        <v>22.531300000000002</v>
        <stp/>
        <stp>##V3_BDHV12</stp>
        <stp>XOM US Equity</stp>
        <stp>PX_HIGH</stp>
        <stp>FQ3 1996</stp>
        <stp>FQ3 1996</stp>
        <stp>[FA1_ftkzu3fn.xlsx]Stock Value!R9C29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9" s="6"/>
      </tp>
      <tp>
        <v>0.44500000000000001</v>
        <stp/>
        <stp>##V3_BDHV12</stp>
        <stp>XOM US Equity</stp>
        <stp>IS_DIL_EPS_CONT_OPS</stp>
        <stp>FQ1 1991</stp>
        <stp>FQ1 1991</stp>
        <stp>[FA1_ftkzu3fn.xlsx]Per Share!R19C7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19" s="5"/>
      </tp>
      <tp t="s">
        <v>—</v>
        <stp/>
        <stp>##V3_BDHV12</stp>
        <stp>XOM US Equity</stp>
        <stp>CF_FREE_CASH_FLOW_FIRM</stp>
        <stp>FQ1 1990</stp>
        <stp>FQ1 1990</stp>
        <stp>[FA1_ftkzu3fn.xlsx]Cash Flow - Standardized!R41C3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C41" s="4"/>
      </tp>
      <tp t="s">
        <v>—</v>
        <stp/>
        <stp>##V3_BDHV12</stp>
        <stp>XOM US Equity</stp>
        <stp>CF_FREE_CASH_FLOW_FIRM</stp>
        <stp>FQ4 1990</stp>
        <stp>FQ4 1990</stp>
        <stp>[FA1_ftkzu3fn.xlsx]Cash Flow - Standardized!R41C6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F41" s="4"/>
      </tp>
      <tp>
        <v>11.4688</v>
        <stp/>
        <stp>##V3_BDHV12</stp>
        <stp>XOM US Equity</stp>
        <stp>PX_OPEN</stp>
        <stp>FQ2 1990</stp>
        <stp>FQ2 1990</stp>
        <stp>[FA1_ftkzu3fn.xlsx]Stock Value!R8C4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8" s="6"/>
      </tp>
      <tp t="s">
        <v>—</v>
        <stp/>
        <stp>##V3_BDHV12</stp>
        <stp>XOM US Equity</stp>
        <stp>ACQUIS_FXD_&amp;_INTANG_DETAILED</stp>
        <stp>FQ4 1991</stp>
        <stp>FQ4 1991</stp>
        <stp>[FA1_ftkzu3fn.xlsx]Cash Flow - Standardized!R18C10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18" s="4"/>
      </tp>
      <tp t="s">
        <v>—</v>
        <stp/>
        <stp>##V3_BDHV12</stp>
        <stp>XOM US Equity</stp>
        <stp>ACQUIS_FXD_&amp;_INTANG_DETAILED</stp>
        <stp>FQ4 1992</stp>
        <stp>FQ4 1992</stp>
        <stp>[FA1_ftkzu3fn.xlsx]Cash Flow - Standardized!R18C14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18" s="4"/>
      </tp>
      <tp t="s">
        <v>—</v>
        <stp/>
        <stp>##V3_BDHV12</stp>
        <stp>XOM US Equity</stp>
        <stp>ACQUIS_FXD_&amp;_INTANG_DETAILED</stp>
        <stp>FQ4 1993</stp>
        <stp>FQ4 1993</stp>
        <stp>[FA1_ftkzu3fn.xlsx]Cash Flow - Standardized!R18C18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18" s="4"/>
      </tp>
      <tp t="s">
        <v>—</v>
        <stp/>
        <stp>##V3_BDHV12</stp>
        <stp>XOM US Equity</stp>
        <stp>FREE_CASH_FLOW_EQUITY</stp>
        <stp>FQ4 1993</stp>
        <stp>FQ4 1993</stp>
        <stp>[FA1_ftkzu3fn.xlsx]Cash Flow - Standardized!R42C18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42" s="4"/>
      </tp>
      <tp>
        <v>0.3</v>
        <stp/>
        <stp>##V3_BDHV12</stp>
        <stp>XOM US Equity</stp>
        <stp>IS_DIL_EPS_BEF_XO</stp>
        <stp>FQ4 1993</stp>
        <stp>FQ4 1993</stp>
        <stp>[FA1_ftkzu3fn.xlsx]Per Share!R18C18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18" s="5"/>
      </tp>
      <tp t="s">
        <v>—</v>
        <stp/>
        <stp>##V3_BDHV12</stp>
        <stp>XOM US Equity</stp>
        <stp>FREE_CASH_FLOW_EQUITY</stp>
        <stp>FQ4 1991</stp>
        <stp>FQ4 1991</stp>
        <stp>[FA1_ftkzu3fn.xlsx]Cash Flow - Standardized!R42C10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42" s="4"/>
      </tp>
      <tp t="s">
        <v>—</v>
        <stp/>
        <stp>##V3_BDHV12</stp>
        <stp>XOM US Equity</stp>
        <stp>PROC_FR_REPURCH_EQTY_DETAILED</stp>
        <stp>FQ1 1996</stp>
        <stp>FQ1 1996</stp>
        <stp>[FA1_ftkzu3fn.xlsx]Cash Flow - Standardized!R28C27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28" s="4"/>
      </tp>
      <tp t="s">
        <v>—</v>
        <stp/>
        <stp>##V3_BDHV12</stp>
        <stp>XOM US Equity</stp>
        <stp>PROC_FR_REPURCH_EQTY_DETAILED</stp>
        <stp>FQ2 1992</stp>
        <stp>FQ2 1992</stp>
        <stp>[FA1_ftkzu3fn.xlsx]Cash Flow - Standardized!R28C12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28" s="4"/>
      </tp>
      <tp t="s">
        <v>—</v>
        <stp/>
        <stp>##V3_BDHV12</stp>
        <stp>XOM US Equity</stp>
        <stp>PROC_FR_REPURCH_EQTY_DETAILED</stp>
        <stp>FQ2 1993</stp>
        <stp>FQ2 1993</stp>
        <stp>[FA1_ftkzu3fn.xlsx]Cash Flow - Standardized!R28C16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28" s="4"/>
      </tp>
      <tp t="s">
        <v>—</v>
        <stp/>
        <stp>##V3_BDHV12</stp>
        <stp>XOM US Equity</stp>
        <stp>PROC_FR_REPURCH_EQTY_DETAILED</stp>
        <stp>FQ1 1995</stp>
        <stp>FQ1 1995</stp>
        <stp>[FA1_ftkzu3fn.xlsx]Cash Flow - Standardized!R28C23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28" s="4"/>
      </tp>
      <tp t="s">
        <v>—</v>
        <stp/>
        <stp>##V3_BDHV12</stp>
        <stp>XOM US Equity</stp>
        <stp>FREE_CASH_FLOW_EQUITY</stp>
        <stp>FQ4 1992</stp>
        <stp>FQ4 1992</stp>
        <stp>[FA1_ftkzu3fn.xlsx]Cash Flow - Standardized!R42C14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42" s="4"/>
      </tp>
      <tp>
        <v>1852</v>
        <stp/>
        <stp>##V3_BDHV12</stp>
        <stp>XOM US Equity</stp>
        <stp>C&amp;CE_AND_STI_DETAILED</stp>
        <stp>FQ1 1990</stp>
        <stp>FQ1 1990</stp>
        <stp>[FA1_ftkzu3fn.xlsx]Bal Sheet - Standardized!R7C3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7" s="3"/>
      </tp>
      <tp>
        <v>1379</v>
        <stp/>
        <stp>##V3_BDHV12</stp>
        <stp>XOM US Equity</stp>
        <stp>C&amp;CE_AND_STI_DETAILED</stp>
        <stp>FQ4 1990</stp>
        <stp>FQ4 1990</stp>
        <stp>[FA1_ftkzu3fn.xlsx]Bal Sheet - Standardized!R7C6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7" s="3"/>
      </tp>
      <tp>
        <v>1409</v>
        <stp/>
        <stp>##V3_BDHV12</stp>
        <stp>XOM US Equity</stp>
        <stp>C&amp;CE_AND_STI_DETAILED</stp>
        <stp>FQ3 1990</stp>
        <stp>FQ3 1990</stp>
        <stp>[FA1_ftkzu3fn.xlsx]Bal Sheet - Standardized!R7C5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7" s="3"/>
      </tp>
      <tp>
        <v>4966.7119000000002</v>
        <stp/>
        <stp>##V3_BDHV12</stp>
        <stp>XOM US Equity</stp>
        <stp>BS_SH_OUT</stp>
        <stp>FQ3 1995</stp>
        <stp>FQ3 1995</stp>
        <stp>[FA1_ftkzu3fn.xlsx]Bal Sheet - Standardized!R49C25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49" s="3"/>
      </tp>
      <tp>
        <v>4968</v>
        <stp/>
        <stp>##V3_BDHV12</stp>
        <stp>XOM US Equity</stp>
        <stp>BS_SH_OUT</stp>
        <stp>FQ2 1995</stp>
        <stp>FQ2 1995</stp>
        <stp>[FA1_ftkzu3fn.xlsx]Bal Sheet - Standardized!R49C24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49" s="3"/>
      </tp>
      <tp>
        <v>1687</v>
        <stp/>
        <stp>##V3_BDHV12</stp>
        <stp>XOM US Equity</stp>
        <stp>C&amp;CE_AND_STI_DETAILED</stp>
        <stp>FQ2 1990</stp>
        <stp>FQ2 1990</stp>
        <stp>[FA1_ftkzu3fn.xlsx]Bal Sheet - Standardized!R7C4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7" s="3"/>
      </tp>
      <tp>
        <v>110</v>
        <stp/>
        <stp>##V3_BDHV12</stp>
        <stp>XOM US Equity</stp>
        <stp>MIN_NONCONTROL_INTEREST_CREDITS</stp>
        <stp>FQ1 1998</stp>
        <stp>FQ1 1998</stp>
        <stp>[FA1_ftkzu3fn.xlsx]Income - Adjusted!R19C35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I19" s="2"/>
      </tp>
      <tp>
        <v>54</v>
        <stp/>
        <stp>##V3_BDHV12</stp>
        <stp>XOM US Equity</stp>
        <stp>MIN_NONCONTROL_INTEREST_CREDITS</stp>
        <stp>FQ1 1994</stp>
        <stp>FQ1 1994</stp>
        <stp>[FA1_ftkzu3fn.xlsx]Income - Adjusted!R19C19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S19" s="2"/>
      </tp>
      <tp>
        <v>164</v>
        <stp/>
        <stp>##V3_BDHV12</stp>
        <stp>XOM US Equity</stp>
        <stp>INC_DEC_IN_OT_OP_AST_LIAB_DETAIL</stp>
        <stp>FQ3 1992</stp>
        <stp>FQ3 1992</stp>
        <stp>[FA1_ftkzu3fn.xlsx]Cash Flow - Standardized!R12C13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12" s="4"/>
      </tp>
      <tp>
        <v>66726</v>
        <stp/>
        <stp>##V3_BDHV12</stp>
        <stp>XOM US Equity</stp>
        <stp>BS_NET_FIX_ASSET</stp>
        <stp>FQ1 1998</stp>
        <stp>FQ1 1998</stp>
        <stp>[FA1_ftkzu3fn.xlsx]Bal Sheet - Standardized!R17C35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17" s="3"/>
      </tp>
      <tp>
        <v>-127</v>
        <stp/>
        <stp>##V3_BDHV12</stp>
        <stp>XOM US Equity</stp>
        <stp>INC_DEC_IN_OT_OP_AST_LIAB_DETAIL</stp>
        <stp>FQ1 1997</stp>
        <stp>FQ1 1997</stp>
        <stp>[FA1_ftkzu3fn.xlsx]Cash Flow - Standardized!R12C31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12" s="4"/>
      </tp>
      <tp>
        <v>1815.75</v>
        <stp/>
        <stp>##V3_BDHV12</stp>
        <stp>XOM US Equity</stp>
        <stp>EARN_FOR_COMMON</stp>
        <stp>FQ3 1997</stp>
        <stp>FQ3 1997</stp>
        <stp>[FA1_ftkzu3fn.xlsx]Income - Adjusted!R22C33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G22" s="2"/>
      </tp>
      <tp>
        <v>1346.5</v>
        <stp/>
        <stp>##V3_BDHV12</stp>
        <stp>XOM US Equity</stp>
        <stp>EARN_FOR_COMMON</stp>
        <stp>FQ3 1993</stp>
        <stp>FQ3 1993</stp>
        <stp>[FA1_ftkzu3fn.xlsx]Income - Adjusted!R22C17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Q22" s="2"/>
      </tp>
      <tp>
        <v>873.5</v>
        <stp/>
        <stp>##V3_BDHV12</stp>
        <stp>XOM US Equity</stp>
        <stp>EARN_FOR_COMMON</stp>
        <stp>FQ2 1994</stp>
        <stp>FQ2 1994</stp>
        <stp>[FA1_ftkzu3fn.xlsx]Income - Adjusted!R22C20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T22" s="2"/>
      </tp>
      <tp>
        <v>906</v>
        <stp/>
        <stp>##V3_BDHV12</stp>
        <stp>XOM US Equity</stp>
        <stp>INC_DEC_IN_OT_OP_AST_LIAB_DETAIL</stp>
        <stp>FQ3 1993</stp>
        <stp>FQ3 1993</stp>
        <stp>[FA1_ftkzu3fn.xlsx]Cash Flow - Standardized!R12C17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12" s="4"/>
      </tp>
      <tp>
        <v>65493</v>
        <stp/>
        <stp>##V3_BDHV12</stp>
        <stp>XOM US Equity</stp>
        <stp>BS_NET_FIX_ASSET</stp>
        <stp>FQ1 1997</stp>
        <stp>FQ1 1997</stp>
        <stp>[FA1_ftkzu3fn.xlsx]Bal Sheet - Standardized!R17C31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17" s="3"/>
      </tp>
      <tp>
        <v>61722</v>
        <stp/>
        <stp>##V3_BDHV12</stp>
        <stp>XOM US Equity</stp>
        <stp>BS_NET_FIX_ASSET</stp>
        <stp>FQ3 1993</stp>
        <stp>FQ3 1993</stp>
        <stp>[FA1_ftkzu3fn.xlsx]Bal Sheet - Standardized!R17C17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17" s="3"/>
      </tp>
      <tp>
        <v>63860</v>
        <stp/>
        <stp>##V3_BDHV12</stp>
        <stp>XOM US Equity</stp>
        <stp>BS_NET_FIX_ASSET</stp>
        <stp>FQ3 1992</stp>
        <stp>FQ3 1992</stp>
        <stp>[FA1_ftkzu3fn.xlsx]Bal Sheet - Standardized!R17C13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17" s="3"/>
      </tp>
      <tp>
        <v>-45</v>
        <stp/>
        <stp>##V3_BDHV12</stp>
        <stp>XOM US Equity</stp>
        <stp>INC_DEC_IN_OT_OP_AST_LIAB_DETAIL</stp>
        <stp>FQ1 1998</stp>
        <stp>FQ1 1998</stp>
        <stp>[FA1_ftkzu3fn.xlsx]Cash Flow - Standardized!R12C35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12" s="4"/>
      </tp>
      <tp>
        <v>16.375</v>
        <stp/>
        <stp>##V3_BDHV12</stp>
        <stp>XOM US Equity</stp>
        <stp>PX_OPEN</stp>
        <stp>FQ4 1993</stp>
        <stp>FQ4 1993</stp>
        <stp>[FA1_ftkzu3fn.xlsx]Stock Value!R8C18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8" s="6"/>
      </tp>
      <tp>
        <v>20.531300000000002</v>
        <stp/>
        <stp>##V3_BDHV12</stp>
        <stp>XOM US Equity</stp>
        <stp>PX_OPEN</stp>
        <stp>FQ2 1996</stp>
        <stp>FQ2 1996</stp>
        <stp>[FA1_ftkzu3fn.xlsx]Stock Value!R8C28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8" s="6"/>
      </tp>
      <tp>
        <v>0.2225</v>
        <stp/>
        <stp>##V3_BDHV12</stp>
        <stp>XOM US Equity</stp>
        <stp>IS_EARN_BEF_XO_ITEMS_PER_SH</stp>
        <stp>FQ4 1991</stp>
        <stp>FQ4 1991</stp>
        <stp>[FA1_ftkzu3fn.xlsx]Per Share!R15C10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15" s="5"/>
      </tp>
      <tp>
        <v>0.22500000000000001</v>
        <stp/>
        <stp>##V3_BDHV12</stp>
        <stp>XOM US Equity</stp>
        <stp>IS_EARN_BEF_XO_ITEMS_PER_SH</stp>
        <stp>FQ3 1992</stp>
        <stp>FQ3 1992</stp>
        <stp>[FA1_ftkzu3fn.xlsx]Per Share!R15C13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15" s="5"/>
      </tp>
      <tp>
        <v>0.32500000000000001</v>
        <stp/>
        <stp>##V3_BDHV12</stp>
        <stp>XOM US Equity</stp>
        <stp>IS_EARN_BEF_XO_ITEMS_PER_SH</stp>
        <stp>FQ2 1995</stp>
        <stp>FQ2 1995</stp>
        <stp>[FA1_ftkzu3fn.xlsx]Per Share!R15C24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15" s="5"/>
      </tp>
      <tp>
        <v>0.38</v>
        <stp/>
        <stp>##V3_BDHV12</stp>
        <stp>XOM US Equity</stp>
        <stp>IS_EARN_BEF_XO_ITEMS_PER_SH</stp>
        <stp>FQ1 1996</stp>
        <stp>FQ1 1996</stp>
        <stp>[FA1_ftkzu3fn.xlsx]Per Share!R15C27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15" s="5"/>
      </tp>
      <tp>
        <v>-2303</v>
        <stp/>
        <stp>##V3_BDHV12</stp>
        <stp>XOM US Equity</stp>
        <stp>ACQUIS_FXD_&amp;_INTANG_DETAILED</stp>
        <stp>FQ4 1995</stp>
        <stp>FQ4 1995</stp>
        <stp>[FA1_ftkzu3fn.xlsx]Cash Flow - Standardized!R18C26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18" s="4"/>
      </tp>
      <tp t="s">
        <v>—</v>
        <stp/>
        <stp>##V3_BDHV12</stp>
        <stp>XOM US Equity</stp>
        <stp>ACQUIS_FXD_&amp;_INTANG_DETAILED</stp>
        <stp>FQ4 1994</stp>
        <stp>FQ4 1994</stp>
        <stp>[FA1_ftkzu3fn.xlsx]Cash Flow - Standardized!R18C22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18" s="4"/>
      </tp>
      <tp>
        <v>-0.39600000000000002</v>
        <stp/>
        <stp>##V3_BDHV12</stp>
        <stp>XOM US Equity</stp>
        <stp>CHG_PCT_PERIOD</stp>
        <stp>FQ1 1994</stp>
        <stp>FQ1 1994</stp>
        <stp>[FA1_ftkzu3fn.xlsx]Stock Value!R7C19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7" s="6"/>
      </tp>
      <tp t="s">
        <v>—</v>
        <stp/>
        <stp>##V3_BDHV12</stp>
        <stp>XOM US Equity</stp>
        <stp>PROC_FR_REPURCH_EQTY_DETAILED</stp>
        <stp>FQ1 1994</stp>
        <stp>FQ1 1994</stp>
        <stp>[FA1_ftkzu3fn.xlsx]Cash Flow - Standardized!R28C19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28" s="4"/>
      </tp>
      <tp t="s">
        <v>—</v>
        <stp/>
        <stp>##V3_BDHV12</stp>
        <stp>XOM US Equity</stp>
        <stp>PROC_FR_REPURCH_EQTY_DETAILED</stp>
        <stp>FQ2 1996</stp>
        <stp>FQ2 1996</stp>
        <stp>[FA1_ftkzu3fn.xlsx]Cash Flow - Standardized!R28C28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28" s="4"/>
      </tp>
      <tp t="s">
        <v>—</v>
        <stp/>
        <stp>##V3_BDHV12</stp>
        <stp>XOM US Equity</stp>
        <stp>CHG_PCT_PERIOD</stp>
        <stp>FQ3 1996</stp>
        <stp>FQ3 1996</stp>
        <stp>[FA1_ftkzu3fn.xlsx]Stock Value!R7C29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7" s="6"/>
      </tp>
      <tp t="s">
        <v>—</v>
        <stp/>
        <stp>##V3_BDHV12</stp>
        <stp>XOM US Equity</stp>
        <stp>FREE_CASH_FLOW_EQUITY</stp>
        <stp>FQ4 1995</stp>
        <stp>FQ4 1995</stp>
        <stp>[FA1_ftkzu3fn.xlsx]Cash Flow - Standardized!R42C26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42" s="4"/>
      </tp>
      <tp t="s">
        <v>—</v>
        <stp/>
        <stp>##V3_BDHV12</stp>
        <stp>XOM US Equity</stp>
        <stp>PROC_FR_REPURCH_EQTY_DETAILED</stp>
        <stp>FQ2 1995</stp>
        <stp>FQ2 1995</stp>
        <stp>[FA1_ftkzu3fn.xlsx]Cash Flow - Standardized!R28C24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28" s="4"/>
      </tp>
      <tp t="s">
        <v>—</v>
        <stp/>
        <stp>##V3_BDHV12</stp>
        <stp>XOM US Equity</stp>
        <stp>PROC_FR_REPURCH_EQTY_DETAILED</stp>
        <stp>FQ1 1992</stp>
        <stp>FQ1 1992</stp>
        <stp>[FA1_ftkzu3fn.xlsx]Cash Flow - Standardized!R28C11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28" s="4"/>
      </tp>
      <tp t="s">
        <v>—</v>
        <stp/>
        <stp>##V3_BDHV12</stp>
        <stp>XOM US Equity</stp>
        <stp>PROC_FR_REPURCH_EQTY_DETAILED</stp>
        <stp>FQ1 1993</stp>
        <stp>FQ1 1993</stp>
        <stp>[FA1_ftkzu3fn.xlsx]Cash Flow - Standardized!R28C15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28" s="4"/>
      </tp>
      <tp>
        <v>-568</v>
        <stp/>
        <stp>##V3_BDHV12</stp>
        <stp>XOM US Equity</stp>
        <stp>PROC_FR_REPURCH_EQTY_DETAILED</stp>
        <stp>FQ3 1997</stp>
        <stp>FQ3 1997</stp>
        <stp>[FA1_ftkzu3fn.xlsx]Cash Flow - Standardized!R28C33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28" s="4"/>
      </tp>
      <tp t="s">
        <v>—</v>
        <stp/>
        <stp>##V3_BDHV12</stp>
        <stp>XOM US Equity</stp>
        <stp>FREE_CASH_FLOW_EQUITY</stp>
        <stp>FQ4 1994</stp>
        <stp>FQ4 1994</stp>
        <stp>[FA1_ftkzu3fn.xlsx]Cash Flow - Standardized!R42C22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42" s="4"/>
      </tp>
      <tp t="s">
        <v>—</v>
        <stp/>
        <stp>##V3_BDHV12</stp>
        <stp>XOM US Equity</stp>
        <stp>PROC_FR_REPURCH_EQTY_DETAILED</stp>
        <stp>FQ2 1994</stp>
        <stp>FQ2 1994</stp>
        <stp>[FA1_ftkzu3fn.xlsx]Cash Flow - Standardized!R28C20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28" s="4"/>
      </tp>
      <tp>
        <v>4968.3041999999996</v>
        <stp/>
        <stp>##V3_BDHV12</stp>
        <stp>XOM US Equity</stp>
        <stp>BS_SH_OUT</stp>
        <stp>FQ1 1996</stp>
        <stp>FQ1 1996</stp>
        <stp>[FA1_ftkzu3fn.xlsx]Bal Sheet - Standardized!R49C27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49" s="3"/>
      </tp>
      <tp>
        <v>-360</v>
        <stp/>
        <stp>##V3_BDHV12</stp>
        <stp>XOM US Equity</stp>
        <stp>INC_DEC_IN_OT_OP_AST_LIAB_DETAIL</stp>
        <stp>FQ2 1992</stp>
        <stp>FQ2 1992</stp>
        <stp>[FA1_ftkzu3fn.xlsx]Cash Flow - Standardized!R12C12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12" s="4"/>
      </tp>
      <tp>
        <v>528</v>
        <stp/>
        <stp>##V3_BDHV12</stp>
        <stp>XOM US Equity</stp>
        <stp>INC_DEC_IN_OT_OP_AST_LIAB_DETAIL</stp>
        <stp>FQ1 1996</stp>
        <stp>FQ1 1996</stp>
        <stp>[FA1_ftkzu3fn.xlsx]Cash Flow - Standardized!R12C27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12" s="4"/>
      </tp>
      <tp>
        <v>212</v>
        <stp/>
        <stp>##V3_BDHV12</stp>
        <stp>XOM US Equity</stp>
        <stp>INC_DEC_IN_OT_OP_AST_LIAB_DETAIL</stp>
        <stp>FQ1 1995</stp>
        <stp>FQ1 1995</stp>
        <stp>[FA1_ftkzu3fn.xlsx]Cash Flow - Standardized!R12C23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12" s="4"/>
      </tp>
      <tp>
        <v>1143.5</v>
        <stp/>
        <stp>##V3_BDHV12</stp>
        <stp>XOM US Equity</stp>
        <stp>EARN_FOR_COMMON</stp>
        <stp>FQ3 1994</stp>
        <stp>FQ3 1994</stp>
        <stp>[FA1_ftkzu3fn.xlsx]Income - Adjusted!R22C21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U22" s="2"/>
      </tp>
      <tp>
        <v>1960.75</v>
        <stp/>
        <stp>##V3_BDHV12</stp>
        <stp>XOM US Equity</stp>
        <stp>EARN_FOR_COMMON</stp>
        <stp>FQ2 1997</stp>
        <stp>FQ2 1997</stp>
        <stp>[FA1_ftkzu3fn.xlsx]Income - Adjusted!R22C32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F22" s="2"/>
      </tp>
      <tp>
        <v>1221.5</v>
        <stp/>
        <stp>##V3_BDHV12</stp>
        <stp>XOM US Equity</stp>
        <stp>EARN_FOR_COMMON</stp>
        <stp>FQ2 1993</stp>
        <stp>FQ2 1993</stp>
        <stp>[FA1_ftkzu3fn.xlsx]Income - Adjusted!R22C16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P22" s="2"/>
      </tp>
      <tp>
        <v>-123</v>
        <stp/>
        <stp>##V3_BDHV12</stp>
        <stp>XOM US Equity</stp>
        <stp>INC_DEC_IN_OT_OP_AST_LIAB_DETAIL</stp>
        <stp>FQ2 1993</stp>
        <stp>FQ2 1993</stp>
        <stp>[FA1_ftkzu3fn.xlsx]Cash Flow - Standardized!R12C16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12" s="4"/>
      </tp>
      <tp>
        <v>64535</v>
        <stp/>
        <stp>##V3_BDHV12</stp>
        <stp>XOM US Equity</stp>
        <stp>BS_NET_FIX_ASSET</stp>
        <stp>FQ1 1995</stp>
        <stp>FQ1 1995</stp>
        <stp>[FA1_ftkzu3fn.xlsx]Bal Sheet - Standardized!R17C23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17" s="3"/>
      </tp>
      <tp>
        <v>61608</v>
        <stp/>
        <stp>##V3_BDHV12</stp>
        <stp>XOM US Equity</stp>
        <stp>BS_NET_FIX_ASSET</stp>
        <stp>FQ2 1993</stp>
        <stp>FQ2 1993</stp>
        <stp>[FA1_ftkzu3fn.xlsx]Bal Sheet - Standardized!R17C16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17" s="3"/>
      </tp>
      <tp>
        <v>64115</v>
        <stp/>
        <stp>##V3_BDHV12</stp>
        <stp>XOM US Equity</stp>
        <stp>BS_NET_FIX_ASSET</stp>
        <stp>FQ2 1992</stp>
        <stp>FQ2 1992</stp>
        <stp>[FA1_ftkzu3fn.xlsx]Bal Sheet - Standardized!R17C12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17" s="3"/>
      </tp>
      <tp>
        <v>65183</v>
        <stp/>
        <stp>##V3_BDHV12</stp>
        <stp>XOM US Equity</stp>
        <stp>BS_NET_FIX_ASSET</stp>
        <stp>FQ1 1996</stp>
        <stp>FQ1 1996</stp>
        <stp>[FA1_ftkzu3fn.xlsx]Bal Sheet - Standardized!R17C27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17" s="3"/>
      </tp>
      <tp>
        <v>1400</v>
        <stp/>
        <stp>##V3_BDHV12</stp>
        <stp>XOM US Equity</stp>
        <stp>NI_INCLUDING_MINORITY_INT_RATIO</stp>
        <stp>FQ1 1992</stp>
        <stp>FQ1 1992</stp>
        <stp>[FA1_ftkzu3fn.xlsx]Income - Adjusted!R18C11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K18" s="2"/>
      </tp>
      <tp>
        <v>1737</v>
        <stp/>
        <stp>##V3_BDHV12</stp>
        <stp>XOM US Equity</stp>
        <stp>NI_INCLUDING_MINORITY_INT_RATIO</stp>
        <stp>FQ4 1995</stp>
        <stp>FQ4 1995</stp>
        <stp>[FA1_ftkzu3fn.xlsx]Income - Adjusted!R18C26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Z18" s="2"/>
      </tp>
      <tp>
        <v>5498</v>
        <stp/>
        <stp>##V3_BDHV12</stp>
        <stp>XOM US Equity</stp>
        <stp>NI_INCLUDING_MINORITY_INT_RATIO</stp>
        <stp>FQ4 1997</stp>
        <stp>FQ4 1997</stp>
        <stp>[FA1_ftkzu3fn.xlsx]Income - Adjusted!R18C34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H18" s="2"/>
      </tp>
      <tp>
        <v>21.75</v>
        <stp/>
        <stp>##V3_BDHV12</stp>
        <stp>XOM US Equity</stp>
        <stp>PX_OPEN</stp>
        <stp>FQ3 1996</stp>
        <stp>FQ3 1996</stp>
        <stp>[FA1_ftkzu3fn.xlsx]Stock Value!R8C29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8" s="6"/>
      </tp>
      <tp>
        <v>15.8125</v>
        <stp/>
        <stp>##V3_BDHV12</stp>
        <stp>XOM US Equity</stp>
        <stp>PX_OPEN</stp>
        <stp>FQ1 1994</stp>
        <stp>FQ1 1994</stp>
        <stp>[FA1_ftkzu3fn.xlsx]Stock Value!R8C19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8" s="6"/>
      </tp>
      <tp>
        <v>0.3</v>
        <stp/>
        <stp>##V3_BDHV12</stp>
        <stp>XOM US Equity</stp>
        <stp>IS_EARN_BEF_XO_ITEMS_PER_SH</stp>
        <stp>FQ3 1995</stp>
        <stp>FQ3 1995</stp>
        <stp>[FA1_ftkzu3fn.xlsx]Per Share!R15C25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15" s="5"/>
      </tp>
      <tp>
        <v>0.19</v>
        <stp/>
        <stp>##V3_BDHV12</stp>
        <stp>XOM US Equity</stp>
        <stp>IS_EARN_BEF_XO_ITEMS_PER_SH</stp>
        <stp>FQ2 1992</stp>
        <stp>FQ2 1992</stp>
        <stp>[FA1_ftkzu3fn.xlsx]Per Share!R15C12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15" s="5"/>
      </tp>
      <tp>
        <v>12.9375</v>
        <stp/>
        <stp>##V3_BDHV12</stp>
        <stp>XOM US Equity</stp>
        <stp>PX_OPEN</stp>
        <stp>FQ1 1991</stp>
        <stp>FQ1 1991</stp>
        <stp>[FA1_ftkzu3fn.xlsx]Stock Value!R8C7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8" s="6"/>
      </tp>
      <tp>
        <v>12.2813</v>
        <stp/>
        <stp>##V3_BDHV12</stp>
        <stp>XOM US Equity</stp>
        <stp>PX_OPEN</stp>
        <stp>FQ4 1990</stp>
        <stp>FQ4 1990</stp>
        <stp>[FA1_ftkzu3fn.xlsx]Stock Value!R8C6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8" s="6"/>
      </tp>
      <tp>
        <v>-2093</v>
        <stp/>
        <stp>##V3_BDHV12</stp>
        <stp>XOM US Equity</stp>
        <stp>ACQUIS_FXD_&amp;_INTANG_DETAILED</stp>
        <stp>FQ4 1997</stp>
        <stp>FQ4 1997</stp>
        <stp>[FA1_ftkzu3fn.xlsx]Cash Flow - Standardized!R18C34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18" s="4"/>
      </tp>
      <tp>
        <v>-2108</v>
        <stp/>
        <stp>##V3_BDHV12</stp>
        <stp>XOM US Equity</stp>
        <stp>ACQUIS_FXD_&amp;_INTANG_DETAILED</stp>
        <stp>FQ4 1996</stp>
        <stp>FQ4 1996</stp>
        <stp>[FA1_ftkzu3fn.xlsx]Cash Flow - Standardized!R18C30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18" s="4"/>
      </tp>
      <tp>
        <v>-3.6259999999999999</v>
        <stp/>
        <stp>##V3_BDHV12</stp>
        <stp>XOM US Equity</stp>
        <stp>CHG_PCT_PERIOD</stp>
        <stp>FQ4 1993</stp>
        <stp>FQ4 1993</stp>
        <stp>[FA1_ftkzu3fn.xlsx]Stock Value!R7C18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7" s="6"/>
      </tp>
      <tp>
        <v>8592</v>
        <stp/>
        <stp>##V3_BDHV12</stp>
        <stp>XOM US Equity</stp>
        <stp>GROSS_PROFIT</stp>
        <stp>FQ1 1990</stp>
        <stp>FQ1 1990</stp>
        <stp>[FA1_ftkzu3fn.xlsx]Income - Adjusted!R8C3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C8" s="2"/>
      </tp>
      <tp>
        <v>13951</v>
        <stp/>
        <stp>##V3_BDHV12</stp>
        <stp>XOM US Equity</stp>
        <stp>GROSS_PROFIT</stp>
        <stp>FQ4 1990</stp>
        <stp>FQ4 1990</stp>
        <stp>[FA1_ftkzu3fn.xlsx]Income - Adjusted!R8C6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F8" s="2"/>
      </tp>
      <tp>
        <v>-856</v>
        <stp/>
        <stp>##V3_BDHV12</stp>
        <stp>XOM US Equity</stp>
        <stp>PROC_FR_REPURCH_EQTY_DETAILED</stp>
        <stp>FQ2 1998</stp>
        <stp>FQ2 1998</stp>
        <stp>[FA1_ftkzu3fn.xlsx]Cash Flow - Standardized!R28C36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28" s="4"/>
      </tp>
      <tp t="s">
        <v>—</v>
        <stp/>
        <stp>##V3_BDHV12</stp>
        <stp>XOM US Equity</stp>
        <stp>PROC_FR_REPURCH_EQTY_DETAILED</stp>
        <stp>FQ3 1996</stp>
        <stp>FQ3 1996</stp>
        <stp>[FA1_ftkzu3fn.xlsx]Cash Flow - Standardized!R28C29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28" s="4"/>
      </tp>
      <tp>
        <v>6.5951000000000004</v>
        <stp/>
        <stp>##V3_BDHV12</stp>
        <stp>XOM US Equity</stp>
        <stp>CHG_PCT_PERIOD</stp>
        <stp>FQ2 1996</stp>
        <stp>FQ2 1996</stp>
        <stp>[FA1_ftkzu3fn.xlsx]Stock Value!R7C28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7" s="6"/>
      </tp>
      <tp>
        <v>586.75</v>
        <stp/>
        <stp>##V3_BDHV12</stp>
        <stp>XOM US Equity</stp>
        <stp>FREE_CASH_FLOW_EQUITY</stp>
        <stp>FQ4 1997</stp>
        <stp>FQ4 1997</stp>
        <stp>[FA1_ftkzu3fn.xlsx]Cash Flow - Standardized!R42C34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42" s="4"/>
      </tp>
      <tp t="s">
        <v>—</v>
        <stp/>
        <stp>##V3_BDHV12</stp>
        <stp>XOM US Equity</stp>
        <stp>PROC_FR_REPURCH_EQTY_DETAILED</stp>
        <stp>FQ3 1995</stp>
        <stp>FQ3 1995</stp>
        <stp>[FA1_ftkzu3fn.xlsx]Cash Flow - Standardized!R28C25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28" s="4"/>
      </tp>
      <tp>
        <v>0.3</v>
        <stp/>
        <stp>##V3_BDHV12</stp>
        <stp>XOM US Equity</stp>
        <stp>IS_DIL_EPS_CONT_OPS</stp>
        <stp>FQ4 1993</stp>
        <stp>FQ4 1993</stp>
        <stp>[FA1_ftkzu3fn.xlsx]Income - Adjusted!R35C18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35" s="2"/>
      </tp>
      <tp>
        <v>-821</v>
        <stp/>
        <stp>##V3_BDHV12</stp>
        <stp>XOM US Equity</stp>
        <stp>PROC_FR_REPURCH_EQTY_DETAILED</stp>
        <stp>FQ2 1997</stp>
        <stp>FQ2 1997</stp>
        <stp>[FA1_ftkzu3fn.xlsx]Cash Flow - Standardized!R28C32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28" s="4"/>
      </tp>
      <tp t="s">
        <v>—</v>
        <stp/>
        <stp>##V3_BDHV12</stp>
        <stp>XOM US Equity</stp>
        <stp>FREE_CASH_FLOW_EQUITY</stp>
        <stp>FQ4 1996</stp>
        <stp>FQ4 1996</stp>
        <stp>[FA1_ftkzu3fn.xlsx]Cash Flow - Standardized!R42C30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42" s="4"/>
      </tp>
      <tp t="s">
        <v>—</v>
        <stp/>
        <stp>##V3_BDHV12</stp>
        <stp>XOM US Equity</stp>
        <stp>PROC_FR_REPURCH_EQTY_DETAILED</stp>
        <stp>FQ3 1994</stp>
        <stp>FQ3 1994</stp>
        <stp>[FA1_ftkzu3fn.xlsx]Cash Flow - Standardized!R28C21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28" s="4"/>
      </tp>
      <tp>
        <v>46878</v>
        <stp/>
        <stp>##V3_BDHV12</stp>
        <stp>XOM US Equity</stp>
        <stp>OTHER_INS_RES_TO_SHRHLDR_EQY</stp>
        <stp>FQ3 1991</stp>
        <stp>FQ3 1991</stp>
        <stp>[FA1_ftkzu3fn.xlsx]Bal Sheet - Standardized!R41C9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41" s="3"/>
      </tp>
      <tp>
        <v>46604</v>
        <stp/>
        <stp>##V3_BDHV12</stp>
        <stp>XOM US Equity</stp>
        <stp>OTHER_INS_RES_TO_SHRHLDR_EQY</stp>
        <stp>FQ2 1991</stp>
        <stp>FQ2 1991</stp>
        <stp>[FA1_ftkzu3fn.xlsx]Bal Sheet - Standardized!R41C8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41" s="3"/>
      </tp>
      <tp>
        <v>174</v>
        <stp/>
        <stp>##V3_BDHV12</stp>
        <stp>XOM US Equity</stp>
        <stp>BS_PFD_EQTY_&amp;_HYBRID_CPTL</stp>
        <stp>FQ1 1998</stp>
        <stp>FQ1 1998</stp>
        <stp>[FA1_ftkzu3fn.xlsx]Bal Sheet - Standardized!R38C35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38" s="3"/>
      </tp>
      <tp>
        <v>93468</v>
        <stp/>
        <stp>##V3_BDHV12</stp>
        <stp>XOM US Equity</stp>
        <stp>TOT_LIAB_AND_EQY</stp>
        <stp>FQ3 1996</stp>
        <stp>FQ3 1996</stp>
        <stp>[FA1_ftkzu3fn.xlsx]Bal Sheet - Standardized!R45C29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45" s="3"/>
      </tp>
      <tp>
        <v>93216</v>
        <stp/>
        <stp>##V3_BDHV12</stp>
        <stp>XOM US Equity</stp>
        <stp>TOT_LIAB_AND_EQY</stp>
        <stp>FQ2 1998</stp>
        <stp>FQ2 1998</stp>
        <stp>[FA1_ftkzu3fn.xlsx]Bal Sheet - Standardized!R45C36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45" s="3"/>
      </tp>
      <tp>
        <v>39</v>
        <stp/>
        <stp>##V3_BDHV12</stp>
        <stp>XOM US Equity</stp>
        <stp>PROC_FR_REPAYMNTS_BOR_DETAILED</stp>
        <stp>FQ4 1997</stp>
        <stp>FQ4 1997</stp>
        <stp>[FA1_ftkzu3fn.xlsx]Cash Flow - Standardized!R27C34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27" s="4"/>
      </tp>
      <tp t="s">
        <v>—</v>
        <stp/>
        <stp>##V3_BDHV12</stp>
        <stp>XOM US Equity</stp>
        <stp>PROC_FR_REPAYMNTS_BOR_DETAILED</stp>
        <stp>FQ4 1996</stp>
        <stp>FQ4 1996</stp>
        <stp>[FA1_ftkzu3fn.xlsx]Cash Flow - Standardized!R27C30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27" s="4"/>
      </tp>
      <tp>
        <v>292</v>
        <stp/>
        <stp>##V3_BDHV12</stp>
        <stp>XOM US Equity</stp>
        <stp>OTHER_NON_CASH_ADJ_LESS_DETAILED</stp>
        <stp>FQ1 1996</stp>
        <stp>FQ1 1996</stp>
        <stp>[FA1_ftkzu3fn.xlsx]Cash Flow - Standardized!R10C27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10" s="4"/>
      </tp>
      <tp>
        <v>94920</v>
        <stp/>
        <stp>##V3_BDHV12</stp>
        <stp>XOM US Equity</stp>
        <stp>TOT_LIAB_AND_EQY</stp>
        <stp>FQ2 1997</stp>
        <stp>FQ2 1997</stp>
        <stp>[FA1_ftkzu3fn.xlsx]Bal Sheet - Standardized!R45C32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45" s="3"/>
      </tp>
      <tp>
        <v>14.1875</v>
        <stp/>
        <stp>##V3_BDHV12</stp>
        <stp>XOM US Equity</stp>
        <stp>PX_LAST</stp>
        <stp>FQ2 1994</stp>
        <stp>FQ2 1994</stp>
        <stp>[FA1_ftkzu3fn.xlsx]Stock Value!R6C20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6" s="6"/>
      </tp>
      <tp>
        <v>87790</v>
        <stp/>
        <stp>##V3_BDHV12</stp>
        <stp>XOM US Equity</stp>
        <stp>TOT_LIAB_AND_EQY</stp>
        <stp>FQ3 1994</stp>
        <stp>FQ3 1994</stp>
        <stp>[FA1_ftkzu3fn.xlsx]Bal Sheet - Standardized!R45C21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45" s="3"/>
      </tp>
      <tp>
        <v>694</v>
        <stp/>
        <stp>##V3_BDHV12</stp>
        <stp>XOM US Equity</stp>
        <stp>BS_PFD_EQTY_&amp;_HYBRID_CPTL</stp>
        <stp>FQ3 1993</stp>
        <stp>FQ3 1993</stp>
        <stp>[FA1_ftkzu3fn.xlsx]Bal Sheet - Standardized!R38C17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38" s="3"/>
      </tp>
      <tp>
        <v>284</v>
        <stp/>
        <stp>##V3_BDHV12</stp>
        <stp>XOM US Equity</stp>
        <stp>BS_PFD_EQTY_&amp;_HYBRID_CPTL</stp>
        <stp>FQ1 1997</stp>
        <stp>FQ1 1997</stp>
        <stp>[FA1_ftkzu3fn.xlsx]Bal Sheet - Standardized!R38C31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38" s="3"/>
      </tp>
      <tp>
        <v>-62</v>
        <stp/>
        <stp>##V3_BDHV12</stp>
        <stp>XOM US Equity</stp>
        <stp>OTHER_NON_CASH_ADJ_LESS_DETAILED</stp>
        <stp>FQ2 1992</stp>
        <stp>FQ2 1992</stp>
        <stp>[FA1_ftkzu3fn.xlsx]Cash Flow - Standardized!R10C12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10" s="4"/>
      </tp>
      <tp>
        <v>90706</v>
        <stp/>
        <stp>##V3_BDHV12</stp>
        <stp>XOM US Equity</stp>
        <stp>TOT_LIAB_AND_EQY</stp>
        <stp>FQ3 1995</stp>
        <stp>FQ3 1995</stp>
        <stp>[FA1_ftkzu3fn.xlsx]Bal Sheet - Standardized!R45C25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45" s="3"/>
      </tp>
      <tp>
        <v>24.5</v>
        <stp/>
        <stp>##V3_BDHV12</stp>
        <stp>XOM US Equity</stp>
        <stp>PX_LAST</stp>
        <stp>FQ4 1996</stp>
        <stp>FQ4 1996</stp>
        <stp>[FA1_ftkzu3fn.xlsx]Stock Value!R6C30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6" s="6"/>
      </tp>
      <tp>
        <v>15.2188</v>
        <stp/>
        <stp>##V3_BDHV12</stp>
        <stp>XOM US Equity</stp>
        <stp>PX_LAST</stp>
        <stp>FQ4 1991</stp>
        <stp>FQ4 1991</stp>
        <stp>[FA1_ftkzu3fn.xlsx]Stock Value!R6C10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6" s="6"/>
      </tp>
      <tp>
        <v>795</v>
        <stp/>
        <stp>##V3_BDHV12</stp>
        <stp>XOM US Equity</stp>
        <stp>BS_PFD_EQTY_&amp;_HYBRID_CPTL</stp>
        <stp>FQ3 1992</stp>
        <stp>FQ3 1992</stp>
        <stp>[FA1_ftkzu3fn.xlsx]Bal Sheet - Standardized!R38C13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38" s="3"/>
      </tp>
      <tp>
        <v>340</v>
        <stp/>
        <stp>##V3_BDHV12</stp>
        <stp>XOM US Equity</stp>
        <stp>OTHER_NON_CASH_ADJ_LESS_DETAILED</stp>
        <stp>FQ2 1993</stp>
        <stp>FQ2 1993</stp>
        <stp>[FA1_ftkzu3fn.xlsx]Cash Flow - Standardized!R10C16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10" s="4"/>
      </tp>
      <tp>
        <v>74</v>
        <stp/>
        <stp>##V3_BDHV12</stp>
        <stp>XOM US Equity</stp>
        <stp>OTHER_NON_CASH_ADJ_LESS_DETAILED</stp>
        <stp>FQ1 1995</stp>
        <stp>FQ1 1995</stp>
        <stp>[FA1_ftkzu3fn.xlsx]Cash Flow - Standardized!R10C23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10" s="4"/>
      </tp>
      <tp t="s">
        <v>—</v>
        <stp/>
        <stp>##V3_BDHV12</stp>
        <stp>XOM US Equity</stp>
        <stp>CF_DECR_INVEST</stp>
        <stp>FQ3 1995</stp>
        <stp>FQ3 1995</stp>
        <stp>[FA1_ftkzu3fn.xlsx]Cash Flow - Standardized!R20C25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20" s="4"/>
      </tp>
      <tp t="s">
        <v>—</v>
        <stp/>
        <stp>##V3_BDHV12</stp>
        <stp>XOM US Equity</stp>
        <stp>CF_INCR_INVEST</stp>
        <stp>FQ3 1995</stp>
        <stp>FQ3 1995</stp>
        <stp>[FA1_ftkzu3fn.xlsx]Cash Flow - Standardized!R21C25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21" s="4"/>
      </tp>
      <tp>
        <v>2333</v>
        <stp/>
        <stp>##V3_BDHV12</stp>
        <stp>XOM US Equity</stp>
        <stp>IS_OPER_INC</stp>
        <stp>FQ3 1996</stp>
        <stp>FQ3 1996</stp>
        <stp>[FA1_ftkzu3fn.xlsx]Income - Adjusted!R10C29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C10" s="2"/>
      </tp>
      <tp>
        <v>0</v>
        <stp/>
        <stp>##V3_BDHV12</stp>
        <stp>XOM US Equity</stp>
        <stp>CF_DECR_INVEST</stp>
        <stp>FQ2 1997</stp>
        <stp>FQ2 1997</stp>
        <stp>[FA1_ftkzu3fn.xlsx]Cash Flow - Standardized!R20C32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20" s="4"/>
      </tp>
      <tp>
        <v>0</v>
        <stp/>
        <stp>##V3_BDHV12</stp>
        <stp>XOM US Equity</stp>
        <stp>CF_INCR_INVEST</stp>
        <stp>FQ2 1997</stp>
        <stp>FQ2 1997</stp>
        <stp>[FA1_ftkzu3fn.xlsx]Cash Flow - Standardized!R21C32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21" s="4"/>
      </tp>
      <tp>
        <v>4978.9839000000002</v>
        <stp/>
        <stp>##V3_BDHV12</stp>
        <stp>XOM US Equity</stp>
        <stp>BS_SH_OUT</stp>
        <stp>FQ1 1991</stp>
        <stp>FQ1 1991</stp>
        <stp>[FA1_ftkzu3fn.xlsx]Per Share!R6C7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6" s="5"/>
      </tp>
      <tp t="s">
        <v>—</v>
        <stp/>
        <stp>##V3_BDHV12</stp>
        <stp>XOM US Equity</stp>
        <stp>CF_DECR_INVEST</stp>
        <stp>FQ3 1994</stp>
        <stp>FQ3 1994</stp>
        <stp>[FA1_ftkzu3fn.xlsx]Cash Flow - Standardized!R20C21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20" s="4"/>
      </tp>
      <tp t="s">
        <v>—</v>
        <stp/>
        <stp>##V3_BDHV12</stp>
        <stp>XOM US Equity</stp>
        <stp>CF_INCR_INVEST</stp>
        <stp>FQ3 1994</stp>
        <stp>FQ3 1994</stp>
        <stp>[FA1_ftkzu3fn.xlsx]Cash Flow - Standardized!R21C21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21" s="4"/>
      </tp>
      <tp>
        <v>4988.2758999999996</v>
        <stp/>
        <stp>##V3_BDHV12</stp>
        <stp>XOM US Equity</stp>
        <stp>BS_SH_OUT</stp>
        <stp>FQ2 1990</stp>
        <stp>FQ2 1990</stp>
        <stp>[FA1_ftkzu3fn.xlsx]Per Share!R6C4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6" s="5"/>
      </tp>
      <tp>
        <v>4984.7402000000002</v>
        <stp/>
        <stp>##V3_BDHV12</stp>
        <stp>XOM US Equity</stp>
        <stp>BS_SH_OUT</stp>
        <stp>FQ3 1990</stp>
        <stp>FQ3 1990</stp>
        <stp>[FA1_ftkzu3fn.xlsx]Per Share!R6C5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6" s="5"/>
      </tp>
      <tp t="s">
        <v>—</v>
        <stp/>
        <stp>##V3_BDHV12</stp>
        <stp>XOM US Equity</stp>
        <stp>CF_DECR_INVEST</stp>
        <stp>FQ3 1996</stp>
        <stp>FQ3 1996</stp>
        <stp>[FA1_ftkzu3fn.xlsx]Cash Flow - Standardized!R20C29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20" s="4"/>
      </tp>
      <tp>
        <v>0</v>
        <stp/>
        <stp>##V3_BDHV12</stp>
        <stp>XOM US Equity</stp>
        <stp>CF_INCR_INVEST</stp>
        <stp>FQ2 1998</stp>
        <stp>FQ2 1998</stp>
        <stp>[FA1_ftkzu3fn.xlsx]Cash Flow - Standardized!R21C36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21" s="4"/>
      </tp>
      <tp t="s">
        <v>—</v>
        <stp/>
        <stp>##V3_BDHV12</stp>
        <stp>XOM US Equity</stp>
        <stp>CF_INCR_INVEST</stp>
        <stp>FQ3 1996</stp>
        <stp>FQ3 1996</stp>
        <stp>[FA1_ftkzu3fn.xlsx]Cash Flow - Standardized!R21C29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21" s="4"/>
      </tp>
      <tp>
        <v>0</v>
        <stp/>
        <stp>##V3_BDHV12</stp>
        <stp>XOM US Equity</stp>
        <stp>CF_DECR_INVEST</stp>
        <stp>FQ2 1998</stp>
        <stp>FQ2 1998</stp>
        <stp>[FA1_ftkzu3fn.xlsx]Cash Flow - Standardized!R20C36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20" s="4"/>
      </tp>
      <tp>
        <v>0.3</v>
        <stp/>
        <stp>##V3_BDHV12</stp>
        <stp>XOM US Equity</stp>
        <stp>IS_DIL_EPS_BEF_XO</stp>
        <stp>FQ4 1993</stp>
        <stp>FQ4 1993</stp>
        <stp>[FA1_ftkzu3fn.xlsx]Income - Adjusted!R34C18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34" s="2"/>
      </tp>
      <tp t="s">
        <v>—</v>
        <stp/>
        <stp>##V3_BDHV12</stp>
        <stp>XOM US Equity</stp>
        <stp>CF_DVD_PAID</stp>
        <stp>FQ4 1993</stp>
        <stp>FQ4 1993</stp>
        <stp>[FA1_ftkzu3fn.xlsx]Cash Flow - Standardized!R26C18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26" s="4"/>
      </tp>
      <tp>
        <v>14.875</v>
        <stp/>
        <stp>##V3_BDHV12</stp>
        <stp>XOM US Equity</stp>
        <stp>PX_LAST</stp>
        <stp>FQ3 1991</stp>
        <stp>FQ3 1991</stp>
        <stp>[FA1_ftkzu3fn.xlsx]Stock Value!R6C9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6" s="6"/>
      </tp>
      <tp t="s">
        <v>—</v>
        <stp/>
        <stp>##V3_BDHV12</stp>
        <stp>XOM US Equity</stp>
        <stp>CF_DVD_PAID</stp>
        <stp>FQ4 1992</stp>
        <stp>FQ4 1992</stp>
        <stp>[FA1_ftkzu3fn.xlsx]Cash Flow - Standardized!R26C14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26" s="4"/>
      </tp>
      <tp t="s">
        <v>—</v>
        <stp/>
        <stp>##V3_BDHV12</stp>
        <stp>XOM US Equity</stp>
        <stp>CF_DVD_PAID</stp>
        <stp>FQ4 1991</stp>
        <stp>FQ4 1991</stp>
        <stp>[FA1_ftkzu3fn.xlsx]Cash Flow - Standardized!R26C10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26" s="4"/>
      </tp>
      <tp>
        <v>16.242899999999999</v>
        <stp/>
        <stp>##V3_BDHV12</stp>
        <stp>XOM US Equity</stp>
        <stp>NET_DEBT_TO_SHRHLDR_EQTY</stp>
        <stp>FQ2 1996</stp>
        <stp>FQ2 1996</stp>
        <stp>[FA1_ftkzu3fn.xlsx]Bal Sheet - Standardized!R52C28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52" s="3"/>
      </tp>
      <tp>
        <v>16.168600000000001</v>
        <stp/>
        <stp>##V3_BDHV12</stp>
        <stp>XOM US Equity</stp>
        <stp>NET_DEBT_TO_SHRHLDR_EQTY</stp>
        <stp>FQ3 1996</stp>
        <stp>FQ3 1996</stp>
        <stp>[FA1_ftkzu3fn.xlsx]Bal Sheet - Standardized!R52C29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52" s="3"/>
      </tp>
      <tp>
        <v>0.3075</v>
        <stp/>
        <stp>##V3_BDHV12</stp>
        <stp>XOM US Equity</stp>
        <stp>IS_EARN_BEF_XO_ITEMS_PER_SH</stp>
        <stp>FQ4 1990</stp>
        <stp>FQ4 1990</stp>
        <stp>[FA1_ftkzu3fn.xlsx]Per Share!R15C6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15" s="5"/>
      </tp>
      <tp>
        <v>0.2525</v>
        <stp/>
        <stp>##V3_BDHV12</stp>
        <stp>XOM US Equity</stp>
        <stp>IS_EARN_BEF_XO_ITEMS_PER_SH</stp>
        <stp>FQ1 1990</stp>
        <stp>FQ1 1990</stp>
        <stp>[FA1_ftkzu3fn.xlsx]Per Share!R15C3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15" s="5"/>
      </tp>
      <tp>
        <v>29.668399999999998</v>
        <stp/>
        <stp>##V3_BDHV12</stp>
        <stp>XOM US Equity</stp>
        <stp>NET_DEBT_TO_SHRHLDR_EQTY</stp>
        <stp>FQ1 1994</stp>
        <stp>FQ1 1994</stp>
        <stp>[FA1_ftkzu3fn.xlsx]Bal Sheet - Standardized!R52C19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52" s="3"/>
      </tp>
      <tp>
        <v>2814</v>
        <stp/>
        <stp>##V3_BDHV12</stp>
        <stp>XOM US Equity</stp>
        <stp>EBITDA</stp>
        <stp>FQ3 1991</stp>
        <stp>FQ3 1991</stp>
        <stp>[FA1_ftkzu3fn.xlsx]Cash Flow - Standardized!R38C9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I38" s="4"/>
      </tp>
      <tp>
        <v>2910</v>
        <stp/>
        <stp>##V3_BDHV12</stp>
        <stp>XOM US Equity</stp>
        <stp>EBITDA</stp>
        <stp>FQ2 1991</stp>
        <stp>FQ2 1991</stp>
        <stp>[FA1_ftkzu3fn.xlsx]Cash Flow - Standardized!R38C8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H38" s="4"/>
      </tp>
      <tp>
        <v>13.645</v>
        <stp/>
        <stp>##V3_BDHV12</stp>
        <stp>XOM US Equity</stp>
        <stp>NET_DEBT_TO_SHRHLDR_EQTY</stp>
        <stp>FQ1 1998</stp>
        <stp>FQ1 1998</stp>
        <stp>[FA1_ftkzu3fn.xlsx]Bal Sheet - Standardized!R52C35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52" s="3"/>
      </tp>
      <tp>
        <v>15.623799999999999</v>
        <stp/>
        <stp>##V3_BDHV12</stp>
        <stp>XOM US Equity</stp>
        <stp>NET_DEBT_TO_SHRHLDR_EQTY</stp>
        <stp>FQ2 1998</stp>
        <stp>FQ2 1998</stp>
        <stp>[FA1_ftkzu3fn.xlsx]Bal Sheet - Standardized!R52C36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52" s="3"/>
      </tp>
      <tp>
        <v>0.26750000000000002</v>
        <stp/>
        <stp>##V3_BDHV12</stp>
        <stp>XOM US Equity</stp>
        <stp>IS_EARN_BEF_XO_ITEMS_PER_SH</stp>
        <stp>FQ1 1992</stp>
        <stp>FQ1 1992</stp>
        <stp>[FA1_ftkzu3fn.xlsx]Income - Adjusted!R29C11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29" s="2"/>
      </tp>
      <tp>
        <v>0.33750000000000002</v>
        <stp/>
        <stp>##V3_BDHV12</stp>
        <stp>XOM US Equity</stp>
        <stp>IS_EARN_BEF_XO_ITEMS_PER_SH</stp>
        <stp>FQ4 1995</stp>
        <stp>FQ4 1995</stp>
        <stp>[FA1_ftkzu3fn.xlsx]Income - Adjusted!R29C26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29" s="2"/>
      </tp>
      <tp>
        <v>0.505</v>
        <stp/>
        <stp>##V3_BDHV12</stp>
        <stp>XOM US Equity</stp>
        <stp>IS_EARN_BEF_XO_ITEMS_PER_SH</stp>
        <stp>FQ4 1997</stp>
        <stp>FQ4 1997</stp>
        <stp>[FA1_ftkzu3fn.xlsx]Income - Adjusted!R29C34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29" s="2"/>
      </tp>
      <tp>
        <v>11.2188</v>
        <stp/>
        <stp>##V3_BDHV12</stp>
        <stp>XOM US Equity</stp>
        <stp>PX_LOW</stp>
        <stp>FQ2 1990</stp>
        <stp>FQ2 1990</stp>
        <stp>[FA1_ftkzu3fn.xlsx]Stock Value!R10C4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10" s="6"/>
      </tp>
      <tp>
        <v>1.0783</v>
        <stp/>
        <stp>##V3_BDHV12</stp>
        <stp>XOM US Equity</stp>
        <stp>CUR_RATIO</stp>
        <stp>FQ4 1997</stp>
        <stp>FQ4 1997</stp>
        <stp>[FA1_ftkzu3fn.xlsx]Bal Sheet - Standardized!R53C34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53" s="3"/>
      </tp>
      <tp>
        <v>1.1379999999999999</v>
        <stp/>
        <stp>##V3_BDHV12</stp>
        <stp>XOM US Equity</stp>
        <stp>CUR_RATIO</stp>
        <stp>FQ1 1997</stp>
        <stp>FQ1 1997</stp>
        <stp>[FA1_ftkzu3fn.xlsx]Bal Sheet - Standardized!R53C31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53" s="3"/>
      </tp>
      <tp>
        <v>1.1101000000000001</v>
        <stp/>
        <stp>##V3_BDHV12</stp>
        <stp>XOM US Equity</stp>
        <stp>CUR_RATIO</stp>
        <stp>FQ2 1997</stp>
        <stp>FQ2 1997</stp>
        <stp>[FA1_ftkzu3fn.xlsx]Bal Sheet - Standardized!R53C32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53" s="3"/>
      </tp>
      <tp>
        <v>1.0709</v>
        <stp/>
        <stp>##V3_BDHV12</stp>
        <stp>XOM US Equity</stp>
        <stp>CUR_RATIO</stp>
        <stp>FQ3 1997</stp>
        <stp>FQ3 1997</stp>
        <stp>[FA1_ftkzu3fn.xlsx]Bal Sheet - Standardized!R53C33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53" s="3"/>
      </tp>
      <tp>
        <v>0.92430000000000001</v>
        <stp/>
        <stp>##V3_BDHV12</stp>
        <stp>XOM US Equity</stp>
        <stp>CUR_RATIO</stp>
        <stp>FQ4 1995</stp>
        <stp>FQ4 1995</stp>
        <stp>[FA1_ftkzu3fn.xlsx]Bal Sheet - Standardized!R53C26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53" s="3"/>
      </tp>
      <tp>
        <v>0.92420000000000002</v>
        <stp/>
        <stp>##V3_BDHV12</stp>
        <stp>XOM US Equity</stp>
        <stp>CUR_RATIO</stp>
        <stp>FQ1 1995</stp>
        <stp>FQ1 1995</stp>
        <stp>[FA1_ftkzu3fn.xlsx]Bal Sheet - Standardized!R53C23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53" s="3"/>
      </tp>
      <tp>
        <v>0.84730000000000005</v>
        <stp/>
        <stp>##V3_BDHV12</stp>
        <stp>XOM US Equity</stp>
        <stp>CUR_RATIO</stp>
        <stp>FQ2 1993</stp>
        <stp>FQ2 1993</stp>
        <stp>[FA1_ftkzu3fn.xlsx]Bal Sheet - Standardized!R53C16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53" s="3"/>
      </tp>
      <tp>
        <v>0.8337</v>
        <stp/>
        <stp>##V3_BDHV12</stp>
        <stp>XOM US Equity</stp>
        <stp>CUR_RATIO</stp>
        <stp>FQ3 1993</stp>
        <stp>FQ3 1993</stp>
        <stp>[FA1_ftkzu3fn.xlsx]Bal Sheet - Standardized!R53C17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53" s="3"/>
      </tp>
      <tp>
        <v>0.84940000000000004</v>
        <stp/>
        <stp>##V3_BDHV12</stp>
        <stp>XOM US Equity</stp>
        <stp>CUR_RATIO</stp>
        <stp>FQ1 1993</stp>
        <stp>FQ1 1993</stp>
        <stp>[FA1_ftkzu3fn.xlsx]Bal Sheet - Standardized!R53C15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53" s="3"/>
      </tp>
      <tp>
        <v>92396</v>
        <stp/>
        <stp>##V3_BDHV12</stp>
        <stp>XOM US Equity</stp>
        <stp>TOT_LIAB_AND_EQY</stp>
        <stp>FQ2 1996</stp>
        <stp>FQ2 1996</stp>
        <stp>[FA1_ftkzu3fn.xlsx]Bal Sheet - Standardized!R45C28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45" s="3"/>
      </tp>
      <tp>
        <v>84654</v>
        <stp/>
        <stp>##V3_BDHV12</stp>
        <stp>XOM US Equity</stp>
        <stp>TOT_LIAB_AND_EQY</stp>
        <stp>FQ1 1994</stp>
        <stp>FQ1 1994</stp>
        <stp>[FA1_ftkzu3fn.xlsx]Bal Sheet - Standardized!R45C19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45" s="3"/>
      </tp>
      <tp t="s">
        <v>—</v>
        <stp/>
        <stp>##V3_BDHV12</stp>
        <stp>XOM US Equity</stp>
        <stp>PROC_FR_REPAYMNTS_BOR_DETAILED</stp>
        <stp>FQ4 1995</stp>
        <stp>FQ4 1995</stp>
        <stp>[FA1_ftkzu3fn.xlsx]Cash Flow - Standardized!R27C26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27" s="4"/>
      </tp>
      <tp>
        <v>-159</v>
        <stp/>
        <stp>##V3_BDHV12</stp>
        <stp>XOM US Equity</stp>
        <stp>OTHER_NON_CASH_ADJ_LESS_DETAILED</stp>
        <stp>FQ1 1998</stp>
        <stp>FQ1 1998</stp>
        <stp>[FA1_ftkzu3fn.xlsx]Cash Flow - Standardized!R10C35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10" s="4"/>
      </tp>
      <tp t="s">
        <v>—</v>
        <stp/>
        <stp>##V3_BDHV12</stp>
        <stp>XOM US Equity</stp>
        <stp>PROC_FR_REPAYMNTS_BOR_DETAILED</stp>
        <stp>FQ4 1994</stp>
        <stp>FQ4 1994</stp>
        <stp>[FA1_ftkzu3fn.xlsx]Cash Flow - Standardized!R27C22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27" s="4"/>
      </tp>
      <tp>
        <v>84735</v>
        <stp/>
        <stp>##V3_BDHV12</stp>
        <stp>XOM US Equity</stp>
        <stp>TOT_LIAB_AND_EQY</stp>
        <stp>FQ1 1993</stp>
        <stp>FQ1 1993</stp>
        <stp>[FA1_ftkzu3fn.xlsx]Bal Sheet - Standardized!R45C15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45" s="3"/>
      </tp>
      <tp>
        <v>97123</v>
        <stp/>
        <stp>##V3_BDHV12</stp>
        <stp>XOM US Equity</stp>
        <stp>TOT_LIAB_AND_EQY</stp>
        <stp>FQ3 1997</stp>
        <stp>FQ3 1997</stp>
        <stp>[FA1_ftkzu3fn.xlsx]Bal Sheet - Standardized!R45C33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45" s="3"/>
      </tp>
      <tp>
        <v>86102</v>
        <stp/>
        <stp>##V3_BDHV12</stp>
        <stp>XOM US Equity</stp>
        <stp>TOT_LIAB_AND_EQY</stp>
        <stp>FQ2 1994</stp>
        <stp>FQ2 1994</stp>
        <stp>[FA1_ftkzu3fn.xlsx]Bal Sheet - Standardized!R45C20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45" s="3"/>
      </tp>
      <tp>
        <v>14.375</v>
        <stp/>
        <stp>##V3_BDHV12</stp>
        <stp>XOM US Equity</stp>
        <stp>PX_LAST</stp>
        <stp>FQ3 1994</stp>
        <stp>FQ3 1994</stp>
        <stp>[FA1_ftkzu3fn.xlsx]Stock Value!R6C21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6" s="6"/>
      </tp>
      <tp>
        <v>3</v>
        <stp/>
        <stp>##V3_BDHV12</stp>
        <stp>XOM US Equity</stp>
        <stp>BS_PFD_EQTY_&amp;_HYBRID_CPTL</stp>
        <stp>FQ2 1993</stp>
        <stp>FQ2 1993</stp>
        <stp>[FA1_ftkzu3fn.xlsx]Bal Sheet - Standardized!R38C16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38" s="3"/>
      </tp>
      <tp>
        <v>-87</v>
        <stp/>
        <stp>##V3_BDHV12</stp>
        <stp>XOM US Equity</stp>
        <stp>BS_PFD_EQTY_&amp;_HYBRID_CPTL</stp>
        <stp>FQ1 1995</stp>
        <stp>FQ1 1995</stp>
        <stp>[FA1_ftkzu3fn.xlsx]Bal Sheet - Standardized!R38C23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38" s="3"/>
      </tp>
      <tp>
        <v>257</v>
        <stp/>
        <stp>##V3_BDHV12</stp>
        <stp>XOM US Equity</stp>
        <stp>OTHER_NON_CASH_ADJ_LESS_DETAILED</stp>
        <stp>FQ3 1992</stp>
        <stp>FQ3 1992</stp>
        <stp>[FA1_ftkzu3fn.xlsx]Cash Flow - Standardized!R10C13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10" s="4"/>
      </tp>
      <tp>
        <v>13.6875</v>
        <stp/>
        <stp>##V3_BDHV12</stp>
        <stp>XOM US Equity</stp>
        <stp>PX_LAST</stp>
        <stp>FQ1 1992</stp>
        <stp>FQ1 1992</stp>
        <stp>[FA1_ftkzu3fn.xlsx]Stock Value!R6C11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6" s="6"/>
      </tp>
      <tp>
        <v>26.9375</v>
        <stp/>
        <stp>##V3_BDHV12</stp>
        <stp>XOM US Equity</stp>
        <stp>PX_LAST</stp>
        <stp>FQ1 1997</stp>
        <stp>FQ1 1997</stp>
        <stp>[FA1_ftkzu3fn.xlsx]Stock Value!R6C31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6" s="6"/>
      </tp>
      <tp>
        <v>91158</v>
        <stp/>
        <stp>##V3_BDHV12</stp>
        <stp>XOM US Equity</stp>
        <stp>TOT_LIAB_AND_EQY</stp>
        <stp>FQ2 1995</stp>
        <stp>FQ2 1995</stp>
        <stp>[FA1_ftkzu3fn.xlsx]Bal Sheet - Standardized!R45C24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45" s="3"/>
      </tp>
      <tp>
        <v>431</v>
        <stp/>
        <stp>##V3_BDHV12</stp>
        <stp>XOM US Equity</stp>
        <stp>BS_PFD_EQTY_&amp;_HYBRID_CPTL</stp>
        <stp>FQ1 1996</stp>
        <stp>FQ1 1996</stp>
        <stp>[FA1_ftkzu3fn.xlsx]Bal Sheet - Standardized!R38C27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38" s="3"/>
      </tp>
      <tp>
        <v>84507</v>
        <stp/>
        <stp>##V3_BDHV12</stp>
        <stp>XOM US Equity</stp>
        <stp>TOT_LIAB_AND_EQY</stp>
        <stp>FQ1 1992</stp>
        <stp>FQ1 1992</stp>
        <stp>[FA1_ftkzu3fn.xlsx]Bal Sheet - Standardized!R45C11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45" s="3"/>
      </tp>
      <tp>
        <v>819</v>
        <stp/>
        <stp>##V3_BDHV12</stp>
        <stp>XOM US Equity</stp>
        <stp>BS_PFD_EQTY_&amp;_HYBRID_CPTL</stp>
        <stp>FQ2 1992</stp>
        <stp>FQ2 1992</stp>
        <stp>[FA1_ftkzu3fn.xlsx]Bal Sheet - Standardized!R38C12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38" s="3"/>
      </tp>
      <tp>
        <v>-299</v>
        <stp/>
        <stp>##V3_BDHV12</stp>
        <stp>XOM US Equity</stp>
        <stp>OTHER_NON_CASH_ADJ_LESS_DETAILED</stp>
        <stp>FQ3 1993</stp>
        <stp>FQ3 1993</stp>
        <stp>[FA1_ftkzu3fn.xlsx]Cash Flow - Standardized!R10C17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10" s="4"/>
      </tp>
      <tp>
        <v>1101</v>
        <stp/>
        <stp>##V3_BDHV12</stp>
        <stp>XOM US Equity</stp>
        <stp>OTHER_NON_CASH_ADJ_LESS_DETAILED</stp>
        <stp>FQ1 1997</stp>
        <stp>FQ1 1997</stp>
        <stp>[FA1_ftkzu3fn.xlsx]Cash Flow - Standardized!R10C31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10" s="4"/>
      </tp>
      <tp t="s">
        <v>—</v>
        <stp/>
        <stp>##V3_BDHV12</stp>
        <stp>XOM US Equity</stp>
        <stp>CF_DECR_INVEST</stp>
        <stp>FQ2 1995</stp>
        <stp>FQ2 1995</stp>
        <stp>[FA1_ftkzu3fn.xlsx]Cash Flow - Standardized!R20C24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20" s="4"/>
      </tp>
      <tp t="s">
        <v>—</v>
        <stp/>
        <stp>##V3_BDHV12</stp>
        <stp>XOM US Equity</stp>
        <stp>CF_INCR_INVEST</stp>
        <stp>FQ2 1995</stp>
        <stp>FQ2 1995</stp>
        <stp>[FA1_ftkzu3fn.xlsx]Cash Flow - Standardized!R21C24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21" s="4"/>
      </tp>
      <tp>
        <v>2282</v>
        <stp/>
        <stp>##V3_BDHV12</stp>
        <stp>XOM US Equity</stp>
        <stp>IS_OPER_INC</stp>
        <stp>FQ2 1996</stp>
        <stp>FQ2 1996</stp>
        <stp>[FA1_ftkzu3fn.xlsx]Income - Adjusted!R10C28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B10" s="2"/>
      </tp>
      <tp>
        <v>1914</v>
        <stp/>
        <stp>##V3_BDHV12</stp>
        <stp>XOM US Equity</stp>
        <stp>IS_OPER_INC</stp>
        <stp>FQ2 1998</stp>
        <stp>FQ2 1998</stp>
        <stp>[FA1_ftkzu3fn.xlsx]Income - Adjusted!R10C36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J10" s="2"/>
      </tp>
      <tp t="s">
        <v>—</v>
        <stp/>
        <stp>##V3_BDHV12</stp>
        <stp>XOM US Equity</stp>
        <stp>CF_DECR_INVEST</stp>
        <stp>FQ1 1992</stp>
        <stp>FQ1 1992</stp>
        <stp>[FA1_ftkzu3fn.xlsx]Cash Flow - Standardized!R20C11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20" s="4"/>
      </tp>
      <tp t="s">
        <v>—</v>
        <stp/>
        <stp>##V3_BDHV12</stp>
        <stp>XOM US Equity</stp>
        <stp>CF_INCR_INVEST</stp>
        <stp>FQ1 1992</stp>
        <stp>FQ1 1992</stp>
        <stp>[FA1_ftkzu3fn.xlsx]Cash Flow - Standardized!R21C11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21" s="4"/>
      </tp>
      <tp>
        <v>0</v>
        <stp/>
        <stp>##V3_BDHV12</stp>
        <stp>XOM US Equity</stp>
        <stp>CF_DECR_INVEST</stp>
        <stp>FQ3 1997</stp>
        <stp>FQ3 1997</stp>
        <stp>[FA1_ftkzu3fn.xlsx]Cash Flow - Standardized!R20C33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20" s="4"/>
      </tp>
      <tp t="s">
        <v>—</v>
        <stp/>
        <stp>##V3_BDHV12</stp>
        <stp>XOM US Equity</stp>
        <stp>CF_DECR_INVEST</stp>
        <stp>FQ1 1993</stp>
        <stp>FQ1 1993</stp>
        <stp>[FA1_ftkzu3fn.xlsx]Cash Flow - Standardized!R20C15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20" s="4"/>
      </tp>
      <tp t="s">
        <v>—</v>
        <stp/>
        <stp>##V3_BDHV12</stp>
        <stp>XOM US Equity</stp>
        <stp>CF_INCR_INVEST</stp>
        <stp>FQ1 1993</stp>
        <stp>FQ1 1993</stp>
        <stp>[FA1_ftkzu3fn.xlsx]Cash Flow - Standardized!R21C15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21" s="4"/>
      </tp>
      <tp>
        <v>0</v>
        <stp/>
        <stp>##V3_BDHV12</stp>
        <stp>XOM US Equity</stp>
        <stp>CF_INCR_INVEST</stp>
        <stp>FQ3 1997</stp>
        <stp>FQ3 1997</stp>
        <stp>[FA1_ftkzu3fn.xlsx]Cash Flow - Standardized!R21C33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21" s="4"/>
      </tp>
      <tp t="s">
        <v>—</v>
        <stp/>
        <stp>##V3_BDHV12</stp>
        <stp>XOM US Equity</stp>
        <stp>CF_DECR_INVEST</stp>
        <stp>FQ2 1994</stp>
        <stp>FQ2 1994</stp>
        <stp>[FA1_ftkzu3fn.xlsx]Cash Flow - Standardized!R20C20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20" s="4"/>
      </tp>
      <tp t="s">
        <v>—</v>
        <stp/>
        <stp>##V3_BDHV12</stp>
        <stp>XOM US Equity</stp>
        <stp>CF_INCR_INVEST</stp>
        <stp>FQ2 1994</stp>
        <stp>FQ2 1994</stp>
        <stp>[FA1_ftkzu3fn.xlsx]Cash Flow - Standardized!R21C20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21" s="4"/>
      </tp>
      <tp t="s">
        <v>—</v>
        <stp/>
        <stp>##V3_BDHV12</stp>
        <stp>XOM US Equity</stp>
        <stp>CF_DECR_INVEST</stp>
        <stp>FQ2 1996</stp>
        <stp>FQ2 1996</stp>
        <stp>[FA1_ftkzu3fn.xlsx]Cash Flow - Standardized!R20C28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20" s="4"/>
      </tp>
      <tp t="s">
        <v>—</v>
        <stp/>
        <stp>##V3_BDHV12</stp>
        <stp>XOM US Equity</stp>
        <stp>CF_DECR_INVEST</stp>
        <stp>FQ1 1994</stp>
        <stp>FQ1 1994</stp>
        <stp>[FA1_ftkzu3fn.xlsx]Cash Flow - Standardized!R20C19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20" s="4"/>
      </tp>
      <tp t="s">
        <v>—</v>
        <stp/>
        <stp>##V3_BDHV12</stp>
        <stp>XOM US Equity</stp>
        <stp>CF_INCR_INVEST</stp>
        <stp>FQ2 1996</stp>
        <stp>FQ2 1996</stp>
        <stp>[FA1_ftkzu3fn.xlsx]Cash Flow - Standardized!R21C28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21" s="4"/>
      </tp>
      <tp t="s">
        <v>—</v>
        <stp/>
        <stp>##V3_BDHV12</stp>
        <stp>XOM US Equity</stp>
        <stp>CF_INCR_INVEST</stp>
        <stp>FQ1 1994</stp>
        <stp>FQ1 1994</stp>
        <stp>[FA1_ftkzu3fn.xlsx]Cash Flow - Standardized!R21C19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21" s="4"/>
      </tp>
      <tp>
        <v>14.5313</v>
        <stp/>
        <stp>##V3_BDHV12</stp>
        <stp>XOM US Equity</stp>
        <stp>PX_LAST</stp>
        <stp>FQ2 1991</stp>
        <stp>FQ2 1991</stp>
        <stp>[FA1_ftkzu3fn.xlsx]Stock Value!R6C8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6" s="6"/>
      </tp>
      <tp t="s">
        <v>—</v>
        <stp/>
        <stp>##V3_BDHV12</stp>
        <stp>XOM US Equity</stp>
        <stp>IS_FOREIGN_EXCH_LOSS</stp>
        <stp>FQ1 1998</stp>
        <stp>FQ1 1998</stp>
        <stp>[FA1_ftkzu3fn.xlsx]Income - Adjusted!R12C35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I12" s="2"/>
      </tp>
      <tp t="s">
        <v>—</v>
        <stp/>
        <stp>##V3_BDHV12</stp>
        <stp>XOM US Equity</stp>
        <stp>IS_FOREIGN_EXCH_LOSS</stp>
        <stp>FQ1 1994</stp>
        <stp>FQ1 1994</stp>
        <stp>[FA1_ftkzu3fn.xlsx]Income - Adjusted!R12C19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S12" s="2"/>
      </tp>
      <tp>
        <v>11.6875</v>
        <stp/>
        <stp>##V3_BDHV12</stp>
        <stp>XOM US Equity</stp>
        <stp>PX_LOW</stp>
        <stp>FQ3 1990</stp>
        <stp>FQ3 1990</stp>
        <stp>[FA1_ftkzu3fn.xlsx]Stock Value!R10C5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10" s="6"/>
      </tp>
      <tp>
        <v>0.85440000000000005</v>
        <stp/>
        <stp>##V3_BDHV12</stp>
        <stp>XOM US Equity</stp>
        <stp>CUR_RATIO</stp>
        <stp>FQ3 1994</stp>
        <stp>FQ3 1994</stp>
        <stp>[FA1_ftkzu3fn.xlsx]Bal Sheet - Standardized!R53C21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53" s="3"/>
      </tp>
      <tp>
        <v>0.84630000000000005</v>
        <stp/>
        <stp>##V3_BDHV12</stp>
        <stp>XOM US Equity</stp>
        <stp>CUR_RATIO</stp>
        <stp>FQ2 1994</stp>
        <stp>FQ2 1994</stp>
        <stp>[FA1_ftkzu3fn.xlsx]Bal Sheet - Standardized!R53C20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53" s="3"/>
      </tp>
      <tp>
        <v>0</v>
        <stp/>
        <stp>##V3_BDHV12</stp>
        <stp>XOM US Equity</stp>
        <stp>BS_PFD_EQTY_&amp;_HYBRID_CPTL</stp>
        <stp>FQ2 1996</stp>
        <stp>FQ2 1996</stp>
        <stp>[FA1_ftkzu3fn.xlsx]Bal Sheet - Standardized!R38C28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38" s="3"/>
      </tp>
      <tp>
        <v>641</v>
        <stp/>
        <stp>##V3_BDHV12</stp>
        <stp>XOM US Equity</stp>
        <stp>BS_PFD_EQTY_&amp;_HYBRID_CPTL</stp>
        <stp>FQ1 1994</stp>
        <stp>FQ1 1994</stp>
        <stp>[FA1_ftkzu3fn.xlsx]Bal Sheet - Standardized!R38C19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38" s="3"/>
      </tp>
      <tp t="s">
        <v>—</v>
        <stp/>
        <stp>##V3_BDHV12</stp>
        <stp>XOM US Equity</stp>
        <stp>PROC_FR_REPAYMNTS_BOR_DETAILED</stp>
        <stp>FQ4 1991</stp>
        <stp>FQ4 1991</stp>
        <stp>[FA1_ftkzu3fn.xlsx]Cash Flow - Standardized!R27C10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27" s="4"/>
      </tp>
      <tp>
        <v>-87</v>
        <stp/>
        <stp>##V3_BDHV12</stp>
        <stp>XOM US Equity</stp>
        <stp>OTHER_NON_CASH_ADJ_LESS_DETAILED</stp>
        <stp>FQ2 1998</stp>
        <stp>FQ2 1998</stp>
        <stp>[FA1_ftkzu3fn.xlsx]Cash Flow - Standardized!R10C36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10" s="4"/>
      </tp>
      <tp>
        <v>-198</v>
        <stp/>
        <stp>##V3_BDHV12</stp>
        <stp>XOM US Equity</stp>
        <stp>OTHER_NON_CASH_ADJ_LESS_DETAILED</stp>
        <stp>FQ3 1996</stp>
        <stp>FQ3 1996</stp>
        <stp>[FA1_ftkzu3fn.xlsx]Cash Flow - Standardized!R10C29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10" s="4"/>
      </tp>
      <tp t="s">
        <v>—</v>
        <stp/>
        <stp>##V3_BDHV12</stp>
        <stp>XOM US Equity</stp>
        <stp>PROC_FR_REPAYMNTS_BOR_DETAILED</stp>
        <stp>FQ4 1992</stp>
        <stp>FQ4 1992</stp>
        <stp>[FA1_ftkzu3fn.xlsx]Cash Flow - Standardized!R27C14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27" s="4"/>
      </tp>
      <tp>
        <v>84550</v>
        <stp/>
        <stp>##V3_BDHV12</stp>
        <stp>XOM US Equity</stp>
        <stp>TOT_LIAB_AND_EQY</stp>
        <stp>FQ2 1993</stp>
        <stp>FQ2 1993</stp>
        <stp>[FA1_ftkzu3fn.xlsx]Bal Sheet - Standardized!R45C16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45" s="3"/>
      </tp>
      <tp>
        <v>91271</v>
        <stp/>
        <stp>##V3_BDHV12</stp>
        <stp>XOM US Equity</stp>
        <stp>TOT_LIAB_AND_EQY</stp>
        <stp>FQ1 1995</stp>
        <stp>FQ1 1995</stp>
        <stp>[FA1_ftkzu3fn.xlsx]Bal Sheet - Standardized!R45C23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45" s="3"/>
      </tp>
      <tp>
        <v>15.4688</v>
        <stp/>
        <stp>##V3_BDHV12</stp>
        <stp>XOM US Equity</stp>
        <stp>PX_LAST</stp>
        <stp>FQ2 1992</stp>
        <stp>FQ2 1992</stp>
        <stp>[FA1_ftkzu3fn.xlsx]Stock Value!R6C12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6" s="6"/>
      </tp>
      <tp>
        <v>30.625</v>
        <stp/>
        <stp>##V3_BDHV12</stp>
        <stp>XOM US Equity</stp>
        <stp>PX_LAST</stp>
        <stp>FQ2 1997</stp>
        <stp>FQ2 1997</stp>
        <stp>[FA1_ftkzu3fn.xlsx]Stock Value!R6C32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6" s="6"/>
      </tp>
      <tp>
        <v>744</v>
        <stp/>
        <stp>##V3_BDHV12</stp>
        <stp>XOM US Equity</stp>
        <stp>BS_PFD_EQTY_&amp;_HYBRID_CPTL</stp>
        <stp>FQ1 1993</stp>
        <stp>FQ1 1993</stp>
        <stp>[FA1_ftkzu3fn.xlsx]Bal Sheet - Standardized!R38C15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38" s="3"/>
      </tp>
      <tp>
        <v>206</v>
        <stp/>
        <stp>##V3_BDHV12</stp>
        <stp>XOM US Equity</stp>
        <stp>BS_PFD_EQTY_&amp;_HYBRID_CPTL</stp>
        <stp>FQ3 1997</stp>
        <stp>FQ3 1997</stp>
        <stp>[FA1_ftkzu3fn.xlsx]Bal Sheet - Standardized!R38C33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38" s="3"/>
      </tp>
      <tp>
        <v>612</v>
        <stp/>
        <stp>##V3_BDHV12</stp>
        <stp>XOM US Equity</stp>
        <stp>BS_PFD_EQTY_&amp;_HYBRID_CPTL</stp>
        <stp>FQ2 1994</stp>
        <stp>FQ2 1994</stp>
        <stp>[FA1_ftkzu3fn.xlsx]Bal Sheet - Standardized!R38C20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38" s="3"/>
      </tp>
      <tp>
        <v>987</v>
        <stp/>
        <stp>##V3_BDHV12</stp>
        <stp>XOM US Equity</stp>
        <stp>OTHER_NON_CASH_ADJ_LESS_DETAILED</stp>
        <stp>FQ3 1995</stp>
        <stp>FQ3 1995</stp>
        <stp>[FA1_ftkzu3fn.xlsx]Cash Flow - Standardized!R10C25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10" s="4"/>
      </tp>
      <tp t="s">
        <v>—</v>
        <stp/>
        <stp>##V3_BDHV12</stp>
        <stp>XOM US Equity</stp>
        <stp>PROC_FR_REPAYMNTS_BOR_DETAILED</stp>
        <stp>FQ4 1993</stp>
        <stp>FQ4 1993</stp>
        <stp>[FA1_ftkzu3fn.xlsx]Cash Flow - Standardized!R27C18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27" s="4"/>
      </tp>
      <tp>
        <v>87218</v>
        <stp/>
        <stp>##V3_BDHV12</stp>
        <stp>XOM US Equity</stp>
        <stp>TOT_LIAB_AND_EQY</stp>
        <stp>FQ2 1992</stp>
        <stp>FQ2 1992</stp>
        <stp>[FA1_ftkzu3fn.xlsx]Bal Sheet - Standardized!R45C12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45" s="3"/>
      </tp>
      <tp>
        <v>0</v>
        <stp/>
        <stp>##V3_BDHV12</stp>
        <stp>XOM US Equity</stp>
        <stp>BS_PFD_EQTY_&amp;_HYBRID_CPTL</stp>
        <stp>FQ2 1995</stp>
        <stp>FQ2 1995</stp>
        <stp>[FA1_ftkzu3fn.xlsx]Bal Sheet - Standardized!R38C24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38" s="3"/>
      </tp>
      <tp>
        <v>589</v>
        <stp/>
        <stp>##V3_BDHV12</stp>
        <stp>XOM US Equity</stp>
        <stp>OTHER_NON_CASH_ADJ_LESS_DETAILED</stp>
        <stp>FQ3 1994</stp>
        <stp>FQ3 1994</stp>
        <stp>[FA1_ftkzu3fn.xlsx]Cash Flow - Standardized!R10C21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10" s="4"/>
      </tp>
      <tp>
        <v>15.1875</v>
        <stp/>
        <stp>##V3_BDHV12</stp>
        <stp>XOM US Equity</stp>
        <stp>PX_LAST</stp>
        <stp>FQ4 1994</stp>
        <stp>FQ4 1994</stp>
        <stp>[FA1_ftkzu3fn.xlsx]Stock Value!R6C22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6" s="6"/>
      </tp>
      <tp>
        <v>-70</v>
        <stp/>
        <stp>##V3_BDHV12</stp>
        <stp>XOM US Equity</stp>
        <stp>BS_PFD_EQTY_&amp;_HYBRID_CPTL</stp>
        <stp>FQ1 1992</stp>
        <stp>FQ1 1992</stp>
        <stp>[FA1_ftkzu3fn.xlsx]Bal Sheet - Standardized!R38C11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38" s="3"/>
      </tp>
      <tp>
        <v>223</v>
        <stp/>
        <stp>##V3_BDHV12</stp>
        <stp>XOM US Equity</stp>
        <stp>OTHER_NON_CASH_ADJ_LESS_DETAILED</stp>
        <stp>FQ2 1997</stp>
        <stp>FQ2 1997</stp>
        <stp>[FA1_ftkzu3fn.xlsx]Cash Flow - Standardized!R10C32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10" s="4"/>
      </tp>
      <tp>
        <v>92579</v>
        <stp/>
        <stp>##V3_BDHV12</stp>
        <stp>XOM US Equity</stp>
        <stp>TOT_LIAB_AND_EQY</stp>
        <stp>FQ1 1996</stp>
        <stp>FQ1 1996</stp>
        <stp>[FA1_ftkzu3fn.xlsx]Bal Sheet - Standardized!R45C27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45" s="3"/>
      </tp>
      <tp>
        <v>1723</v>
        <stp/>
        <stp>##V3_BDHV12</stp>
        <stp>XOM US Equity</stp>
        <stp>IS_OPER_INC</stp>
        <stp>FQ1 1994</stp>
        <stp>FQ1 1994</stp>
        <stp>[FA1_ftkzu3fn.xlsx]Income - Adjusted!R10C19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S10" s="2"/>
      </tp>
      <tp>
        <v>2336</v>
        <stp/>
        <stp>##V3_BDHV12</stp>
        <stp>XOM US Equity</stp>
        <stp>IS_OPER_INC</stp>
        <stp>FQ1 1998</stp>
        <stp>FQ1 1998</stp>
        <stp>[FA1_ftkzu3fn.xlsx]Income - Adjusted!R10C35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I10" s="2"/>
      </tp>
      <tp t="s">
        <v>—</v>
        <stp/>
        <stp>##V3_BDHV12</stp>
        <stp>XOM US Equity</stp>
        <stp>CF_DECR_INVEST</stp>
        <stp>FQ2 1992</stp>
        <stp>FQ2 1992</stp>
        <stp>[FA1_ftkzu3fn.xlsx]Cash Flow - Standardized!R20C12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20" s="4"/>
      </tp>
      <tp t="s">
        <v>—</v>
        <stp/>
        <stp>##V3_BDHV12</stp>
        <stp>XOM US Equity</stp>
        <stp>CF_INCR_INVEST</stp>
        <stp>FQ2 1992</stp>
        <stp>FQ2 1992</stp>
        <stp>[FA1_ftkzu3fn.xlsx]Cash Flow - Standardized!R21C12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21" s="4"/>
      </tp>
      <tp t="s">
        <v>—</v>
        <stp/>
        <stp>##V3_BDHV12</stp>
        <stp>XOM US Equity</stp>
        <stp>CF_DECR_INVEST</stp>
        <stp>FQ1 1996</stp>
        <stp>FQ1 1996</stp>
        <stp>[FA1_ftkzu3fn.xlsx]Cash Flow - Standardized!R20C27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20" s="4"/>
      </tp>
      <tp t="s">
        <v>—</v>
        <stp/>
        <stp>##V3_BDHV12</stp>
        <stp>XOM US Equity</stp>
        <stp>CF_INCR_INVEST</stp>
        <stp>FQ1 1996</stp>
        <stp>FQ1 1996</stp>
        <stp>[FA1_ftkzu3fn.xlsx]Cash Flow - Standardized!R21C27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21" s="4"/>
      </tp>
      <tp t="s">
        <v>—</v>
        <stp/>
        <stp>##V3_BDHV12</stp>
        <stp>XOM US Equity</stp>
        <stp>CF_DECR_INVEST</stp>
        <stp>FQ1 1995</stp>
        <stp>FQ1 1995</stp>
        <stp>[FA1_ftkzu3fn.xlsx]Cash Flow - Standardized!R20C23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20" s="4"/>
      </tp>
      <tp t="s">
        <v>—</v>
        <stp/>
        <stp>##V3_BDHV12</stp>
        <stp>XOM US Equity</stp>
        <stp>CF_DECR_INVEST</stp>
        <stp>FQ2 1993</stp>
        <stp>FQ2 1993</stp>
        <stp>[FA1_ftkzu3fn.xlsx]Cash Flow - Standardized!R20C16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20" s="4"/>
      </tp>
      <tp t="s">
        <v>—</v>
        <stp/>
        <stp>##V3_BDHV12</stp>
        <stp>XOM US Equity</stp>
        <stp>CF_INCR_INVEST</stp>
        <stp>FQ2 1993</stp>
        <stp>FQ2 1993</stp>
        <stp>[FA1_ftkzu3fn.xlsx]Cash Flow - Standardized!R21C16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21" s="4"/>
      </tp>
      <tp t="s">
        <v>—</v>
        <stp/>
        <stp>##V3_BDHV12</stp>
        <stp>XOM US Equity</stp>
        <stp>CF_INCR_INVEST</stp>
        <stp>FQ1 1995</stp>
        <stp>FQ1 1995</stp>
        <stp>[FA1_ftkzu3fn.xlsx]Cash Flow - Standardized!R21C23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21" s="4"/>
      </tp>
      <tp>
        <v>0.3</v>
        <stp/>
        <stp>##V3_BDHV12</stp>
        <stp>XOM US Equity</stp>
        <stp>IS_DIL_EPS_CONT_OPS</stp>
        <stp>FQ4 1993</stp>
        <stp>FQ4 1993</stp>
        <stp>[FA1_ftkzu3fn.xlsx]Per Share!R19C18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19" s="5"/>
      </tp>
      <tp t="s">
        <v>—</v>
        <stp/>
        <stp>##V3_BDHV12</stp>
        <stp>XOM US Equity</stp>
        <stp>CF_DVD_PAID</stp>
        <stp>FQ4 1996</stp>
        <stp>FQ4 1996</stp>
        <stp>[FA1_ftkzu3fn.xlsx]Cash Flow - Standardized!R26C30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26" s="4"/>
      </tp>
      <tp>
        <v>-1014</v>
        <stp/>
        <stp>##V3_BDHV12</stp>
        <stp>XOM US Equity</stp>
        <stp>CF_DVD_PAID</stp>
        <stp>FQ4 1997</stp>
        <stp>FQ4 1997</stp>
        <stp>[FA1_ftkzu3fn.xlsx]Cash Flow - Standardized!R26C34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26" s="4"/>
      </tp>
      <tp t="s">
        <v>—</v>
        <stp/>
        <stp>##V3_BDHV12</stp>
        <stp>XOM US Equity</stp>
        <stp>IS_FOREIGN_EXCH_LOSS</stp>
        <stp>FQ2 1998</stp>
        <stp>FQ2 1998</stp>
        <stp>[FA1_ftkzu3fn.xlsx]Income - Adjusted!R12C36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J12" s="2"/>
      </tp>
      <tp t="s">
        <v>—</v>
        <stp/>
        <stp>##V3_BDHV12</stp>
        <stp>XOM US Equity</stp>
        <stp>IS_FOREIGN_EXCH_LOSS</stp>
        <stp>FQ2 1996</stp>
        <stp>FQ2 1996</stp>
        <stp>[FA1_ftkzu3fn.xlsx]Income - Adjusted!R12C28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B12" s="2"/>
      </tp>
      <tp>
        <v>0.22500000000000001</v>
        <stp/>
        <stp>##V3_BDHV12</stp>
        <stp>XOM US Equity</stp>
        <stp>IS_EARN_BEF_XO_ITEMS_PER_SH</stp>
        <stp>FQ3 1992</stp>
        <stp>FQ3 1992</stp>
        <stp>[FA1_ftkzu3fn.xlsx]Income - Adjusted!R29C13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29" s="2"/>
      </tp>
      <tp>
        <v>0.32500000000000001</v>
        <stp/>
        <stp>##V3_BDHV12</stp>
        <stp>XOM US Equity</stp>
        <stp>IS_EARN_BEF_XO_ITEMS_PER_SH</stp>
        <stp>FQ2 1995</stp>
        <stp>FQ2 1995</stp>
        <stp>[FA1_ftkzu3fn.xlsx]Income - Adjusted!R29C24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29" s="2"/>
      </tp>
      <tp>
        <v>0.38</v>
        <stp/>
        <stp>##V3_BDHV12</stp>
        <stp>XOM US Equity</stp>
        <stp>IS_EARN_BEF_XO_ITEMS_PER_SH</stp>
        <stp>FQ1 1996</stp>
        <stp>FQ1 1996</stp>
        <stp>[FA1_ftkzu3fn.xlsx]Income - Adjusted!R29C27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29" s="2"/>
      </tp>
      <tp>
        <v>0.2225</v>
        <stp/>
        <stp>##V3_BDHV12</stp>
        <stp>XOM US Equity</stp>
        <stp>IS_EARN_BEF_XO_ITEMS_PER_SH</stp>
        <stp>FQ4 1991</stp>
        <stp>FQ4 1991</stp>
        <stp>[FA1_ftkzu3fn.xlsx]Income - Adjusted!R29C10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29" s="2"/>
      </tp>
      <tp>
        <v>11.6563</v>
        <stp/>
        <stp>##V3_BDHV12</stp>
        <stp>XOM US Equity</stp>
        <stp>PX_LOW</stp>
        <stp>FQ4 1990</stp>
        <stp>FQ4 1990</stp>
        <stp>[FA1_ftkzu3fn.xlsx]Stock Value!R10C6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10" s="6"/>
      </tp>
      <tp>
        <v>0.81579999999999997</v>
        <stp/>
        <stp>##V3_BDHV12</stp>
        <stp>XOM US Equity</stp>
        <stp>CUR_RATIO</stp>
        <stp>FQ4 1991</stp>
        <stp>FQ4 1991</stp>
        <stp>[FA1_ftkzu3fn.xlsx]Bal Sheet - Standardized!R53C10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53" s="3"/>
      </tp>
      <tp>
        <v>134</v>
        <stp/>
        <stp>##V3_BDHV12</stp>
        <stp>XOM US Equity</stp>
        <stp>BS_PFD_EQTY_&amp;_HYBRID_CPTL</stp>
        <stp>FQ2 1998</stp>
        <stp>FQ2 1998</stp>
        <stp>[FA1_ftkzu3fn.xlsx]Bal Sheet - Standardized!R38C36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38" s="3"/>
      </tp>
      <tp>
        <v>322</v>
        <stp/>
        <stp>##V3_BDHV12</stp>
        <stp>XOM US Equity</stp>
        <stp>BS_PFD_EQTY_&amp;_HYBRID_CPTL</stp>
        <stp>FQ3 1996</stp>
        <stp>FQ3 1996</stp>
        <stp>[FA1_ftkzu3fn.xlsx]Bal Sheet - Standardized!R38C29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38" s="3"/>
      </tp>
      <tp>
        <v>94953</v>
        <stp/>
        <stp>##V3_BDHV12</stp>
        <stp>XOM US Equity</stp>
        <stp>TOT_LIAB_AND_EQY</stp>
        <stp>FQ1 1998</stp>
        <stp>FQ1 1998</stp>
        <stp>[FA1_ftkzu3fn.xlsx]Bal Sheet - Standardized!R45C35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45" s="3"/>
      </tp>
      <tp>
        <v>472</v>
        <stp/>
        <stp>##V3_BDHV12</stp>
        <stp>XOM US Equity</stp>
        <stp>OTHER_NON_CASH_ADJ_LESS_DETAILED</stp>
        <stp>FQ2 1996</stp>
        <stp>FQ2 1996</stp>
        <stp>[FA1_ftkzu3fn.xlsx]Cash Flow - Standardized!R10C28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10" s="4"/>
      </tp>
      <tp>
        <v>59</v>
        <stp/>
        <stp>##V3_BDHV12</stp>
        <stp>XOM US Equity</stp>
        <stp>OTHER_NON_CASH_ADJ_LESS_DETAILED</stp>
        <stp>FQ1 1994</stp>
        <stp>FQ1 1994</stp>
        <stp>[FA1_ftkzu3fn.xlsx]Cash Flow - Standardized!R10C19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10" s="4"/>
      </tp>
      <tp>
        <v>84987</v>
        <stp/>
        <stp>##V3_BDHV12</stp>
        <stp>XOM US Equity</stp>
        <stp>TOT_LIAB_AND_EQY</stp>
        <stp>FQ3 1993</stp>
        <stp>FQ3 1993</stp>
        <stp>[FA1_ftkzu3fn.xlsx]Bal Sheet - Standardized!R45C17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45" s="3"/>
      </tp>
      <tp>
        <v>95647</v>
        <stp/>
        <stp>##V3_BDHV12</stp>
        <stp>XOM US Equity</stp>
        <stp>TOT_LIAB_AND_EQY</stp>
        <stp>FQ1 1997</stp>
        <stp>FQ1 1997</stp>
        <stp>[FA1_ftkzu3fn.xlsx]Bal Sheet - Standardized!R45C31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45" s="3"/>
      </tp>
      <tp>
        <v>15.9688</v>
        <stp/>
        <stp>##V3_BDHV12</stp>
        <stp>XOM US Equity</stp>
        <stp>PX_LAST</stp>
        <stp>FQ3 1992</stp>
        <stp>FQ3 1992</stp>
        <stp>[FA1_ftkzu3fn.xlsx]Stock Value!R6C13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6" s="6"/>
      </tp>
      <tp>
        <v>32.031300000000002</v>
        <stp/>
        <stp>##V3_BDHV12</stp>
        <stp>XOM US Equity</stp>
        <stp>PX_LAST</stp>
        <stp>FQ3 1997</stp>
        <stp>FQ3 1997</stp>
        <stp>[FA1_ftkzu3fn.xlsx]Stock Value!R6C33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6" s="6"/>
      </tp>
      <tp>
        <v>221</v>
        <stp/>
        <stp>##V3_BDHV12</stp>
        <stp>XOM US Equity</stp>
        <stp>BS_PFD_EQTY_&amp;_HYBRID_CPTL</stp>
        <stp>FQ2 1997</stp>
        <stp>FQ2 1997</stp>
        <stp>[FA1_ftkzu3fn.xlsx]Bal Sheet - Standardized!R38C32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38" s="3"/>
      </tp>
      <tp>
        <v>-128</v>
        <stp/>
        <stp>##V3_BDHV12</stp>
        <stp>XOM US Equity</stp>
        <stp>OTHER_NON_CASH_ADJ_LESS_DETAILED</stp>
        <stp>FQ1 1992</stp>
        <stp>FQ1 1992</stp>
        <stp>[FA1_ftkzu3fn.xlsx]Cash Flow - Standardized!R10C11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10" s="4"/>
      </tp>
      <tp>
        <v>583</v>
        <stp/>
        <stp>##V3_BDHV12</stp>
        <stp>XOM US Equity</stp>
        <stp>BS_PFD_EQTY_&amp;_HYBRID_CPTL</stp>
        <stp>FQ3 1994</stp>
        <stp>FQ3 1994</stp>
        <stp>[FA1_ftkzu3fn.xlsx]Bal Sheet - Standardized!R38C21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38" s="3"/>
      </tp>
      <tp>
        <v>310</v>
        <stp/>
        <stp>##V3_BDHV12</stp>
        <stp>XOM US Equity</stp>
        <stp>OTHER_NON_CASH_ADJ_LESS_DETAILED</stp>
        <stp>FQ2 1995</stp>
        <stp>FQ2 1995</stp>
        <stp>[FA1_ftkzu3fn.xlsx]Cash Flow - Standardized!R10C24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10" s="4"/>
      </tp>
      <tp>
        <v>16.656300000000002</v>
        <stp/>
        <stp>##V3_BDHV12</stp>
        <stp>XOM US Equity</stp>
        <stp>PX_LAST</stp>
        <stp>FQ1 1995</stp>
        <stp>FQ1 1995</stp>
        <stp>[FA1_ftkzu3fn.xlsx]Stock Value!R6C23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6" s="6"/>
      </tp>
      <tp>
        <v>87543</v>
        <stp/>
        <stp>##V3_BDHV12</stp>
        <stp>XOM US Equity</stp>
        <stp>TOT_LIAB_AND_EQY</stp>
        <stp>FQ3 1992</stp>
        <stp>FQ3 1992</stp>
        <stp>[FA1_ftkzu3fn.xlsx]Bal Sheet - Standardized!R45C13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45" s="3"/>
      </tp>
      <tp>
        <v>482</v>
        <stp/>
        <stp>##V3_BDHV12</stp>
        <stp>XOM US Equity</stp>
        <stp>BS_PFD_EQTY_&amp;_HYBRID_CPTL</stp>
        <stp>FQ3 1995</stp>
        <stp>FQ3 1995</stp>
        <stp>[FA1_ftkzu3fn.xlsx]Bal Sheet - Standardized!R38C25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38" s="3"/>
      </tp>
      <tp>
        <v>-144</v>
        <stp/>
        <stp>##V3_BDHV12</stp>
        <stp>XOM US Equity</stp>
        <stp>OTHER_NON_CASH_ADJ_LESS_DETAILED</stp>
        <stp>FQ2 1994</stp>
        <stp>FQ2 1994</stp>
        <stp>[FA1_ftkzu3fn.xlsx]Cash Flow - Standardized!R10C20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10" s="4"/>
      </tp>
      <tp>
        <v>-35</v>
        <stp/>
        <stp>##V3_BDHV12</stp>
        <stp>XOM US Equity</stp>
        <stp>OTHER_NON_CASH_ADJ_LESS_DETAILED</stp>
        <stp>FQ1 1993</stp>
        <stp>FQ1 1993</stp>
        <stp>[FA1_ftkzu3fn.xlsx]Cash Flow - Standardized!R10C15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10" s="4"/>
      </tp>
      <tp>
        <v>434</v>
        <stp/>
        <stp>##V3_BDHV12</stp>
        <stp>XOM US Equity</stp>
        <stp>OTHER_NON_CASH_ADJ_LESS_DETAILED</stp>
        <stp>FQ3 1997</stp>
        <stp>FQ3 1997</stp>
        <stp>[FA1_ftkzu3fn.xlsx]Cash Flow - Standardized!R10C33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10" s="4"/>
      </tp>
      <tp t="s">
        <v>—</v>
        <stp/>
        <stp>##V3_BDHV12</stp>
        <stp>XOM US Equity</stp>
        <stp>CF_DECR_INVEST</stp>
        <stp>FQ3 1992</stp>
        <stp>FQ3 1992</stp>
        <stp>[FA1_ftkzu3fn.xlsx]Cash Flow - Standardized!R20C13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20" s="4"/>
      </tp>
      <tp t="s">
        <v>—</v>
        <stp/>
        <stp>##V3_BDHV12</stp>
        <stp>XOM US Equity</stp>
        <stp>CF_INCR_INVEST</stp>
        <stp>FQ3 1992</stp>
        <stp>FQ3 1992</stp>
        <stp>[FA1_ftkzu3fn.xlsx]Cash Flow - Standardized!R21C13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21" s="4"/>
      </tp>
      <tp>
        <v>0</v>
        <stp/>
        <stp>##V3_BDHV12</stp>
        <stp>XOM US Equity</stp>
        <stp>CF_DECR_INVEST</stp>
        <stp>FQ1 1997</stp>
        <stp>FQ1 1997</stp>
        <stp>[FA1_ftkzu3fn.xlsx]Cash Flow - Standardized!R20C31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20" s="4"/>
      </tp>
      <tp t="s">
        <v>—</v>
        <stp/>
        <stp>##V3_BDHV12</stp>
        <stp>XOM US Equity</stp>
        <stp>CF_DECR_INVEST</stp>
        <stp>FQ3 1993</stp>
        <stp>FQ3 1993</stp>
        <stp>[FA1_ftkzu3fn.xlsx]Cash Flow - Standardized!R20C17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20" s="4"/>
      </tp>
      <tp t="s">
        <v>—</v>
        <stp/>
        <stp>##V3_BDHV12</stp>
        <stp>XOM US Equity</stp>
        <stp>CF_INCR_INVEST</stp>
        <stp>FQ3 1993</stp>
        <stp>FQ3 1993</stp>
        <stp>[FA1_ftkzu3fn.xlsx]Cash Flow - Standardized!R21C17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21" s="4"/>
      </tp>
      <tp>
        <v>0</v>
        <stp/>
        <stp>##V3_BDHV12</stp>
        <stp>XOM US Equity</stp>
        <stp>CF_INCR_INVEST</stp>
        <stp>FQ1 1997</stp>
        <stp>FQ1 1997</stp>
        <stp>[FA1_ftkzu3fn.xlsx]Cash Flow - Standardized!R21C31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21" s="4"/>
      </tp>
      <tp>
        <v>0</v>
        <stp/>
        <stp>##V3_BDHV12</stp>
        <stp>XOM US Equity</stp>
        <stp>CF_INCR_INVEST</stp>
        <stp>FQ1 1998</stp>
        <stp>FQ1 1998</stp>
        <stp>[FA1_ftkzu3fn.xlsx]Cash Flow - Standardized!R21C35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21" s="4"/>
      </tp>
      <tp>
        <v>0</v>
        <stp/>
        <stp>##V3_BDHV12</stp>
        <stp>XOM US Equity</stp>
        <stp>CF_DECR_INVEST</stp>
        <stp>FQ1 1998</stp>
        <stp>FQ1 1998</stp>
        <stp>[FA1_ftkzu3fn.xlsx]Cash Flow - Standardized!R20C35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20" s="4"/>
      </tp>
      <tp t="s">
        <v>—</v>
        <stp/>
        <stp>##V3_BDHV12</stp>
        <stp>XOM US Equity</stp>
        <stp>CF_DVD_PAID</stp>
        <stp>FQ4 1994</stp>
        <stp>FQ4 1994</stp>
        <stp>[FA1_ftkzu3fn.xlsx]Cash Flow - Standardized!R26C22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26" s="4"/>
      </tp>
      <tp t="s">
        <v>—</v>
        <stp/>
        <stp>##V3_BDHV12</stp>
        <stp>XOM US Equity</stp>
        <stp>CF_DVD_PAID</stp>
        <stp>FQ4 1995</stp>
        <stp>FQ4 1995</stp>
        <stp>[FA1_ftkzu3fn.xlsx]Cash Flow - Standardized!R26C26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26" s="4"/>
      </tp>
      <tp>
        <v>29.480699999999999</v>
        <stp/>
        <stp>##V3_BDHV12</stp>
        <stp>XOM US Equity</stp>
        <stp>NET_DEBT_TO_SHRHLDR_EQTY</stp>
        <stp>FQ4 1993</stp>
        <stp>FQ4 1993</stp>
        <stp>[FA1_ftkzu3fn.xlsx]Bal Sheet - Standardized!R52C18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52" s="3"/>
      </tp>
      <tp>
        <v>12.625</v>
        <stp/>
        <stp>##V3_BDHV12</stp>
        <stp>XOM US Equity</stp>
        <stp>PX_HIGH</stp>
        <stp>FQ1 1990</stp>
        <stp>FQ1 1990</stp>
        <stp>[FA1_ftkzu3fn.xlsx]Stock Value!R9C3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9" s="6"/>
      </tp>
      <tp t="s">
        <v>—</v>
        <stp/>
        <stp>##V3_BDHV12</stp>
        <stp>XOM US Equity</stp>
        <stp>IS_FOREIGN_EXCH_LOSS</stp>
        <stp>FQ3 1996</stp>
        <stp>FQ3 1996</stp>
        <stp>[FA1_ftkzu3fn.xlsx]Income - Adjusted!R12C29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C12" s="2"/>
      </tp>
      <tp>
        <v>0.3</v>
        <stp/>
        <stp>##V3_BDHV12</stp>
        <stp>XOM US Equity</stp>
        <stp>IS_EARN_BEF_XO_ITEMS_PER_SH</stp>
        <stp>FQ3 1995</stp>
        <stp>FQ3 1995</stp>
        <stp>[FA1_ftkzu3fn.xlsx]Income - Adjusted!R29C25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29" s="2"/>
      </tp>
      <tp>
        <v>0.19</v>
        <stp/>
        <stp>##V3_BDHV12</stp>
        <stp>XOM US Equity</stp>
        <stp>IS_EARN_BEF_XO_ITEMS_PER_SH</stp>
        <stp>FQ2 1992</stp>
        <stp>FQ2 1992</stp>
        <stp>[FA1_ftkzu3fn.xlsx]Income - Adjusted!R29C12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29" s="2"/>
      </tp>
      <tp>
        <v>12.4063</v>
        <stp/>
        <stp>##V3_BDHV12</stp>
        <stp>XOM US Equity</stp>
        <stp>PX_LOW</stp>
        <stp>FQ1 1991</stp>
        <stp>FQ1 1991</stp>
        <stp>[FA1_ftkzu3fn.xlsx]Stock Value!R10C7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10" s="6"/>
      </tp>
      <tp>
        <v>5479</v>
        <stp/>
        <stp>##V3_BDHV12</stp>
        <stp>XOM US Equity</stp>
        <stp>EBIT</stp>
        <stp>FQ4 1993</stp>
        <stp>FQ4 1993</stp>
        <stp>[FA1_ftkzu3fn.xlsx]Income - Adjusted!R41C18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R41" s="2"/>
      </tp>
      <tp>
        <v>84145</v>
        <stp/>
        <stp>##V3_BDHV12</stp>
        <stp>XOM US Equity</stp>
        <stp>TOT_LIAB_AND_EQY</stp>
        <stp>FQ4 1993</stp>
        <stp>FQ4 1993</stp>
        <stp>[FA1_ftkzu3fn.xlsx]Bal Sheet - Standardized!R45C18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45" s="3"/>
      </tp>
      <tp t="s">
        <v>—</v>
        <stp/>
        <stp>##V3_BDHV12</stp>
        <stp>XOM US Equity</stp>
        <stp>PROC_FR_REPAYMNTS_BOR_DETAILED</stp>
        <stp>FQ2 1993</stp>
        <stp>FQ2 1993</stp>
        <stp>[FA1_ftkzu3fn.xlsx]Cash Flow - Standardized!R27C16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27" s="4"/>
      </tp>
      <tp t="s">
        <v>—</v>
        <stp/>
        <stp>##V3_BDHV12</stp>
        <stp>XOM US Equity</stp>
        <stp>PROC_FR_REPAYMNTS_BOR_DETAILED</stp>
        <stp>FQ1 1995</stp>
        <stp>FQ1 1995</stp>
        <stp>[FA1_ftkzu3fn.xlsx]Cash Flow - Standardized!R27C23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27" s="4"/>
      </tp>
      <tp t="s">
        <v>—</v>
        <stp/>
        <stp>##V3_BDHV12</stp>
        <stp>XOM US Equity</stp>
        <stp>PROC_FR_REPAYMNTS_BOR_DETAILED</stp>
        <stp>FQ1 1996</stp>
        <stp>FQ1 1996</stp>
        <stp>[FA1_ftkzu3fn.xlsx]Cash Flow - Standardized!R27C27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27" s="4"/>
      </tp>
      <tp t="s">
        <v>—</v>
        <stp/>
        <stp>##V3_BDHV12</stp>
        <stp>XOM US Equity</stp>
        <stp>PROC_FR_REPAYMNTS_BOR_DETAILED</stp>
        <stp>FQ2 1992</stp>
        <stp>FQ2 1992</stp>
        <stp>[FA1_ftkzu3fn.xlsx]Cash Flow - Standardized!R27C12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27" s="4"/>
      </tp>
      <tp>
        <v>17.656300000000002</v>
        <stp/>
        <stp>##V3_BDHV12</stp>
        <stp>XOM US Equity</stp>
        <stp>PX_LAST</stp>
        <stp>FQ2 1995</stp>
        <stp>FQ2 1995</stp>
        <stp>[FA1_ftkzu3fn.xlsx]Stock Value!R6C24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6" s="6"/>
      </tp>
      <tp>
        <v>454</v>
        <stp/>
        <stp>##V3_BDHV12</stp>
        <stp>XOM US Equity</stp>
        <stp>BS_PFD_EQTY_&amp;_HYBRID_CPTL</stp>
        <stp>FQ4 1995</stp>
        <stp>FQ4 1995</stp>
        <stp>[FA1_ftkzu3fn.xlsx]Bal Sheet - Standardized!R38C26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38" s="3"/>
      </tp>
      <tp>
        <v>1178</v>
        <stp/>
        <stp>##V3_BDHV12</stp>
        <stp>XOM US Equity</stp>
        <stp>OTHER_NON_CASH_ADJ_LESS_DETAILED</stp>
        <stp>FQ4 1996</stp>
        <stp>FQ4 1996</stp>
        <stp>[FA1_ftkzu3fn.xlsx]Cash Flow - Standardized!R10C30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10" s="4"/>
      </tp>
      <tp>
        <v>87560</v>
        <stp/>
        <stp>##V3_BDHV12</stp>
        <stp>XOM US Equity</stp>
        <stp>TOT_LIAB_AND_EQY</stp>
        <stp>FQ4 1991</stp>
        <stp>FQ4 1991</stp>
        <stp>[FA1_ftkzu3fn.xlsx]Bal Sheet - Standardized!R45C10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45" s="3"/>
      </tp>
      <tp>
        <v>85030</v>
        <stp/>
        <stp>##V3_BDHV12</stp>
        <stp>XOM US Equity</stp>
        <stp>TOT_LIAB_AND_EQY</stp>
        <stp>FQ4 1992</stp>
        <stp>FQ4 1992</stp>
        <stp>[FA1_ftkzu3fn.xlsx]Bal Sheet - Standardized!R45C14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45" s="3"/>
      </tp>
      <tp>
        <v>30.593800000000002</v>
        <stp/>
        <stp>##V3_BDHV12</stp>
        <stp>XOM US Equity</stp>
        <stp>PX_LAST</stp>
        <stp>FQ4 1997</stp>
        <stp>FQ4 1997</stp>
        <stp>[FA1_ftkzu3fn.xlsx]Stock Value!R6C34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6" s="6"/>
      </tp>
      <tp>
        <v>15.2813</v>
        <stp/>
        <stp>##V3_BDHV12</stp>
        <stp>XOM US Equity</stp>
        <stp>PX_LAST</stp>
        <stp>FQ4 1992</stp>
        <stp>FQ4 1992</stp>
        <stp>[FA1_ftkzu3fn.xlsx]Stock Value!R6C14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6" s="6"/>
      </tp>
      <tp>
        <v>554</v>
        <stp/>
        <stp>##V3_BDHV12</stp>
        <stp>XOM US Equity</stp>
        <stp>BS_PFD_EQTY_&amp;_HYBRID_CPTL</stp>
        <stp>FQ4 1994</stp>
        <stp>FQ4 1994</stp>
        <stp>[FA1_ftkzu3fn.xlsx]Bal Sheet - Standardized!R38C22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38" s="3"/>
      </tp>
      <tp>
        <v>-45</v>
        <stp/>
        <stp>##V3_BDHV12</stp>
        <stp>XOM US Equity</stp>
        <stp>OTHER_NON_CASH_ADJ_LESS_DETAILED</stp>
        <stp>FQ4 1997</stp>
        <stp>FQ4 1997</stp>
        <stp>[FA1_ftkzu3fn.xlsx]Cash Flow - Standardized!R10C34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10" s="4"/>
      </tp>
      <tp>
        <v>4980</v>
        <stp/>
        <stp>##V3_BDHV12</stp>
        <stp>XOM US Equity</stp>
        <stp>BS_SH_OUT</stp>
        <stp>FQ4 1990</stp>
        <stp>FQ4 1990</stp>
        <stp>[FA1_ftkzu3fn.xlsx]Per Share!R6C6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6" s="5"/>
      </tp>
      <tp>
        <v>5479</v>
        <stp/>
        <stp>##V3_BDHV12</stp>
        <stp>XOM US Equity</stp>
        <stp>IS_OPER_INC</stp>
        <stp>FQ4 1993</stp>
        <stp>FQ4 1993</stp>
        <stp>[FA1_ftkzu3fn.xlsx]Income - Adjusted!R10C18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R10" s="2"/>
      </tp>
      <tp t="s">
        <v>—</v>
        <stp/>
        <stp>##V3_BDHV12</stp>
        <stp>XOM US Equity</stp>
        <stp>CF_DECR_INVEST</stp>
        <stp>FQ4 1992</stp>
        <stp>FQ4 1992</stp>
        <stp>[FA1_ftkzu3fn.xlsx]Cash Flow - Standardized!R20C14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20" s="4"/>
      </tp>
      <tp t="s">
        <v>—</v>
        <stp/>
        <stp>##V3_BDHV12</stp>
        <stp>XOM US Equity</stp>
        <stp>CF_INCR_INVEST</stp>
        <stp>FQ4 1992</stp>
        <stp>FQ4 1992</stp>
        <stp>[FA1_ftkzu3fn.xlsx]Cash Flow - Standardized!R21C14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21" s="4"/>
      </tp>
      <tp>
        <v>4993.7559000000001</v>
        <stp/>
        <stp>##V3_BDHV12</stp>
        <stp>XOM US Equity</stp>
        <stp>BS_SH_OUT</stp>
        <stp>FQ1 1990</stp>
        <stp>FQ1 1990</stp>
        <stp>[FA1_ftkzu3fn.xlsx]Per Share!R6C3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6" s="5"/>
      </tp>
      <tp t="s">
        <v>—</v>
        <stp/>
        <stp>##V3_BDHV12</stp>
        <stp>XOM US Equity</stp>
        <stp>CF_DECR_INVEST</stp>
        <stp>FQ4 1991</stp>
        <stp>FQ4 1991</stp>
        <stp>[FA1_ftkzu3fn.xlsx]Cash Flow - Standardized!R20C10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20" s="4"/>
      </tp>
      <tp t="s">
        <v>—</v>
        <stp/>
        <stp>##V3_BDHV12</stp>
        <stp>XOM US Equity</stp>
        <stp>CF_INCR_INVEST</stp>
        <stp>FQ4 1991</stp>
        <stp>FQ4 1991</stp>
        <stp>[FA1_ftkzu3fn.xlsx]Cash Flow - Standardized!R21C10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21" s="4"/>
      </tp>
      <tp t="s">
        <v>—</v>
        <stp/>
        <stp>##V3_BDHV12</stp>
        <stp>XOM US Equity</stp>
        <stp>CF_DECR_INVEST</stp>
        <stp>FQ4 1993</stp>
        <stp>FQ4 1993</stp>
        <stp>[FA1_ftkzu3fn.xlsx]Cash Flow - Standardized!R20C18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20" s="4"/>
      </tp>
      <tp t="s">
        <v>—</v>
        <stp/>
        <stp>##V3_BDHV12</stp>
        <stp>XOM US Equity</stp>
        <stp>CF_INCR_INVEST</stp>
        <stp>FQ4 1993</stp>
        <stp>FQ4 1993</stp>
        <stp>[FA1_ftkzu3fn.xlsx]Cash Flow - Standardized!R21C18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21" s="4"/>
      </tp>
      <tp>
        <v>2284</v>
        <stp/>
        <stp>##V3_BDHV12</stp>
        <stp>XOM US Equity</stp>
        <stp>BS_NUM_OF_TSY_SH</stp>
        <stp>FQ4 1993</stp>
        <stp>FQ4 1993</stp>
        <stp>[FA1_ftkzu3fn.xlsx]Bal Sheet - Standardized!R50C18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50" s="3"/>
      </tp>
      <tp>
        <v>0.31</v>
        <stp/>
        <stp>##V3_BDHV12</stp>
        <stp>XOM US Equity</stp>
        <stp>IS_DIL_EPS_BEF_XO</stp>
        <stp>FQ3 1996</stp>
        <stp>FQ3 1996</stp>
        <stp>[FA1_ftkzu3fn.xlsx]Income - Adjusted!R34C29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34" s="2"/>
      </tp>
      <tp t="s">
        <v>—</v>
        <stp/>
        <stp>##V3_BDHV12</stp>
        <stp>XOM US Equity</stp>
        <stp>CF_DVD_PAID</stp>
        <stp>FQ3 1996</stp>
        <stp>FQ3 1996</stp>
        <stp>[FA1_ftkzu3fn.xlsx]Cash Flow - Standardized!R26C29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26" s="4"/>
      </tp>
      <tp>
        <v>-1079</v>
        <stp/>
        <stp>##V3_BDHV12</stp>
        <stp>XOM US Equity</stp>
        <stp>CF_DVD_PAID</stp>
        <stp>FQ2 1998</stp>
        <stp>FQ2 1998</stp>
        <stp>[FA1_ftkzu3fn.xlsx]Cash Flow - Standardized!R26C36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26" s="4"/>
      </tp>
      <tp t="s">
        <v>—</v>
        <stp/>
        <stp>##V3_BDHV12</stp>
        <stp>XOM US Equity</stp>
        <stp>CF_DVD_PAID</stp>
        <stp>FQ3 1995</stp>
        <stp>FQ3 1995</stp>
        <stp>[FA1_ftkzu3fn.xlsx]Cash Flow - Standardized!R26C25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26" s="4"/>
      </tp>
      <tp>
        <v>0.38</v>
        <stp/>
        <stp>##V3_BDHV12</stp>
        <stp>XOM US Equity</stp>
        <stp>IS_DIL_EPS_CONT_OPS</stp>
        <stp>FQ1 1998</stp>
        <stp>FQ1 1998</stp>
        <stp>[FA1_ftkzu3fn.xlsx]Per Share!R19C35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19" s="5"/>
      </tp>
      <tp>
        <v>0.23</v>
        <stp/>
        <stp>##V3_BDHV12</stp>
        <stp>XOM US Equity</stp>
        <stp>IS_DIL_EPS_CONT_OPS</stp>
        <stp>FQ1 1994</stp>
        <stp>FQ1 1994</stp>
        <stp>[FA1_ftkzu3fn.xlsx]Per Share!R19C19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19" s="5"/>
      </tp>
      <tp>
        <v>-1021</v>
        <stp/>
        <stp>##V3_BDHV12</stp>
        <stp>XOM US Equity</stp>
        <stp>CF_DVD_PAID</stp>
        <stp>FQ2 1997</stp>
        <stp>FQ2 1997</stp>
        <stp>[FA1_ftkzu3fn.xlsx]Cash Flow - Standardized!R26C32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26" s="4"/>
      </tp>
      <tp t="s">
        <v>—</v>
        <stp/>
        <stp>##V3_BDHV12</stp>
        <stp>XOM US Equity</stp>
        <stp>CF_DVD_PAID</stp>
        <stp>FQ3 1994</stp>
        <stp>FQ3 1994</stp>
        <stp>[FA1_ftkzu3fn.xlsx]Cash Flow - Standardized!R26C21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26" s="4"/>
      </tp>
      <tp>
        <v>0.21249999999999999</v>
        <stp/>
        <stp>##V3_BDHV12</stp>
        <stp>XOM US Equity</stp>
        <stp>IS_EARN_BEF_XO_ITEMS_PER_SH</stp>
        <stp>FQ3 1990</stp>
        <stp>FQ3 1990</stp>
        <stp>[FA1_ftkzu3fn.xlsx]Per Share!R15C5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15" s="5"/>
      </tp>
      <tp>
        <v>0.2175</v>
        <stp/>
        <stp>##V3_BDHV12</stp>
        <stp>XOM US Equity</stp>
        <stp>IS_EARN_BEF_XO_ITEMS_PER_SH</stp>
        <stp>FQ2 1990</stp>
        <stp>FQ2 1990</stp>
        <stp>[FA1_ftkzu3fn.xlsx]Per Share!R15C4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15" s="5"/>
      </tp>
      <tp>
        <v>12.3125</v>
        <stp/>
        <stp>##V3_BDHV12</stp>
        <stp>XOM US Equity</stp>
        <stp>PX_HIGH</stp>
        <stp>FQ2 1990</stp>
        <stp>FQ2 1990</stp>
        <stp>[FA1_ftkzu3fn.xlsx]Stock Value!R9C4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9" s="6"/>
      </tp>
      <tp>
        <v>0.94159999999999999</v>
        <stp/>
        <stp>##V3_BDHV12</stp>
        <stp>XOM US Equity</stp>
        <stp>CUR_RATIO</stp>
        <stp>FQ3 1995</stp>
        <stp>FQ3 1995</stp>
        <stp>[FA1_ftkzu3fn.xlsx]Bal Sheet - Standardized!R53C25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53" s="3"/>
      </tp>
      <tp>
        <v>0.92420000000000002</v>
        <stp/>
        <stp>##V3_BDHV12</stp>
        <stp>XOM US Equity</stp>
        <stp>CUR_RATIO</stp>
        <stp>FQ2 1995</stp>
        <stp>FQ2 1995</stp>
        <stp>[FA1_ftkzu3fn.xlsx]Bal Sheet - Standardized!R53C24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53" s="3"/>
      </tp>
      <tp t="s">
        <v>—</v>
        <stp/>
        <stp>##V3_BDHV12</stp>
        <stp>XOM US Equity</stp>
        <stp>PROC_FR_REPAYMNTS_BOR_DETAILED</stp>
        <stp>FQ3 1993</stp>
        <stp>FQ3 1993</stp>
        <stp>[FA1_ftkzu3fn.xlsx]Cash Flow - Standardized!R27C17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27" s="4"/>
      </tp>
      <tp>
        <v>84</v>
        <stp/>
        <stp>##V3_BDHV12</stp>
        <stp>XOM US Equity</stp>
        <stp>PROC_FR_REPAYMNTS_BOR_DETAILED</stp>
        <stp>FQ1 1997</stp>
        <stp>FQ1 1997</stp>
        <stp>[FA1_ftkzu3fn.xlsx]Cash Flow - Standardized!R27C31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27" s="4"/>
      </tp>
      <tp t="s">
        <v>—</v>
        <stp/>
        <stp>##V3_BDHV12</stp>
        <stp>XOM US Equity</stp>
        <stp>PROC_FR_REPAYMNTS_BOR_DETAILED</stp>
        <stp>FQ3 1992</stp>
        <stp>FQ3 1992</stp>
        <stp>[FA1_ftkzu3fn.xlsx]Cash Flow - Standardized!R27C13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27" s="4"/>
      </tp>
      <tp>
        <v>-186</v>
        <stp/>
        <stp>##V3_BDHV12</stp>
        <stp>XOM US Equity</stp>
        <stp>PROC_FR_REPAYMNTS_BOR_DETAILED</stp>
        <stp>FQ1 1998</stp>
        <stp>FQ1 1998</stp>
        <stp>[FA1_ftkzu3fn.xlsx]Cash Flow - Standardized!R27C35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27" s="4"/>
      </tp>
      <tp>
        <v>18.0625</v>
        <stp/>
        <stp>##V3_BDHV12</stp>
        <stp>XOM US Equity</stp>
        <stp>PX_LAST</stp>
        <stp>FQ3 1995</stp>
        <stp>FQ3 1995</stp>
        <stp>[FA1_ftkzu3fn.xlsx]Stock Value!R6C25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6" s="6"/>
      </tp>
      <tp>
        <v>190</v>
        <stp/>
        <stp>##V3_BDHV12</stp>
        <stp>XOM US Equity</stp>
        <stp>BS_PFD_EQTY_&amp;_HYBRID_CPTL</stp>
        <stp>FQ4 1997</stp>
        <stp>FQ4 1997</stp>
        <stp>[FA1_ftkzu3fn.xlsx]Bal Sheet - Standardized!R38C34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38" s="3"/>
      </tp>
      <tp>
        <v>-479</v>
        <stp/>
        <stp>##V3_BDHV12</stp>
        <stp>XOM US Equity</stp>
        <stp>OTHER_NON_CASH_ADJ_LESS_DETAILED</stp>
        <stp>FQ4 1994</stp>
        <stp>FQ4 1994</stp>
        <stp>[FA1_ftkzu3fn.xlsx]Cash Flow - Standardized!R10C22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10" s="4"/>
      </tp>
      <tp>
        <v>16.531300000000002</v>
        <stp/>
        <stp>##V3_BDHV12</stp>
        <stp>XOM US Equity</stp>
        <stp>PX_LAST</stp>
        <stp>FQ1 1993</stp>
        <stp>FQ1 1993</stp>
        <stp>[FA1_ftkzu3fn.xlsx]Stock Value!R6C15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6" s="6"/>
      </tp>
      <tp>
        <v>33.8125</v>
        <stp/>
        <stp>##V3_BDHV12</stp>
        <stp>XOM US Equity</stp>
        <stp>PX_LAST</stp>
        <stp>FQ1 1998</stp>
        <stp>FQ1 1998</stp>
        <stp>[FA1_ftkzu3fn.xlsx]Stock Value!R6C35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6" s="6"/>
      </tp>
      <tp>
        <v>303</v>
        <stp/>
        <stp>##V3_BDHV12</stp>
        <stp>XOM US Equity</stp>
        <stp>BS_PFD_EQTY_&amp;_HYBRID_CPTL</stp>
        <stp>FQ4 1996</stp>
        <stp>FQ4 1996</stp>
        <stp>[FA1_ftkzu3fn.xlsx]Bal Sheet - Standardized!R38C30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38" s="3"/>
      </tp>
      <tp>
        <v>630</v>
        <stp/>
        <stp>##V3_BDHV12</stp>
        <stp>XOM US Equity</stp>
        <stp>OTHER_NON_CASH_ADJ_LESS_DETAILED</stp>
        <stp>FQ4 1995</stp>
        <stp>FQ4 1995</stp>
        <stp>[FA1_ftkzu3fn.xlsx]Cash Flow - Standardized!R10C26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10" s="4"/>
      </tp>
      <tp>
        <v>0.32500000000000001</v>
        <stp/>
        <stp>##V3_BDHV12</stp>
        <stp>XOM US Equity</stp>
        <stp>IS_DIL_EPS_BEF_XO</stp>
        <stp>FQ2 1998</stp>
        <stp>FQ2 1998</stp>
        <stp>[FA1_ftkzu3fn.xlsx]Income - Adjusted!R34C36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34" s="2"/>
      </tp>
      <tp>
        <v>0.31</v>
        <stp/>
        <stp>##V3_BDHV12</stp>
        <stp>XOM US Equity</stp>
        <stp>IS_DIL_EPS_BEF_XO</stp>
        <stp>FQ2 1996</stp>
        <stp>FQ2 1996</stp>
        <stp>[FA1_ftkzu3fn.xlsx]Income - Adjusted!R34C28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34" s="2"/>
      </tp>
      <tp t="s">
        <v>—</v>
        <stp/>
        <stp>##V3_BDHV12</stp>
        <stp>XOM US Equity</stp>
        <stp>CF_DVD_PAID</stp>
        <stp>FQ1 1994</stp>
        <stp>FQ1 1994</stp>
        <stp>[FA1_ftkzu3fn.xlsx]Cash Flow - Standardized!R26C19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26" s="4"/>
      </tp>
      <tp t="s">
        <v>—</v>
        <stp/>
        <stp>##V3_BDHV12</stp>
        <stp>XOM US Equity</stp>
        <stp>CF_DVD_PAID</stp>
        <stp>FQ2 1996</stp>
        <stp>FQ2 1996</stp>
        <stp>[FA1_ftkzu3fn.xlsx]Cash Flow - Standardized!R26C28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26" s="4"/>
      </tp>
      <tp t="s">
        <v>—</v>
        <stp/>
        <stp>##V3_BDHV12</stp>
        <stp>XOM US Equity</stp>
        <stp>CF_DVD_PAID</stp>
        <stp>FQ2 1995</stp>
        <stp>FQ2 1995</stp>
        <stp>[FA1_ftkzu3fn.xlsx]Cash Flow - Standardized!R26C24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26" s="4"/>
      </tp>
      <tp t="s">
        <v>—</v>
        <stp/>
        <stp>##V3_BDHV12</stp>
        <stp>XOM US Equity</stp>
        <stp>CF_DVD_PAID</stp>
        <stp>FQ1 1992</stp>
        <stp>FQ1 1992</stp>
        <stp>[FA1_ftkzu3fn.xlsx]Cash Flow - Standardized!R26C11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26" s="4"/>
      </tp>
      <tp>
        <v>-1017</v>
        <stp/>
        <stp>##V3_BDHV12</stp>
        <stp>XOM US Equity</stp>
        <stp>CF_DVD_PAID</stp>
        <stp>FQ3 1997</stp>
        <stp>FQ3 1997</stp>
        <stp>[FA1_ftkzu3fn.xlsx]Cash Flow - Standardized!R26C33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26" s="4"/>
      </tp>
      <tp t="s">
        <v>—</v>
        <stp/>
        <stp>##V3_BDHV12</stp>
        <stp>XOM US Equity</stp>
        <stp>CF_DVD_PAID</stp>
        <stp>FQ1 1993</stp>
        <stp>FQ1 1993</stp>
        <stp>[FA1_ftkzu3fn.xlsx]Cash Flow - Standardized!R26C15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26" s="4"/>
      </tp>
      <tp t="s">
        <v>—</v>
        <stp/>
        <stp>##V3_BDHV12</stp>
        <stp>XOM US Equity</stp>
        <stp>CF_DVD_PAID</stp>
        <stp>FQ2 1994</stp>
        <stp>FQ2 1994</stp>
        <stp>[FA1_ftkzu3fn.xlsx]Cash Flow - Standardized!R26C20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26" s="4"/>
      </tp>
      <tp>
        <v>0.44500000000000001</v>
        <stp/>
        <stp>##V3_BDHV12</stp>
        <stp>XOM US Equity</stp>
        <stp>IS_EARN_BEF_XO_ITEMS_PER_SH</stp>
        <stp>FQ1 1991</stp>
        <stp>FQ1 1991</stp>
        <stp>[FA1_ftkzu3fn.xlsx]Per Share!R15C7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15" s="5"/>
      </tp>
      <tp>
        <v>13.7813</v>
        <stp/>
        <stp>##V3_BDHV12</stp>
        <stp>XOM US Equity</stp>
        <stp>PX_HIGH</stp>
        <stp>FQ3 1990</stp>
        <stp>FQ3 1990</stp>
        <stp>[FA1_ftkzu3fn.xlsx]Stock Value!R9C5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9" s="6"/>
      </tp>
      <tp>
        <v>0.23499999999999999</v>
        <stp/>
        <stp>##V3_BDHV12</stp>
        <stp>XOM US Equity</stp>
        <stp>IS_EARN_BEF_XO_ITEMS_PER_SH</stp>
        <stp>FQ1 1993</stp>
        <stp>FQ1 1993</stp>
        <stp>[FA1_ftkzu3fn.xlsx]Income - Adjusted!R29C15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29" s="2"/>
      </tp>
      <tp>
        <v>0.33250000000000002</v>
        <stp/>
        <stp>##V3_BDHV12</stp>
        <stp>XOM US Equity</stp>
        <stp>IS_EARN_BEF_XO_ITEMS_PER_SH</stp>
        <stp>FQ1 1995</stp>
        <stp>FQ1 1995</stp>
        <stp>[FA1_ftkzu3fn.xlsx]Income - Adjusted!R29C23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29" s="2"/>
      </tp>
      <tp>
        <v>0.435</v>
        <stp/>
        <stp>##V3_BDHV12</stp>
        <stp>XOM US Equity</stp>
        <stp>IS_EARN_BEF_XO_ITEMS_PER_SH</stp>
        <stp>FQ1 1997</stp>
        <stp>FQ1 1997</stp>
        <stp>[FA1_ftkzu3fn.xlsx]Income - Adjusted!R29C31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29" s="2"/>
      </tp>
      <tp>
        <v>0.38250000000000001</v>
        <stp/>
        <stp>##V3_BDHV12</stp>
        <stp>XOM US Equity</stp>
        <stp>IS_EARN_BEF_XO_ITEMS_PER_SH</stp>
        <stp>FQ4 1994</stp>
        <stp>FQ4 1994</stp>
        <stp>[FA1_ftkzu3fn.xlsx]Income - Adjusted!R29C22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29" s="2"/>
      </tp>
      <tp>
        <v>0.5</v>
        <stp/>
        <stp>##V3_BDHV12</stp>
        <stp>XOM US Equity</stp>
        <stp>IS_EARN_BEF_XO_ITEMS_PER_SH</stp>
        <stp>FQ4 1996</stp>
        <stp>FQ4 1996</stp>
        <stp>[FA1_ftkzu3fn.xlsx]Income - Adjusted!R29C30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29" s="2"/>
      </tp>
      <tp>
        <v>0.3175</v>
        <stp/>
        <stp>##V3_BDHV12</stp>
        <stp>XOM US Equity</stp>
        <stp>IS_EARN_BEF_XO_ITEMS_PER_SH</stp>
        <stp>FQ4 1992</stp>
        <stp>FQ4 1992</stp>
        <stp>[FA1_ftkzu3fn.xlsx]Income - Adjusted!R29C14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29" s="2"/>
      </tp>
      <tp>
        <v>2336</v>
        <stp/>
        <stp>##V3_BDHV12</stp>
        <stp>XOM US Equity</stp>
        <stp>EBIT</stp>
        <stp>FQ1 1998</stp>
        <stp>FQ1 1998</stp>
        <stp>[FA1_ftkzu3fn.xlsx]Income - Adjusted!R41C35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I41" s="2"/>
      </tp>
      <tp>
        <v>1723</v>
        <stp/>
        <stp>##V3_BDHV12</stp>
        <stp>XOM US Equity</stp>
        <stp>EBIT</stp>
        <stp>FQ1 1994</stp>
        <stp>FQ1 1994</stp>
        <stp>[FA1_ftkzu3fn.xlsx]Income - Adjusted!R41C19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S41" s="2"/>
      </tp>
      <tp>
        <v>1.0207999999999999</v>
        <stp/>
        <stp>##V3_BDHV12</stp>
        <stp>XOM US Equity</stp>
        <stp>CUR_RATIO</stp>
        <stp>FQ4 1996</stp>
        <stp>FQ4 1996</stp>
        <stp>[FA1_ftkzu3fn.xlsx]Bal Sheet - Standardized!R53C30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53" s="3"/>
      </tp>
      <tp>
        <v>0.84440000000000004</v>
        <stp/>
        <stp>##V3_BDHV12</stp>
        <stp>XOM US Equity</stp>
        <stp>CUR_RATIO</stp>
        <stp>FQ4 1994</stp>
        <stp>FQ4 1994</stp>
        <stp>[FA1_ftkzu3fn.xlsx]Bal Sheet - Standardized!R53C22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53" s="3"/>
      </tp>
      <tp>
        <v>0.83530000000000004</v>
        <stp/>
        <stp>##V3_BDHV12</stp>
        <stp>XOM US Equity</stp>
        <stp>CUR_RATIO</stp>
        <stp>FQ4 1992</stp>
        <stp>FQ4 1992</stp>
        <stp>[FA1_ftkzu3fn.xlsx]Bal Sheet - Standardized!R53C14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53" s="3"/>
      </tp>
      <tp>
        <v>0.81579999999999997</v>
        <stp/>
        <stp>##V3_BDHV12</stp>
        <stp>XOM US Equity</stp>
        <stp>CUR_RATIO</stp>
        <stp>FQ2 1992</stp>
        <stp>FQ2 1992</stp>
        <stp>[FA1_ftkzu3fn.xlsx]Bal Sheet - Standardized!R53C12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53" s="3"/>
      </tp>
      <tp>
        <v>0.84409999999999996</v>
        <stp/>
        <stp>##V3_BDHV12</stp>
        <stp>XOM US Equity</stp>
        <stp>CUR_RATIO</stp>
        <stp>FQ3 1992</stp>
        <stp>FQ3 1992</stp>
        <stp>[FA1_ftkzu3fn.xlsx]Bal Sheet - Standardized!R53C13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53" s="3"/>
      </tp>
      <tp>
        <v>0.82499999999999996</v>
        <stp/>
        <stp>##V3_BDHV12</stp>
        <stp>XOM US Equity</stp>
        <stp>CUR_RATIO</stp>
        <stp>FQ1 1992</stp>
        <stp>FQ1 1992</stp>
        <stp>[FA1_ftkzu3fn.xlsx]Bal Sheet - Standardized!R53C11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53" s="3"/>
      </tp>
      <tp t="s">
        <v>—</v>
        <stp/>
        <stp>##V3_BDHV12</stp>
        <stp>XOM US Equity</stp>
        <stp>PROC_FR_REPAYMNTS_BOR_DETAILED</stp>
        <stp>FQ3 1994</stp>
        <stp>FQ3 1994</stp>
        <stp>[FA1_ftkzu3fn.xlsx]Cash Flow - Standardized!R27C21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27" s="4"/>
      </tp>
      <tp>
        <v>-55</v>
        <stp/>
        <stp>##V3_BDHV12</stp>
        <stp>XOM US Equity</stp>
        <stp>PROC_FR_REPAYMNTS_BOR_DETAILED</stp>
        <stp>FQ2 1997</stp>
        <stp>FQ2 1997</stp>
        <stp>[FA1_ftkzu3fn.xlsx]Cash Flow - Standardized!R27C32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27" s="4"/>
      </tp>
      <tp>
        <v>309</v>
        <stp/>
        <stp>##V3_BDHV12</stp>
        <stp>XOM US Equity</stp>
        <stp>OTHER_NON_CASH_ADJ_LESS_DETAILED</stp>
        <stp>FQ4 1993</stp>
        <stp>FQ4 1993</stp>
        <stp>[FA1_ftkzu3fn.xlsx]Cash Flow - Standardized!R10C18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10" s="4"/>
      </tp>
      <tp t="s">
        <v>—</v>
        <stp/>
        <stp>##V3_BDHV12</stp>
        <stp>XOM US Equity</stp>
        <stp>PROC_FR_REPAYMNTS_BOR_DETAILED</stp>
        <stp>FQ3 1995</stp>
        <stp>FQ3 1995</stp>
        <stp>[FA1_ftkzu3fn.xlsx]Cash Flow - Standardized!R27C25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27" s="4"/>
      </tp>
      <tp>
        <v>96064</v>
        <stp/>
        <stp>##V3_BDHV12</stp>
        <stp>XOM US Equity</stp>
        <stp>TOT_LIAB_AND_EQY</stp>
        <stp>FQ4 1997</stp>
        <stp>FQ4 1997</stp>
        <stp>[FA1_ftkzu3fn.xlsx]Bal Sheet - Standardized!R45C34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45" s="3"/>
      </tp>
      <tp t="s">
        <v>—</v>
        <stp/>
        <stp>##V3_BDHV12</stp>
        <stp>XOM US Equity</stp>
        <stp>PROC_FR_REPAYMNTS_BOR_DETAILED</stp>
        <stp>FQ3 1996</stp>
        <stp>FQ3 1996</stp>
        <stp>[FA1_ftkzu3fn.xlsx]Cash Flow - Standardized!R27C29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27" s="4"/>
      </tp>
      <tp>
        <v>-174</v>
        <stp/>
        <stp>##V3_BDHV12</stp>
        <stp>XOM US Equity</stp>
        <stp>PROC_FR_REPAYMNTS_BOR_DETAILED</stp>
        <stp>FQ2 1998</stp>
        <stp>FQ2 1998</stp>
        <stp>[FA1_ftkzu3fn.xlsx]Cash Flow - Standardized!R27C36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27" s="4"/>
      </tp>
      <tp>
        <v>16.531300000000002</v>
        <stp/>
        <stp>##V3_BDHV12</stp>
        <stp>XOM US Equity</stp>
        <stp>PX_LAST</stp>
        <stp>FQ2 1993</stp>
        <stp>FQ2 1993</stp>
        <stp>[FA1_ftkzu3fn.xlsx]Stock Value!R6C16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6" s="6"/>
      </tp>
      <tp>
        <v>35.6875</v>
        <stp/>
        <stp>##V3_BDHV12</stp>
        <stp>XOM US Equity</stp>
        <stp>PX_LAST</stp>
        <stp>FQ2 1998</stp>
        <stp>FQ2 1998</stp>
        <stp>[FA1_ftkzu3fn.xlsx]Stock Value!R6C36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6" s="6"/>
      </tp>
      <tp>
        <v>-137</v>
        <stp/>
        <stp>##V3_BDHV12</stp>
        <stp>XOM US Equity</stp>
        <stp>OTHER_NON_CASH_ADJ_LESS_DETAILED</stp>
        <stp>FQ4 1992</stp>
        <stp>FQ4 1992</stp>
        <stp>[FA1_ftkzu3fn.xlsx]Cash Flow - Standardized!R10C14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10" s="4"/>
      </tp>
      <tp>
        <v>-203</v>
        <stp/>
        <stp>##V3_BDHV12</stp>
        <stp>XOM US Equity</stp>
        <stp>OTHER_NON_CASH_ADJ_LESS_DETAILED</stp>
        <stp>FQ4 1991</stp>
        <stp>FQ4 1991</stp>
        <stp>[FA1_ftkzu3fn.xlsx]Cash Flow - Standardized!R10C10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10" s="4"/>
      </tp>
      <tp>
        <v>95527</v>
        <stp/>
        <stp>##V3_BDHV12</stp>
        <stp>XOM US Equity</stp>
        <stp>TOT_LIAB_AND_EQY</stp>
        <stp>FQ4 1996</stp>
        <stp>FQ4 1996</stp>
        <stp>[FA1_ftkzu3fn.xlsx]Bal Sheet - Standardized!R45C30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45" s="3"/>
      </tp>
      <tp>
        <v>20.125</v>
        <stp/>
        <stp>##V3_BDHV12</stp>
        <stp>XOM US Equity</stp>
        <stp>PX_LAST</stp>
        <stp>FQ4 1995</stp>
        <stp>FQ4 1995</stp>
        <stp>[FA1_ftkzu3fn.xlsx]Stock Value!R6C26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6" s="6"/>
      </tp>
      <tp t="s">
        <v>—</v>
        <stp/>
        <stp>##V3_BDHV12</stp>
        <stp>XOM US Equity</stp>
        <stp>CF_DECR_INVEST</stp>
        <stp>FQ4 1996</stp>
        <stp>FQ4 1996</stp>
        <stp>[FA1_ftkzu3fn.xlsx]Cash Flow - Standardized!R20C30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20" s="4"/>
      </tp>
      <tp t="s">
        <v>—</v>
        <stp/>
        <stp>##V3_BDHV12</stp>
        <stp>XOM US Equity</stp>
        <stp>CF_INCR_INVEST</stp>
        <stp>FQ4 1996</stp>
        <stp>FQ4 1996</stp>
        <stp>[FA1_ftkzu3fn.xlsx]Cash Flow - Standardized!R21C30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21" s="4"/>
      </tp>
      <tp>
        <v>0</v>
        <stp/>
        <stp>##V3_BDHV12</stp>
        <stp>XOM US Equity</stp>
        <stp>CF_DECR_INVEST</stp>
        <stp>FQ4 1997</stp>
        <stp>FQ4 1997</stp>
        <stp>[FA1_ftkzu3fn.xlsx]Cash Flow - Standardized!R20C34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20" s="4"/>
      </tp>
      <tp>
        <v>0</v>
        <stp/>
        <stp>##V3_BDHV12</stp>
        <stp>XOM US Equity</stp>
        <stp>CF_INCR_INVEST</stp>
        <stp>FQ4 1997</stp>
        <stp>FQ4 1997</stp>
        <stp>[FA1_ftkzu3fn.xlsx]Cash Flow - Standardized!R21C34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21" s="4"/>
      </tp>
      <tp>
        <v>0.38</v>
        <stp/>
        <stp>##V3_BDHV12</stp>
        <stp>XOM US Equity</stp>
        <stp>IS_DIL_EPS_BEF_XO</stp>
        <stp>FQ1 1998</stp>
        <stp>FQ1 1998</stp>
        <stp>[FA1_ftkzu3fn.xlsx]Income - Adjusted!R34C35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34" s="2"/>
      </tp>
      <tp>
        <v>0.23</v>
        <stp/>
        <stp>##V3_BDHV12</stp>
        <stp>XOM US Equity</stp>
        <stp>IS_DIL_EPS_BEF_XO</stp>
        <stp>FQ1 1994</stp>
        <stp>FQ1 1994</stp>
        <stp>[FA1_ftkzu3fn.xlsx]Income - Adjusted!R34C19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34" s="2"/>
      </tp>
      <tp t="s">
        <v>—</v>
        <stp/>
        <stp>##V3_BDHV12</stp>
        <stp>XOM US Equity</stp>
        <stp>CF_DVD_PAID</stp>
        <stp>FQ1 1996</stp>
        <stp>FQ1 1996</stp>
        <stp>[FA1_ftkzu3fn.xlsx]Cash Flow - Standardized!R26C27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26" s="4"/>
      </tp>
      <tp>
        <v>0.31</v>
        <stp/>
        <stp>##V3_BDHV12</stp>
        <stp>XOM US Equity</stp>
        <stp>IS_DIL_EPS_CONT_OPS</stp>
        <stp>FQ3 1996</stp>
        <stp>FQ3 1996</stp>
        <stp>[FA1_ftkzu3fn.xlsx]Per Share!R19C29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19" s="5"/>
      </tp>
      <tp t="s">
        <v>—</v>
        <stp/>
        <stp>##V3_BDHV12</stp>
        <stp>XOM US Equity</stp>
        <stp>CF_DVD_PAID</stp>
        <stp>FQ2 1992</stp>
        <stp>FQ2 1992</stp>
        <stp>[FA1_ftkzu3fn.xlsx]Cash Flow - Standardized!R26C12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26" s="4"/>
      </tp>
      <tp t="s">
        <v>—</v>
        <stp/>
        <stp>##V3_BDHV12</stp>
        <stp>XOM US Equity</stp>
        <stp>CF_DVD_PAID</stp>
        <stp>FQ1 1995</stp>
        <stp>FQ1 1995</stp>
        <stp>[FA1_ftkzu3fn.xlsx]Cash Flow - Standardized!R26C23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26" s="4"/>
      </tp>
      <tp t="s">
        <v>—</v>
        <stp/>
        <stp>##V3_BDHV12</stp>
        <stp>XOM US Equity</stp>
        <stp>CF_DVD_PAID</stp>
        <stp>FQ2 1993</stp>
        <stp>FQ2 1993</stp>
        <stp>[FA1_ftkzu3fn.xlsx]Cash Flow - Standardized!R26C16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26" s="4"/>
      </tp>
      <tp>
        <v>13.125</v>
        <stp/>
        <stp>##V3_BDHV12</stp>
        <stp>XOM US Equity</stp>
        <stp>PX_HIGH</stp>
        <stp>FQ4 1990</stp>
        <stp>FQ4 1990</stp>
        <stp>[FA1_ftkzu3fn.xlsx]Stock Value!R9C6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9" s="6"/>
      </tp>
      <tp>
        <v>14.9688</v>
        <stp/>
        <stp>##V3_BDHV12</stp>
        <stp>XOM US Equity</stp>
        <stp>PX_HIGH</stp>
        <stp>FQ1 1991</stp>
        <stp>FQ1 1991</stp>
        <stp>[FA1_ftkzu3fn.xlsx]Stock Value!R9C7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9" s="6"/>
      </tp>
      <tp>
        <v>0.23</v>
        <stp/>
        <stp>##V3_BDHV12</stp>
        <stp>XOM US Equity</stp>
        <stp>IS_EARN_BEF_XO_ITEMS_PER_SH</stp>
        <stp>FQ3 1994</stp>
        <stp>FQ3 1994</stp>
        <stp>[FA1_ftkzu3fn.xlsx]Income - Adjusted!R29C21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29" s="2"/>
      </tp>
      <tp>
        <v>0.245</v>
        <stp/>
        <stp>##V3_BDHV12</stp>
        <stp>XOM US Equity</stp>
        <stp>IS_EARN_BEF_XO_ITEMS_PER_SH</stp>
        <stp>FQ2 1993</stp>
        <stp>FQ2 1993</stp>
        <stp>[FA1_ftkzu3fn.xlsx]Income - Adjusted!R29C16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29" s="2"/>
      </tp>
      <tp>
        <v>0.39500000000000002</v>
        <stp/>
        <stp>##V3_BDHV12</stp>
        <stp>XOM US Equity</stp>
        <stp>IS_EARN_BEF_XO_ITEMS_PER_SH</stp>
        <stp>FQ2 1997</stp>
        <stp>FQ2 1997</stp>
        <stp>[FA1_ftkzu3fn.xlsx]Income - Adjusted!R29C32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29" s="2"/>
      </tp>
      <tp>
        <v>1914</v>
        <stp/>
        <stp>##V3_BDHV12</stp>
        <stp>XOM US Equity</stp>
        <stp>EBIT</stp>
        <stp>FQ2 1998</stp>
        <stp>FQ2 1998</stp>
        <stp>[FA1_ftkzu3fn.xlsx]Income - Adjusted!R41C36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J41" s="2"/>
      </tp>
      <tp>
        <v>2282</v>
        <stp/>
        <stp>##V3_BDHV12</stp>
        <stp>XOM US Equity</stp>
        <stp>EBIT</stp>
        <stp>FQ2 1996</stp>
        <stp>FQ2 1996</stp>
        <stp>[FA1_ftkzu3fn.xlsx]Income - Adjusted!R41C28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B41" s="2"/>
      </tp>
      <tp>
        <v>668</v>
        <stp/>
        <stp>##V3_BDHV12</stp>
        <stp>XOM US Equity</stp>
        <stp>BS_PFD_EQTY_&amp;_HYBRID_CPTL</stp>
        <stp>FQ4 1993</stp>
        <stp>FQ4 1993</stp>
        <stp>[FA1_ftkzu3fn.xlsx]Bal Sheet - Standardized!R38C18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38" s="3"/>
      </tp>
      <tp t="s">
        <v>—</v>
        <stp/>
        <stp>##V3_BDHV12</stp>
        <stp>XOM US Equity</stp>
        <stp>PROC_FR_REPAYMNTS_BOR_DETAILED</stp>
        <stp>FQ2 1994</stp>
        <stp>FQ2 1994</stp>
        <stp>[FA1_ftkzu3fn.xlsx]Cash Flow - Standardized!R27C20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27" s="4"/>
      </tp>
      <tp t="s">
        <v>—</v>
        <stp/>
        <stp>##V3_BDHV12</stp>
        <stp>XOM US Equity</stp>
        <stp>PROC_FR_REPAYMNTS_BOR_DETAILED</stp>
        <stp>FQ1 1993</stp>
        <stp>FQ1 1993</stp>
        <stp>[FA1_ftkzu3fn.xlsx]Cash Flow - Standardized!R27C15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27" s="4"/>
      </tp>
      <tp>
        <v>-60</v>
        <stp/>
        <stp>##V3_BDHV12</stp>
        <stp>XOM US Equity</stp>
        <stp>PROC_FR_REPAYMNTS_BOR_DETAILED</stp>
        <stp>FQ3 1997</stp>
        <stp>FQ3 1997</stp>
        <stp>[FA1_ftkzu3fn.xlsx]Cash Flow - Standardized!R27C33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27" s="4"/>
      </tp>
      <tp t="s">
        <v>—</v>
        <stp/>
        <stp>##V3_BDHV12</stp>
        <stp>XOM US Equity</stp>
        <stp>PROC_FR_REPAYMNTS_BOR_DETAILED</stp>
        <stp>FQ1 1992</stp>
        <stp>FQ1 1992</stp>
        <stp>[FA1_ftkzu3fn.xlsx]Cash Flow - Standardized!R27C11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27" s="4"/>
      </tp>
      <tp t="s">
        <v>—</v>
        <stp/>
        <stp>##V3_BDHV12</stp>
        <stp>XOM US Equity</stp>
        <stp>PROC_FR_REPAYMNTS_BOR_DETAILED</stp>
        <stp>FQ2 1995</stp>
        <stp>FQ2 1995</stp>
        <stp>[FA1_ftkzu3fn.xlsx]Cash Flow - Standardized!R27C24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27" s="4"/>
      </tp>
      <tp>
        <v>867</v>
        <stp/>
        <stp>##V3_BDHV12</stp>
        <stp>XOM US Equity</stp>
        <stp>BS_PFD_EQTY_&amp;_HYBRID_CPTL</stp>
        <stp>FQ4 1991</stp>
        <stp>FQ4 1991</stp>
        <stp>[FA1_ftkzu3fn.xlsx]Bal Sheet - Standardized!R38C10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38" s="3"/>
      </tp>
      <tp>
        <v>91296</v>
        <stp/>
        <stp>##V3_BDHV12</stp>
        <stp>XOM US Equity</stp>
        <stp>TOT_LIAB_AND_EQY</stp>
        <stp>FQ4 1995</stp>
        <stp>FQ4 1995</stp>
        <stp>[FA1_ftkzu3fn.xlsx]Bal Sheet - Standardized!R45C26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45" s="3"/>
      </tp>
      <tp t="s">
        <v>—</v>
        <stp/>
        <stp>##V3_BDHV12</stp>
        <stp>XOM US Equity</stp>
        <stp>PROC_FR_REPAYMNTS_BOR_DETAILED</stp>
        <stp>FQ1 1994</stp>
        <stp>FQ1 1994</stp>
        <stp>[FA1_ftkzu3fn.xlsx]Cash Flow - Standardized!R27C19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27" s="4"/>
      </tp>
      <tp t="s">
        <v>—</v>
        <stp/>
        <stp>##V3_BDHV12</stp>
        <stp>XOM US Equity</stp>
        <stp>PROC_FR_REPAYMNTS_BOR_DETAILED</stp>
        <stp>FQ2 1996</stp>
        <stp>FQ2 1996</stp>
        <stp>[FA1_ftkzu3fn.xlsx]Cash Flow - Standardized!R27C28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27" s="4"/>
      </tp>
      <tp>
        <v>16.375</v>
        <stp/>
        <stp>##V3_BDHV12</stp>
        <stp>XOM US Equity</stp>
        <stp>PX_LAST</stp>
        <stp>FQ3 1993</stp>
        <stp>FQ3 1993</stp>
        <stp>[FA1_ftkzu3fn.xlsx]Stock Value!R6C17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6" s="6"/>
      </tp>
      <tp>
        <v>20.375</v>
        <stp/>
        <stp>##V3_BDHV12</stp>
        <stp>XOM US Equity</stp>
        <stp>PX_LAST</stp>
        <stp>FQ1 1996</stp>
        <stp>FQ1 1996</stp>
        <stp>[FA1_ftkzu3fn.xlsx]Stock Value!R6C27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6" s="6"/>
      </tp>
      <tp>
        <v>87862</v>
        <stp/>
        <stp>##V3_BDHV12</stp>
        <stp>XOM US Equity</stp>
        <stp>TOT_LIAB_AND_EQY</stp>
        <stp>FQ4 1994</stp>
        <stp>FQ4 1994</stp>
        <stp>[FA1_ftkzu3fn.xlsx]Bal Sheet - Standardized!R45C22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45" s="3"/>
      </tp>
      <tp>
        <v>770</v>
        <stp/>
        <stp>##V3_BDHV12</stp>
        <stp>XOM US Equity</stp>
        <stp>BS_PFD_EQTY_&amp;_HYBRID_CPTL</stp>
        <stp>FQ4 1992</stp>
        <stp>FQ4 1992</stp>
        <stp>[FA1_ftkzu3fn.xlsx]Bal Sheet - Standardized!R38C14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38" s="3"/>
      </tp>
      <tp t="s">
        <v>—</v>
        <stp/>
        <stp>##V3_BDHV12</stp>
        <stp>XOM US Equity</stp>
        <stp>CF_DECR_INVEST</stp>
        <stp>FQ4 1994</stp>
        <stp>FQ4 1994</stp>
        <stp>[FA1_ftkzu3fn.xlsx]Cash Flow - Standardized!R20C22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20" s="4"/>
      </tp>
      <tp t="s">
        <v>—</v>
        <stp/>
        <stp>##V3_BDHV12</stp>
        <stp>XOM US Equity</stp>
        <stp>CF_INCR_INVEST</stp>
        <stp>FQ4 1994</stp>
        <stp>FQ4 1994</stp>
        <stp>[FA1_ftkzu3fn.xlsx]Cash Flow - Standardized!R21C22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21" s="4"/>
      </tp>
      <tp t="s">
        <v>—</v>
        <stp/>
        <stp>##V3_BDHV12</stp>
        <stp>XOM US Equity</stp>
        <stp>CF_DECR_INVEST</stp>
        <stp>FQ4 1995</stp>
        <stp>FQ4 1995</stp>
        <stp>[FA1_ftkzu3fn.xlsx]Cash Flow - Standardized!R20C26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20" s="4"/>
      </tp>
      <tp t="s">
        <v>—</v>
        <stp/>
        <stp>##V3_BDHV12</stp>
        <stp>XOM US Equity</stp>
        <stp>CF_INCR_INVEST</stp>
        <stp>FQ4 1995</stp>
        <stp>FQ4 1995</stp>
        <stp>[FA1_ftkzu3fn.xlsx]Cash Flow - Standardized!R21C26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21" s="4"/>
      </tp>
      <tp>
        <v>2284</v>
        <stp/>
        <stp>##V3_BDHV12</stp>
        <stp>XOM US Equity</stp>
        <stp>BS_NUM_OF_TSY_SH</stp>
        <stp>FQ2 1996</stp>
        <stp>FQ2 1996</stp>
        <stp>[FA1_ftkzu3fn.xlsx]Bal Sheet - Standardized!R50C28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50" s="3"/>
      </tp>
      <tp>
        <v>2284</v>
        <stp/>
        <stp>##V3_BDHV12</stp>
        <stp>XOM US Equity</stp>
        <stp>BS_NUM_OF_TSY_SH</stp>
        <stp>FQ3 1996</stp>
        <stp>FQ3 1996</stp>
        <stp>[FA1_ftkzu3fn.xlsx]Bal Sheet - Standardized!R50C29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50" s="3"/>
      </tp>
      <tp>
        <v>-1083</v>
        <stp/>
        <stp>##V3_BDHV12</stp>
        <stp>XOM US Equity</stp>
        <stp>CF_DVD_PAID</stp>
        <stp>FQ1 1998</stp>
        <stp>FQ1 1998</stp>
        <stp>[FA1_ftkzu3fn.xlsx]Cash Flow - Standardized!R26C35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26" s="4"/>
      </tp>
      <tp>
        <v>2284</v>
        <stp/>
        <stp>##V3_BDHV12</stp>
        <stp>XOM US Equity</stp>
        <stp>BS_NUM_OF_TSY_SH</stp>
        <stp>FQ1 1994</stp>
        <stp>FQ1 1994</stp>
        <stp>[FA1_ftkzu3fn.xlsx]Bal Sheet - Standardized!R50C19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50" s="3"/>
      </tp>
      <tp>
        <v>1074</v>
        <stp/>
        <stp>##V3_BDHV12</stp>
        <stp>XOM US Equity</stp>
        <stp>BS_NUM_OF_TSY_SH</stp>
        <stp>FQ1 1998</stp>
        <stp>FQ1 1998</stp>
        <stp>[FA1_ftkzu3fn.xlsx]Bal Sheet - Standardized!R50C35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50" s="3"/>
      </tp>
      <tp>
        <v>1092</v>
        <stp/>
        <stp>##V3_BDHV12</stp>
        <stp>XOM US Equity</stp>
        <stp>BS_NUM_OF_TSY_SH</stp>
        <stp>FQ2 1998</stp>
        <stp>FQ2 1998</stp>
        <stp>[FA1_ftkzu3fn.xlsx]Bal Sheet - Standardized!R50C36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50" s="3"/>
      </tp>
      <tp>
        <v>0.32500000000000001</v>
        <stp/>
        <stp>##V3_BDHV12</stp>
        <stp>XOM US Equity</stp>
        <stp>IS_DIL_EPS_CONT_OPS</stp>
        <stp>FQ2 1998</stp>
        <stp>FQ2 1998</stp>
        <stp>[FA1_ftkzu3fn.xlsx]Per Share!R19C36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19" s="5"/>
      </tp>
      <tp>
        <v>0.31</v>
        <stp/>
        <stp>##V3_BDHV12</stp>
        <stp>XOM US Equity</stp>
        <stp>IS_DIL_EPS_CONT_OPS</stp>
        <stp>FQ2 1996</stp>
        <stp>FQ2 1996</stp>
        <stp>[FA1_ftkzu3fn.xlsx]Per Share!R19C28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19" s="5"/>
      </tp>
      <tp t="s">
        <v>—</v>
        <stp/>
        <stp>##V3_BDHV12</stp>
        <stp>XOM US Equity</stp>
        <stp>CF_DVD_PAID</stp>
        <stp>FQ3 1992</stp>
        <stp>FQ3 1992</stp>
        <stp>[FA1_ftkzu3fn.xlsx]Cash Flow - Standardized!R26C13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26" s="4"/>
      </tp>
      <tp>
        <v>-986</v>
        <stp/>
        <stp>##V3_BDHV12</stp>
        <stp>XOM US Equity</stp>
        <stp>CF_DVD_PAID</stp>
        <stp>FQ1 1997</stp>
        <stp>FQ1 1997</stp>
        <stp>[FA1_ftkzu3fn.xlsx]Cash Flow - Standardized!R26C31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26" s="4"/>
      </tp>
      <tp t="s">
        <v>—</v>
        <stp/>
        <stp>##V3_BDHV12</stp>
        <stp>XOM US Equity</stp>
        <stp>CF_DVD_PAID</stp>
        <stp>FQ3 1993</stp>
        <stp>FQ3 1993</stp>
        <stp>[FA1_ftkzu3fn.xlsx]Cash Flow - Standardized!R26C17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26" s="4"/>
      </tp>
      <tp>
        <v>-61</v>
        <stp/>
        <stp>##V3_BDHV12</stp>
        <stp>XOM US Equity</stp>
        <stp>IS_FOREIGN_EXCH_LOSS</stp>
        <stp>FQ4 1993</stp>
        <stp>FQ4 1993</stp>
        <stp>[FA1_ftkzu3fn.xlsx]Income - Adjusted!R12C18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R12" s="2"/>
      </tp>
      <tp>
        <v>0.27250000000000002</v>
        <stp/>
        <stp>##V3_BDHV12</stp>
        <stp>XOM US Equity</stp>
        <stp>IS_EARN_BEF_XO_ITEMS_PER_SH</stp>
        <stp>FQ3 1993</stp>
        <stp>FQ3 1993</stp>
        <stp>[FA1_ftkzu3fn.xlsx]Income - Adjusted!R29C17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29" s="2"/>
      </tp>
      <tp>
        <v>0.37</v>
        <stp/>
        <stp>##V3_BDHV12</stp>
        <stp>XOM US Equity</stp>
        <stp>IS_EARN_BEF_XO_ITEMS_PER_SH</stp>
        <stp>FQ3 1997</stp>
        <stp>FQ3 1997</stp>
        <stp>[FA1_ftkzu3fn.xlsx]Income - Adjusted!R29C33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29" s="2"/>
      </tp>
      <tp>
        <v>0.17499999999999999</v>
        <stp/>
        <stp>##V3_BDHV12</stp>
        <stp>XOM US Equity</stp>
        <stp>IS_EARN_BEF_XO_ITEMS_PER_SH</stp>
        <stp>FQ2 1994</stp>
        <stp>FQ2 1994</stp>
        <stp>[FA1_ftkzu3fn.xlsx]Income - Adjusted!R29C20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29" s="2"/>
      </tp>
      <tp>
        <v>11.375</v>
        <stp/>
        <stp>##V3_BDHV12</stp>
        <stp>XOM US Equity</stp>
        <stp>PX_LOW</stp>
        <stp>FQ1 1990</stp>
        <stp>FQ1 1990</stp>
        <stp>[FA1_ftkzu3fn.xlsx]Stock Value!R10C3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10" s="6"/>
      </tp>
      <tp>
        <v>2333</v>
        <stp/>
        <stp>##V3_BDHV12</stp>
        <stp>XOM US Equity</stp>
        <stp>EBIT</stp>
        <stp>FQ3 1996</stp>
        <stp>FQ3 1996</stp>
        <stp>[FA1_ftkzu3fn.xlsx]Income - Adjusted!R41C29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C41" s="2"/>
      </tp>
      <tp>
        <v>0.98770000000000002</v>
        <stp/>
        <stp>##V3_BDHV12</stp>
        <stp>XOM US Equity</stp>
        <stp>CUR_RATIO</stp>
        <stp>FQ1 1996</stp>
        <stp>FQ1 1996</stp>
        <stp>[FA1_ftkzu3fn.xlsx]Bal Sheet - Standardized!R53C27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53" s="3"/>
      </tp>
      <tp>
        <v>0.16750000000000001</v>
        <stp/>
        <stp>##V3_BDHV12</stp>
        <stp>XOM US Equity</stp>
        <stp>EQY_DPS</stp>
        <stp>FQ3 1991</stp>
        <stp>FQ3 1991</stp>
        <stp>[FA1_ftkzu3fn.xlsx]Income - Adjusted!R46C9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46" s="2"/>
      </tp>
      <tp>
        <v>0.16750000000000001</v>
        <stp/>
        <stp>##V3_BDHV12</stp>
        <stp>XOM US Equity</stp>
        <stp>EQY_DPS</stp>
        <stp>FQ2 1991</stp>
        <stp>FQ2 1991</stp>
        <stp>[FA1_ftkzu3fn.xlsx]Income - Adjusted!R46C8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46" s="2"/>
      </tp>
      <tp>
        <v>21.718800000000002</v>
        <stp/>
        <stp>##V3_BDHV12</stp>
        <stp>XOM US Equity</stp>
        <stp>PX_LAST</stp>
        <stp>FQ2 1996</stp>
        <stp>FQ2 1996</stp>
        <stp>[FA1_ftkzu3fn.xlsx]Stock Value!R6C28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6" s="6"/>
      </tp>
      <tp>
        <v>15.7813</v>
        <stp/>
        <stp>##V3_BDHV12</stp>
        <stp>XOM US Equity</stp>
        <stp>PX_LAST</stp>
        <stp>FQ4 1993</stp>
        <stp>FQ4 1993</stp>
        <stp>[FA1_ftkzu3fn.xlsx]Stock Value!R6C18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6" s="6"/>
      </tp>
      <tp>
        <v>1191</v>
        <stp/>
        <stp>##V3_BDHV12</stp>
        <stp>XOM US Equity</stp>
        <stp>IS_INC_BEF_XO_ITEM</stp>
        <stp>FQ3 1991</stp>
        <stp>FQ3 1991</stp>
        <stp>[FA1_ftkzu3fn.xlsx]Income - Adjusted!R16C9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6" s="2"/>
      </tp>
      <tp>
        <v>0.33750000000000002</v>
        <stp/>
        <stp>##V3_BDHV12</stp>
        <stp>XOM US Equity</stp>
        <stp>IS_DIL_EPS_BEF_XO</stp>
        <stp>FQ4 1995</stp>
        <stp>FQ4 1995</stp>
        <stp>[FA1_ftkzu3fn.xlsx]Income - Adjusted!R34C26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34" s="2"/>
      </tp>
      <tp>
        <v>0.505</v>
        <stp/>
        <stp>##V3_BDHV12</stp>
        <stp>XOM US Equity</stp>
        <stp>IS_DIL_EPS_BEF_XO</stp>
        <stp>FQ4 1997</stp>
        <stp>FQ4 1997</stp>
        <stp>[FA1_ftkzu3fn.xlsx]Income - Adjusted!R34C34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34" s="2"/>
      </tp>
      <tp>
        <v>0.26750000000000002</v>
        <stp/>
        <stp>##V3_BDHV12</stp>
        <stp>XOM US Equity</stp>
        <stp>IS_DIL_EPS_BEF_XO</stp>
        <stp>FQ1 1992</stp>
        <stp>FQ1 1992</stp>
        <stp>[FA1_ftkzu3fn.xlsx]Income - Adjusted!R34C11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34" s="2"/>
      </tp>
      <tp>
        <v>2284</v>
        <stp/>
        <stp>##V3_BDHV12</stp>
        <stp>XOM US Equity</stp>
        <stp>BS_NUM_OF_TSY_SH</stp>
        <stp>FQ2 1995</stp>
        <stp>FQ2 1995</stp>
        <stp>[FA1_ftkzu3fn.xlsx]Bal Sheet - Standardized!R50C24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50" s="3"/>
      </tp>
      <tp>
        <v>2284</v>
        <stp/>
        <stp>##V3_BDHV12</stp>
        <stp>XOM US Equity</stp>
        <stp>BS_NUM_OF_TSY_SH</stp>
        <stp>FQ3 1995</stp>
        <stp>FQ3 1995</stp>
        <stp>[FA1_ftkzu3fn.xlsx]Bal Sheet - Standardized!R50C25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50" s="3"/>
      </tp>
      <tp>
        <v>0.2225</v>
        <stp/>
        <stp>##V3_BDHV12</stp>
        <stp>XOM US Equity</stp>
        <stp>IS_DIL_EPS_CONT_OPS</stp>
        <stp>FQ4 1991</stp>
        <stp>FQ4 1991</stp>
        <stp>[FA1_ftkzu3fn.xlsx]Per Share!R19C10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19" s="5"/>
      </tp>
      <tp>
        <v>0.22500000000000001</v>
        <stp/>
        <stp>##V3_BDHV12</stp>
        <stp>XOM US Equity</stp>
        <stp>IS_DIL_EPS_CONT_OPS</stp>
        <stp>FQ3 1992</stp>
        <stp>FQ3 1992</stp>
        <stp>[FA1_ftkzu3fn.xlsx]Per Share!R19C13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19" s="5"/>
      </tp>
      <tp>
        <v>0.32500000000000001</v>
        <stp/>
        <stp>##V3_BDHV12</stp>
        <stp>XOM US Equity</stp>
        <stp>IS_DIL_EPS_CONT_OPS</stp>
        <stp>FQ2 1995</stp>
        <stp>FQ2 1995</stp>
        <stp>[FA1_ftkzu3fn.xlsx]Per Share!R19C24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19" s="5"/>
      </tp>
      <tp>
        <v>0.34749999999999998</v>
        <stp/>
        <stp>##V3_BDHV12</stp>
        <stp>XOM US Equity</stp>
        <stp>IS_DIL_EPS_CONT_OPS</stp>
        <stp>FQ1 1996</stp>
        <stp>FQ1 1996</stp>
        <stp>[FA1_ftkzu3fn.xlsx]Per Share!R19C27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19" s="5"/>
      </tp>
      <tp>
        <v>1133</v>
        <stp/>
        <stp>##V3_BDHV12</stp>
        <stp>XOM US Equity</stp>
        <stp>IS_INC_BEF_XO_ITEM</stp>
        <stp>FQ3 1990</stp>
        <stp>FQ3 1990</stp>
        <stp>[FA1_ftkzu3fn.xlsx]Income - Adjusted!R16C5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6" s="2"/>
      </tp>
      <tp>
        <v>7451</v>
        <stp/>
        <stp>##V3_BDHV12</stp>
        <stp>XOM US Equity</stp>
        <stp>EBITDA</stp>
        <stp>FQ4 1990</stp>
        <stp>FQ4 1990</stp>
        <stp>[FA1_ftkzu3fn.xlsx]Cash Flow - Standardized!R38C6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F38" s="4"/>
      </tp>
      <tp>
        <v>15.0313</v>
        <stp/>
        <stp>##V3_BDHV12</stp>
        <stp>XOM US Equity</stp>
        <stp>PX_HIGH</stp>
        <stp>FQ3 1991</stp>
        <stp>FQ3 1991</stp>
        <stp>[FA1_ftkzu3fn.xlsx]Stock Value!R9C9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9" s="6"/>
      </tp>
      <tp>
        <v>3608</v>
        <stp/>
        <stp>##V3_BDHV12</stp>
        <stp>XOM US Equity</stp>
        <stp>EBITDA</stp>
        <stp>FQ1 1990</stp>
        <stp>FQ1 1990</stp>
        <stp>[FA1_ftkzu3fn.xlsx]Cash Flow - Standardized!R38C3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C38" s="4"/>
      </tp>
      <tp t="s">
        <v>—</v>
        <stp/>
        <stp>##V3_BDHV12</stp>
        <stp>XOM US Equity</stp>
        <stp>IS_FOREIGN_EXCH_LOSS</stp>
        <stp>FQ2 1994</stp>
        <stp>FQ2 1994</stp>
        <stp>[FA1_ftkzu3fn.xlsx]Income - Adjusted!R12C20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T12" s="2"/>
      </tp>
      <tp t="s">
        <v>—</v>
        <stp/>
        <stp>##V3_BDHV12</stp>
        <stp>XOM US Equity</stp>
        <stp>IS_FOREIGN_EXCH_LOSS</stp>
        <stp>FQ3 1997</stp>
        <stp>FQ3 1997</stp>
        <stp>[FA1_ftkzu3fn.xlsx]Income - Adjusted!R12C33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G12" s="2"/>
      </tp>
      <tp t="s">
        <v>—</v>
        <stp/>
        <stp>##V3_BDHV12</stp>
        <stp>XOM US Equity</stp>
        <stp>IS_FOREIGN_EXCH_LOSS</stp>
        <stp>FQ3 1993</stp>
        <stp>FQ3 1993</stp>
        <stp>[FA1_ftkzu3fn.xlsx]Income - Adjusted!R12C17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Q12" s="2"/>
      </tp>
      <tp>
        <v>0.3</v>
        <stp/>
        <stp>##V3_BDHV12</stp>
        <stp>XOM US Equity</stp>
        <stp>IS_EARN_BEF_XO_ITEMS_PER_SH</stp>
        <stp>FQ4 1993</stp>
        <stp>FQ4 1993</stp>
        <stp>[FA1_ftkzu3fn.xlsx]Income - Adjusted!R29C18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29" s="2"/>
      </tp>
      <tp>
        <v>1306</v>
        <stp/>
        <stp>##V3_BDHV12</stp>
        <stp>XOM US Equity</stp>
        <stp>EBIT</stp>
        <stp>FQ2 1992</stp>
        <stp>FQ2 1992</stp>
        <stp>[FA1_ftkzu3fn.xlsx]Income - Adjusted!R41C12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L41" s="2"/>
      </tp>
      <tp>
        <v>2375</v>
        <stp/>
        <stp>##V3_BDHV12</stp>
        <stp>XOM US Equity</stp>
        <stp>EBIT</stp>
        <stp>FQ3 1995</stp>
        <stp>FQ3 1995</stp>
        <stp>[FA1_ftkzu3fn.xlsx]Income - Adjusted!R41C25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Y41" s="2"/>
      </tp>
      <tp>
        <v>0.79930000000000001</v>
        <stp/>
        <stp>##V3_BDHV12</stp>
        <stp>XOM US Equity</stp>
        <stp>CUR_RATIO</stp>
        <stp>FQ4 1993</stp>
        <stp>FQ4 1993</stp>
        <stp>[FA1_ftkzu3fn.xlsx]Bal Sheet - Standardized!R53C18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53" s="3"/>
      </tp>
      <tp>
        <v>6392</v>
        <stp/>
        <stp>##V3_BDHV12</stp>
        <stp>XOM US Equity</stp>
        <stp>BS_ACCT_NOTE_RCV</stp>
        <stp>FQ4 1992</stp>
        <stp>FQ4 1992</stp>
        <stp>[FA1_ftkzu3fn.xlsx]Bal Sheet - Standardized!R10C14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10" s="3"/>
      </tp>
      <tp>
        <v>6733</v>
        <stp/>
        <stp>##V3_BDHV12</stp>
        <stp>XOM US Equity</stp>
        <stp>BS_ACCT_NOTE_RCV</stp>
        <stp>FQ4 1991</stp>
        <stp>FQ4 1991</stp>
        <stp>[FA1_ftkzu3fn.xlsx]Bal Sheet - Standardized!R10C10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10" s="3"/>
      </tp>
      <tp>
        <v>20.8125</v>
        <stp/>
        <stp>##V3_BDHV12</stp>
        <stp>XOM US Equity</stp>
        <stp>PX_LAST</stp>
        <stp>FQ3 1996</stp>
        <stp>FQ3 1996</stp>
        <stp>[FA1_ftkzu3fn.xlsx]Stock Value!R6C29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6" s="6"/>
      </tp>
      <tp>
        <v>15.7188</v>
        <stp/>
        <stp>##V3_BDHV12</stp>
        <stp>XOM US Equity</stp>
        <stp>PX_LAST</stp>
        <stp>FQ1 1994</stp>
        <stp>FQ1 1994</stp>
        <stp>[FA1_ftkzu3fn.xlsx]Stock Value!R6C19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6" s="6"/>
      </tp>
      <tp>
        <v>5427</v>
        <stp/>
        <stp>##V3_BDHV12</stp>
        <stp>XOM US Equity</stp>
        <stp>BS_ACCT_NOTE_RCV</stp>
        <stp>FQ4 1993</stp>
        <stp>FQ4 1993</stp>
        <stp>[FA1_ftkzu3fn.xlsx]Bal Sheet - Standardized!R10C18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10" s="3"/>
      </tp>
      <tp>
        <v>1721</v>
        <stp/>
        <stp>##V3_BDHV12</stp>
        <stp>XOM US Equity</stp>
        <stp>IS_OPER_INC</stp>
        <stp>FQ1 1993</stp>
        <stp>FQ1 1993</stp>
        <stp>[FA1_ftkzu3fn.xlsx]Income - Adjusted!R10C15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O10" s="2"/>
      </tp>
      <tp>
        <v>3204</v>
        <stp/>
        <stp>##V3_BDHV12</stp>
        <stp>XOM US Equity</stp>
        <stp>IS_OPER_INC</stp>
        <stp>FQ1 1997</stp>
        <stp>FQ1 1997</stp>
        <stp>[FA1_ftkzu3fn.xlsx]Income - Adjusted!R10C31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E10" s="2"/>
      </tp>
      <tp>
        <v>2146</v>
        <stp/>
        <stp>##V3_BDHV12</stp>
        <stp>XOM US Equity</stp>
        <stp>IS_OPER_INC</stp>
        <stp>FQ1 1995</stp>
        <stp>FQ1 1995</stp>
        <stp>[FA1_ftkzu3fn.xlsx]Income - Adjusted!R10C23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W10" s="2"/>
      </tp>
      <tp>
        <v>8235</v>
        <stp/>
        <stp>##V3_BDHV12</stp>
        <stp>XOM US Equity</stp>
        <stp>IS_OPER_INC</stp>
        <stp>FQ4 1996</stp>
        <stp>FQ4 1996</stp>
        <stp>[FA1_ftkzu3fn.xlsx]Income - Adjusted!R10C30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D10" s="2"/>
      </tp>
      <tp>
        <v>6163</v>
        <stp/>
        <stp>##V3_BDHV12</stp>
        <stp>XOM US Equity</stp>
        <stp>IS_OPER_INC</stp>
        <stp>FQ4 1994</stp>
        <stp>FQ4 1994</stp>
        <stp>[FA1_ftkzu3fn.xlsx]Income - Adjusted!R10C22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V10" s="2"/>
      </tp>
      <tp>
        <v>5004</v>
        <stp/>
        <stp>##V3_BDHV12</stp>
        <stp>XOM US Equity</stp>
        <stp>IS_OPER_INC</stp>
        <stp>FQ4 1992</stp>
        <stp>FQ4 1992</stp>
        <stp>[FA1_ftkzu3fn.xlsx]Income - Adjusted!R10C14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N10" s="2"/>
      </tp>
      <tp>
        <v>2284</v>
        <stp/>
        <stp>##V3_BDHV12</stp>
        <stp>XOM US Equity</stp>
        <stp>BS_NUM_OF_TSY_SH</stp>
        <stp>FQ3 1992</stp>
        <stp>FQ3 1992</stp>
        <stp>[FA1_ftkzu3fn.xlsx]Bal Sheet - Standardized!R50C13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50" s="3"/>
      </tp>
      <tp>
        <v>2284</v>
        <stp/>
        <stp>##V3_BDHV12</stp>
        <stp>XOM US Equity</stp>
        <stp>BS_NUM_OF_TSY_SH</stp>
        <stp>FQ2 1992</stp>
        <stp>FQ2 1992</stp>
        <stp>[FA1_ftkzu3fn.xlsx]Bal Sheet - Standardized!R50C12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50" s="3"/>
      </tp>
      <tp>
        <v>2284</v>
        <stp/>
        <stp>##V3_BDHV12</stp>
        <stp>XOM US Equity</stp>
        <stp>BS_NUM_OF_TSY_SH</stp>
        <stp>FQ1 1992</stp>
        <stp>FQ1 1992</stp>
        <stp>[FA1_ftkzu3fn.xlsx]Bal Sheet - Standardized!R50C11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50" s="3"/>
      </tp>
      <tp>
        <v>2284</v>
        <stp/>
        <stp>##V3_BDHV12</stp>
        <stp>XOM US Equity</stp>
        <stp>BS_NUM_OF_TSY_SH</stp>
        <stp>FQ4 1992</stp>
        <stp>FQ4 1992</stp>
        <stp>[FA1_ftkzu3fn.xlsx]Bal Sheet - Standardized!R50C14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50" s="3"/>
      </tp>
      <tp>
        <v>1172</v>
        <stp/>
        <stp>##V3_BDHV12</stp>
        <stp>XOM US Equity</stp>
        <stp>IS_INC_BEF_XO_ITEM</stp>
        <stp>FQ2 1991</stp>
        <stp>FQ2 1991</stp>
        <stp>[FA1_ftkzu3fn.xlsx]Income - Adjusted!R16C8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6" s="2"/>
      </tp>
      <tp>
        <v>2284</v>
        <stp/>
        <stp>##V3_BDHV12</stp>
        <stp>XOM US Equity</stp>
        <stp>BS_NUM_OF_TSY_SH</stp>
        <stp>FQ4 1996</stp>
        <stp>FQ4 1996</stp>
        <stp>[FA1_ftkzu3fn.xlsx]Bal Sheet - Standardized!R50C30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50" s="3"/>
      </tp>
      <tp>
        <v>2284</v>
        <stp/>
        <stp>##V3_BDHV12</stp>
        <stp>XOM US Equity</stp>
        <stp>BS_NUM_OF_TSY_SH</stp>
        <stp>FQ4 1994</stp>
        <stp>FQ4 1994</stp>
        <stp>[FA1_ftkzu3fn.xlsx]Bal Sheet - Standardized!R50C22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50" s="3"/>
      </tp>
      <tp>
        <v>0.3</v>
        <stp/>
        <stp>##V3_BDHV12</stp>
        <stp>XOM US Equity</stp>
        <stp>IS_DIL_EPS_CONT_OPS</stp>
        <stp>FQ3 1995</stp>
        <stp>FQ3 1995</stp>
        <stp>[FA1_ftkzu3fn.xlsx]Per Share!R19C25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19" s="5"/>
      </tp>
      <tp>
        <v>0.19</v>
        <stp/>
        <stp>##V3_BDHV12</stp>
        <stp>XOM US Equity</stp>
        <stp>IS_DIL_EPS_CONT_OPS</stp>
        <stp>FQ2 1992</stp>
        <stp>FQ2 1992</stp>
        <stp>[FA1_ftkzu3fn.xlsx]Per Share!R19C12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19" s="5"/>
      </tp>
      <tp>
        <v>1210</v>
        <stp/>
        <stp>##V3_BDHV12</stp>
        <stp>XOM US Equity</stp>
        <stp>IS_INC_BEF_XO_ITEM</stp>
        <stp>FQ2 1990</stp>
        <stp>FQ2 1990</stp>
        <stp>[FA1_ftkzu3fn.xlsx]Income - Adjusted!R16C4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6" s="2"/>
      </tp>
      <tp>
        <v>0.22</v>
        <stp/>
        <stp>##V3_BDHV12</stp>
        <stp>XOM US Equity</stp>
        <stp>IS_EARN_BEF_XO_ITEMS_PER_SH</stp>
        <stp>FQ3 1991</stp>
        <stp>FQ3 1991</stp>
        <stp>[FA1_ftkzu3fn.xlsx]Per Share!R15C9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15" s="5"/>
      </tp>
      <tp>
        <v>0.22500000000000001</v>
        <stp/>
        <stp>##V3_BDHV12</stp>
        <stp>XOM US Equity</stp>
        <stp>IS_EARN_BEF_XO_ITEMS_PER_SH</stp>
        <stp>FQ2 1991</stp>
        <stp>FQ2 1991</stp>
        <stp>[FA1_ftkzu3fn.xlsx]Per Share!R15C8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15" s="5"/>
      </tp>
      <tp>
        <v>30.229099999999999</v>
        <stp/>
        <stp>##V3_BDHV12</stp>
        <stp>XOM US Equity</stp>
        <stp>NET_DEBT_TO_SHRHLDR_EQTY</stp>
        <stp>FQ4 1991</stp>
        <stp>FQ4 1991</stp>
        <stp>[FA1_ftkzu3fn.xlsx]Bal Sheet - Standardized!R52C10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52" s="3"/>
      </tp>
      <tp>
        <v>15.3438</v>
        <stp/>
        <stp>##V3_BDHV12</stp>
        <stp>XOM US Equity</stp>
        <stp>PX_HIGH</stp>
        <stp>FQ2 1991</stp>
        <stp>FQ2 1991</stp>
        <stp>[FA1_ftkzu3fn.xlsx]Stock Value!R9C8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9" s="6"/>
      </tp>
      <tp t="s">
        <v>—</v>
        <stp/>
        <stp>##V3_BDHV12</stp>
        <stp>XOM US Equity</stp>
        <stp>IS_FOREIGN_EXCH_LOSS</stp>
        <stp>FQ2 1997</stp>
        <stp>FQ2 1997</stp>
        <stp>[FA1_ftkzu3fn.xlsx]Income - Adjusted!R12C32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F12" s="2"/>
      </tp>
      <tp t="s">
        <v>—</v>
        <stp/>
        <stp>##V3_BDHV12</stp>
        <stp>XOM US Equity</stp>
        <stp>IS_FOREIGN_EXCH_LOSS</stp>
        <stp>FQ2 1993</stp>
        <stp>FQ2 1993</stp>
        <stp>[FA1_ftkzu3fn.xlsx]Income - Adjusted!R12C16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P12" s="2"/>
      </tp>
      <tp t="s">
        <v>—</v>
        <stp/>
        <stp>##V3_BDHV12</stp>
        <stp>XOM US Equity</stp>
        <stp>IS_FOREIGN_EXCH_LOSS</stp>
        <stp>FQ3 1994</stp>
        <stp>FQ3 1994</stp>
        <stp>[FA1_ftkzu3fn.xlsx]Income - Adjusted!R12C21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U12" s="2"/>
      </tp>
      <tp>
        <v>2325</v>
        <stp/>
        <stp>##V3_BDHV12</stp>
        <stp>XOM US Equity</stp>
        <stp>EBIT</stp>
        <stp>FQ1 1996</stp>
        <stp>FQ1 1996</stp>
        <stp>[FA1_ftkzu3fn.xlsx]Income - Adjusted!R41C27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A41" s="2"/>
      </tp>
      <tp>
        <v>2353</v>
        <stp/>
        <stp>##V3_BDHV12</stp>
        <stp>XOM US Equity</stp>
        <stp>EBIT</stp>
        <stp>FQ2 1995</stp>
        <stp>FQ2 1995</stp>
        <stp>[FA1_ftkzu3fn.xlsx]Income - Adjusted!R41C24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X41" s="2"/>
      </tp>
      <tp>
        <v>2054</v>
        <stp/>
        <stp>##V3_BDHV12</stp>
        <stp>XOM US Equity</stp>
        <stp>EBIT</stp>
        <stp>FQ3 1992</stp>
        <stp>FQ3 1992</stp>
        <stp>[FA1_ftkzu3fn.xlsx]Income - Adjusted!R41C13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M41" s="2"/>
      </tp>
      <tp>
        <v>5350</v>
        <stp/>
        <stp>##V3_BDHV12</stp>
        <stp>XOM US Equity</stp>
        <stp>EBIT</stp>
        <stp>FQ4 1991</stp>
        <stp>FQ4 1991</stp>
        <stp>[FA1_ftkzu3fn.xlsx]Income - Adjusted!R41C10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J41" s="2"/>
      </tp>
      <tp>
        <v>6292</v>
        <stp/>
        <stp>##V3_BDHV12</stp>
        <stp>XOM US Equity</stp>
        <stp>BS_ACCT_NOTE_RCV</stp>
        <stp>FQ4 1994</stp>
        <stp>FQ4 1994</stp>
        <stp>[FA1_ftkzu3fn.xlsx]Bal Sheet - Standardized!R10C22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10" s="3"/>
      </tp>
      <tp>
        <v>6979</v>
        <stp/>
        <stp>##V3_BDHV12</stp>
        <stp>XOM US Equity</stp>
        <stp>BS_ACCT_NOTE_RCV</stp>
        <stp>FQ4 1995</stp>
        <stp>FQ4 1995</stp>
        <stp>[FA1_ftkzu3fn.xlsx]Bal Sheet - Standardized!R10C26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10" s="3"/>
      </tp>
      <tp>
        <v>1664</v>
        <stp/>
        <stp>##V3_BDHV12</stp>
        <stp>XOM US Equity</stp>
        <stp>IS_OPER_INC</stp>
        <stp>FQ2 1993</stp>
        <stp>FQ2 1993</stp>
        <stp>[FA1_ftkzu3fn.xlsx]Income - Adjusted!R10C16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P10" s="2"/>
      </tp>
      <tp>
        <v>2829</v>
        <stp/>
        <stp>##V3_BDHV12</stp>
        <stp>XOM US Equity</stp>
        <stp>IS_OPER_INC</stp>
        <stp>FQ2 1997</stp>
        <stp>FQ2 1997</stp>
        <stp>[FA1_ftkzu3fn.xlsx]Income - Adjusted!R10C32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F10" s="2"/>
      </tp>
      <tp>
        <v>1837</v>
        <stp/>
        <stp>##V3_BDHV12</stp>
        <stp>XOM US Equity</stp>
        <stp>IS_OPER_INC</stp>
        <stp>FQ3 1994</stp>
        <stp>FQ3 1994</stp>
        <stp>[FA1_ftkzu3fn.xlsx]Income - Adjusted!R10C21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U10" s="2"/>
      </tp>
      <tp>
        <v>0.2225</v>
        <stp/>
        <stp>##V3_BDHV12</stp>
        <stp>XOM US Equity</stp>
        <stp>IS_DIL_EPS_BEF_XO</stp>
        <stp>FQ4 1991</stp>
        <stp>FQ4 1991</stp>
        <stp>[FA1_ftkzu3fn.xlsx]Income - Adjusted!R34C10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34" s="2"/>
      </tp>
      <tp>
        <v>0.32500000000000001</v>
        <stp/>
        <stp>##V3_BDHV12</stp>
        <stp>XOM US Equity</stp>
        <stp>IS_DIL_EPS_BEF_XO</stp>
        <stp>FQ2 1995</stp>
        <stp>FQ2 1995</stp>
        <stp>[FA1_ftkzu3fn.xlsx]Income - Adjusted!R34C24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34" s="2"/>
      </tp>
      <tp>
        <v>0.22500000000000001</v>
        <stp/>
        <stp>##V3_BDHV12</stp>
        <stp>XOM US Equity</stp>
        <stp>IS_DIL_EPS_BEF_XO</stp>
        <stp>FQ3 1992</stp>
        <stp>FQ3 1992</stp>
        <stp>[FA1_ftkzu3fn.xlsx]Income - Adjusted!R34C13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34" s="2"/>
      </tp>
      <tp>
        <v>0.375</v>
        <stp/>
        <stp>##V3_BDHV12</stp>
        <stp>XOM US Equity</stp>
        <stp>IS_DIL_EPS_BEF_XO</stp>
        <stp>FQ1 1996</stp>
        <stp>FQ1 1996</stp>
        <stp>[FA1_ftkzu3fn.xlsx]Income - Adjusted!R34C27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34" s="2"/>
      </tp>
      <tp>
        <v>0.33750000000000002</v>
        <stp/>
        <stp>##V3_BDHV12</stp>
        <stp>XOM US Equity</stp>
        <stp>IS_DIL_EPS_CONT_OPS</stp>
        <stp>FQ4 1995</stp>
        <stp>FQ4 1995</stp>
        <stp>[FA1_ftkzu3fn.xlsx]Per Share!R19C26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19" s="5"/>
      </tp>
      <tp>
        <v>0.44500000000000001</v>
        <stp/>
        <stp>##V3_BDHV12</stp>
        <stp>XOM US Equity</stp>
        <stp>IS_DIL_EPS_CONT_OPS</stp>
        <stp>FQ4 1997</stp>
        <stp>FQ4 1997</stp>
        <stp>[FA1_ftkzu3fn.xlsx]Per Share!R19C34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19" s="5"/>
      </tp>
      <tp>
        <v>0.26750000000000002</v>
        <stp/>
        <stp>##V3_BDHV12</stp>
        <stp>XOM US Equity</stp>
        <stp>IS_DIL_EPS_CONT_OPS</stp>
        <stp>FQ1 1992</stp>
        <stp>FQ1 1992</stp>
        <stp>[FA1_ftkzu3fn.xlsx]Per Share!R19C11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19" s="5"/>
      </tp>
      <tp>
        <v>1351</v>
        <stp/>
        <stp>##V3_BDHV12</stp>
        <stp>XOM US Equity</stp>
        <stp>IS_INC_BEF_XO_ITEM</stp>
        <stp>FQ1 1990</stp>
        <stp>FQ1 1990</stp>
        <stp>[FA1_ftkzu3fn.xlsx]Income - Adjusted!R16C3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6" s="2"/>
      </tp>
      <tp>
        <v>2341</v>
        <stp/>
        <stp>##V3_BDHV12</stp>
        <stp>XOM US Equity</stp>
        <stp>IS_INC_BEF_XO_ITEM</stp>
        <stp>FQ1 1991</stp>
        <stp>FQ1 1991</stp>
        <stp>[FA1_ftkzu3fn.xlsx]Income - Adjusted!R16C7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6" s="2"/>
      </tp>
      <tp>
        <v>29.9741</v>
        <stp/>
        <stp>##V3_BDHV12</stp>
        <stp>XOM US Equity</stp>
        <stp>NET_DEBT_TO_SHRHLDR_EQTY</stp>
        <stp>FQ2 1994</stp>
        <stp>FQ2 1994</stp>
        <stp>[FA1_ftkzu3fn.xlsx]Bal Sheet - Standardized!R52C20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52" s="3"/>
      </tp>
      <tp>
        <v>29.3187</v>
        <stp/>
        <stp>##V3_BDHV12</stp>
        <stp>XOM US Equity</stp>
        <stp>NET_DEBT_TO_SHRHLDR_EQTY</stp>
        <stp>FQ3 1994</stp>
        <stp>FQ3 1994</stp>
        <stp>[FA1_ftkzu3fn.xlsx]Bal Sheet - Standardized!R52C21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52" s="3"/>
      </tp>
      <tp t="s">
        <v>—</v>
        <stp/>
        <stp>##V3_BDHV12</stp>
        <stp>XOM US Equity</stp>
        <stp>IS_FOREIGN_EXCH_LOSS</stp>
        <stp>FQ1 1995</stp>
        <stp>FQ1 1995</stp>
        <stp>[FA1_ftkzu3fn.xlsx]Income - Adjusted!R12C23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W12" s="2"/>
      </tp>
      <tp>
        <v>0</v>
        <stp/>
        <stp>##V3_BDHV12</stp>
        <stp>XOM US Equity</stp>
        <stp>IS_FOREIGN_EXCH_LOSS</stp>
        <stp>FQ1 1997</stp>
        <stp>FQ1 1997</stp>
        <stp>[FA1_ftkzu3fn.xlsx]Income - Adjusted!R12C31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E12" s="2"/>
      </tp>
      <tp t="s">
        <v>—</v>
        <stp/>
        <stp>##V3_BDHV12</stp>
        <stp>XOM US Equity</stp>
        <stp>IS_FOREIGN_EXCH_LOSS</stp>
        <stp>FQ1 1993</stp>
        <stp>FQ1 1993</stp>
        <stp>[FA1_ftkzu3fn.xlsx]Income - Adjusted!R12C15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O12" s="2"/>
      </tp>
      <tp>
        <v>118</v>
        <stp/>
        <stp>##V3_BDHV12</stp>
        <stp>XOM US Equity</stp>
        <stp>IS_FOREIGN_EXCH_LOSS</stp>
        <stp>FQ4 1992</stp>
        <stp>FQ4 1992</stp>
        <stp>[FA1_ftkzu3fn.xlsx]Income - Adjusted!R12C14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N12" s="2"/>
      </tp>
      <tp>
        <v>30</v>
        <stp/>
        <stp>##V3_BDHV12</stp>
        <stp>XOM US Equity</stp>
        <stp>IS_FOREIGN_EXCH_LOSS</stp>
        <stp>FQ4 1994</stp>
        <stp>FQ4 1994</stp>
        <stp>[FA1_ftkzu3fn.xlsx]Income - Adjusted!R12C22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V12" s="2"/>
      </tp>
      <tp>
        <v>37</v>
        <stp/>
        <stp>##V3_BDHV12</stp>
        <stp>XOM US Equity</stp>
        <stp>IS_FOREIGN_EXCH_LOSS</stp>
        <stp>FQ4 1996</stp>
        <stp>FQ4 1996</stp>
        <stp>[FA1_ftkzu3fn.xlsx]Income - Adjusted!R12C30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D12" s="2"/>
      </tp>
      <tp>
        <v>940</v>
        <stp/>
        <stp>##V3_BDHV12</stp>
        <stp>XOM US Equity</stp>
        <stp>BS_PFD_EQTY_&amp;_HYBRID_CPTL</stp>
        <stp>FQ1 1991</stp>
        <stp>FQ1 1991</stp>
        <stp>[FA1_ftkzu3fn.xlsx]Bal Sheet - Standardized!R38C7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38" s="3"/>
      </tp>
      <tp>
        <v>58</v>
        <stp/>
        <stp>##V3_BDHV12</stp>
        <stp>XOM US Equity</stp>
        <stp>BS_PFD_EQTY_&amp;_HYBRID_CPTL</stp>
        <stp>FQ2 1990</stp>
        <stp>FQ2 1990</stp>
        <stp>[FA1_ftkzu3fn.xlsx]Bal Sheet - Standardized!R38C4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38" s="3"/>
      </tp>
      <tp>
        <v>44</v>
        <stp/>
        <stp>##V3_BDHV12</stp>
        <stp>XOM US Equity</stp>
        <stp>BS_PFD_EQTY_&amp;_HYBRID_CPTL</stp>
        <stp>FQ3 1990</stp>
        <stp>FQ3 1990</stp>
        <stp>[FA1_ftkzu3fn.xlsx]Bal Sheet - Standardized!R38C5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38" s="3"/>
      </tp>
      <tp>
        <v>30</v>
        <stp/>
        <stp>##V3_BDHV12</stp>
        <stp>XOM US Equity</stp>
        <stp>BS_PFD_EQTY_&amp;_HYBRID_CPTL</stp>
        <stp>FQ4 1990</stp>
        <stp>FQ4 1990</stp>
        <stp>[FA1_ftkzu3fn.xlsx]Bal Sheet - Standardized!R38C6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38" s="3"/>
      </tp>
      <tp>
        <v>6</v>
        <stp/>
        <stp>##V3_BDHV12</stp>
        <stp>XOM US Equity</stp>
        <stp>BS_PFD_EQTY_&amp;_HYBRID_CPTL</stp>
        <stp>FQ1 1990</stp>
        <stp>FQ1 1990</stp>
        <stp>[FA1_ftkzu3fn.xlsx]Bal Sheet - Standardized!R38C3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38" s="3"/>
      </tp>
      <tp>
        <v>895</v>
        <stp/>
        <stp>##V3_BDHV12</stp>
        <stp>XOM US Equity</stp>
        <stp>BS_PFD_EQTY_&amp;_HYBRID_CPTL</stp>
        <stp>FQ3 1991</stp>
        <stp>FQ3 1991</stp>
        <stp>[FA1_ftkzu3fn.xlsx]Bal Sheet - Standardized!R38C9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38" s="3"/>
      </tp>
      <tp>
        <v>4</v>
        <stp/>
        <stp>##V3_BDHV12</stp>
        <stp>XOM US Equity</stp>
        <stp>BS_PFD_EQTY_&amp;_HYBRID_CPTL</stp>
        <stp>FQ2 1991</stp>
        <stp>FQ2 1991</stp>
        <stp>[FA1_ftkzu3fn.xlsx]Bal Sheet - Standardized!R38C8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38" s="3"/>
      </tp>
      <tp>
        <v>0.15</v>
        <stp/>
        <stp>##V3_BDHV12</stp>
        <stp>XOM US Equity</stp>
        <stp>EQY_DPS</stp>
        <stp>FQ3 1990</stp>
        <stp>FQ3 1990</stp>
        <stp>[FA1_ftkzu3fn.xlsx]Income - Adjusted!R46C5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46" s="2"/>
      </tp>
      <tp>
        <v>0.15</v>
        <stp/>
        <stp>##V3_BDHV12</stp>
        <stp>XOM US Equity</stp>
        <stp>EQY_DPS</stp>
        <stp>FQ2 1990</stp>
        <stp>FQ2 1990</stp>
        <stp>[FA1_ftkzu3fn.xlsx]Income - Adjusted!R46C4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46" s="2"/>
      </tp>
      <tp>
        <v>7993</v>
        <stp/>
        <stp>##V3_BDHV12</stp>
        <stp>XOM US Equity</stp>
        <stp>BS_ACCT_NOTE_RCV</stp>
        <stp>FQ4 1996</stp>
        <stp>FQ4 1996</stp>
        <stp>[FA1_ftkzu3fn.xlsx]Bal Sheet - Standardized!R10C30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10" s="3"/>
      </tp>
      <tp>
        <v>7989</v>
        <stp/>
        <stp>##V3_BDHV12</stp>
        <stp>XOM US Equity</stp>
        <stp>BS_ACCT_NOTE_RCV</stp>
        <stp>FQ4 1997</stp>
        <stp>FQ4 1997</stp>
        <stp>[FA1_ftkzu3fn.xlsx]Bal Sheet - Standardized!R10C34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10" s="3"/>
      </tp>
      <tp>
        <v>1365</v>
        <stp/>
        <stp>##V3_BDHV12</stp>
        <stp>XOM US Equity</stp>
        <stp>IS_OPER_INC</stp>
        <stp>FQ2 1994</stp>
        <stp>FQ2 1994</stp>
        <stp>[FA1_ftkzu3fn.xlsx]Income - Adjusted!R10C20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T10" s="2"/>
      </tp>
      <tp>
        <v>1754</v>
        <stp/>
        <stp>##V3_BDHV12</stp>
        <stp>XOM US Equity</stp>
        <stp>IS_OPER_INC</stp>
        <stp>FQ3 1993</stp>
        <stp>FQ3 1993</stp>
        <stp>[FA1_ftkzu3fn.xlsx]Income - Adjusted!R10C17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Q10" s="2"/>
      </tp>
      <tp>
        <v>2601</v>
        <stp/>
        <stp>##V3_BDHV12</stp>
        <stp>XOM US Equity</stp>
        <stp>IS_OPER_INC</stp>
        <stp>FQ3 1997</stp>
        <stp>FQ3 1997</stp>
        <stp>[FA1_ftkzu3fn.xlsx]Income - Adjusted!R10C33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G10" s="2"/>
      </tp>
      <tp>
        <v>2284</v>
        <stp/>
        <stp>##V3_BDHV12</stp>
        <stp>XOM US Equity</stp>
        <stp>BS_NUM_OF_TSY_SH</stp>
        <stp>FQ1 1996</stp>
        <stp>FQ1 1996</stp>
        <stp>[FA1_ftkzu3fn.xlsx]Bal Sheet - Standardized!R50C27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50" s="3"/>
      </tp>
      <tp>
        <v>0.19</v>
        <stp/>
        <stp>##V3_BDHV12</stp>
        <stp>XOM US Equity</stp>
        <stp>IS_DIL_EPS_BEF_XO</stp>
        <stp>FQ2 1992</stp>
        <stp>FQ2 1992</stp>
        <stp>[FA1_ftkzu3fn.xlsx]Income - Adjusted!R34C12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34" s="2"/>
      </tp>
      <tp>
        <v>0.3</v>
        <stp/>
        <stp>##V3_BDHV12</stp>
        <stp>XOM US Equity</stp>
        <stp>IS_DIL_EPS_BEF_XO</stp>
        <stp>FQ3 1995</stp>
        <stp>FQ3 1995</stp>
        <stp>[FA1_ftkzu3fn.xlsx]Income - Adjusted!R34C25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34" s="2"/>
      </tp>
      <tp>
        <v>11.5313</v>
        <stp/>
        <stp>##V3_BDHV12</stp>
        <stp>XOM US Equity</stp>
        <stp>PX_LAST</stp>
        <stp>FQ1 1990</stp>
        <stp>FQ1 1990</stp>
        <stp>[FA1_ftkzu3fn.xlsx]Stock Value!R6C3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6" s="6"/>
      </tp>
      <tp>
        <v>10.4374</v>
        <stp/>
        <stp>##V3_BDHV12</stp>
        <stp>XOM US Equity</stp>
        <stp>NET_DEBT_TO_SHRHLDR_EQTY</stp>
        <stp>FQ1 1997</stp>
        <stp>FQ1 1997</stp>
        <stp>[FA1_ftkzu3fn.xlsx]Bal Sheet - Standardized!R52C31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52" s="3"/>
      </tp>
      <tp>
        <v>11.83</v>
        <stp/>
        <stp>##V3_BDHV12</stp>
        <stp>XOM US Equity</stp>
        <stp>NET_DEBT_TO_SHRHLDR_EQTY</stp>
        <stp>FQ3 1997</stp>
        <stp>FQ3 1997</stp>
        <stp>[FA1_ftkzu3fn.xlsx]Bal Sheet - Standardized!R52C33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52" s="3"/>
      </tp>
      <tp>
        <v>11.279199999999999</v>
        <stp/>
        <stp>##V3_BDHV12</stp>
        <stp>XOM US Equity</stp>
        <stp>NET_DEBT_TO_SHRHLDR_EQTY</stp>
        <stp>FQ2 1997</stp>
        <stp>FQ2 1997</stp>
        <stp>[FA1_ftkzu3fn.xlsx]Bal Sheet - Standardized!R52C32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52" s="3"/>
      </tp>
      <tp>
        <v>12.7957</v>
        <stp/>
        <stp>##V3_BDHV12</stp>
        <stp>XOM US Equity</stp>
        <stp>NET_DEBT_TO_SHRHLDR_EQTY</stp>
        <stp>FQ4 1997</stp>
        <stp>FQ4 1997</stp>
        <stp>[FA1_ftkzu3fn.xlsx]Bal Sheet - Standardized!R52C34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52" s="3"/>
      </tp>
      <tp>
        <v>24.462800000000001</v>
        <stp/>
        <stp>##V3_BDHV12</stp>
        <stp>XOM US Equity</stp>
        <stp>NET_DEBT_TO_SHRHLDR_EQTY</stp>
        <stp>FQ1 1995</stp>
        <stp>FQ1 1995</stp>
        <stp>[FA1_ftkzu3fn.xlsx]Bal Sheet - Standardized!R52C23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52" s="3"/>
      </tp>
      <tp>
        <v>19.3306</v>
        <stp/>
        <stp>##V3_BDHV12</stp>
        <stp>XOM US Equity</stp>
        <stp>NET_DEBT_TO_SHRHLDR_EQTY</stp>
        <stp>FQ4 1995</stp>
        <stp>FQ4 1995</stp>
        <stp>[FA1_ftkzu3fn.xlsx]Bal Sheet - Standardized!R52C26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52" s="3"/>
      </tp>
      <tp>
        <v>31.418800000000001</v>
        <stp/>
        <stp>##V3_BDHV12</stp>
        <stp>XOM US Equity</stp>
        <stp>NET_DEBT_TO_SHRHLDR_EQTY</stp>
        <stp>FQ3 1993</stp>
        <stp>FQ3 1993</stp>
        <stp>[FA1_ftkzu3fn.xlsx]Bal Sheet - Standardized!R52C17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52" s="3"/>
      </tp>
      <tp>
        <v>33.268299999999996</v>
        <stp/>
        <stp>##V3_BDHV12</stp>
        <stp>XOM US Equity</stp>
        <stp>NET_DEBT_TO_SHRHLDR_EQTY</stp>
        <stp>FQ2 1993</stp>
        <stp>FQ2 1993</stp>
        <stp>[FA1_ftkzu3fn.xlsx]Bal Sheet - Standardized!R52C16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52" s="3"/>
      </tp>
      <tp>
        <v>33.615699999999997</v>
        <stp/>
        <stp>##V3_BDHV12</stp>
        <stp>XOM US Equity</stp>
        <stp>NET_DEBT_TO_SHRHLDR_EQTY</stp>
        <stp>FQ1 1993</stp>
        <stp>FQ1 1993</stp>
        <stp>[FA1_ftkzu3fn.xlsx]Bal Sheet - Standardized!R52C15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52" s="3"/>
      </tp>
      <tp t="s">
        <v>—</v>
        <stp/>
        <stp>##V3_BDHV12</stp>
        <stp>XOM US Equity</stp>
        <stp>CF_DVD_PAID</stp>
        <stp>FQ1 1990</stp>
        <stp>FQ1 1990</stp>
        <stp>[FA1_ftkzu3fn.xlsx]Cash Flow - Standardized!R26C3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6" s="4"/>
      </tp>
      <tp t="s">
        <v>—</v>
        <stp/>
        <stp>##V3_BDHV12</stp>
        <stp>XOM US Equity</stp>
        <stp>CF_DVD_PAID</stp>
        <stp>FQ4 1990</stp>
        <stp>FQ4 1990</stp>
        <stp>[FA1_ftkzu3fn.xlsx]Cash Flow - Standardized!R26C6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6" s="4"/>
      </tp>
      <tp t="s">
        <v>—</v>
        <stp/>
        <stp>##V3_BDHV12</stp>
        <stp>XOM US Equity</stp>
        <stp>CF_DVD_PAID</stp>
        <stp>FQ1 1991</stp>
        <stp>FQ1 1991</stp>
        <stp>[FA1_ftkzu3fn.xlsx]Cash Flow - Standardized!R26C7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6" s="4"/>
      </tp>
      <tp t="s">
        <v>—</v>
        <stp/>
        <stp>##V3_BDHV12</stp>
        <stp>XOM US Equity</stp>
        <stp>CF_DVD_PAID</stp>
        <stp>FQ2 1990</stp>
        <stp>FQ2 1990</stp>
        <stp>[FA1_ftkzu3fn.xlsx]Cash Flow - Standardized!R26C4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6" s="4"/>
      </tp>
      <tp t="s">
        <v>—</v>
        <stp/>
        <stp>##V3_BDHV12</stp>
        <stp>XOM US Equity</stp>
        <stp>CF_DVD_PAID</stp>
        <stp>FQ3 1990</stp>
        <stp>FQ3 1990</stp>
        <stp>[FA1_ftkzu3fn.xlsx]Cash Flow - Standardized!R26C5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6" s="4"/>
      </tp>
      <tp t="s">
        <v>—</v>
        <stp/>
        <stp>##V3_BDHV12</stp>
        <stp>XOM US Equity</stp>
        <stp>CF_DVD_PAID</stp>
        <stp>FQ3 1991</stp>
        <stp>FQ3 1991</stp>
        <stp>[FA1_ftkzu3fn.xlsx]Cash Flow - Standardized!R26C9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6" s="4"/>
      </tp>
      <tp t="s">
        <v>—</v>
        <stp/>
        <stp>##V3_BDHV12</stp>
        <stp>XOM US Equity</stp>
        <stp>CF_DVD_PAID</stp>
        <stp>FQ2 1991</stp>
        <stp>FQ2 1991</stp>
        <stp>[FA1_ftkzu3fn.xlsx]Cash Flow - Standardized!R26C8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6" s="4"/>
      </tp>
      <tp>
        <v>1784</v>
        <stp/>
        <stp>##V3_BDHV12</stp>
        <stp>XOM US Equity</stp>
        <stp>EBIT</stp>
        <stp>FQ1 1992</stp>
        <stp>FQ1 1992</stp>
        <stp>[FA1_ftkzu3fn.xlsx]Income - Adjusted!R41C11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K41" s="2"/>
      </tp>
      <tp>
        <v>5095</v>
        <stp/>
        <stp>##V3_BDHV12</stp>
        <stp>XOM US Equity</stp>
        <stp>EBIT</stp>
        <stp>FQ4 1995</stp>
        <stp>FQ4 1995</stp>
        <stp>[FA1_ftkzu3fn.xlsx]Income - Adjusted!R41C26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Z41" s="2"/>
      </tp>
      <tp>
        <v>5770</v>
        <stp/>
        <stp>##V3_BDHV12</stp>
        <stp>XOM US Equity</stp>
        <stp>EBIT</stp>
        <stp>FQ4 1997</stp>
        <stp>FQ4 1997</stp>
        <stp>[FA1_ftkzu3fn.xlsx]Income - Adjusted!R41C34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H41" s="2"/>
      </tp>
      <tp>
        <v>0.94310000000000005</v>
        <stp/>
        <stp>##V3_BDHV12</stp>
        <stp>XOM US Equity</stp>
        <stp>CUR_RATIO</stp>
        <stp>FQ3 1996</stp>
        <stp>FQ3 1996</stp>
        <stp>[FA1_ftkzu3fn.xlsx]Bal Sheet - Standardized!R53C29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53" s="3"/>
      </tp>
      <tp>
        <v>0.98580000000000001</v>
        <stp/>
        <stp>##V3_BDHV12</stp>
        <stp>XOM US Equity</stp>
        <stp>CUR_RATIO</stp>
        <stp>FQ2 1996</stp>
        <stp>FQ2 1996</stp>
        <stp>[FA1_ftkzu3fn.xlsx]Bal Sheet - Standardized!R53C28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53" s="3"/>
      </tp>
      <tp>
        <v>0.84109999999999996</v>
        <stp/>
        <stp>##V3_BDHV12</stp>
        <stp>XOM US Equity</stp>
        <stp>CUR_RATIO</stp>
        <stp>FQ1 1994</stp>
        <stp>FQ1 1994</stp>
        <stp>[FA1_ftkzu3fn.xlsx]Bal Sheet - Standardized!R53C19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53" s="3"/>
      </tp>
      <tp t="s">
        <v>—</v>
        <stp/>
        <stp>##V3_BDHV12</stp>
        <stp>XOM US Equity</stp>
        <stp>CF_NET_CHNG_CASH</stp>
        <stp>FQ1 1990</stp>
        <stp>FQ1 1990</stp>
        <stp>[FA1_ftkzu3fn.xlsx]Cash Flow - Standardized!R34C3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34" s="4"/>
      </tp>
      <tp>
        <v>4164</v>
        <stp/>
        <stp>##V3_BDHV12</stp>
        <stp>XOM US Equity</stp>
        <stp>CF_NET_CHNG_CASH</stp>
        <stp>FQ4 1990</stp>
        <stp>FQ4 1990</stp>
        <stp>[FA1_ftkzu3fn.xlsx]Cash Flow - Standardized!R34C6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34" s="4"/>
      </tp>
      <tp t="s">
        <v>—</v>
        <stp/>
        <stp>##V3_BDHV12</stp>
        <stp>XOM US Equity</stp>
        <stp>CF_NET_CHNG_CASH</stp>
        <stp>FQ2 1990</stp>
        <stp>FQ2 1990</stp>
        <stp>[FA1_ftkzu3fn.xlsx]Cash Flow - Standardized!R34C4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34" s="4"/>
      </tp>
      <tp t="s">
        <v>—</v>
        <stp/>
        <stp>##V3_BDHV12</stp>
        <stp>XOM US Equity</stp>
        <stp>CF_NET_CHNG_CASH</stp>
        <stp>FQ3 1990</stp>
        <stp>FQ3 1990</stp>
        <stp>[FA1_ftkzu3fn.xlsx]Cash Flow - Standardized!R34C5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34" s="4"/>
      </tp>
      <tp>
        <v>2750</v>
        <stp/>
        <stp>##V3_BDHV12</stp>
        <stp>XOM US Equity</stp>
        <stp>CF_NET_CHNG_CASH</stp>
        <stp>FQ1 1991</stp>
        <stp>FQ1 1991</stp>
        <stp>[FA1_ftkzu3fn.xlsx]Cash Flow - Standardized!R34C7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34" s="4"/>
      </tp>
      <tp>
        <v>2799</v>
        <stp/>
        <stp>##V3_BDHV12</stp>
        <stp>XOM US Equity</stp>
        <stp>CF_NET_CHNG_CASH</stp>
        <stp>FQ3 1991</stp>
        <stp>FQ3 1991</stp>
        <stp>[FA1_ftkzu3fn.xlsx]Cash Flow - Standardized!R34C9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34" s="4"/>
      </tp>
      <tp t="s">
        <v>—</v>
        <stp/>
        <stp>##V3_BDHV12</stp>
        <stp>XOM US Equity</stp>
        <stp>CF_NET_CHNG_CASH</stp>
        <stp>FQ2 1991</stp>
        <stp>FQ2 1991</stp>
        <stp>[FA1_ftkzu3fn.xlsx]Cash Flow - Standardized!R34C8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34" s="4"/>
      </tp>
      <tp>
        <v>1.0789</v>
        <stp/>
        <stp>##V3_BDHV12</stp>
        <stp>XOM US Equity</stp>
        <stp>CUR_RATIO</stp>
        <stp>FQ1 1998</stp>
        <stp>FQ1 1998</stp>
        <stp>[FA1_ftkzu3fn.xlsx]Bal Sheet - Standardized!R53C35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53" s="3"/>
      </tp>
      <tp>
        <v>1.0427</v>
        <stp/>
        <stp>##V3_BDHV12</stp>
        <stp>XOM US Equity</stp>
        <stp>CUR_RATIO</stp>
        <stp>FQ2 1998</stp>
        <stp>FQ2 1998</stp>
        <stp>[FA1_ftkzu3fn.xlsx]Bal Sheet - Standardized!R53C36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53" s="3"/>
      </tp>
      <tp>
        <v>0.16750000000000001</v>
        <stp/>
        <stp>##V3_BDHV12</stp>
        <stp>XOM US Equity</stp>
        <stp>EQY_DPS</stp>
        <stp>FQ1 1991</stp>
        <stp>FQ1 1991</stp>
        <stp>[FA1_ftkzu3fn.xlsx]Income - Adjusted!R46C7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46" s="2"/>
      </tp>
      <tp>
        <v>7448</v>
        <stp/>
        <stp>##V3_BDHV12</stp>
        <stp>XOM US Equity</stp>
        <stp>BS_ACCT_NOTE_RCV</stp>
        <stp>FQ1 1992</stp>
        <stp>FQ1 1992</stp>
        <stp>[FA1_ftkzu3fn.xlsx]Bal Sheet - Standardized!R10C11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10" s="3"/>
      </tp>
      <tp>
        <v>8066</v>
        <stp/>
        <stp>##V3_BDHV12</stp>
        <stp>XOM US Equity</stp>
        <stp>BS_ACCT_NOTE_RCV</stp>
        <stp>FQ2 1995</stp>
        <stp>FQ2 1995</stp>
        <stp>[FA1_ftkzu3fn.xlsx]Bal Sheet - Standardized!R10C24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10" s="3"/>
      </tp>
      <tp>
        <v>7203</v>
        <stp/>
        <stp>##V3_BDHV12</stp>
        <stp>XOM US Equity</stp>
        <stp>BS_ACCT_NOTE_RCV</stp>
        <stp>FQ2 1994</stp>
        <stp>FQ2 1994</stp>
        <stp>[FA1_ftkzu3fn.xlsx]Bal Sheet - Standardized!R10C20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10" s="3"/>
      </tp>
      <tp>
        <v>7719</v>
        <stp/>
        <stp>##V3_BDHV12</stp>
        <stp>XOM US Equity</stp>
        <stp>BS_ACCT_NOTE_RCV</stp>
        <stp>FQ1 1993</stp>
        <stp>FQ1 1993</stp>
        <stp>[FA1_ftkzu3fn.xlsx]Bal Sheet - Standardized!R10C15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10" s="3"/>
      </tp>
      <tp>
        <v>10248</v>
        <stp/>
        <stp>##V3_BDHV12</stp>
        <stp>XOM US Equity</stp>
        <stp>BS_ACCT_NOTE_RCV</stp>
        <stp>FQ3 1997</stp>
        <stp>FQ3 1997</stp>
        <stp>[FA1_ftkzu3fn.xlsx]Bal Sheet - Standardized!R10C33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10" s="3"/>
      </tp>
      <tp>
        <v>6972</v>
        <stp/>
        <stp>##V3_BDHV12</stp>
        <stp>XOM US Equity</stp>
        <stp>BS_ACCT_NOTE_RCV</stp>
        <stp>FQ1 1994</stp>
        <stp>FQ1 1994</stp>
        <stp>[FA1_ftkzu3fn.xlsx]Bal Sheet - Standardized!R10C19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10" s="3"/>
      </tp>
      <tp>
        <v>8686</v>
        <stp/>
        <stp>##V3_BDHV12</stp>
        <stp>XOM US Equity</stp>
        <stp>BS_ACCT_NOTE_RCV</stp>
        <stp>FQ2 1996</stp>
        <stp>FQ2 1996</stp>
        <stp>[FA1_ftkzu3fn.xlsx]Bal Sheet - Standardized!R10C28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10" s="3"/>
      </tp>
      <tp>
        <v>1784</v>
        <stp/>
        <stp>##V3_BDHV12</stp>
        <stp>XOM US Equity</stp>
        <stp>IS_OPER_INC</stp>
        <stp>FQ1 1992</stp>
        <stp>FQ1 1992</stp>
        <stp>[FA1_ftkzu3fn.xlsx]Income - Adjusted!R10C11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K10" s="2"/>
      </tp>
      <tp>
        <v>5770</v>
        <stp/>
        <stp>##V3_BDHV12</stp>
        <stp>XOM US Equity</stp>
        <stp>IS_OPER_INC</stp>
        <stp>FQ4 1997</stp>
        <stp>FQ4 1997</stp>
        <stp>[FA1_ftkzu3fn.xlsx]Income - Adjusted!R10C34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H10" s="2"/>
      </tp>
      <tp>
        <v>5095</v>
        <stp/>
        <stp>##V3_BDHV12</stp>
        <stp>XOM US Equity</stp>
        <stp>IS_OPER_INC</stp>
        <stp>FQ4 1995</stp>
        <stp>FQ4 1995</stp>
        <stp>[FA1_ftkzu3fn.xlsx]Income - Adjusted!R10C26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Z10" s="2"/>
      </tp>
      <tp>
        <v>4981.5679</v>
        <stp/>
        <stp>##V3_BDHV12</stp>
        <stp>XOM US Equity</stp>
        <stp>BS_SH_OUT</stp>
        <stp>FQ3 1991</stp>
        <stp>FQ3 1991</stp>
        <stp>[FA1_ftkzu3fn.xlsx]Per Share!R6C9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6" s="5"/>
      </tp>
      <tp>
        <v>4975.3521000000001</v>
        <stp/>
        <stp>##V3_BDHV12</stp>
        <stp>XOM US Equity</stp>
        <stp>BS_SH_OUT</stp>
        <stp>FQ2 1991</stp>
        <stp>FQ2 1991</stp>
        <stp>[FA1_ftkzu3fn.xlsx]Per Share!R6C8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6" s="5"/>
      </tp>
      <tp>
        <v>18</v>
        <stp/>
        <stp>##V3_BDHV12</stp>
        <stp>XOM US Equity</stp>
        <stp>BS_MKT_SEC_OTHER_ST_INVEST</stp>
        <stp>FQ3 1997</stp>
        <stp>FQ3 1997</stp>
        <stp>[FA1_ftkzu3fn.xlsx]Bal Sheet - Standardized!R9C33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9" s="3"/>
      </tp>
      <tp>
        <v>22</v>
        <stp/>
        <stp>##V3_BDHV12</stp>
        <stp>XOM US Equity</stp>
        <stp>BS_MKT_SEC_OTHER_ST_INVEST</stp>
        <stp>FQ2 1997</stp>
        <stp>FQ2 1997</stp>
        <stp>[FA1_ftkzu3fn.xlsx]Bal Sheet - Standardized!R9C32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9" s="3"/>
      </tp>
      <tp>
        <v>19</v>
        <stp/>
        <stp>##V3_BDHV12</stp>
        <stp>XOM US Equity</stp>
        <stp>BS_MKT_SEC_OTHER_ST_INVEST</stp>
        <stp>FQ1 1997</stp>
        <stp>FQ1 1997</stp>
        <stp>[FA1_ftkzu3fn.xlsx]Bal Sheet - Standardized!R9C31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9" s="3"/>
      </tp>
      <tp>
        <v>15</v>
        <stp/>
        <stp>##V3_BDHV12</stp>
        <stp>XOM US Equity</stp>
        <stp>BS_MKT_SEC_OTHER_ST_INVEST</stp>
        <stp>FQ4 1997</stp>
        <stp>FQ4 1997</stp>
        <stp>[FA1_ftkzu3fn.xlsx]Bal Sheet - Standardized!R9C34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9" s="3"/>
      </tp>
      <tp>
        <v>2284</v>
        <stp/>
        <stp>##V3_BDHV12</stp>
        <stp>XOM US Equity</stp>
        <stp>BS_NUM_OF_TSY_SH</stp>
        <stp>FQ3 1993</stp>
        <stp>FQ3 1993</stp>
        <stp>[FA1_ftkzu3fn.xlsx]Bal Sheet - Standardized!R50C17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50" s="3"/>
      </tp>
      <tp>
        <v>2284</v>
        <stp/>
        <stp>##V3_BDHV12</stp>
        <stp>XOM US Equity</stp>
        <stp>BS_NUM_OF_TSY_SH</stp>
        <stp>FQ2 1993</stp>
        <stp>FQ2 1993</stp>
        <stp>[FA1_ftkzu3fn.xlsx]Bal Sheet - Standardized!R50C16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50" s="3"/>
      </tp>
      <tp>
        <v>2284</v>
        <stp/>
        <stp>##V3_BDHV12</stp>
        <stp>XOM US Equity</stp>
        <stp>BS_NUM_OF_TSY_SH</stp>
        <stp>FQ1 1993</stp>
        <stp>FQ1 1993</stp>
        <stp>[FA1_ftkzu3fn.xlsx]Bal Sheet - Standardized!R50C15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50" s="3"/>
      </tp>
      <tp>
        <v>20</v>
        <stp/>
        <stp>##V3_BDHV12</stp>
        <stp>XOM US Equity</stp>
        <stp>BS_MKT_SEC_OTHER_ST_INVEST</stp>
        <stp>FQ1 1998</stp>
        <stp>FQ1 1998</stp>
        <stp>[FA1_ftkzu3fn.xlsx]Bal Sheet - Standardized!R9C35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9" s="3"/>
      </tp>
      <tp>
        <v>21</v>
        <stp/>
        <stp>##V3_BDHV12</stp>
        <stp>XOM US Equity</stp>
        <stp>BS_MKT_SEC_OTHER_ST_INVEST</stp>
        <stp>FQ2 1998</stp>
        <stp>FQ2 1998</stp>
        <stp>[FA1_ftkzu3fn.xlsx]Bal Sheet - Standardized!R9C36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9" s="3"/>
      </tp>
      <tp>
        <v>18</v>
        <stp/>
        <stp>##V3_BDHV12</stp>
        <stp>XOM US Equity</stp>
        <stp>BS_MKT_SEC_OTHER_ST_INVEST</stp>
        <stp>FQ4 1996</stp>
        <stp>FQ4 1996</stp>
        <stp>[FA1_ftkzu3fn.xlsx]Bal Sheet - Standardized!R9C30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9" s="3"/>
      </tp>
      <tp>
        <v>2004</v>
        <stp/>
        <stp>##V3_BDHV12</stp>
        <stp>XOM US Equity</stp>
        <stp>BS_NUM_OF_TSY_SH</stp>
        <stp>FQ1 1997</stp>
        <stp>FQ1 1997</stp>
        <stp>[FA1_ftkzu3fn.xlsx]Bal Sheet - Standardized!R50C31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50" s="3"/>
      </tp>
      <tp>
        <v>1036</v>
        <stp/>
        <stp>##V3_BDHV12</stp>
        <stp>XOM US Equity</stp>
        <stp>BS_NUM_OF_TSY_SH</stp>
        <stp>FQ3 1997</stp>
        <stp>FQ3 1997</stp>
        <stp>[FA1_ftkzu3fn.xlsx]Bal Sheet - Standardized!R50C33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50" s="3"/>
      </tp>
      <tp>
        <v>1020</v>
        <stp/>
        <stp>##V3_BDHV12</stp>
        <stp>XOM US Equity</stp>
        <stp>BS_NUM_OF_TSY_SH</stp>
        <stp>FQ2 1997</stp>
        <stp>FQ2 1997</stp>
        <stp>[FA1_ftkzu3fn.xlsx]Bal Sheet - Standardized!R50C32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50" s="3"/>
      </tp>
      <tp>
        <v>1054</v>
        <stp/>
        <stp>##V3_BDHV12</stp>
        <stp>XOM US Equity</stp>
        <stp>BS_NUM_OF_TSY_SH</stp>
        <stp>FQ4 1997</stp>
        <stp>FQ4 1997</stp>
        <stp>[FA1_ftkzu3fn.xlsx]Bal Sheet - Standardized!R50C34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50" s="3"/>
      </tp>
      <tp>
        <v>2284</v>
        <stp/>
        <stp>##V3_BDHV12</stp>
        <stp>XOM US Equity</stp>
        <stp>BS_NUM_OF_TSY_SH</stp>
        <stp>FQ1 1995</stp>
        <stp>FQ1 1995</stp>
        <stp>[FA1_ftkzu3fn.xlsx]Bal Sheet - Standardized!R50C23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50" s="3"/>
      </tp>
      <tp>
        <v>2284</v>
        <stp/>
        <stp>##V3_BDHV12</stp>
        <stp>XOM US Equity</stp>
        <stp>BS_NUM_OF_TSY_SH</stp>
        <stp>FQ4 1995</stp>
        <stp>FQ4 1995</stp>
        <stp>[FA1_ftkzu3fn.xlsx]Bal Sheet - Standardized!R50C26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50" s="3"/>
      </tp>
      <tp>
        <v>11.9688</v>
        <stp/>
        <stp>##V3_BDHV12</stp>
        <stp>XOM US Equity</stp>
        <stp>PX_LAST</stp>
        <stp>FQ2 1990</stp>
        <stp>FQ2 1990</stp>
        <stp>[FA1_ftkzu3fn.xlsx]Stock Value!R6C4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6" s="6"/>
      </tp>
      <tp>
        <v>0.23</v>
        <stp/>
        <stp>##V3_BDHV12</stp>
        <stp>XOM US Equity</stp>
        <stp>IS_DIL_EPS_CONT_OPS</stp>
        <stp>FQ3 1994</stp>
        <stp>FQ3 1994</stp>
        <stp>[FA1_ftkzu3fn.xlsx]Per Share!R19C21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19" s="5"/>
      </tp>
      <tp>
        <v>0.245</v>
        <stp/>
        <stp>##V3_BDHV12</stp>
        <stp>XOM US Equity</stp>
        <stp>IS_DIL_EPS_CONT_OPS</stp>
        <stp>FQ2 1993</stp>
        <stp>FQ2 1993</stp>
        <stp>[FA1_ftkzu3fn.xlsx]Per Share!R19C16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19" s="5"/>
      </tp>
      <tp>
        <v>0.39</v>
        <stp/>
        <stp>##V3_BDHV12</stp>
        <stp>XOM US Equity</stp>
        <stp>IS_DIL_EPS_CONT_OPS</stp>
        <stp>FQ2 1997</stp>
        <stp>FQ2 1997</stp>
        <stp>[FA1_ftkzu3fn.xlsx]Per Share!R19C32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19" s="5"/>
      </tp>
      <tp>
        <v>15.720800000000001</v>
        <stp/>
        <stp>##V3_BDHV12</stp>
        <stp>XOM US Equity</stp>
        <stp>NET_DEBT_TO_SHRHLDR_EQTY</stp>
        <stp>FQ1 1996</stp>
        <stp>FQ1 1996</stp>
        <stp>[FA1_ftkzu3fn.xlsx]Bal Sheet - Standardized!R52C27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52" s="3"/>
      </tp>
      <tp>
        <v>3204</v>
        <stp/>
        <stp>##V3_BDHV12</stp>
        <stp>XOM US Equity</stp>
        <stp>EBITDA</stp>
        <stp>FQ2 1990</stp>
        <stp>FQ2 1990</stp>
        <stp>[FA1_ftkzu3fn.xlsx]Cash Flow - Standardized!R38C4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D38" s="4"/>
      </tp>
      <tp>
        <v>3148</v>
        <stp/>
        <stp>##V3_BDHV12</stp>
        <stp>XOM US Equity</stp>
        <stp>EBITDA</stp>
        <stp>FQ3 1990</stp>
        <stp>FQ3 1990</stp>
        <stp>[FA1_ftkzu3fn.xlsx]Cash Flow - Standardized!R38C5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E38" s="4"/>
      </tp>
      <tp>
        <v>4483</v>
        <stp/>
        <stp>##V3_BDHV12</stp>
        <stp>XOM US Equity</stp>
        <stp>EBITDA</stp>
        <stp>FQ1 1991</stp>
        <stp>FQ1 1991</stp>
        <stp>[FA1_ftkzu3fn.xlsx]Cash Flow - Standardized!R38C7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G38" s="4"/>
      </tp>
      <tp t="s">
        <v>—</v>
        <stp/>
        <stp>##V3_BDHV12</stp>
        <stp>XOM US Equity</stp>
        <stp>IS_FOREIGN_EXCH_LOSS</stp>
        <stp>FQ2 1992</stp>
        <stp>FQ2 1992</stp>
        <stp>[FA1_ftkzu3fn.xlsx]Income - Adjusted!R12C12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L12" s="2"/>
      </tp>
      <tp t="s">
        <v>—</v>
        <stp/>
        <stp>##V3_BDHV12</stp>
        <stp>XOM US Equity</stp>
        <stp>IS_FOREIGN_EXCH_LOSS</stp>
        <stp>FQ3 1995</stp>
        <stp>FQ3 1995</stp>
        <stp>[FA1_ftkzu3fn.xlsx]Income - Adjusted!R12C25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Y12" s="2"/>
      </tp>
      <tp>
        <v>0.31</v>
        <stp/>
        <stp>##V3_BDHV12</stp>
        <stp>XOM US Equity</stp>
        <stp>IS_EARN_BEF_XO_ITEMS_PER_SH</stp>
        <stp>FQ3 1996</stp>
        <stp>FQ3 1996</stp>
        <stp>[FA1_ftkzu3fn.xlsx]Income - Adjusted!R29C29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29" s="2"/>
      </tp>
      <tp>
        <v>13.9688</v>
        <stp/>
        <stp>##V3_BDHV12</stp>
        <stp>XOM US Equity</stp>
        <stp>PX_LOW</stp>
        <stp>FQ2 1991</stp>
        <stp>FQ2 1991</stp>
        <stp>[FA1_ftkzu3fn.xlsx]Stock Value!R10C8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10" s="6"/>
      </tp>
      <tp>
        <v>1365</v>
        <stp/>
        <stp>##V3_BDHV12</stp>
        <stp>XOM US Equity</stp>
        <stp>EBIT</stp>
        <stp>FQ2 1994</stp>
        <stp>FQ2 1994</stp>
        <stp>[FA1_ftkzu3fn.xlsx]Income - Adjusted!R41C20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T41" s="2"/>
      </tp>
      <tp>
        <v>2601</v>
        <stp/>
        <stp>##V3_BDHV12</stp>
        <stp>XOM US Equity</stp>
        <stp>EBIT</stp>
        <stp>FQ3 1997</stp>
        <stp>FQ3 1997</stp>
        <stp>[FA1_ftkzu3fn.xlsx]Income - Adjusted!R41C33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G41" s="2"/>
      </tp>
      <tp>
        <v>1754</v>
        <stp/>
        <stp>##V3_BDHV12</stp>
        <stp>XOM US Equity</stp>
        <stp>EBIT</stp>
        <stp>FQ3 1993</stp>
        <stp>FQ3 1993</stp>
        <stp>[FA1_ftkzu3fn.xlsx]Income - Adjusted!R41C17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Q41" s="2"/>
      </tp>
      <tp>
        <v>8059</v>
        <stp/>
        <stp>##V3_BDHV12</stp>
        <stp>XOM US Equity</stp>
        <stp>BS_ACCT_NOTE_RCV</stp>
        <stp>FQ3 1995</stp>
        <stp>FQ3 1995</stp>
        <stp>[FA1_ftkzu3fn.xlsx]Bal Sheet - Standardized!R10C25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10" s="3"/>
      </tp>
      <tp>
        <v>7315</v>
        <stp/>
        <stp>##V3_BDHV12</stp>
        <stp>XOM US Equity</stp>
        <stp>BS_ACCT_NOTE_RCV</stp>
        <stp>FQ3 1994</stp>
        <stp>FQ3 1994</stp>
        <stp>[FA1_ftkzu3fn.xlsx]Bal Sheet - Standardized!R10C21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10" s="3"/>
      </tp>
      <tp>
        <v>9814</v>
        <stp/>
        <stp>##V3_BDHV12</stp>
        <stp>XOM US Equity</stp>
        <stp>BS_ACCT_NOTE_RCV</stp>
        <stp>FQ2 1997</stp>
        <stp>FQ2 1997</stp>
        <stp>[FA1_ftkzu3fn.xlsx]Bal Sheet - Standardized!R10C32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10" s="3"/>
      </tp>
      <tp>
        <v>6522</v>
        <stp/>
        <stp>##V3_BDHV12</stp>
        <stp>XOM US Equity</stp>
        <stp>BS_ACCT_NOTE_RCV</stp>
        <stp>FQ2 1998</stp>
        <stp>FQ2 1998</stp>
        <stp>[FA1_ftkzu3fn.xlsx]Bal Sheet - Standardized!R10C36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10" s="3"/>
      </tp>
      <tp>
        <v>9115</v>
        <stp/>
        <stp>##V3_BDHV12</stp>
        <stp>XOM US Equity</stp>
        <stp>BS_ACCT_NOTE_RCV</stp>
        <stp>FQ3 1996</stp>
        <stp>FQ3 1996</stp>
        <stp>[FA1_ftkzu3fn.xlsx]Bal Sheet - Standardized!R10C29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10" s="3"/>
      </tp>
      <tp>
        <v>404</v>
        <stp/>
        <stp>##V3_BDHV12</stp>
        <stp>XOM US Equity</stp>
        <stp>BS_MKT_SEC_OTHER_ST_INVEST</stp>
        <stp>FQ1 1995</stp>
        <stp>FQ1 1995</stp>
        <stp>[FA1_ftkzu3fn.xlsx]Bal Sheet - Standardized!R9C23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9" s="3"/>
      </tp>
      <tp>
        <v>242</v>
        <stp/>
        <stp>##V3_BDHV12</stp>
        <stp>XOM US Equity</stp>
        <stp>BS_MKT_SEC_OTHER_ST_INVEST</stp>
        <stp>FQ2 1994</stp>
        <stp>FQ2 1994</stp>
        <stp>[FA1_ftkzu3fn.xlsx]Bal Sheet - Standardized!R9C20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9" s="3"/>
      </tp>
      <tp>
        <v>725</v>
        <stp/>
        <stp>##V3_BDHV12</stp>
        <stp>XOM US Equity</stp>
        <stp>BS_MKT_SEC_OTHER_ST_INVEST</stp>
        <stp>FQ3 1994</stp>
        <stp>FQ3 1994</stp>
        <stp>[FA1_ftkzu3fn.xlsx]Bal Sheet - Standardized!R9C21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9" s="3"/>
      </tp>
      <tp>
        <v>281</v>
        <stp/>
        <stp>##V3_BDHV12</stp>
        <stp>XOM US Equity</stp>
        <stp>BS_MKT_SEC_OTHER_ST_INVEST</stp>
        <stp>FQ4 1995</stp>
        <stp>FQ4 1995</stp>
        <stp>[FA1_ftkzu3fn.xlsx]Bal Sheet - Standardized!R9C26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9" s="3"/>
      </tp>
      <tp>
        <v>0.3175</v>
        <stp/>
        <stp>##V3_BDHV12</stp>
        <stp>XOM US Equity</stp>
        <stp>IS_DIL_EPS_BEF_XO</stp>
        <stp>FQ4 1992</stp>
        <stp>FQ4 1992</stp>
        <stp>[FA1_ftkzu3fn.xlsx]Income - Adjusted!R34C14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34" s="2"/>
      </tp>
      <tp>
        <v>0.38250000000000001</v>
        <stp/>
        <stp>##V3_BDHV12</stp>
        <stp>XOM US Equity</stp>
        <stp>IS_DIL_EPS_BEF_XO</stp>
        <stp>FQ4 1994</stp>
        <stp>FQ4 1994</stp>
        <stp>[FA1_ftkzu3fn.xlsx]Income - Adjusted!R34C22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34" s="2"/>
      </tp>
      <tp>
        <v>0.5</v>
        <stp/>
        <stp>##V3_BDHV12</stp>
        <stp>XOM US Equity</stp>
        <stp>IS_DIL_EPS_BEF_XO</stp>
        <stp>FQ4 1996</stp>
        <stp>FQ4 1996</stp>
        <stp>[FA1_ftkzu3fn.xlsx]Income - Adjusted!R34C30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34" s="2"/>
      </tp>
      <tp>
        <v>0.33250000000000002</v>
        <stp/>
        <stp>##V3_BDHV12</stp>
        <stp>XOM US Equity</stp>
        <stp>IS_DIL_EPS_BEF_XO</stp>
        <stp>FQ1 1995</stp>
        <stp>FQ1 1995</stp>
        <stp>[FA1_ftkzu3fn.xlsx]Income - Adjusted!R34C23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34" s="2"/>
      </tp>
      <tp>
        <v>0.43</v>
        <stp/>
        <stp>##V3_BDHV12</stp>
        <stp>XOM US Equity</stp>
        <stp>IS_DIL_EPS_BEF_XO</stp>
        <stp>FQ1 1997</stp>
        <stp>FQ1 1997</stp>
        <stp>[FA1_ftkzu3fn.xlsx]Income - Adjusted!R34C31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34" s="2"/>
      </tp>
      <tp>
        <v>0.23499999999999999</v>
        <stp/>
        <stp>##V3_BDHV12</stp>
        <stp>XOM US Equity</stp>
        <stp>IS_DIL_EPS_BEF_XO</stp>
        <stp>FQ1 1993</stp>
        <stp>FQ1 1993</stp>
        <stp>[FA1_ftkzu3fn.xlsx]Income - Adjusted!R34C15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34" s="2"/>
      </tp>
      <tp>
        <v>337</v>
        <stp/>
        <stp>##V3_BDHV12</stp>
        <stp>XOM US Equity</stp>
        <stp>BS_MKT_SEC_OTHER_ST_INVEST</stp>
        <stp>FQ3 1995</stp>
        <stp>FQ3 1995</stp>
        <stp>[FA1_ftkzu3fn.xlsx]Bal Sheet - Standardized!R9C25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9" s="3"/>
      </tp>
      <tp>
        <v>140</v>
        <stp/>
        <stp>##V3_BDHV12</stp>
        <stp>XOM US Equity</stp>
        <stp>BS_MKT_SEC_OTHER_ST_INVEST</stp>
        <stp>FQ1 1996</stp>
        <stp>FQ1 1996</stp>
        <stp>[FA1_ftkzu3fn.xlsx]Bal Sheet - Standardized!R9C27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9" s="3"/>
      </tp>
      <tp>
        <v>157</v>
        <stp/>
        <stp>##V3_BDHV12</stp>
        <stp>XOM US Equity</stp>
        <stp>BS_MKT_SEC_OTHER_ST_INVEST</stp>
        <stp>FQ2 1995</stp>
        <stp>FQ2 1995</stp>
        <stp>[FA1_ftkzu3fn.xlsx]Bal Sheet - Standardized!R9C24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9" s="3"/>
      </tp>
      <tp>
        <v>618</v>
        <stp/>
        <stp>##V3_BDHV12</stp>
        <stp>XOM US Equity</stp>
        <stp>BS_MKT_SEC_OTHER_ST_INVEST</stp>
        <stp>FQ4 1994</stp>
        <stp>FQ4 1994</stp>
        <stp>[FA1_ftkzu3fn.xlsx]Bal Sheet - Standardized!R9C22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9" s="3"/>
      </tp>
      <tp>
        <v>2284</v>
        <stp/>
        <stp>##V3_BDHV12</stp>
        <stp>XOM US Equity</stp>
        <stp>BS_NUM_OF_TSY_SH</stp>
        <stp>FQ2 1994</stp>
        <stp>FQ2 1994</stp>
        <stp>[FA1_ftkzu3fn.xlsx]Bal Sheet - Standardized!R50C20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50" s="3"/>
      </tp>
      <tp>
        <v>2284</v>
        <stp/>
        <stp>##V3_BDHV12</stp>
        <stp>XOM US Equity</stp>
        <stp>BS_NUM_OF_TSY_SH</stp>
        <stp>FQ3 1994</stp>
        <stp>FQ3 1994</stp>
        <stp>[FA1_ftkzu3fn.xlsx]Bal Sheet - Standardized!R50C21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50" s="3"/>
      </tp>
      <tp>
        <v>102</v>
        <stp/>
        <stp>##V3_BDHV12</stp>
        <stp>XOM US Equity</stp>
        <stp>BS_MKT_SEC_OTHER_ST_INVEST</stp>
        <stp>FQ2 1996</stp>
        <stp>FQ2 1996</stp>
        <stp>[FA1_ftkzu3fn.xlsx]Bal Sheet - Standardized!R9C28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9" s="3"/>
      </tp>
      <tp>
        <v>23</v>
        <stp/>
        <stp>##V3_BDHV12</stp>
        <stp>XOM US Equity</stp>
        <stp>BS_MKT_SEC_OTHER_ST_INVEST</stp>
        <stp>FQ3 1996</stp>
        <stp>FQ3 1996</stp>
        <stp>[FA1_ftkzu3fn.xlsx]Bal Sheet - Standardized!R9C29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9" s="3"/>
      </tp>
      <tp>
        <v>12.25</v>
        <stp/>
        <stp>##V3_BDHV12</stp>
        <stp>XOM US Equity</stp>
        <stp>PX_LAST</stp>
        <stp>FQ3 1990</stp>
        <stp>FQ3 1990</stp>
        <stp>[FA1_ftkzu3fn.xlsx]Stock Value!R6C5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6" s="6"/>
      </tp>
      <tp>
        <v>0.27250000000000002</v>
        <stp/>
        <stp>##V3_BDHV12</stp>
        <stp>XOM US Equity</stp>
        <stp>IS_DIL_EPS_CONT_OPS</stp>
        <stp>FQ3 1993</stp>
        <stp>FQ3 1993</stp>
        <stp>[FA1_ftkzu3fn.xlsx]Per Share!R19C17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19" s="5"/>
      </tp>
      <tp>
        <v>0.36499999999999999</v>
        <stp/>
        <stp>##V3_BDHV12</stp>
        <stp>XOM US Equity</stp>
        <stp>IS_DIL_EPS_CONT_OPS</stp>
        <stp>FQ3 1997</stp>
        <stp>FQ3 1997</stp>
        <stp>[FA1_ftkzu3fn.xlsx]Per Share!R19C33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19" s="5"/>
      </tp>
      <tp>
        <v>0.17499999999999999</v>
        <stp/>
        <stp>##V3_BDHV12</stp>
        <stp>XOM US Equity</stp>
        <stp>IS_DIL_EPS_CONT_OPS</stp>
        <stp>FQ2 1994</stp>
        <stp>FQ2 1994</stp>
        <stp>[FA1_ftkzu3fn.xlsx]Per Share!R19C20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19" s="5"/>
      </tp>
      <tp t="s">
        <v>—</v>
        <stp/>
        <stp>##V3_BDHV12</stp>
        <stp>XOM US Equity</stp>
        <stp>IS_FOREIGN_EXCH_LOSS</stp>
        <stp>FQ2 1995</stp>
        <stp>FQ2 1995</stp>
        <stp>[FA1_ftkzu3fn.xlsx]Income - Adjusted!R12C24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X12" s="2"/>
      </tp>
      <tp t="s">
        <v>—</v>
        <stp/>
        <stp>##V3_BDHV12</stp>
        <stp>XOM US Equity</stp>
        <stp>IS_FOREIGN_EXCH_LOSS</stp>
        <stp>FQ3 1992</stp>
        <stp>FQ3 1992</stp>
        <stp>[FA1_ftkzu3fn.xlsx]Income - Adjusted!R12C13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M12" s="2"/>
      </tp>
      <tp t="s">
        <v>—</v>
        <stp/>
        <stp>##V3_BDHV12</stp>
        <stp>XOM US Equity</stp>
        <stp>IS_FOREIGN_EXCH_LOSS</stp>
        <stp>FQ1 1996</stp>
        <stp>FQ1 1996</stp>
        <stp>[FA1_ftkzu3fn.xlsx]Income - Adjusted!R12C27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A12" s="2"/>
      </tp>
      <tp>
        <v>-60</v>
        <stp/>
        <stp>##V3_BDHV12</stp>
        <stp>XOM US Equity</stp>
        <stp>IS_FOREIGN_EXCH_LOSS</stp>
        <stp>FQ4 1991</stp>
        <stp>FQ4 1991</stp>
        <stp>[FA1_ftkzu3fn.xlsx]Income - Adjusted!R12C10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J12" s="2"/>
      </tp>
      <tp>
        <v>0.315</v>
        <stp/>
        <stp>##V3_BDHV12</stp>
        <stp>XOM US Equity</stp>
        <stp>IS_EARN_BEF_XO_ITEMS_PER_SH</stp>
        <stp>FQ2 1996</stp>
        <stp>FQ2 1996</stp>
        <stp>[FA1_ftkzu3fn.xlsx]Income - Adjusted!R29C28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29" s="2"/>
      </tp>
      <tp>
        <v>0.33</v>
        <stp/>
        <stp>##V3_BDHV12</stp>
        <stp>XOM US Equity</stp>
        <stp>IS_EARN_BEF_XO_ITEMS_PER_SH</stp>
        <stp>FQ2 1998</stp>
        <stp>FQ2 1998</stp>
        <stp>[FA1_ftkzu3fn.xlsx]Income - Adjusted!R29C36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29" s="2"/>
      </tp>
      <tp>
        <v>14.1563</v>
        <stp/>
        <stp>##V3_BDHV12</stp>
        <stp>XOM US Equity</stp>
        <stp>PX_LOW</stp>
        <stp>FQ3 1991</stp>
        <stp>FQ3 1991</stp>
        <stp>[FA1_ftkzu3fn.xlsx]Stock Value!R10C9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10" s="6"/>
      </tp>
      <tp>
        <v>2829</v>
        <stp/>
        <stp>##V3_BDHV12</stp>
        <stp>XOM US Equity</stp>
        <stp>EBIT</stp>
        <stp>FQ2 1997</stp>
        <stp>FQ2 1997</stp>
        <stp>[FA1_ftkzu3fn.xlsx]Income - Adjusted!R41C32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F41" s="2"/>
      </tp>
      <tp>
        <v>1664</v>
        <stp/>
        <stp>##V3_BDHV12</stp>
        <stp>XOM US Equity</stp>
        <stp>EBIT</stp>
        <stp>FQ2 1993</stp>
        <stp>FQ2 1993</stp>
        <stp>[FA1_ftkzu3fn.xlsx]Income - Adjusted!R41C16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P41" s="2"/>
      </tp>
      <tp>
        <v>1837</v>
        <stp/>
        <stp>##V3_BDHV12</stp>
        <stp>XOM US Equity</stp>
        <stp>EBIT</stp>
        <stp>FQ3 1994</stp>
        <stp>FQ3 1994</stp>
        <stp>[FA1_ftkzu3fn.xlsx]Income - Adjusted!R41C21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U41" s="2"/>
      </tp>
      <tp>
        <v>8404</v>
        <stp/>
        <stp>##V3_BDHV12</stp>
        <stp>XOM US Equity</stp>
        <stp>BS_ACCT_NOTE_RCV</stp>
        <stp>FQ3 1992</stp>
        <stp>FQ3 1992</stp>
        <stp>[FA1_ftkzu3fn.xlsx]Bal Sheet - Standardized!R10C13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10" s="3"/>
      </tp>
      <tp>
        <v>7415</v>
        <stp/>
        <stp>##V3_BDHV12</stp>
        <stp>XOM US Equity</stp>
        <stp>BS_ACCT_NOTE_RCV</stp>
        <stp>FQ3 1993</stp>
        <stp>FQ3 1993</stp>
        <stp>[FA1_ftkzu3fn.xlsx]Bal Sheet - Standardized!R10C17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10" s="3"/>
      </tp>
      <tp>
        <v>10347</v>
        <stp/>
        <stp>##V3_BDHV12</stp>
        <stp>XOM US Equity</stp>
        <stp>BS_ACCT_NOTE_RCV</stp>
        <stp>FQ1 1997</stp>
        <stp>FQ1 1997</stp>
        <stp>[FA1_ftkzu3fn.xlsx]Bal Sheet - Standardized!R10C31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10" s="3"/>
      </tp>
      <tp>
        <v>7166</v>
        <stp/>
        <stp>##V3_BDHV12</stp>
        <stp>XOM US Equity</stp>
        <stp>BS_ACCT_NOTE_RCV</stp>
        <stp>FQ1 1998</stp>
        <stp>FQ1 1998</stp>
        <stp>[FA1_ftkzu3fn.xlsx]Bal Sheet - Standardized!R10C35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10" s="3"/>
      </tp>
      <tp>
        <v>2325</v>
        <stp/>
        <stp>##V3_BDHV12</stp>
        <stp>XOM US Equity</stp>
        <stp>IS_OPER_INC</stp>
        <stp>FQ1 1996</stp>
        <stp>FQ1 1996</stp>
        <stp>[FA1_ftkzu3fn.xlsx]Income - Adjusted!R10C27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A10" s="2"/>
      </tp>
      <tp>
        <v>2353</v>
        <stp/>
        <stp>##V3_BDHV12</stp>
        <stp>XOM US Equity</stp>
        <stp>IS_OPER_INC</stp>
        <stp>FQ2 1995</stp>
        <stp>FQ2 1995</stp>
        <stp>[FA1_ftkzu3fn.xlsx]Income - Adjusted!R10C24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X10" s="2"/>
      </tp>
      <tp>
        <v>2054</v>
        <stp/>
        <stp>##V3_BDHV12</stp>
        <stp>XOM US Equity</stp>
        <stp>IS_OPER_INC</stp>
        <stp>FQ3 1992</stp>
        <stp>FQ3 1992</stp>
        <stp>[FA1_ftkzu3fn.xlsx]Income - Adjusted!R10C13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M10" s="2"/>
      </tp>
      <tp>
        <v>5350</v>
        <stp/>
        <stp>##V3_BDHV12</stp>
        <stp>XOM US Equity</stp>
        <stp>IS_OPER_INC</stp>
        <stp>FQ4 1991</stp>
        <stp>FQ4 1991</stp>
        <stp>[FA1_ftkzu3fn.xlsx]Income - Adjusted!R10C10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J10" s="2"/>
      </tp>
      <tp>
        <v>617</v>
        <stp/>
        <stp>##V3_BDHV12</stp>
        <stp>XOM US Equity</stp>
        <stp>BS_MKT_SEC_OTHER_ST_INVEST</stp>
        <stp>FQ4 1992</stp>
        <stp>FQ4 1992</stp>
        <stp>[FA1_ftkzu3fn.xlsx]Bal Sheet - Standardized!R9C14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9" s="3"/>
      </tp>
      <tp>
        <v>301</v>
        <stp/>
        <stp>##V3_BDHV12</stp>
        <stp>XOM US Equity</stp>
        <stp>BS_MKT_SEC_OTHER_ST_INVEST</stp>
        <stp>FQ2 1992</stp>
        <stp>FQ2 1992</stp>
        <stp>[FA1_ftkzu3fn.xlsx]Bal Sheet - Standardized!R9C12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9" s="3"/>
      </tp>
      <tp>
        <v>573</v>
        <stp/>
        <stp>##V3_BDHV12</stp>
        <stp>XOM US Equity</stp>
        <stp>BS_MKT_SEC_OTHER_ST_INVEST</stp>
        <stp>FQ3 1992</stp>
        <stp>FQ3 1992</stp>
        <stp>[FA1_ftkzu3fn.xlsx]Bal Sheet - Standardized!R9C13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9" s="3"/>
      </tp>
      <tp>
        <v>64</v>
        <stp/>
        <stp>##V3_BDHV12</stp>
        <stp>XOM US Equity</stp>
        <stp>BS_MKT_SEC_OTHER_ST_INVEST</stp>
        <stp>FQ1 1992</stp>
        <stp>FQ1 1992</stp>
        <stp>[FA1_ftkzu3fn.xlsx]Bal Sheet - Standardized!R9C11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9" s="3"/>
      </tp>
      <tp>
        <v>2284</v>
        <stp/>
        <stp>##V3_BDHV12</stp>
        <stp>XOM US Equity</stp>
        <stp>BS_NUM_OF_TSY_SH</stp>
        <stp>FQ4 1991</stp>
        <stp>FQ4 1991</stp>
        <stp>[FA1_ftkzu3fn.xlsx]Bal Sheet - Standardized!R50C10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50" s="3"/>
      </tp>
      <tp>
        <v>91</v>
        <stp/>
        <stp>##V3_BDHV12</stp>
        <stp>XOM US Equity</stp>
        <stp>BS_MKT_SEC_OTHER_ST_INVEST</stp>
        <stp>FQ4 1991</stp>
        <stp>FQ4 1991</stp>
        <stp>[FA1_ftkzu3fn.xlsx]Bal Sheet - Standardized!R9C10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9" s="3"/>
      </tp>
      <tp>
        <v>728</v>
        <stp/>
        <stp>##V3_BDHV12</stp>
        <stp>XOM US Equity</stp>
        <stp>BS_MKT_SEC_OTHER_ST_INVEST</stp>
        <stp>FQ3 1993</stp>
        <stp>FQ3 1993</stp>
        <stp>[FA1_ftkzu3fn.xlsx]Bal Sheet - Standardized!R9C17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9" s="3"/>
      </tp>
      <tp>
        <v>782</v>
        <stp/>
        <stp>##V3_BDHV12</stp>
        <stp>XOM US Equity</stp>
        <stp>BS_MKT_SEC_OTHER_ST_INVEST</stp>
        <stp>FQ2 1993</stp>
        <stp>FQ2 1993</stp>
        <stp>[FA1_ftkzu3fn.xlsx]Bal Sheet - Standardized!R9C16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9" s="3"/>
      </tp>
      <tp>
        <v>643</v>
        <stp/>
        <stp>##V3_BDHV12</stp>
        <stp>XOM US Equity</stp>
        <stp>BS_MKT_SEC_OTHER_ST_INVEST</stp>
        <stp>FQ1 1993</stp>
        <stp>FQ1 1993</stp>
        <stp>[FA1_ftkzu3fn.xlsx]Bal Sheet - Standardized!R9C15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9" s="3"/>
      </tp>
      <tp>
        <v>0.39</v>
        <stp/>
        <stp>##V3_BDHV12</stp>
        <stp>XOM US Equity</stp>
        <stp>IS_DIL_EPS_BEF_XO</stp>
        <stp>FQ2 1997</stp>
        <stp>FQ2 1997</stp>
        <stp>[FA1_ftkzu3fn.xlsx]Income - Adjusted!R34C32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34" s="2"/>
      </tp>
      <tp>
        <v>0.245</v>
        <stp/>
        <stp>##V3_BDHV12</stp>
        <stp>XOM US Equity</stp>
        <stp>IS_DIL_EPS_BEF_XO</stp>
        <stp>FQ2 1993</stp>
        <stp>FQ2 1993</stp>
        <stp>[FA1_ftkzu3fn.xlsx]Income - Adjusted!R34C16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34" s="2"/>
      </tp>
      <tp>
        <v>0.23</v>
        <stp/>
        <stp>##V3_BDHV12</stp>
        <stp>XOM US Equity</stp>
        <stp>IS_DIL_EPS_BEF_XO</stp>
        <stp>FQ3 1994</stp>
        <stp>FQ3 1994</stp>
        <stp>[FA1_ftkzu3fn.xlsx]Income - Adjusted!R34C21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34" s="2"/>
      </tp>
      <tp>
        <v>468</v>
        <stp/>
        <stp>##V3_BDHV12</stp>
        <stp>XOM US Equity</stp>
        <stp>BS_MKT_SEC_OTHER_ST_INVEST</stp>
        <stp>FQ1 1994</stp>
        <stp>FQ1 1994</stp>
        <stp>[FA1_ftkzu3fn.xlsx]Bal Sheet - Standardized!R9C19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9" s="3"/>
      </tp>
      <tp>
        <v>12.9375</v>
        <stp/>
        <stp>##V3_BDHV12</stp>
        <stp>XOM US Equity</stp>
        <stp>PX_LAST</stp>
        <stp>FQ4 1990</stp>
        <stp>FQ4 1990</stp>
        <stp>[FA1_ftkzu3fn.xlsx]Stock Value!R6C6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6" s="6"/>
      </tp>
      <tp>
        <v>14.625</v>
        <stp/>
        <stp>##V3_BDHV12</stp>
        <stp>XOM US Equity</stp>
        <stp>PX_LAST</stp>
        <stp>FQ1 1991</stp>
        <stp>FQ1 1991</stp>
        <stp>[FA1_ftkzu3fn.xlsx]Stock Value!R6C7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6" s="6"/>
      </tp>
      <tp>
        <v>669</v>
        <stp/>
        <stp>##V3_BDHV12</stp>
        <stp>XOM US Equity</stp>
        <stp>BS_MKT_SEC_OTHER_ST_INVEST</stp>
        <stp>FQ4 1993</stp>
        <stp>FQ4 1993</stp>
        <stp>[FA1_ftkzu3fn.xlsx]Bal Sheet - Standardized!R9C18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9" s="3"/>
      </tp>
      <tp>
        <v>14.908899999999999</v>
        <stp/>
        <stp>##V3_BDHV12</stp>
        <stp>XOM US Equity</stp>
        <stp>NET_DEBT_TO_SHRHLDR_EQTY</stp>
        <stp>FQ4 1996</stp>
        <stp>FQ4 1996</stp>
        <stp>[FA1_ftkzu3fn.xlsx]Bal Sheet - Standardized!R52C30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52" s="3"/>
      </tp>
      <tp>
        <v>27.572400000000002</v>
        <stp/>
        <stp>##V3_BDHV12</stp>
        <stp>XOM US Equity</stp>
        <stp>NET_DEBT_TO_SHRHLDR_EQTY</stp>
        <stp>FQ4 1994</stp>
        <stp>FQ4 1994</stp>
        <stp>[FA1_ftkzu3fn.xlsx]Bal Sheet - Standardized!R52C22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52" s="3"/>
      </tp>
      <tp>
        <v>32.246699999999997</v>
        <stp/>
        <stp>##V3_BDHV12</stp>
        <stp>XOM US Equity</stp>
        <stp>NET_DEBT_TO_SHRHLDR_EQTY</stp>
        <stp>FQ3 1992</stp>
        <stp>FQ3 1992</stp>
        <stp>[FA1_ftkzu3fn.xlsx]Bal Sheet - Standardized!R52C13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52" s="3"/>
      </tp>
      <tp>
        <v>33.0593</v>
        <stp/>
        <stp>##V3_BDHV12</stp>
        <stp>XOM US Equity</stp>
        <stp>NET_DEBT_TO_SHRHLDR_EQTY</stp>
        <stp>FQ2 1992</stp>
        <stp>FQ2 1992</stp>
        <stp>[FA1_ftkzu3fn.xlsx]Bal Sheet - Standardized!R52C12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52" s="3"/>
      </tp>
      <tp>
        <v>31.7437</v>
        <stp/>
        <stp>##V3_BDHV12</stp>
        <stp>XOM US Equity</stp>
        <stp>NET_DEBT_TO_SHRHLDR_EQTY</stp>
        <stp>FQ1 1992</stp>
        <stp>FQ1 1992</stp>
        <stp>[FA1_ftkzu3fn.xlsx]Bal Sheet - Standardized!R52C11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52" s="3"/>
      </tp>
      <tp>
        <v>32.404600000000002</v>
        <stp/>
        <stp>##V3_BDHV12</stp>
        <stp>XOM US Equity</stp>
        <stp>NET_DEBT_TO_SHRHLDR_EQTY</stp>
        <stp>FQ4 1992</stp>
        <stp>FQ4 1992</stp>
        <stp>[FA1_ftkzu3fn.xlsx]Bal Sheet - Standardized!R52C14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52" s="3"/>
      </tp>
      <tp>
        <v>0.23</v>
        <stp/>
        <stp>##V3_BDHV12</stp>
        <stp>XOM US Equity</stp>
        <stp>IS_EARN_BEF_XO_ITEMS_PER_SH</stp>
        <stp>FQ1 1994</stp>
        <stp>FQ1 1994</stp>
        <stp>[FA1_ftkzu3fn.xlsx]Income - Adjusted!R29C19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29" s="2"/>
      </tp>
      <tp>
        <v>0.38500000000000001</v>
        <stp/>
        <stp>##V3_BDHV12</stp>
        <stp>XOM US Equity</stp>
        <stp>IS_EARN_BEF_XO_ITEMS_PER_SH</stp>
        <stp>FQ1 1998</stp>
        <stp>FQ1 1998</stp>
        <stp>[FA1_ftkzu3fn.xlsx]Income - Adjusted!R29C35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29" s="2"/>
      </tp>
      <tp>
        <v>2146</v>
        <stp/>
        <stp>##V3_BDHV12</stp>
        <stp>XOM US Equity</stp>
        <stp>EBIT</stp>
        <stp>FQ1 1995</stp>
        <stp>FQ1 1995</stp>
        <stp>[FA1_ftkzu3fn.xlsx]Income - Adjusted!R41C23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W41" s="2"/>
      </tp>
      <tp>
        <v>3204</v>
        <stp/>
        <stp>##V3_BDHV12</stp>
        <stp>XOM US Equity</stp>
        <stp>EBIT</stp>
        <stp>FQ1 1997</stp>
        <stp>FQ1 1997</stp>
        <stp>[FA1_ftkzu3fn.xlsx]Income - Adjusted!R41C31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E41" s="2"/>
      </tp>
      <tp>
        <v>1721</v>
        <stp/>
        <stp>##V3_BDHV12</stp>
        <stp>XOM US Equity</stp>
        <stp>EBIT</stp>
        <stp>FQ1 1993</stp>
        <stp>FQ1 1993</stp>
        <stp>[FA1_ftkzu3fn.xlsx]Income - Adjusted!R41C15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O41" s="2"/>
      </tp>
      <tp>
        <v>5004</v>
        <stp/>
        <stp>##V3_BDHV12</stp>
        <stp>XOM US Equity</stp>
        <stp>EBIT</stp>
        <stp>FQ4 1992</stp>
        <stp>FQ4 1992</stp>
        <stp>[FA1_ftkzu3fn.xlsx]Income - Adjusted!R41C14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N41" s="2"/>
      </tp>
      <tp>
        <v>6163</v>
        <stp/>
        <stp>##V3_BDHV12</stp>
        <stp>XOM US Equity</stp>
        <stp>EBIT</stp>
        <stp>FQ4 1994</stp>
        <stp>FQ4 1994</stp>
        <stp>[FA1_ftkzu3fn.xlsx]Income - Adjusted!R41C22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V41" s="2"/>
      </tp>
      <tp>
        <v>8235</v>
        <stp/>
        <stp>##V3_BDHV12</stp>
        <stp>XOM US Equity</stp>
        <stp>EBIT</stp>
        <stp>FQ4 1996</stp>
        <stp>FQ4 1996</stp>
        <stp>[FA1_ftkzu3fn.xlsx]Income - Adjusted!R41C30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D41" s="2"/>
      </tp>
      <tp>
        <v>0.15</v>
        <stp/>
        <stp>##V3_BDHV12</stp>
        <stp>XOM US Equity</stp>
        <stp>EQY_DPS</stp>
        <stp>FQ1 1990</stp>
        <stp>FQ1 1990</stp>
        <stp>[FA1_ftkzu3fn.xlsx]Income - Adjusted!R46C3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46" s="2"/>
      </tp>
      <tp>
        <v>0.16750000000000001</v>
        <stp/>
        <stp>##V3_BDHV12</stp>
        <stp>XOM US Equity</stp>
        <stp>EQY_DPS</stp>
        <stp>FQ4 1990</stp>
        <stp>FQ4 1990</stp>
        <stp>[FA1_ftkzu3fn.xlsx]Income - Adjusted!R46C6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46" s="2"/>
      </tp>
      <tp>
        <v>8020</v>
        <stp/>
        <stp>##V3_BDHV12</stp>
        <stp>XOM US Equity</stp>
        <stp>BS_ACCT_NOTE_RCV</stp>
        <stp>FQ2 1992</stp>
        <stp>FQ2 1992</stp>
        <stp>[FA1_ftkzu3fn.xlsx]Bal Sheet - Standardized!R10C12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10" s="3"/>
      </tp>
      <tp>
        <v>8928</v>
        <stp/>
        <stp>##V3_BDHV12</stp>
        <stp>XOM US Equity</stp>
        <stp>BS_ACCT_NOTE_RCV</stp>
        <stp>FQ1 1996</stp>
        <stp>FQ1 1996</stp>
        <stp>[FA1_ftkzu3fn.xlsx]Bal Sheet - Standardized!R10C27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10" s="3"/>
      </tp>
      <tp>
        <v>7488</v>
        <stp/>
        <stp>##V3_BDHV12</stp>
        <stp>XOM US Equity</stp>
        <stp>BS_ACCT_NOTE_RCV</stp>
        <stp>FQ2 1993</stp>
        <stp>FQ2 1993</stp>
        <stp>[FA1_ftkzu3fn.xlsx]Bal Sheet - Standardized!R10C16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10" s="3"/>
      </tp>
      <tp>
        <v>8431</v>
        <stp/>
        <stp>##V3_BDHV12</stp>
        <stp>XOM US Equity</stp>
        <stp>BS_ACCT_NOTE_RCV</stp>
        <stp>FQ1 1995</stp>
        <stp>FQ1 1995</stp>
        <stp>[FA1_ftkzu3fn.xlsx]Bal Sheet - Standardized!R10C23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10" s="3"/>
      </tp>
      <tp>
        <v>1306</v>
        <stp/>
        <stp>##V3_BDHV12</stp>
        <stp>XOM US Equity</stp>
        <stp>IS_OPER_INC</stp>
        <stp>FQ2 1992</stp>
        <stp>FQ2 1992</stp>
        <stp>[FA1_ftkzu3fn.xlsx]Income - Adjusted!R10C12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L10" s="2"/>
      </tp>
      <tp>
        <v>2375</v>
        <stp/>
        <stp>##V3_BDHV12</stp>
        <stp>XOM US Equity</stp>
        <stp>IS_OPER_INC</stp>
        <stp>FQ3 1995</stp>
        <stp>FQ3 1995</stp>
        <stp>[FA1_ftkzu3fn.xlsx]Income - Adjusted!R10C25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Y10" s="2"/>
      </tp>
      <tp>
        <v>0.17499999999999999</v>
        <stp/>
        <stp>##V3_BDHV12</stp>
        <stp>XOM US Equity</stp>
        <stp>IS_DIL_EPS_BEF_XO</stp>
        <stp>FQ2 1994</stp>
        <stp>FQ2 1994</stp>
        <stp>[FA1_ftkzu3fn.xlsx]Income - Adjusted!R34C20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34" s="2"/>
      </tp>
      <tp>
        <v>0.36499999999999999</v>
        <stp/>
        <stp>##V3_BDHV12</stp>
        <stp>XOM US Equity</stp>
        <stp>IS_DIL_EPS_BEF_XO</stp>
        <stp>FQ3 1997</stp>
        <stp>FQ3 1997</stp>
        <stp>[FA1_ftkzu3fn.xlsx]Income - Adjusted!R34C33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34" s="2"/>
      </tp>
      <tp>
        <v>0.27250000000000002</v>
        <stp/>
        <stp>##V3_BDHV12</stp>
        <stp>XOM US Equity</stp>
        <stp>IS_DIL_EPS_BEF_XO</stp>
        <stp>FQ3 1993</stp>
        <stp>FQ3 1993</stp>
        <stp>[FA1_ftkzu3fn.xlsx]Income - Adjusted!R34C17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34" s="2"/>
      </tp>
      <tp>
        <v>0.38250000000000001</v>
        <stp/>
        <stp>##V3_BDHV12</stp>
        <stp>XOM US Equity</stp>
        <stp>IS_DIL_EPS_CONT_OPS</stp>
        <stp>FQ4 1994</stp>
        <stp>FQ4 1994</stp>
        <stp>[FA1_ftkzu3fn.xlsx]Per Share!R19C22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19" s="5"/>
      </tp>
      <tp>
        <v>0.5</v>
        <stp/>
        <stp>##V3_BDHV12</stp>
        <stp>XOM US Equity</stp>
        <stp>IS_DIL_EPS_CONT_OPS</stp>
        <stp>FQ4 1996</stp>
        <stp>FQ4 1996</stp>
        <stp>[FA1_ftkzu3fn.xlsx]Per Share!R19C30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19" s="5"/>
      </tp>
      <tp>
        <v>0.3175</v>
        <stp/>
        <stp>##V3_BDHV12</stp>
        <stp>XOM US Equity</stp>
        <stp>IS_DIL_EPS_CONT_OPS</stp>
        <stp>FQ4 1992</stp>
        <stp>FQ4 1992</stp>
        <stp>[FA1_ftkzu3fn.xlsx]Per Share!R19C14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19" s="5"/>
      </tp>
      <tp>
        <v>0.23499999999999999</v>
        <stp/>
        <stp>##V3_BDHV12</stp>
        <stp>XOM US Equity</stp>
        <stp>IS_DIL_EPS_CONT_OPS</stp>
        <stp>FQ1 1993</stp>
        <stp>FQ1 1993</stp>
        <stp>[FA1_ftkzu3fn.xlsx]Per Share!R19C15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19" s="5"/>
      </tp>
      <tp>
        <v>0.33250000000000002</v>
        <stp/>
        <stp>##V3_BDHV12</stp>
        <stp>XOM US Equity</stp>
        <stp>IS_DIL_EPS_CONT_OPS</stp>
        <stp>FQ1 1995</stp>
        <stp>FQ1 1995</stp>
        <stp>[FA1_ftkzu3fn.xlsx]Per Share!R19C23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19" s="5"/>
      </tp>
      <tp>
        <v>0.43</v>
        <stp/>
        <stp>##V3_BDHV12</stp>
        <stp>XOM US Equity</stp>
        <stp>IS_DIL_EPS_CONT_OPS</stp>
        <stp>FQ1 1997</stp>
        <stp>FQ1 1997</stp>
        <stp>[FA1_ftkzu3fn.xlsx]Per Share!R19C31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19" s="5"/>
      </tp>
      <tp>
        <v>1588</v>
        <stp/>
        <stp>##V3_BDHV12</stp>
        <stp>XOM US Equity</stp>
        <stp>IS_INC_BEF_XO_ITEM</stp>
        <stp>FQ4 1990</stp>
        <stp>FQ4 1990</stp>
        <stp>[FA1_ftkzu3fn.xlsx]Income - Adjusted!R16C6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6" s="2"/>
      </tp>
      <tp>
        <v>22.810600000000001</v>
        <stp/>
        <stp>##V3_BDHV12</stp>
        <stp>XOM US Equity</stp>
        <stp>NET_DEBT_TO_SHRHLDR_EQTY</stp>
        <stp>FQ2 1995</stp>
        <stp>FQ2 1995</stp>
        <stp>[FA1_ftkzu3fn.xlsx]Bal Sheet - Standardized!R52C24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52" s="3"/>
      </tp>
      <tp>
        <v>20.9192</v>
        <stp/>
        <stp>##V3_BDHV12</stp>
        <stp>XOM US Equity</stp>
        <stp>NET_DEBT_TO_SHRHLDR_EQTY</stp>
        <stp>FQ3 1995</stp>
        <stp>FQ3 1995</stp>
        <stp>[FA1_ftkzu3fn.xlsx]Bal Sheet - Standardized!R52C25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52" s="3"/>
      </tp>
      <tp t="s">
        <v>—</v>
        <stp/>
        <stp>##V3_BDHV12</stp>
        <stp>XOM US Equity</stp>
        <stp>IS_FOREIGN_EXCH_LOSS</stp>
        <stp>FQ1 1992</stp>
        <stp>FQ1 1992</stp>
        <stp>[FA1_ftkzu3fn.xlsx]Income - Adjusted!R12C11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K12" s="2"/>
      </tp>
      <tp>
        <v>-26</v>
        <stp/>
        <stp>##V3_BDHV12</stp>
        <stp>XOM US Equity</stp>
        <stp>IS_FOREIGN_EXCH_LOSS</stp>
        <stp>FQ4 1995</stp>
        <stp>FQ4 1995</stp>
        <stp>[FA1_ftkzu3fn.xlsx]Income - Adjusted!R12C26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Z12" s="2"/>
      </tp>
      <tp>
        <v>-153</v>
        <stp/>
        <stp>##V3_BDHV12</stp>
        <stp>XOM US Equity</stp>
        <stp>IS_FOREIGN_EXCH_LOSS</stp>
        <stp>FQ4 1997</stp>
        <stp>FQ4 1997</stp>
        <stp>[FA1_ftkzu3fn.xlsx]Income - Adjusted!R12C34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H12" s="2"/>
      </tp>
      <tp t="s">
        <v>—</v>
        <stp/>
        <stp>##V3_BDHV12</stp>
        <stp>XOM US Equity</stp>
        <stp>CHG_IN_FXD_&amp;_INTANG_AST_DETAILED</stp>
        <stp>FQ3 1994</stp>
        <stp>FQ3 1994</stp>
        <stp>[FA1_ftkzu3fn.xlsx]Cash Flow - Standardized!R16C21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16" s="4"/>
      </tp>
      <tp>
        <v>-1850</v>
        <stp/>
        <stp>##V3_BDHV12</stp>
        <stp>XOM US Equity</stp>
        <stp>CHG_IN_FXD_&amp;_INTANG_AST_DETAILED</stp>
        <stp>FQ2 1997</stp>
        <stp>FQ2 1997</stp>
        <stp>[FA1_ftkzu3fn.xlsx]Cash Flow - Standardized!R16C32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16" s="4"/>
      </tp>
      <tp>
        <v>-1779</v>
        <stp/>
        <stp>##V3_BDHV12</stp>
        <stp>XOM US Equity</stp>
        <stp>CHG_IN_FXD_&amp;_INTANG_AST_DETAILED</stp>
        <stp>FQ3 1995</stp>
        <stp>FQ3 1995</stp>
        <stp>[FA1_ftkzu3fn.xlsx]Cash Flow - Standardized!R16C25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16" s="4"/>
      </tp>
      <tp>
        <v>819</v>
        <stp/>
        <stp>##V3_BDHV12</stp>
        <stp>XOM US Equity</stp>
        <stp>IS_INC_TAX_EXP</stp>
        <stp>FQ4 1994</stp>
        <stp>FQ4 1994</stp>
        <stp>[FA1_ftkzu3fn.xlsx]Income - Adjusted!R15C22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V15" s="2"/>
      </tp>
      <tp>
        <v>1381</v>
        <stp/>
        <stp>##V3_BDHV12</stp>
        <stp>XOM US Equity</stp>
        <stp>IS_INC_TAX_EXP</stp>
        <stp>FQ4 1996</stp>
        <stp>FQ4 1996</stp>
        <stp>[FA1_ftkzu3fn.xlsx]Income - Adjusted!R15C30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D15" s="2"/>
      </tp>
      <tp>
        <v>706</v>
        <stp/>
        <stp>##V3_BDHV12</stp>
        <stp>XOM US Equity</stp>
        <stp>IS_INC_TAX_EXP</stp>
        <stp>FQ4 1992</stp>
        <stp>FQ4 1992</stp>
        <stp>[FA1_ftkzu3fn.xlsx]Income - Adjusted!R15C14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N15" s="2"/>
      </tp>
      <tp>
        <v>685</v>
        <stp/>
        <stp>##V3_BDHV12</stp>
        <stp>XOM US Equity</stp>
        <stp>IS_INC_TAX_EXP</stp>
        <stp>FQ1 1993</stp>
        <stp>FQ1 1993</stp>
        <stp>[FA1_ftkzu3fn.xlsx]Income - Adjusted!R15C15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O15" s="2"/>
      </tp>
      <tp>
        <v>851</v>
        <stp/>
        <stp>##V3_BDHV12</stp>
        <stp>XOM US Equity</stp>
        <stp>IS_INC_TAX_EXP</stp>
        <stp>FQ1 1995</stp>
        <stp>FQ1 1995</stp>
        <stp>[FA1_ftkzu3fn.xlsx]Income - Adjusted!R15C23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W15" s="2"/>
      </tp>
      <tp>
        <v>1343</v>
        <stp/>
        <stp>##V3_BDHV12</stp>
        <stp>XOM US Equity</stp>
        <stp>IS_INC_TAX_EXP</stp>
        <stp>FQ1 1997</stp>
        <stp>FQ1 1997</stp>
        <stp>[FA1_ftkzu3fn.xlsx]Income - Adjusted!R15C31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E15" s="2"/>
      </tp>
      <tp>
        <v>-1899</v>
        <stp/>
        <stp>##V3_BDHV12</stp>
        <stp>XOM US Equity</stp>
        <stp>CHG_IN_FXD_&amp;_INTANG_AST_DETAILED</stp>
        <stp>FQ2 1998</stp>
        <stp>FQ2 1998</stp>
        <stp>[FA1_ftkzu3fn.xlsx]Cash Flow - Standardized!R16C36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16" s="4"/>
      </tp>
      <tp>
        <v>-1842</v>
        <stp/>
        <stp>##V3_BDHV12</stp>
        <stp>XOM US Equity</stp>
        <stp>CHG_IN_FXD_&amp;_INTANG_AST_DETAILED</stp>
        <stp>FQ3 1996</stp>
        <stp>FQ3 1996</stp>
        <stp>[FA1_ftkzu3fn.xlsx]Cash Flow - Standardized!R16C29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16" s="4"/>
      </tp>
      <tp>
        <v>0.33879999999999999</v>
        <stp/>
        <stp>##V3_BDHV12</stp>
        <stp>XOM US Equity</stp>
        <stp>CASH_ST_INVESTMENTS_PER_SH</stp>
        <stp>FQ1 1991</stp>
        <stp>FQ1 1991</stp>
        <stp>[FA1_ftkzu3fn.xlsx]Per Share!R25C7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25" s="5"/>
      </tp>
      <tp>
        <v>240</v>
        <stp/>
        <stp>##V3_BDHV12</stp>
        <stp>XOM US Equity</stp>
        <stp>IS_INT_EXPENSE</stp>
        <stp>FQ3 1990</stp>
        <stp>FQ3 1990</stp>
        <stp>[FA1_ftkzu3fn.xlsx]Income - Adjusted!R11C5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E11" s="2"/>
      </tp>
      <tp>
        <v>321</v>
        <stp/>
        <stp>##V3_BDHV12</stp>
        <stp>XOM US Equity</stp>
        <stp>IS_INT_EXPENSE</stp>
        <stp>FQ2 1990</stp>
        <stp>FQ2 1990</stp>
        <stp>[FA1_ftkzu3fn.xlsx]Income - Adjusted!R11C4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D11" s="2"/>
      </tp>
      <tp>
        <v>7016</v>
        <stp/>
        <stp>##V3_BDHV12</stp>
        <stp>XOM US Equity</stp>
        <stp>IS_OPERATING_EXPN</stp>
        <stp>FQ2 1994</stp>
        <stp>FQ2 1994</stp>
        <stp>[FA1_ftkzu3fn.xlsx]Income - Adjusted!R9C20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T9" s="2"/>
      </tp>
      <tp>
        <v>7569</v>
        <stp/>
        <stp>##V3_BDHV12</stp>
        <stp>XOM US Equity</stp>
        <stp>IS_OPERATING_EXPN</stp>
        <stp>FQ3 1994</stp>
        <stp>FQ3 1994</stp>
        <stp>[FA1_ftkzu3fn.xlsx]Income - Adjusted!R9C21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U9" s="2"/>
      </tp>
      <tp>
        <v>24785</v>
        <stp/>
        <stp>##V3_BDHV12</stp>
        <stp>XOM US Equity</stp>
        <stp>OTHER_NONCUR_LIABS_SUB_DETAILED</stp>
        <stp>FQ2 1996</stp>
        <stp>FQ2 1996</stp>
        <stp>[FA1_ftkzu3fn.xlsx]Bal Sheet - Standardized!R34C28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34" s="3"/>
      </tp>
      <tp>
        <v>22275</v>
        <stp/>
        <stp>##V3_BDHV12</stp>
        <stp>XOM US Equity</stp>
        <stp>OTHER_NONCUR_LIABS_SUB_DETAILED</stp>
        <stp>FQ1 1994</stp>
        <stp>FQ1 1994</stp>
        <stp>[FA1_ftkzu3fn.xlsx]Bal Sheet - Standardized!R34C19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34" s="3"/>
      </tp>
      <tp>
        <v>23148</v>
        <stp/>
        <stp>##V3_BDHV12</stp>
        <stp>XOM US Equity</stp>
        <stp>OTHER_NONCUR_LIABS_SUB_DETAILED</stp>
        <stp>FQ2 1995</stp>
        <stp>FQ2 1995</stp>
        <stp>[FA1_ftkzu3fn.xlsx]Bal Sheet - Standardized!R34C24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34" s="3"/>
      </tp>
      <tp>
        <v>22762</v>
        <stp/>
        <stp>##V3_BDHV12</stp>
        <stp>XOM US Equity</stp>
        <stp>OTHER_NONCUR_LIABS_SUB_DETAILED</stp>
        <stp>FQ1 1992</stp>
        <stp>FQ1 1992</stp>
        <stp>[FA1_ftkzu3fn.xlsx]Bal Sheet - Standardized!R34C11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34" s="3"/>
      </tp>
      <tp>
        <v>22718</v>
        <stp/>
        <stp>##V3_BDHV12</stp>
        <stp>XOM US Equity</stp>
        <stp>OTHER_NONCUR_LIABS_SUB_DETAILED</stp>
        <stp>FQ1 1993</stp>
        <stp>FQ1 1993</stp>
        <stp>[FA1_ftkzu3fn.xlsx]Bal Sheet - Standardized!R34C15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34" s="3"/>
      </tp>
      <tp>
        <v>26236</v>
        <stp/>
        <stp>##V3_BDHV12</stp>
        <stp>XOM US Equity</stp>
        <stp>OTHER_NONCUR_LIABS_SUB_DETAILED</stp>
        <stp>FQ3 1997</stp>
        <stp>FQ3 1997</stp>
        <stp>[FA1_ftkzu3fn.xlsx]Bal Sheet - Standardized!R34C33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34" s="3"/>
      </tp>
      <tp>
        <v>22598</v>
        <stp/>
        <stp>##V3_BDHV12</stp>
        <stp>XOM US Equity</stp>
        <stp>OTHER_NONCUR_LIABS_SUB_DETAILED</stp>
        <stp>FQ2 1994</stp>
        <stp>FQ2 1994</stp>
        <stp>[FA1_ftkzu3fn.xlsx]Bal Sheet - Standardized!R34C20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34" s="3"/>
      </tp>
      <tp t="s">
        <v>—</v>
        <stp/>
        <stp>##V3_BDHV12</stp>
        <stp>XOM US Equity</stp>
        <stp>CHG_IN_FXD_&amp;_INTANG_AST_DETAILED</stp>
        <stp>FQ2 1994</stp>
        <stp>FQ2 1994</stp>
        <stp>[FA1_ftkzu3fn.xlsx]Cash Flow - Standardized!R16C20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16" s="4"/>
      </tp>
      <tp>
        <v>-1969</v>
        <stp/>
        <stp>##V3_BDHV12</stp>
        <stp>XOM US Equity</stp>
        <stp>CHG_IN_FXD_&amp;_INTANG_AST_DETAILED</stp>
        <stp>FQ3 1997</stp>
        <stp>FQ3 1997</stp>
        <stp>[FA1_ftkzu3fn.xlsx]Cash Flow - Standardized!R16C33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16" s="4"/>
      </tp>
      <tp t="s">
        <v>—</v>
        <stp/>
        <stp>##V3_BDHV12</stp>
        <stp>XOM US Equity</stp>
        <stp>CHG_IN_FXD_&amp;_INTANG_AST_DETAILED</stp>
        <stp>FQ1 1993</stp>
        <stp>FQ1 1993</stp>
        <stp>[FA1_ftkzu3fn.xlsx]Cash Flow - Standardized!R16C15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16" s="4"/>
      </tp>
      <tp t="s">
        <v>—</v>
        <stp/>
        <stp>##V3_BDHV12</stp>
        <stp>XOM US Equity</stp>
        <stp>CHG_IN_FXD_&amp;_INTANG_AST_DETAILED</stp>
        <stp>FQ1 1992</stp>
        <stp>FQ1 1992</stp>
        <stp>[FA1_ftkzu3fn.xlsx]Cash Flow - Standardized!R16C11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16" s="4"/>
      </tp>
      <tp>
        <v>-1647</v>
        <stp/>
        <stp>##V3_BDHV12</stp>
        <stp>XOM US Equity</stp>
        <stp>CHG_IN_FXD_&amp;_INTANG_AST_DETAILED</stp>
        <stp>FQ2 1995</stp>
        <stp>FQ2 1995</stp>
        <stp>[FA1_ftkzu3fn.xlsx]Cash Flow - Standardized!R16C24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16" s="4"/>
      </tp>
      <tp>
        <v>-1846</v>
        <stp/>
        <stp>##V3_BDHV12</stp>
        <stp>XOM US Equity</stp>
        <stp>CHG_IN_FXD_&amp;_INTANG_AST_DETAILED</stp>
        <stp>FQ2 1996</stp>
        <stp>FQ2 1996</stp>
        <stp>[FA1_ftkzu3fn.xlsx]Cash Flow - Standardized!R16C28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16" s="4"/>
      </tp>
      <tp t="s">
        <v>—</v>
        <stp/>
        <stp>##V3_BDHV12</stp>
        <stp>XOM US Equity</stp>
        <stp>CHG_IN_FXD_&amp;_INTANG_AST_DETAILED</stp>
        <stp>FQ1 1994</stp>
        <stp>FQ1 1994</stp>
        <stp>[FA1_ftkzu3fn.xlsx]Cash Flow - Standardized!R16C19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16" s="4"/>
      </tp>
      <tp>
        <v>20</v>
        <stp/>
        <stp>##V3_BDHV12</stp>
        <stp>XOM US Equity</stp>
        <stp>PX_LOW</stp>
        <stp>FQ3 1996</stp>
        <stp>FQ3 1996</stp>
        <stp>[FA1_ftkzu3fn.xlsx]Stock Value!R10C29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10" s="6"/>
      </tp>
      <tp>
        <v>19.968800000000002</v>
        <stp/>
        <stp>##V3_BDHV12</stp>
        <stp>XOM US Equity</stp>
        <stp>PX_LOW</stp>
        <stp>FQ2 1996</stp>
        <stp>FQ2 1996</stp>
        <stp>[FA1_ftkzu3fn.xlsx]Stock Value!R10C28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10" s="6"/>
      </tp>
      <tp>
        <v>2910</v>
        <stp/>
        <stp>##V3_BDHV12</stp>
        <stp>XOM US Equity</stp>
        <stp>EBITDA</stp>
        <stp>FQ2 1991</stp>
        <stp>FQ2 1991</stp>
        <stp>[FA1_ftkzu3fn.xlsx]Income - Adjusted!R39C8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H39" s="2"/>
      </tp>
      <tp>
        <v>2814</v>
        <stp/>
        <stp>##V3_BDHV12</stp>
        <stp>XOM US Equity</stp>
        <stp>EBITDA</stp>
        <stp>FQ3 1991</stp>
        <stp>FQ3 1991</stp>
        <stp>[FA1_ftkzu3fn.xlsx]Income - Adjusted!R39C9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I39" s="2"/>
      </tp>
      <tp>
        <v>0.28270000000000001</v>
        <stp/>
        <stp>##V3_BDHV12</stp>
        <stp>XOM US Equity</stp>
        <stp>CASH_ST_INVESTMENTS_PER_SH</stp>
        <stp>FQ3 1990</stp>
        <stp>FQ3 1990</stp>
        <stp>[FA1_ftkzu3fn.xlsx]Per Share!R25C5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25" s="5"/>
      </tp>
      <tp>
        <v>0.3382</v>
        <stp/>
        <stp>##V3_BDHV12</stp>
        <stp>XOM US Equity</stp>
        <stp>CASH_ST_INVESTMENTS_PER_SH</stp>
        <stp>FQ2 1990</stp>
        <stp>FQ2 1990</stp>
        <stp>[FA1_ftkzu3fn.xlsx]Per Share!R25C4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25" s="5"/>
      </tp>
      <tp>
        <v>248</v>
        <stp/>
        <stp>##V3_BDHV12</stp>
        <stp>XOM US Equity</stp>
        <stp>IS_INT_EXPENSE</stp>
        <stp>FQ1 1991</stp>
        <stp>FQ1 1991</stp>
        <stp>[FA1_ftkzu3fn.xlsx]Income - Adjusted!R11C7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G11" s="2"/>
      </tp>
      <tp>
        <v>9522</v>
        <stp/>
        <stp>##V3_BDHV12</stp>
        <stp>XOM US Equity</stp>
        <stp>IS_OPERATING_EXPN</stp>
        <stp>FQ4 1995</stp>
        <stp>FQ4 1995</stp>
        <stp>[FA1_ftkzu3fn.xlsx]Income - Adjusted!R9C26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Z9" s="2"/>
      </tp>
      <tp>
        <v>7363</v>
        <stp/>
        <stp>##V3_BDHV12</stp>
        <stp>XOM US Equity</stp>
        <stp>IS_OPERATING_EXPN</stp>
        <stp>FQ1 1995</stp>
        <stp>FQ1 1995</stp>
        <stp>[FA1_ftkzu3fn.xlsx]Income - Adjusted!R9C23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W9" s="2"/>
      </tp>
      <tp>
        <v>19350</v>
        <stp/>
        <stp>##V3_BDHV12</stp>
        <stp>XOM US Equity</stp>
        <stp>BS_CUR_LIAB</stp>
        <stp>FQ3 1991</stp>
        <stp>FQ3 1991</stp>
        <stp>[FA1_ftkzu3fn.xlsx]Bal Sheet - Standardized!R32C9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32" s="3"/>
      </tp>
      <tp>
        <v>18463</v>
        <stp/>
        <stp>##V3_BDHV12</stp>
        <stp>XOM US Equity</stp>
        <stp>BS_CUR_LIAB</stp>
        <stp>FQ2 1991</stp>
        <stp>FQ2 1991</stp>
        <stp>[FA1_ftkzu3fn.xlsx]Bal Sheet - Standardized!R32C8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32" s="3"/>
      </tp>
      <tp>
        <v>10591</v>
        <stp/>
        <stp>##V3_BDHV12</stp>
        <stp>XOM US Equity</stp>
        <stp>IS_OPERATING_EXPN</stp>
        <stp>FQ4 1997</stp>
        <stp>FQ4 1997</stp>
        <stp>[FA1_ftkzu3fn.xlsx]Income - Adjusted!R9C34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H9" s="2"/>
      </tp>
      <tp>
        <v>7237</v>
        <stp/>
        <stp>##V3_BDHV12</stp>
        <stp>XOM US Equity</stp>
        <stp>IS_OPERATING_EXPN</stp>
        <stp>FQ1 1997</stp>
        <stp>FQ1 1997</stp>
        <stp>[FA1_ftkzu3fn.xlsx]Income - Adjusted!R9C31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E9" s="2"/>
      </tp>
      <tp>
        <v>8060</v>
        <stp/>
        <stp>##V3_BDHV12</stp>
        <stp>XOM US Equity</stp>
        <stp>IS_OPERATING_EXPN</stp>
        <stp>FQ3 1997</stp>
        <stp>FQ3 1997</stp>
        <stp>[FA1_ftkzu3fn.xlsx]Income - Adjusted!R9C33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G9" s="2"/>
      </tp>
      <tp>
        <v>7602</v>
        <stp/>
        <stp>##V3_BDHV12</stp>
        <stp>XOM US Equity</stp>
        <stp>IS_OPERATING_EXPN</stp>
        <stp>FQ2 1997</stp>
        <stp>FQ2 1997</stp>
        <stp>[FA1_ftkzu3fn.xlsx]Income - Adjusted!R9C32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F9" s="2"/>
      </tp>
      <tp>
        <v>24755</v>
        <stp/>
        <stp>##V3_BDHV12</stp>
        <stp>XOM US Equity</stp>
        <stp>OTHER_NONCUR_LIABS_SUB_DETAILED</stp>
        <stp>FQ3 1996</stp>
        <stp>FQ3 1996</stp>
        <stp>[FA1_ftkzu3fn.xlsx]Bal Sheet - Standardized!R34C29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34" s="3"/>
      </tp>
      <tp>
        <v>25400</v>
        <stp/>
        <stp>##V3_BDHV12</stp>
        <stp>XOM US Equity</stp>
        <stp>OTHER_NONCUR_LIABS_SUB_DETAILED</stp>
        <stp>FQ2 1998</stp>
        <stp>FQ2 1998</stp>
        <stp>[FA1_ftkzu3fn.xlsx]Bal Sheet - Standardized!R34C36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34" s="3"/>
      </tp>
      <tp>
        <v>6842</v>
        <stp/>
        <stp>##V3_BDHV12</stp>
        <stp>XOM US Equity</stp>
        <stp>IS_OPERATING_EXPN</stp>
        <stp>FQ3 1993</stp>
        <stp>FQ3 1993</stp>
        <stp>[FA1_ftkzu3fn.xlsx]Income - Adjusted!R9C17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Q9" s="2"/>
      </tp>
      <tp>
        <v>6893</v>
        <stp/>
        <stp>##V3_BDHV12</stp>
        <stp>XOM US Equity</stp>
        <stp>IS_OPERATING_EXPN</stp>
        <stp>FQ2 1993</stp>
        <stp>FQ2 1993</stp>
        <stp>[FA1_ftkzu3fn.xlsx]Income - Adjusted!R9C16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P9" s="2"/>
      </tp>
      <tp>
        <v>6319</v>
        <stp/>
        <stp>##V3_BDHV12</stp>
        <stp>XOM US Equity</stp>
        <stp>IS_OPERATING_EXPN</stp>
        <stp>FQ1 1993</stp>
        <stp>FQ1 1993</stp>
        <stp>[FA1_ftkzu3fn.xlsx]Income - Adjusted!R9C15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O9" s="2"/>
      </tp>
      <tp>
        <v>23726</v>
        <stp/>
        <stp>##V3_BDHV12</stp>
        <stp>XOM US Equity</stp>
        <stp>OTHER_NONCUR_LIABS_SUB_DETAILED</stp>
        <stp>FQ3 1995</stp>
        <stp>FQ3 1995</stp>
        <stp>[FA1_ftkzu3fn.xlsx]Bal Sheet - Standardized!R34C25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34" s="3"/>
      </tp>
      <tp>
        <v>24025</v>
        <stp/>
        <stp>##V3_BDHV12</stp>
        <stp>XOM US Equity</stp>
        <stp>BS_CUR_LIAB</stp>
        <stp>FQ4 1990</stp>
        <stp>FQ4 1990</stp>
        <stp>[FA1_ftkzu3fn.xlsx]Bal Sheet - Standardized!R32C6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32" s="3"/>
      </tp>
      <tp>
        <v>20994</v>
        <stp/>
        <stp>##V3_BDHV12</stp>
        <stp>XOM US Equity</stp>
        <stp>BS_CUR_LIAB</stp>
        <stp>FQ1 1990</stp>
        <stp>FQ1 1990</stp>
        <stp>[FA1_ftkzu3fn.xlsx]Bal Sheet - Standardized!R32C3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32" s="3"/>
      </tp>
      <tp>
        <v>25332</v>
        <stp/>
        <stp>##V3_BDHV12</stp>
        <stp>XOM US Equity</stp>
        <stp>OTHER_NONCUR_LIABS_SUB_DETAILED</stp>
        <stp>FQ2 1997</stp>
        <stp>FQ2 1997</stp>
        <stp>[FA1_ftkzu3fn.xlsx]Bal Sheet - Standardized!R34C32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34" s="3"/>
      </tp>
      <tp>
        <v>19991</v>
        <stp/>
        <stp>##V3_BDHV12</stp>
        <stp>XOM US Equity</stp>
        <stp>BS_CUR_LIAB</stp>
        <stp>FQ1 1991</stp>
        <stp>FQ1 1991</stp>
        <stp>[FA1_ftkzu3fn.xlsx]Bal Sheet - Standardized!R32C7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32" s="3"/>
      </tp>
      <tp>
        <v>20726</v>
        <stp/>
        <stp>##V3_BDHV12</stp>
        <stp>XOM US Equity</stp>
        <stp>BS_CUR_LIAB</stp>
        <stp>FQ2 1990</stp>
        <stp>FQ2 1990</stp>
        <stp>[FA1_ftkzu3fn.xlsx]Bal Sheet - Standardized!R32C4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32" s="3"/>
      </tp>
      <tp>
        <v>23290</v>
        <stp/>
        <stp>##V3_BDHV12</stp>
        <stp>XOM US Equity</stp>
        <stp>BS_CUR_LIAB</stp>
        <stp>FQ3 1990</stp>
        <stp>FQ3 1990</stp>
        <stp>[FA1_ftkzu3fn.xlsx]Bal Sheet - Standardized!R32C5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32" s="3"/>
      </tp>
      <tp>
        <v>23085</v>
        <stp/>
        <stp>##V3_BDHV12</stp>
        <stp>XOM US Equity</stp>
        <stp>OTHER_NONCUR_LIABS_SUB_DETAILED</stp>
        <stp>FQ3 1994</stp>
        <stp>FQ3 1994</stp>
        <stp>[FA1_ftkzu3fn.xlsx]Bal Sheet - Standardized!R34C21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34" s="3"/>
      </tp>
      <tp>
        <v>-1399</v>
        <stp/>
        <stp>##V3_BDHV12</stp>
        <stp>XOM US Equity</stp>
        <stp>CHG_IN_FXD_&amp;_INTANG_AST_DETAILED</stp>
        <stp>FQ1 1995</stp>
        <stp>FQ1 1995</stp>
        <stp>[FA1_ftkzu3fn.xlsx]Cash Flow - Standardized!R16C23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16" s="4"/>
      </tp>
      <tp t="s">
        <v>—</v>
        <stp/>
        <stp>##V3_BDHV12</stp>
        <stp>XOM US Equity</stp>
        <stp>CHG_IN_FXD_&amp;_INTANG_AST_DETAILED</stp>
        <stp>FQ2 1993</stp>
        <stp>FQ2 1993</stp>
        <stp>[FA1_ftkzu3fn.xlsx]Cash Flow - Standardized!R16C16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16" s="4"/>
      </tp>
      <tp>
        <v>-1413</v>
        <stp/>
        <stp>##V3_BDHV12</stp>
        <stp>XOM US Equity</stp>
        <stp>CHG_IN_FXD_&amp;_INTANG_AST_DETAILED</stp>
        <stp>FQ1 1996</stp>
        <stp>FQ1 1996</stp>
        <stp>[FA1_ftkzu3fn.xlsx]Cash Flow - Standardized!R16C27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16" s="4"/>
      </tp>
      <tp>
        <v>2444</v>
        <stp/>
        <stp>##V3_BDHV12</stp>
        <stp>XOM US Equity</stp>
        <stp>PRETAX_INC</stp>
        <stp>FQ4 1993</stp>
        <stp>FQ4 1993</stp>
        <stp>[FA1_ftkzu3fn.xlsx]Income - Adjusted!R13C18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R13" s="2"/>
      </tp>
      <tp t="s">
        <v>—</v>
        <stp/>
        <stp>##V3_BDHV12</stp>
        <stp>XOM US Equity</stp>
        <stp>CHG_IN_FXD_&amp;_INTANG_AST_DETAILED</stp>
        <stp>FQ2 1992</stp>
        <stp>FQ2 1992</stp>
        <stp>[FA1_ftkzu3fn.xlsx]Cash Flow - Standardized!R16C12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16" s="4"/>
      </tp>
      <tp>
        <v>552</v>
        <stp/>
        <stp>##V3_BDHV12</stp>
        <stp>XOM US Equity</stp>
        <stp>IS_INC_TAX_EXP</stp>
        <stp>FQ2 1994</stp>
        <stp>FQ2 1994</stp>
        <stp>[FA1_ftkzu3fn.xlsx]Income - Adjusted!R15C20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T15" s="2"/>
      </tp>
      <tp>
        <v>677</v>
        <stp/>
        <stp>##V3_BDHV12</stp>
        <stp>XOM US Equity</stp>
        <stp>IS_INC_TAX_EXP</stp>
        <stp>FQ3 1993</stp>
        <stp>FQ3 1993</stp>
        <stp>[FA1_ftkzu3fn.xlsx]Income - Adjusted!R15C17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Q15" s="2"/>
      </tp>
      <tp>
        <v>946</v>
        <stp/>
        <stp>##V3_BDHV12</stp>
        <stp>XOM US Equity</stp>
        <stp>IS_INC_TAX_EXP</stp>
        <stp>FQ3 1997</stp>
        <stp>FQ3 1997</stp>
        <stp>[FA1_ftkzu3fn.xlsx]Income - Adjusted!R15C33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G15" s="2"/>
      </tp>
      <tp>
        <v>7681</v>
        <stp/>
        <stp>##V3_BDHV12</stp>
        <stp>XOM US Equity</stp>
        <stp>BS_ACCT_NOTE_RCV</stp>
        <stp>FQ2 1991</stp>
        <stp>FQ2 1991</stp>
        <stp>[FA1_ftkzu3fn.xlsx]Bal Sheet - Standardized!R10C8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0" s="3"/>
      </tp>
      <tp>
        <v>7695</v>
        <stp/>
        <stp>##V3_BDHV12</stp>
        <stp>XOM US Equity</stp>
        <stp>BS_ACCT_NOTE_RCV</stp>
        <stp>FQ3 1991</stp>
        <stp>FQ3 1991</stp>
        <stp>[FA1_ftkzu3fn.xlsx]Bal Sheet - Standardized!R10C9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0" s="3"/>
      </tp>
      <tp>
        <v>7609</v>
        <stp/>
        <stp>##V3_BDHV12</stp>
        <stp>XOM US Equity</stp>
        <stp>BS_ACCT_NOTE_RCV</stp>
        <stp>FQ1 1990</stp>
        <stp>FQ1 1990</stp>
        <stp>[FA1_ftkzu3fn.xlsx]Bal Sheet - Standardized!R10C3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0" s="3"/>
      </tp>
      <tp>
        <v>8045</v>
        <stp/>
        <stp>##V3_BDHV12</stp>
        <stp>XOM US Equity</stp>
        <stp>BS_ACCT_NOTE_RCV</stp>
        <stp>FQ4 1990</stp>
        <stp>FQ4 1990</stp>
        <stp>[FA1_ftkzu3fn.xlsx]Bal Sheet - Standardized!R10C6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0" s="3"/>
      </tp>
      <tp>
        <v>8368</v>
        <stp/>
        <stp>##V3_BDHV12</stp>
        <stp>XOM US Equity</stp>
        <stp>BS_ACCT_NOTE_RCV</stp>
        <stp>FQ3 1990</stp>
        <stp>FQ3 1990</stp>
        <stp>[FA1_ftkzu3fn.xlsx]Bal Sheet - Standardized!R10C5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0" s="3"/>
      </tp>
      <tp>
        <v>7050</v>
        <stp/>
        <stp>##V3_BDHV12</stp>
        <stp>XOM US Equity</stp>
        <stp>BS_ACCT_NOTE_RCV</stp>
        <stp>FQ2 1990</stp>
        <stp>FQ2 1990</stp>
        <stp>[FA1_ftkzu3fn.xlsx]Bal Sheet - Standardized!R10C4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0" s="3"/>
      </tp>
      <tp>
        <v>8075</v>
        <stp/>
        <stp>##V3_BDHV12</stp>
        <stp>XOM US Equity</stp>
        <stp>BS_ACCT_NOTE_RCV</stp>
        <stp>FQ1 1991</stp>
        <stp>FQ1 1991</stp>
        <stp>[FA1_ftkzu3fn.xlsx]Bal Sheet - Standardized!R10C7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0" s="3"/>
      </tp>
      <tp>
        <v>25555</v>
        <stp/>
        <stp>##V3_BDHV12</stp>
        <stp>XOM US Equity</stp>
        <stp>OTHER_NONCUR_LIABS_SUB_DETAILED</stp>
        <stp>FQ1 1998</stp>
        <stp>FQ1 1998</stp>
        <stp>[FA1_ftkzu3fn.xlsx]Bal Sheet - Standardized!R34C35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34" s="3"/>
      </tp>
      <tp>
        <v>23022</v>
        <stp/>
        <stp>##V3_BDHV12</stp>
        <stp>XOM US Equity</stp>
        <stp>OTHER_NONCUR_LIABS_SUB_DETAILED</stp>
        <stp>FQ3 1992</stp>
        <stp>FQ3 1992</stp>
        <stp>[FA1_ftkzu3fn.xlsx]Bal Sheet - Standardized!R34C13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34" s="3"/>
      </tp>
      <tp>
        <v>22092</v>
        <stp/>
        <stp>##V3_BDHV12</stp>
        <stp>XOM US Equity</stp>
        <stp>OTHER_NONCUR_LIABS_SUB_DETAILED</stp>
        <stp>FQ3 1993</stp>
        <stp>FQ3 1993</stp>
        <stp>[FA1_ftkzu3fn.xlsx]Bal Sheet - Standardized!R34C17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34" s="3"/>
      </tp>
      <tp>
        <v>25625</v>
        <stp/>
        <stp>##V3_BDHV12</stp>
        <stp>XOM US Equity</stp>
        <stp>OTHER_NONCUR_LIABS_SUB_DETAILED</stp>
        <stp>FQ1 1997</stp>
        <stp>FQ1 1997</stp>
        <stp>[FA1_ftkzu3fn.xlsx]Bal Sheet - Standardized!R34C31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34" s="3"/>
      </tp>
      <tp>
        <v>-1481</v>
        <stp/>
        <stp>##V3_BDHV12</stp>
        <stp>XOM US Equity</stp>
        <stp>CHG_IN_FXD_&amp;_INTANG_AST_DETAILED</stp>
        <stp>FQ1 1997</stp>
        <stp>FQ1 1997</stp>
        <stp>[FA1_ftkzu3fn.xlsx]Cash Flow - Standardized!R16C31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16" s="4"/>
      </tp>
      <tp t="s">
        <v>—</v>
        <stp/>
        <stp>##V3_BDHV12</stp>
        <stp>XOM US Equity</stp>
        <stp>CHG_IN_FXD_&amp;_INTANG_AST_DETAILED</stp>
        <stp>FQ3 1993</stp>
        <stp>FQ3 1993</stp>
        <stp>[FA1_ftkzu3fn.xlsx]Cash Flow - Standardized!R16C17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16" s="4"/>
      </tp>
      <tp t="s">
        <v>—</v>
        <stp/>
        <stp>##V3_BDHV12</stp>
        <stp>XOM US Equity</stp>
        <stp>CHG_IN_FXD_&amp;_INTANG_AST_DETAILED</stp>
        <stp>FQ3 1992</stp>
        <stp>FQ3 1992</stp>
        <stp>[FA1_ftkzu3fn.xlsx]Cash Flow - Standardized!R16C13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16" s="4"/>
      </tp>
      <tp>
        <v>529</v>
        <stp/>
        <stp>##V3_BDHV12</stp>
        <stp>XOM US Equity</stp>
        <stp>IS_INC_TAX_EXP</stp>
        <stp>FQ2 1993</stp>
        <stp>FQ2 1993</stp>
        <stp>[FA1_ftkzu3fn.xlsx]Income - Adjusted!R15C16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P15" s="2"/>
      </tp>
      <tp>
        <v>1195</v>
        <stp/>
        <stp>##V3_BDHV12</stp>
        <stp>XOM US Equity</stp>
        <stp>IS_INC_TAX_EXP</stp>
        <stp>FQ2 1997</stp>
        <stp>FQ2 1997</stp>
        <stp>[FA1_ftkzu3fn.xlsx]Income - Adjusted!R15C32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F15" s="2"/>
      </tp>
      <tp>
        <v>785</v>
        <stp/>
        <stp>##V3_BDHV12</stp>
        <stp>XOM US Equity</stp>
        <stp>IS_INC_TAX_EXP</stp>
        <stp>FQ3 1994</stp>
        <stp>FQ3 1994</stp>
        <stp>[FA1_ftkzu3fn.xlsx]Income - Adjusted!R15C21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U15" s="2"/>
      </tp>
      <tp>
        <v>-1584</v>
        <stp/>
        <stp>##V3_BDHV12</stp>
        <stp>XOM US Equity</stp>
        <stp>CHG_IN_FXD_&amp;_INTANG_AST_DETAILED</stp>
        <stp>FQ1 1998</stp>
        <stp>FQ1 1998</stp>
        <stp>[FA1_ftkzu3fn.xlsx]Cash Flow - Standardized!R16C35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16" s="4"/>
      </tp>
      <tp>
        <v>15.375</v>
        <stp/>
        <stp>##V3_BDHV12</stp>
        <stp>XOM US Equity</stp>
        <stp>PX_LOW</stp>
        <stp>FQ1 1994</stp>
        <stp>FQ1 1994</stp>
        <stp>[FA1_ftkzu3fn.xlsx]Stock Value!R10C19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10" s="6"/>
      </tp>
      <tp>
        <v>8073</v>
        <stp/>
        <stp>##V3_BDHV12</stp>
        <stp>XOM US Equity</stp>
        <stp>IS_OPERATING_EXPN</stp>
        <stp>FQ4 1991</stp>
        <stp>FQ4 1991</stp>
        <stp>[FA1_ftkzu3fn.xlsx]Income - Adjusted!R9C10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J9" s="2"/>
      </tp>
      <tp>
        <v>24677</v>
        <stp/>
        <stp>##V3_BDHV12</stp>
        <stp>XOM US Equity</stp>
        <stp>OTHER_NONCUR_LIABS_SUB_DETAILED</stp>
        <stp>FQ1 1996</stp>
        <stp>FQ1 1996</stp>
        <stp>[FA1_ftkzu3fn.xlsx]Bal Sheet - Standardized!R34C27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34" s="3"/>
      </tp>
      <tp>
        <v>23039</v>
        <stp/>
        <stp>##V3_BDHV12</stp>
        <stp>XOM US Equity</stp>
        <stp>OTHER_NONCUR_LIABS_SUB_DETAILED</stp>
        <stp>FQ2 1992</stp>
        <stp>FQ2 1992</stp>
        <stp>[FA1_ftkzu3fn.xlsx]Bal Sheet - Standardized!R34C12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34" s="3"/>
      </tp>
      <tp>
        <v>22322</v>
        <stp/>
        <stp>##V3_BDHV12</stp>
        <stp>XOM US Equity</stp>
        <stp>OTHER_NONCUR_LIABS_SUB_DETAILED</stp>
        <stp>FQ2 1993</stp>
        <stp>FQ2 1993</stp>
        <stp>[FA1_ftkzu3fn.xlsx]Bal Sheet - Standardized!R34C16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34" s="3"/>
      </tp>
      <tp>
        <v>22946</v>
        <stp/>
        <stp>##V3_BDHV12</stp>
        <stp>XOM US Equity</stp>
        <stp>OTHER_NONCUR_LIABS_SUB_DETAILED</stp>
        <stp>FQ1 1995</stp>
        <stp>FQ1 1995</stp>
        <stp>[FA1_ftkzu3fn.xlsx]Bal Sheet - Standardized!R34C23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34" s="3"/>
      </tp>
      <tp t="s">
        <v>—</v>
        <stp/>
        <stp>##V3_BDHV12</stp>
        <stp>XOM US Equity</stp>
        <stp>CHG_IN_FXD_&amp;_INTANG_AST_DETAILED</stp>
        <stp>FQ4 1991</stp>
        <stp>FQ4 1991</stp>
        <stp>[FA1_ftkzu3fn.xlsx]Cash Flow - Standardized!R16C10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16" s="4"/>
      </tp>
      <tp>
        <v>2839</v>
        <stp/>
        <stp>##V3_BDHV12</stp>
        <stp>XOM US Equity</stp>
        <stp>PRETAX_INC</stp>
        <stp>FQ1 1998</stp>
        <stp>FQ1 1998</stp>
        <stp>[FA1_ftkzu3fn.xlsx]Income - Adjusted!R13C35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I13" s="2"/>
      </tp>
      <tp>
        <v>1762</v>
        <stp/>
        <stp>##V3_BDHV12</stp>
        <stp>XOM US Equity</stp>
        <stp>PRETAX_INC</stp>
        <stp>FQ1 1994</stp>
        <stp>FQ1 1994</stp>
        <stp>[FA1_ftkzu3fn.xlsx]Income - Adjusted!R13C19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S13" s="2"/>
      </tp>
      <tp t="s">
        <v>—</v>
        <stp/>
        <stp>##V3_BDHV12</stp>
        <stp>XOM US Equity</stp>
        <stp>CHG_IN_FXD_&amp;_INTANG_AST_DETAILED</stp>
        <stp>FQ4 1992</stp>
        <stp>FQ4 1992</stp>
        <stp>[FA1_ftkzu3fn.xlsx]Cash Flow - Standardized!R16C14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16" s="4"/>
      </tp>
      <tp t="s">
        <v>—</v>
        <stp/>
        <stp>##V3_BDHV12</stp>
        <stp>XOM US Equity</stp>
        <stp>CHG_IN_FXD_&amp;_INTANG_AST_DETAILED</stp>
        <stp>FQ4 1993</stp>
        <stp>FQ4 1993</stp>
        <stp>[FA1_ftkzu3fn.xlsx]Cash Flow - Standardized!R16C18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16" s="4"/>
      </tp>
      <tp t="s">
        <v>—</v>
        <stp/>
        <stp>##V3_BDHV12</stp>
        <stp>XOM US Equity</stp>
        <stp>BS_GROSS_FIX_ASSET</stp>
        <stp>FQ3 1991</stp>
        <stp>FQ3 1991</stp>
        <stp>[FA1_ftkzu3fn.xlsx]Bal Sheet - Standardized!R18C9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8" s="3"/>
      </tp>
      <tp t="s">
        <v>—</v>
        <stp/>
        <stp>##V3_BDHV12</stp>
        <stp>XOM US Equity</stp>
        <stp>BS_GROSS_FIX_ASSET</stp>
        <stp>FQ2 1991</stp>
        <stp>FQ2 1991</stp>
        <stp>[FA1_ftkzu3fn.xlsx]Bal Sheet - Standardized!R18C8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8" s="3"/>
      </tp>
      <tp>
        <v>0.22500000000000001</v>
        <stp/>
        <stp>##V3_BDHV12</stp>
        <stp>XOM US Equity</stp>
        <stp>IS_DIL_EPS_BEF_XO</stp>
        <stp>FQ2 1991</stp>
        <stp>FQ2 1991</stp>
        <stp>[FA1_ftkzu3fn.xlsx]Income - Adjusted!R34C8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34" s="2"/>
      </tp>
      <tp>
        <v>0.22</v>
        <stp/>
        <stp>##V3_BDHV12</stp>
        <stp>XOM US Equity</stp>
        <stp>IS_DIL_EPS_BEF_XO</stp>
        <stp>FQ3 1991</stp>
        <stp>FQ3 1991</stp>
        <stp>[FA1_ftkzu3fn.xlsx]Income - Adjusted!R34C9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34" s="2"/>
      </tp>
      <tp t="s">
        <v>—</v>
        <stp/>
        <stp>##V3_BDHV12</stp>
        <stp>XOM US Equity</stp>
        <stp>BS_GROSS_FIX_ASSET</stp>
        <stp>FQ1 1990</stp>
        <stp>FQ1 1990</stp>
        <stp>[FA1_ftkzu3fn.xlsx]Bal Sheet - Standardized!R18C3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8" s="3"/>
      </tp>
      <tp>
        <v>107599</v>
        <stp/>
        <stp>##V3_BDHV12</stp>
        <stp>XOM US Equity</stp>
        <stp>BS_GROSS_FIX_ASSET</stp>
        <stp>FQ4 1990</stp>
        <stp>FQ4 1990</stp>
        <stp>[FA1_ftkzu3fn.xlsx]Bal Sheet - Standardized!R18C6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8" s="3"/>
      </tp>
      <tp t="s">
        <v>—</v>
        <stp/>
        <stp>##V3_BDHV12</stp>
        <stp>XOM US Equity</stp>
        <stp>BS_GROSS_FIX_ASSET</stp>
        <stp>FQ2 1990</stp>
        <stp>FQ2 1990</stp>
        <stp>[FA1_ftkzu3fn.xlsx]Bal Sheet - Standardized!R18C4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8" s="3"/>
      </tp>
      <tp t="s">
        <v>—</v>
        <stp/>
        <stp>##V3_BDHV12</stp>
        <stp>XOM US Equity</stp>
        <stp>BS_GROSS_FIX_ASSET</stp>
        <stp>FQ3 1990</stp>
        <stp>FQ3 1990</stp>
        <stp>[FA1_ftkzu3fn.xlsx]Bal Sheet - Standardized!R18C5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8" s="3"/>
      </tp>
      <tp t="s">
        <v>—</v>
        <stp/>
        <stp>##V3_BDHV12</stp>
        <stp>XOM US Equity</stp>
        <stp>BS_GROSS_FIX_ASSET</stp>
        <stp>FQ1 1991</stp>
        <stp>FQ1 1991</stp>
        <stp>[FA1_ftkzu3fn.xlsx]Bal Sheet - Standardized!R18C7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8" s="3"/>
      </tp>
      <tp>
        <v>62115</v>
        <stp/>
        <stp>##V3_BDHV12</stp>
        <stp>XOM US Equity</stp>
        <stp>BS_NET_FIX_ASSET</stp>
        <stp>FQ3 1991</stp>
        <stp>FQ3 1991</stp>
        <stp>[FA1_ftkzu3fn.xlsx]Bal Sheet - Standardized!R17C9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7" s="3"/>
      </tp>
      <tp>
        <v>60324</v>
        <stp/>
        <stp>##V3_BDHV12</stp>
        <stp>XOM US Equity</stp>
        <stp>BS_NET_FIX_ASSET</stp>
        <stp>FQ2 1991</stp>
        <stp>FQ2 1991</stp>
        <stp>[FA1_ftkzu3fn.xlsx]Bal Sheet - Standardized!R17C8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7" s="3"/>
      </tp>
      <tp>
        <v>62688</v>
        <stp/>
        <stp>##V3_BDHV12</stp>
        <stp>XOM US Equity</stp>
        <stp>BS_NET_FIX_ASSET</stp>
        <stp>FQ4 1990</stp>
        <stp>FQ4 1990</stp>
        <stp>[FA1_ftkzu3fn.xlsx]Bal Sheet - Standardized!R17C6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7" s="3"/>
      </tp>
      <tp>
        <v>60144</v>
        <stp/>
        <stp>##V3_BDHV12</stp>
        <stp>XOM US Equity</stp>
        <stp>BS_NET_FIX_ASSET</stp>
        <stp>FQ1 1990</stp>
        <stp>FQ1 1990</stp>
        <stp>[FA1_ftkzu3fn.xlsx]Bal Sheet - Standardized!R17C3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7" s="3"/>
      </tp>
      <tp>
        <v>61008</v>
        <stp/>
        <stp>##V3_BDHV12</stp>
        <stp>XOM US Equity</stp>
        <stp>BS_NET_FIX_ASSET</stp>
        <stp>FQ2 1990</stp>
        <stp>FQ2 1990</stp>
        <stp>[FA1_ftkzu3fn.xlsx]Bal Sheet - Standardized!R17C4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7" s="3"/>
      </tp>
      <tp>
        <v>62262</v>
        <stp/>
        <stp>##V3_BDHV12</stp>
        <stp>XOM US Equity</stp>
        <stp>BS_NET_FIX_ASSET</stp>
        <stp>FQ3 1990</stp>
        <stp>FQ3 1990</stp>
        <stp>[FA1_ftkzu3fn.xlsx]Bal Sheet - Standardized!R17C5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7" s="3"/>
      </tp>
      <tp>
        <v>60754</v>
        <stp/>
        <stp>##V3_BDHV12</stp>
        <stp>XOM US Equity</stp>
        <stp>BS_NET_FIX_ASSET</stp>
        <stp>FQ1 1991</stp>
        <stp>FQ1 1991</stp>
        <stp>[FA1_ftkzu3fn.xlsx]Bal Sheet - Standardized!R17C7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7" s="3"/>
      </tp>
      <tp>
        <v>391</v>
        <stp/>
        <stp>##V3_BDHV12</stp>
        <stp>XOM US Equity</stp>
        <stp>IS_INT_EXPENSE</stp>
        <stp>FQ1 1990</stp>
        <stp>FQ1 1990</stp>
        <stp>[FA1_ftkzu3fn.xlsx]Income - Adjusted!R11C3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C11" s="2"/>
      </tp>
      <tp>
        <v>348</v>
        <stp/>
        <stp>##V3_BDHV12</stp>
        <stp>XOM US Equity</stp>
        <stp>IS_INT_EXPENSE</stp>
        <stp>FQ4 1990</stp>
        <stp>FQ4 1990</stp>
        <stp>[FA1_ftkzu3fn.xlsx]Income - Adjusted!R11C6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F11" s="2"/>
      </tp>
      <tp>
        <v>7945</v>
        <stp/>
        <stp>##V3_BDHV12</stp>
        <stp>XOM US Equity</stp>
        <stp>IS_OPERATING_EXPN</stp>
        <stp>FQ4 1994</stp>
        <stp>FQ4 1994</stp>
        <stp>[FA1_ftkzu3fn.xlsx]Income - Adjusted!R9C22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V9" s="2"/>
      </tp>
      <tp>
        <v>8088</v>
        <stp/>
        <stp>##V3_BDHV12</stp>
        <stp>XOM US Equity</stp>
        <stp>IS_OPERATING_EXPN</stp>
        <stp>FQ4 1996</stp>
        <stp>FQ4 1996</stp>
        <stp>[FA1_ftkzu3fn.xlsx]Income - Adjusted!R9C30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D9" s="2"/>
      </tp>
      <tp>
        <v>7376</v>
        <stp/>
        <stp>##V3_BDHV12</stp>
        <stp>XOM US Equity</stp>
        <stp>IS_OPERATING_EXPN</stp>
        <stp>FQ4 1992</stp>
        <stp>FQ4 1992</stp>
        <stp>[FA1_ftkzu3fn.xlsx]Income - Adjusted!R9C14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N9" s="2"/>
      </tp>
      <tp>
        <v>7825</v>
        <stp/>
        <stp>##V3_BDHV12</stp>
        <stp>XOM US Equity</stp>
        <stp>IS_OPERATING_EXPN</stp>
        <stp>FQ3 1992</stp>
        <stp>FQ3 1992</stp>
        <stp>[FA1_ftkzu3fn.xlsx]Income - Adjusted!R9C13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M9" s="2"/>
      </tp>
      <tp>
        <v>7228</v>
        <stp/>
        <stp>##V3_BDHV12</stp>
        <stp>XOM US Equity</stp>
        <stp>IS_OPERATING_EXPN</stp>
        <stp>FQ2 1992</stp>
        <stp>FQ2 1992</stp>
        <stp>[FA1_ftkzu3fn.xlsx]Income - Adjusted!R9C12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L9" s="2"/>
      </tp>
      <tp>
        <v>7324</v>
        <stp/>
        <stp>##V3_BDHV12</stp>
        <stp>XOM US Equity</stp>
        <stp>IS_OPERATING_EXPN</stp>
        <stp>FQ1 1992</stp>
        <stp>FQ1 1992</stp>
        <stp>[FA1_ftkzu3fn.xlsx]Income - Adjusted!R9C11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K9" s="2"/>
      </tp>
      <tp>
        <v>1086</v>
        <stp/>
        <stp>##V3_BDHV12</stp>
        <stp>XOM US Equity</stp>
        <stp>IS_INC_TAX_EXP</stp>
        <stp>FQ4 1995</stp>
        <stp>FQ4 1995</stp>
        <stp>[FA1_ftkzu3fn.xlsx]Income - Adjusted!R15C26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Z15" s="2"/>
      </tp>
      <tp>
        <v>854</v>
        <stp/>
        <stp>##V3_BDHV12</stp>
        <stp>XOM US Equity</stp>
        <stp>IS_INC_TAX_EXP</stp>
        <stp>FQ4 1997</stp>
        <stp>FQ4 1997</stp>
        <stp>[FA1_ftkzu3fn.xlsx]Income - Adjusted!R15C34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H15" s="2"/>
      </tp>
      <tp>
        <v>641</v>
        <stp/>
        <stp>##V3_BDHV12</stp>
        <stp>XOM US Equity</stp>
        <stp>IS_INC_TAX_EXP</stp>
        <stp>FQ1 1992</stp>
        <stp>FQ1 1992</stp>
        <stp>[FA1_ftkzu3fn.xlsx]Income - Adjusted!R15C11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K15" s="2"/>
      </tp>
      <tp>
        <v>22883</v>
        <stp/>
        <stp>##V3_BDHV12</stp>
        <stp>XOM US Equity</stp>
        <stp>SALES_REV_TURN</stp>
        <stp>FQ1 1994</stp>
        <stp>FQ1 1994</stp>
        <stp>[FA1_ftkzu3fn.xlsx]Income - Adjusted!R6C19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S6" s="2"/>
      </tp>
      <tp>
        <v>29086</v>
        <stp/>
        <stp>##V3_BDHV12</stp>
        <stp>XOM US Equity</stp>
        <stp>SALES_REV_TURN</stp>
        <stp>FQ3 1996</stp>
        <stp>FQ3 1996</stp>
        <stp>[FA1_ftkzu3fn.xlsx]Income - Adjusted!R6C29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C6" s="2"/>
      </tp>
      <tp>
        <v>27975</v>
        <stp/>
        <stp>##V3_BDHV12</stp>
        <stp>XOM US Equity</stp>
        <stp>SALES_REV_TURN</stp>
        <stp>FQ2 1996</stp>
        <stp>FQ2 1996</stp>
        <stp>[FA1_ftkzu3fn.xlsx]Income - Adjusted!R6C28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B6" s="2"/>
      </tp>
      <tp>
        <v>0.37090000000000001</v>
        <stp/>
        <stp>##V3_BDHV12</stp>
        <stp>XOM US Equity</stp>
        <stp>CASH_ST_INVESTMENTS_PER_SH</stp>
        <stp>FQ1 1990</stp>
        <stp>FQ1 1990</stp>
        <stp>[FA1_ftkzu3fn.xlsx]Per Share!R25C3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25" s="5"/>
      </tp>
      <tp>
        <v>0.27689999999999998</v>
        <stp/>
        <stp>##V3_BDHV12</stp>
        <stp>XOM US Equity</stp>
        <stp>CASH_ST_INVESTMENTS_PER_SH</stp>
        <stp>FQ4 1990</stp>
        <stp>FQ4 1990</stp>
        <stp>[FA1_ftkzu3fn.xlsx]Per Share!R25C6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25" s="5"/>
      </tp>
      <tp>
        <v>25525</v>
        <stp/>
        <stp>##V3_BDHV12</stp>
        <stp>XOM US Equity</stp>
        <stp>SALES_REV_TURN</stp>
        <stp>FQ2 1998</stp>
        <stp>FQ2 1998</stp>
        <stp>[FA1_ftkzu3fn.xlsx]Income - Adjusted!R6C36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J6" s="2"/>
      </tp>
      <tp>
        <v>26211</v>
        <stp/>
        <stp>##V3_BDHV12</stp>
        <stp>XOM US Equity</stp>
        <stp>SALES_REV_TURN</stp>
        <stp>FQ1 1998</stp>
        <stp>FQ1 1998</stp>
        <stp>[FA1_ftkzu3fn.xlsx]Income - Adjusted!R6C35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I6" s="2"/>
      </tp>
      <tp>
        <v>16562</v>
        <stp/>
        <stp>##V3_BDHV12</stp>
        <stp>XOM US Equity</stp>
        <stp>BS_AMT_OF_TSY_STOCK</stp>
        <stp>FQ1 1991</stp>
        <stp>FQ1 1991</stp>
        <stp>[FA1_ftkzu3fn.xlsx]Bal Sheet - Standardized!R40C7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40" s="3"/>
      </tp>
      <tp>
        <v>16449</v>
        <stp/>
        <stp>##V3_BDHV12</stp>
        <stp>XOM US Equity</stp>
        <stp>BS_AMT_OF_TSY_STOCK</stp>
        <stp>FQ3 1990</stp>
        <stp>FQ3 1990</stp>
        <stp>[FA1_ftkzu3fn.xlsx]Bal Sheet - Standardized!R40C5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40" s="3"/>
      </tp>
      <tp>
        <v>16387</v>
        <stp/>
        <stp>##V3_BDHV12</stp>
        <stp>XOM US Equity</stp>
        <stp>BS_AMT_OF_TSY_STOCK</stp>
        <stp>FQ2 1990</stp>
        <stp>FQ2 1990</stp>
        <stp>[FA1_ftkzu3fn.xlsx]Bal Sheet - Standardized!R40C4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40" s="3"/>
      </tp>
      <tp>
        <v>7762</v>
        <stp/>
        <stp>##V3_BDHV12</stp>
        <stp>XOM US Equity</stp>
        <stp>IS_OPERATING_EXPN</stp>
        <stp>FQ2 1995</stp>
        <stp>FQ2 1995</stp>
        <stp>[FA1_ftkzu3fn.xlsx]Income - Adjusted!R9C24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X9" s="2"/>
      </tp>
      <tp>
        <v>8003</v>
        <stp/>
        <stp>##V3_BDHV12</stp>
        <stp>XOM US Equity</stp>
        <stp>IS_OPERATING_EXPN</stp>
        <stp>FQ3 1995</stp>
        <stp>FQ3 1995</stp>
        <stp>[FA1_ftkzu3fn.xlsx]Income - Adjusted!R9C25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Y9" s="2"/>
      </tp>
      <tp>
        <v>16509</v>
        <stp/>
        <stp>##V3_BDHV12</stp>
        <stp>XOM US Equity</stp>
        <stp>BS_AMT_OF_TSY_STOCK</stp>
        <stp>FQ4 1990</stp>
        <stp>FQ4 1990</stp>
        <stp>[FA1_ftkzu3fn.xlsx]Bal Sheet - Standardized!R40C6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40" s="3"/>
      </tp>
      <tp>
        <v>16317</v>
        <stp/>
        <stp>##V3_BDHV12</stp>
        <stp>XOM US Equity</stp>
        <stp>BS_AMT_OF_TSY_STOCK</stp>
        <stp>FQ1 1990</stp>
        <stp>FQ1 1990</stp>
        <stp>[FA1_ftkzu3fn.xlsx]Bal Sheet - Standardized!R40C3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40" s="3"/>
      </tp>
      <tp>
        <v>19862</v>
        <stp/>
        <stp>##V3_BDHV12</stp>
        <stp>XOM US Equity</stp>
        <stp>OTHER_NONCUR_LIABS_SUB_DETAILED</stp>
        <stp>FQ4 1993</stp>
        <stp>FQ4 1993</stp>
        <stp>[FA1_ftkzu3fn.xlsx]Bal Sheet - Standardized!R34C18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34" s="3"/>
      </tp>
      <tp>
        <v>1685</v>
        <stp/>
        <stp>##V3_BDHV12</stp>
        <stp>XOM US Equity</stp>
        <stp>IS_INC_BEF_XO_ITEM</stp>
        <stp>FQ2 1998</stp>
        <stp>FQ2 1998</stp>
        <stp>[FA1_ftkzu3fn.xlsx]Income - Adjusted!R16C36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16" s="2"/>
      </tp>
      <tp t="s">
        <v>—</v>
        <stp/>
        <stp>##V3_BDHV12</stp>
        <stp>XOM US Equity</stp>
        <stp>FREE_CASH_FLOW_PER_SH</stp>
        <stp>FQ3 1991</stp>
        <stp>FQ3 1991</stp>
        <stp>[FA1_ftkzu3fn.xlsx]Per Share!R23C9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23" s="5"/>
      </tp>
      <tp t="s">
        <v>—</v>
        <stp/>
        <stp>##V3_BDHV12</stp>
        <stp>XOM US Equity</stp>
        <stp>FREE_CASH_FLOW_PER_SH</stp>
        <stp>FQ2 1991</stp>
        <stp>FQ2 1991</stp>
        <stp>[FA1_ftkzu3fn.xlsx]Per Share!R23C8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23" s="5"/>
      </tp>
      <tp>
        <v>19979</v>
        <stp/>
        <stp>##V3_BDHV12</stp>
        <stp>XOM US Equity</stp>
        <stp>OTHER_NONCUR_LIABS_SUB_DETAILED</stp>
        <stp>FQ4 1992</stp>
        <stp>FQ4 1992</stp>
        <stp>[FA1_ftkzu3fn.xlsx]Bal Sheet - Standardized!R34C14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34" s="3"/>
      </tp>
      <tp>
        <v>20230</v>
        <stp/>
        <stp>##V3_BDHV12</stp>
        <stp>XOM US Equity</stp>
        <stp>OTHER_NONCUR_LIABS_SUB_DETAILED</stp>
        <stp>FQ4 1991</stp>
        <stp>FQ4 1991</stp>
        <stp>[FA1_ftkzu3fn.xlsx]Bal Sheet - Standardized!R34C10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34" s="3"/>
      </tp>
      <tp>
        <v>16631</v>
        <stp/>
        <stp>##V3_BDHV12</stp>
        <stp>XOM US Equity</stp>
        <stp>BS_AMT_OF_TSY_STOCK</stp>
        <stp>FQ2 1991</stp>
        <stp>FQ2 1991</stp>
        <stp>[FA1_ftkzu3fn.xlsx]Bal Sheet - Standardized!R40C8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40" s="3"/>
      </tp>
      <tp>
        <v>16707</v>
        <stp/>
        <stp>##V3_BDHV12</stp>
        <stp>XOM US Equity</stp>
        <stp>BS_AMT_OF_TSY_STOCK</stp>
        <stp>FQ3 1991</stp>
        <stp>FQ3 1991</stp>
        <stp>[FA1_ftkzu3fn.xlsx]Bal Sheet - Standardized!R40C9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40" s="3"/>
      </tp>
      <tp>
        <v>-2093</v>
        <stp/>
        <stp>##V3_BDHV12</stp>
        <stp>XOM US Equity</stp>
        <stp>CHG_IN_FXD_&amp;_INTANG_AST_DETAILED</stp>
        <stp>FQ4 1997</stp>
        <stp>FQ4 1997</stp>
        <stp>[FA1_ftkzu3fn.xlsx]Cash Flow - Standardized!R16C34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16" s="4"/>
      </tp>
      <tp>
        <v>2619</v>
        <stp/>
        <stp>##V3_BDHV12</stp>
        <stp>XOM US Equity</stp>
        <stp>PRETAX_INC</stp>
        <stp>FQ3 1996</stp>
        <stp>FQ3 1996</stp>
        <stp>[FA1_ftkzu3fn.xlsx]Income - Adjusted!R13C29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C13" s="2"/>
      </tp>
      <tp>
        <v>-2108</v>
        <stp/>
        <stp>##V3_BDHV12</stp>
        <stp>XOM US Equity</stp>
        <stp>CHG_IN_FXD_&amp;_INTANG_AST_DETAILED</stp>
        <stp>FQ4 1996</stp>
        <stp>FQ4 1996</stp>
        <stp>[FA1_ftkzu3fn.xlsx]Cash Flow - Standardized!R16C30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16" s="4"/>
      </tp>
      <tp>
        <v>323</v>
        <stp/>
        <stp>##V3_BDHV12</stp>
        <stp>XOM US Equity</stp>
        <stp>IS_INC_TAX_EXP</stp>
        <stp>FQ2 1992</stp>
        <stp>FQ2 1992</stp>
        <stp>[FA1_ftkzu3fn.xlsx]Income - Adjusted!R15C12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L15" s="2"/>
      </tp>
      <tp>
        <v>991</v>
        <stp/>
        <stp>##V3_BDHV12</stp>
        <stp>XOM US Equity</stp>
        <stp>IS_INC_TAX_EXP</stp>
        <stp>FQ3 1995</stp>
        <stp>FQ3 1995</stp>
        <stp>[FA1_ftkzu3fn.xlsx]Income - Adjusted!R15C25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Y15" s="2"/>
      </tp>
      <tp>
        <v>2822</v>
        <stp/>
        <stp>##V3_BDHV12</stp>
        <stp>XOM US Equity</stp>
        <stp>BS_SH_CAP_AND_APIC</stp>
        <stp>FQ3 1991</stp>
        <stp>FQ3 1991</stp>
        <stp>[FA1_ftkzu3fn.xlsx]Bal Sheet - Standardized!R39C9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39" s="3"/>
      </tp>
      <tp>
        <v>2822</v>
        <stp/>
        <stp>##V3_BDHV12</stp>
        <stp>XOM US Equity</stp>
        <stp>BS_SH_CAP_AND_APIC</stp>
        <stp>FQ2 1991</stp>
        <stp>FQ2 1991</stp>
        <stp>[FA1_ftkzu3fn.xlsx]Bal Sheet - Standardized!R39C8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39" s="3"/>
      </tp>
      <tp>
        <v>2822</v>
        <stp/>
        <stp>##V3_BDHV12</stp>
        <stp>XOM US Equity</stp>
        <stp>BS_SH_CAP_AND_APIC</stp>
        <stp>FQ1 1990</stp>
        <stp>FQ1 1990</stp>
        <stp>[FA1_ftkzu3fn.xlsx]Bal Sheet - Standardized!R39C3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39" s="3"/>
      </tp>
      <tp>
        <v>2822</v>
        <stp/>
        <stp>##V3_BDHV12</stp>
        <stp>XOM US Equity</stp>
        <stp>BS_SH_CAP_AND_APIC</stp>
        <stp>FQ4 1990</stp>
        <stp>FQ4 1990</stp>
        <stp>[FA1_ftkzu3fn.xlsx]Bal Sheet - Standardized!R39C6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39" s="3"/>
      </tp>
      <tp>
        <v>2822</v>
        <stp/>
        <stp>##V3_BDHV12</stp>
        <stp>XOM US Equity</stp>
        <stp>BS_SH_CAP_AND_APIC</stp>
        <stp>FQ2 1990</stp>
        <stp>FQ2 1990</stp>
        <stp>[FA1_ftkzu3fn.xlsx]Bal Sheet - Standardized!R39C4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39" s="3"/>
      </tp>
      <tp>
        <v>2822</v>
        <stp/>
        <stp>##V3_BDHV12</stp>
        <stp>XOM US Equity</stp>
        <stp>BS_SH_CAP_AND_APIC</stp>
        <stp>FQ3 1990</stp>
        <stp>FQ3 1990</stp>
        <stp>[FA1_ftkzu3fn.xlsx]Bal Sheet - Standardized!R39C5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39" s="3"/>
      </tp>
      <tp>
        <v>2822</v>
        <stp/>
        <stp>##V3_BDHV12</stp>
        <stp>XOM US Equity</stp>
        <stp>BS_SH_CAP_AND_APIC</stp>
        <stp>FQ1 1991</stp>
        <stp>FQ1 1991</stp>
        <stp>[FA1_ftkzu3fn.xlsx]Bal Sheet - Standardized!R39C7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39" s="3"/>
      </tp>
      <tp>
        <v>27843</v>
        <stp/>
        <stp>##V3_BDHV12</stp>
        <stp>XOM US Equity</stp>
        <stp>SALES_REV_TURN</stp>
        <stp>FQ4 1993</stp>
        <stp>FQ4 1993</stp>
        <stp>[FA1_ftkzu3fn.xlsx]Income - Adjusted!R6C18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R6" s="2"/>
      </tp>
      <tp>
        <v>7582</v>
        <stp/>
        <stp>##V3_BDHV12</stp>
        <stp>XOM US Equity</stp>
        <stp>IS_OPERATING_EXPN</stp>
        <stp>FQ1 1996</stp>
        <stp>FQ1 1996</stp>
        <stp>[FA1_ftkzu3fn.xlsx]Income - Adjusted!R9C27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A9" s="2"/>
      </tp>
      <tp>
        <v>2000</v>
        <stp/>
        <stp>##V3_BDHV12</stp>
        <stp>XOM US Equity</stp>
        <stp>IS_INC_BEF_XO_ITEM</stp>
        <stp>FQ1 1998</stp>
        <stp>FQ1 1998</stp>
        <stp>[FA1_ftkzu3fn.xlsx]Income - Adjusted!R16C35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16" s="2"/>
      </tp>
      <tp>
        <v>19955</v>
        <stp/>
        <stp>##V3_BDHV12</stp>
        <stp>XOM US Equity</stp>
        <stp>OTHER_NONCUR_LIABS_SUB_DETAILED</stp>
        <stp>FQ4 1994</stp>
        <stp>FQ4 1994</stp>
        <stp>[FA1_ftkzu3fn.xlsx]Bal Sheet - Standardized!R34C22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34" s="3"/>
      </tp>
      <tp>
        <v>22176</v>
        <stp/>
        <stp>##V3_BDHV12</stp>
        <stp>XOM US Equity</stp>
        <stp>OTHER_NONCUR_LIABS_SUB_DETAILED</stp>
        <stp>FQ4 1995</stp>
        <stp>FQ4 1995</stp>
        <stp>[FA1_ftkzu3fn.xlsx]Bal Sheet - Standardized!R34C26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34" s="3"/>
      </tp>
      <tp t="s">
        <v>—</v>
        <stp/>
        <stp>##V3_BDHV12</stp>
        <stp>XOM US Equity</stp>
        <stp>CF_DECR_CAP_STOCK</stp>
        <stp>FQ3 1990</stp>
        <stp>FQ3 1990</stp>
        <stp>[FA1_ftkzu3fn.xlsx]Cash Flow - Standardized!R30C5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30" s="4"/>
      </tp>
      <tp t="s">
        <v>—</v>
        <stp/>
        <stp>##V3_BDHV12</stp>
        <stp>XOM US Equity</stp>
        <stp>CF_DECR_CAP_STOCK</stp>
        <stp>FQ2 1990</stp>
        <stp>FQ2 1990</stp>
        <stp>[FA1_ftkzu3fn.xlsx]Cash Flow - Standardized!R30C4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30" s="4"/>
      </tp>
      <tp t="s">
        <v>—</v>
        <stp/>
        <stp>##V3_BDHV12</stp>
        <stp>XOM US Equity</stp>
        <stp>CF_DECR_CAP_STOCK</stp>
        <stp>FQ1 1991</stp>
        <stp>FQ1 1991</stp>
        <stp>[FA1_ftkzu3fn.xlsx]Cash Flow - Standardized!R30C7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30" s="4"/>
      </tp>
      <tp>
        <v>-2303</v>
        <stp/>
        <stp>##V3_BDHV12</stp>
        <stp>XOM US Equity</stp>
        <stp>CHG_IN_FXD_&amp;_INTANG_AST_DETAILED</stp>
        <stp>FQ4 1995</stp>
        <stp>FQ4 1995</stp>
        <stp>[FA1_ftkzu3fn.xlsx]Cash Flow - Standardized!R16C26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16" s="4"/>
      </tp>
      <tp t="s">
        <v>—</v>
        <stp/>
        <stp>##V3_BDHV12</stp>
        <stp>XOM US Equity</stp>
        <stp>CF_DECR_CAP_STOCK</stp>
        <stp>FQ4 1990</stp>
        <stp>FQ4 1990</stp>
        <stp>[FA1_ftkzu3fn.xlsx]Cash Flow - Standardized!R30C6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30" s="4"/>
      </tp>
      <tp t="s">
        <v>—</v>
        <stp/>
        <stp>##V3_BDHV12</stp>
        <stp>XOM US Equity</stp>
        <stp>CF_DECR_CAP_STOCK</stp>
        <stp>FQ1 1990</stp>
        <stp>FQ1 1990</stp>
        <stp>[FA1_ftkzu3fn.xlsx]Cash Flow - Standardized!R30C3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30" s="4"/>
      </tp>
      <tp>
        <v>2343</v>
        <stp/>
        <stp>##V3_BDHV12</stp>
        <stp>XOM US Equity</stp>
        <stp>PRETAX_INC</stp>
        <stp>FQ2 1998</stp>
        <stp>FQ2 1998</stp>
        <stp>[FA1_ftkzu3fn.xlsx]Income - Adjusted!R13C36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J13" s="2"/>
      </tp>
      <tp>
        <v>2732</v>
        <stp/>
        <stp>##V3_BDHV12</stp>
        <stp>XOM US Equity</stp>
        <stp>PRETAX_INC</stp>
        <stp>FQ2 1996</stp>
        <stp>FQ2 1996</stp>
        <stp>[FA1_ftkzu3fn.xlsx]Income - Adjusted!R13C28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B13" s="2"/>
      </tp>
      <tp t="s">
        <v>—</v>
        <stp/>
        <stp>##V3_BDHV12</stp>
        <stp>XOM US Equity</stp>
        <stp>CHG_IN_FXD_&amp;_INTANG_AST_DETAILED</stp>
        <stp>FQ4 1994</stp>
        <stp>FQ4 1994</stp>
        <stp>[FA1_ftkzu3fn.xlsx]Cash Flow - Standardized!R16C22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16" s="4"/>
      </tp>
      <tp>
        <v>621</v>
        <stp/>
        <stp>##V3_BDHV12</stp>
        <stp>XOM US Equity</stp>
        <stp>IS_INC_TAX_EXP</stp>
        <stp>FQ4 1991</stp>
        <stp>FQ4 1991</stp>
        <stp>[FA1_ftkzu3fn.xlsx]Income - Adjusted!R15C10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J15" s="2"/>
      </tp>
      <tp>
        <v>956</v>
        <stp/>
        <stp>##V3_BDHV12</stp>
        <stp>XOM US Equity</stp>
        <stp>IS_INC_TAX_EXP</stp>
        <stp>FQ1 1996</stp>
        <stp>FQ1 1996</stp>
        <stp>[FA1_ftkzu3fn.xlsx]Income - Adjusted!R15C27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A15" s="2"/>
      </tp>
      <tp>
        <v>1044</v>
        <stp/>
        <stp>##V3_BDHV12</stp>
        <stp>XOM US Equity</stp>
        <stp>IS_INC_TAX_EXP</stp>
        <stp>FQ2 1995</stp>
        <stp>FQ2 1995</stp>
        <stp>[FA1_ftkzu3fn.xlsx]Income - Adjusted!R15C24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X15" s="2"/>
      </tp>
      <tp>
        <v>807</v>
        <stp/>
        <stp>##V3_BDHV12</stp>
        <stp>XOM US Equity</stp>
        <stp>IS_INC_TAX_EXP</stp>
        <stp>FQ3 1992</stp>
        <stp>FQ3 1992</stp>
        <stp>[FA1_ftkzu3fn.xlsx]Income - Adjusted!R15C13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M15" s="2"/>
      </tp>
      <tp t="s">
        <v>—</v>
        <stp/>
        <stp>##V3_BDHV12</stp>
        <stp>XOM US Equity</stp>
        <stp>CF_DECR_CAP_STOCK</stp>
        <stp>FQ2 1991</stp>
        <stp>FQ2 1991</stp>
        <stp>[FA1_ftkzu3fn.xlsx]Cash Flow - Standardized!R30C8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30" s="4"/>
      </tp>
      <tp t="s">
        <v>—</v>
        <stp/>
        <stp>##V3_BDHV12</stp>
        <stp>XOM US Equity</stp>
        <stp>CF_DECR_CAP_STOCK</stp>
        <stp>FQ3 1991</stp>
        <stp>FQ3 1991</stp>
        <stp>[FA1_ftkzu3fn.xlsx]Cash Flow - Standardized!R30C9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30" s="4"/>
      </tp>
      <tp>
        <v>15.25</v>
        <stp/>
        <stp>##V3_BDHV12</stp>
        <stp>XOM US Equity</stp>
        <stp>PX_LOW</stp>
        <stp>FQ4 1993</stp>
        <stp>FQ4 1993</stp>
        <stp>[FA1_ftkzu3fn.xlsx]Stock Value!R10C18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10" s="6"/>
      </tp>
      <tp>
        <v>23330</v>
        <stp/>
        <stp>##V3_BDHV12</stp>
        <stp>XOM US Equity</stp>
        <stp>OTHER_NONCUR_LIABS_SUB_DETAILED</stp>
        <stp>FQ4 1996</stp>
        <stp>FQ4 1996</stp>
        <stp>[FA1_ftkzu3fn.xlsx]Bal Sheet - Standardized!R34C30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34" s="3"/>
      </tp>
      <tp>
        <v>23329</v>
        <stp/>
        <stp>##V3_BDHV12</stp>
        <stp>XOM US Equity</stp>
        <stp>OTHER_NONCUR_LIABS_SUB_DETAILED</stp>
        <stp>FQ4 1997</stp>
        <stp>FQ4 1997</stp>
        <stp>[FA1_ftkzu3fn.xlsx]Bal Sheet - Standardized!R34C34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34" s="3"/>
      </tp>
      <tp>
        <v>2980</v>
        <stp/>
        <stp>##V3_BDHV12</stp>
        <stp>XOM US Equity</stp>
        <stp>PRETAX_INC</stp>
        <stp>FQ1 1996</stp>
        <stp>FQ1 1996</stp>
        <stp>[FA1_ftkzu3fn.xlsx]Income - Adjusted!R13C27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A13" s="2"/>
      </tp>
      <tp>
        <v>2760</v>
        <stp/>
        <stp>##V3_BDHV12</stp>
        <stp>XOM US Equity</stp>
        <stp>PRETAX_INC</stp>
        <stp>FQ2 1995</stp>
        <stp>FQ2 1995</stp>
        <stp>[FA1_ftkzu3fn.xlsx]Income - Adjusted!R13C24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X13" s="2"/>
      </tp>
      <tp>
        <v>2034</v>
        <stp/>
        <stp>##V3_BDHV12</stp>
        <stp>XOM US Equity</stp>
        <stp>PRETAX_INC</stp>
        <stp>FQ3 1992</stp>
        <stp>FQ3 1992</stp>
        <stp>[FA1_ftkzu3fn.xlsx]Income - Adjusted!R13C13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M13" s="2"/>
      </tp>
      <tp>
        <v>1684</v>
        <stp/>
        <stp>##V3_BDHV12</stp>
        <stp>XOM US Equity</stp>
        <stp>PRETAX_INC</stp>
        <stp>FQ4 1991</stp>
        <stp>FQ4 1991</stp>
        <stp>[FA1_ftkzu3fn.xlsx]Income - Adjusted!R13C10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J13" s="2"/>
      </tp>
      <tp>
        <v>658</v>
        <stp/>
        <stp>##V3_BDHV12</stp>
        <stp>XOM US Equity</stp>
        <stp>IS_INC_TAX_EXP</stp>
        <stp>FQ2 1998</stp>
        <stp>FQ2 1998</stp>
        <stp>[FA1_ftkzu3fn.xlsx]Income - Adjusted!R15C36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J15" s="2"/>
      </tp>
      <tp>
        <v>1082</v>
        <stp/>
        <stp>##V3_BDHV12</stp>
        <stp>XOM US Equity</stp>
        <stp>IS_INC_TAX_EXP</stp>
        <stp>FQ2 1996</stp>
        <stp>FQ2 1996</stp>
        <stp>[FA1_ftkzu3fn.xlsx]Income - Adjusted!R15C28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B15" s="2"/>
      </tp>
      <tp>
        <v>0.44500000000000001</v>
        <stp/>
        <stp>##V3_BDHV12</stp>
        <stp>XOM US Equity</stp>
        <stp>IS_DIL_EPS_BEF_XO</stp>
        <stp>FQ1 1991</stp>
        <stp>FQ1 1991</stp>
        <stp>[FA1_ftkzu3fn.xlsx]Income - Adjusted!R34C7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34" s="2"/>
      </tp>
      <tp t="s">
        <v>—</v>
        <stp/>
        <stp>##V3_BDHV12</stp>
        <stp>XOM US Equity</stp>
        <stp>CF_CASH_FROM_INV_ACT</stp>
        <stp>FQ2 1995</stp>
        <stp>FQ2 1995</stp>
        <stp>[FA1_ftkzu3fn.xlsx]Cash Flow - Standardized!R23C24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23" s="4"/>
      </tp>
      <tp>
        <v>11111</v>
        <stp/>
        <stp>##V3_BDHV12</stp>
        <stp>XOM US Equity</stp>
        <stp>NET_DEBT</stp>
        <stp>FQ1 1991</stp>
        <stp>FQ1 1991</stp>
        <stp>[FA1_ftkzu3fn.xlsx]Bal Sheet - Standardized!R51C7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51" s="3"/>
      </tp>
      <tp>
        <v>13543</v>
        <stp/>
        <stp>##V3_BDHV12</stp>
        <stp>XOM US Equity</stp>
        <stp>NET_DEBT</stp>
        <stp>FQ3 1990</stp>
        <stp>FQ3 1990</stp>
        <stp>[FA1_ftkzu3fn.xlsx]Bal Sheet - Standardized!R51C5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51" s="3"/>
      </tp>
      <tp>
        <v>13229</v>
        <stp/>
        <stp>##V3_BDHV12</stp>
        <stp>XOM US Equity</stp>
        <stp>NET_DEBT</stp>
        <stp>FQ2 1990</stp>
        <stp>FQ2 1990</stp>
        <stp>[FA1_ftkzu3fn.xlsx]Bal Sheet - Standardized!R51C4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51" s="3"/>
      </tp>
      <tp t="s">
        <v>—</v>
        <stp/>
        <stp>##V3_BDHV12</stp>
        <stp>XOM US Equity</stp>
        <stp>CF_CASH_FROM_INV_ACT</stp>
        <stp>FQ1 1992</stp>
        <stp>FQ1 1992</stp>
        <stp>[FA1_ftkzu3fn.xlsx]Cash Flow - Standardized!R23C11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23" s="4"/>
      </tp>
      <tp>
        <v>2822</v>
        <stp/>
        <stp>##V3_BDHV12</stp>
        <stp>XOM US Equity</stp>
        <stp>BS_SH_CAP_AND_APIC</stp>
        <stp>FQ4 1996</stp>
        <stp>FQ4 1996</stp>
        <stp>[FA1_ftkzu3fn.xlsx]Bal Sheet - Standardized!R39C30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39" s="3"/>
      </tp>
      <tp t="s">
        <v>—</v>
        <stp/>
        <stp>##V3_BDHV12</stp>
        <stp>XOM US Equity</stp>
        <stp>CF_CASH_FROM_INV_ACT</stp>
        <stp>FQ1 1993</stp>
        <stp>FQ1 1993</stp>
        <stp>[FA1_ftkzu3fn.xlsx]Cash Flow - Standardized!R23C15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23" s="4"/>
      </tp>
      <tp>
        <v>-2139</v>
        <stp/>
        <stp>##V3_BDHV12</stp>
        <stp>XOM US Equity</stp>
        <stp>CF_CASH_FROM_INV_ACT</stp>
        <stp>FQ3 1997</stp>
        <stp>FQ3 1997</stp>
        <stp>[FA1_ftkzu3fn.xlsx]Cash Flow - Standardized!R23C33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23" s="4"/>
      </tp>
      <tp>
        <v>2323</v>
        <stp/>
        <stp>##V3_BDHV12</stp>
        <stp>XOM US Equity</stp>
        <stp>BS_SH_CAP_AND_APIC</stp>
        <stp>FQ4 1997</stp>
        <stp>FQ4 1997</stp>
        <stp>[FA1_ftkzu3fn.xlsx]Bal Sheet - Standardized!R39C34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39" s="3"/>
      </tp>
      <tp>
        <v>12398</v>
        <stp/>
        <stp>##V3_BDHV12</stp>
        <stp>XOM US Equity</stp>
        <stp>NET_DEBT</stp>
        <stp>FQ4 1990</stp>
        <stp>FQ4 1990</stp>
        <stp>[FA1_ftkzu3fn.xlsx]Bal Sheet - Standardized!R51C6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51" s="3"/>
      </tp>
      <tp>
        <v>14000</v>
        <stp/>
        <stp>##V3_BDHV12</stp>
        <stp>XOM US Equity</stp>
        <stp>NET_DEBT</stp>
        <stp>FQ1 1990</stp>
        <stp>FQ1 1990</stp>
        <stp>[FA1_ftkzu3fn.xlsx]Bal Sheet - Standardized!R51C3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51" s="3"/>
      </tp>
      <tp>
        <v>-44</v>
        <stp/>
        <stp>##V3_BDHV12</stp>
        <stp>XOM US Equity</stp>
        <stp>OTHER_INVESTING_ACT_DETAILED</stp>
        <stp>FQ2 1998</stp>
        <stp>FQ2 1998</stp>
        <stp>[FA1_ftkzu3fn.xlsx]Cash Flow - Standardized!R22C36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22" s="4"/>
      </tp>
      <tp>
        <v>0</v>
        <stp/>
        <stp>##V3_BDHV12</stp>
        <stp>XOM US Equity</stp>
        <stp>OTHER_INVESTING_ACT_DETAILED</stp>
        <stp>FQ3 1996</stp>
        <stp>FQ3 1996</stp>
        <stp>[FA1_ftkzu3fn.xlsx]Cash Flow - Standardized!R22C29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22" s="4"/>
      </tp>
      <tp t="s">
        <v>—</v>
        <stp/>
        <stp>##V3_BDHV12</stp>
        <stp>XOM US Equity</stp>
        <stp>CF_CASH_FROM_INV_ACT</stp>
        <stp>FQ2 1994</stp>
        <stp>FQ2 1994</stp>
        <stp>[FA1_ftkzu3fn.xlsx]Cash Flow - Standardized!R23C20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23" s="4"/>
      </tp>
      <tp>
        <v>3608</v>
        <stp/>
        <stp>##V3_BDHV12</stp>
        <stp>XOM US Equity</stp>
        <stp>EBITDA</stp>
        <stp>FQ1 1990</stp>
        <stp>FQ1 1990</stp>
        <stp>[FA1_ftkzu3fn.xlsx]Income - Adjusted!R39C3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C39" s="2"/>
      </tp>
      <tp>
        <v>7451</v>
        <stp/>
        <stp>##V3_BDHV12</stp>
        <stp>XOM US Equity</stp>
        <stp>EBITDA</stp>
        <stp>FQ4 1990</stp>
        <stp>FQ4 1990</stp>
        <stp>[FA1_ftkzu3fn.xlsx]Income - Adjusted!R39C6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F39" s="2"/>
      </tp>
      <tp>
        <v>126366</v>
        <stp/>
        <stp>##V3_BDHV12</stp>
        <stp>XOM US Equity</stp>
        <stp>BS_GROSS_FIX_ASSET</stp>
        <stp>FQ4 1996</stp>
        <stp>FQ4 1996</stp>
        <stp>[FA1_ftkzu3fn.xlsx]Bal Sheet - Standardized!R18C30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18" s="3"/>
      </tp>
      <tp>
        <v>0</v>
        <stp/>
        <stp>##V3_BDHV12</stp>
        <stp>XOM US Equity</stp>
        <stp>OTHER_INVESTING_ACT_DETAILED</stp>
        <stp>FQ3 1995</stp>
        <stp>FQ3 1995</stp>
        <stp>[FA1_ftkzu3fn.xlsx]Cash Flow - Standardized!R22C25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22" s="4"/>
      </tp>
      <tp>
        <v>127778</v>
        <stp/>
        <stp>##V3_BDHV12</stp>
        <stp>XOM US Equity</stp>
        <stp>BS_GROSS_FIX_ASSET</stp>
        <stp>FQ4 1997</stp>
        <stp>FQ4 1997</stp>
        <stp>[FA1_ftkzu3fn.xlsx]Bal Sheet - Standardized!R18C34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18" s="3"/>
      </tp>
      <tp>
        <v>11062</v>
        <stp/>
        <stp>##V3_BDHV12</stp>
        <stp>XOM US Equity</stp>
        <stp>NET_DEBT</stp>
        <stp>FQ2 1991</stp>
        <stp>FQ2 1991</stp>
        <stp>[FA1_ftkzu3fn.xlsx]Bal Sheet - Standardized!R51C8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51" s="3"/>
      </tp>
      <tp>
        <v>11092</v>
        <stp/>
        <stp>##V3_BDHV12</stp>
        <stp>XOM US Equity</stp>
        <stp>NET_DEBT</stp>
        <stp>FQ3 1991</stp>
        <stp>FQ3 1991</stp>
        <stp>[FA1_ftkzu3fn.xlsx]Bal Sheet - Standardized!R51C9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51" s="3"/>
      </tp>
      <tp>
        <v>-118</v>
        <stp/>
        <stp>##V3_BDHV12</stp>
        <stp>XOM US Equity</stp>
        <stp>OTHER_INVESTING_ACT_DETAILED</stp>
        <stp>FQ2 1997</stp>
        <stp>FQ2 1997</stp>
        <stp>[FA1_ftkzu3fn.xlsx]Cash Flow - Standardized!R22C32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22" s="4"/>
      </tp>
      <tp t="s">
        <v>—</v>
        <stp/>
        <stp>##V3_BDHV12</stp>
        <stp>XOM US Equity</stp>
        <stp>OTHER_INVESTING_ACT_DETAILED</stp>
        <stp>FQ3 1994</stp>
        <stp>FQ3 1994</stp>
        <stp>[FA1_ftkzu3fn.xlsx]Cash Flow - Standardized!R22C21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22" s="4"/>
      </tp>
      <tp t="s">
        <v>—</v>
        <stp/>
        <stp>##V3_BDHV12</stp>
        <stp>XOM US Equity</stp>
        <stp>CF_CASH_FROM_INV_ACT</stp>
        <stp>FQ2 1996</stp>
        <stp>FQ2 1996</stp>
        <stp>[FA1_ftkzu3fn.xlsx]Cash Flow - Standardized!R23C28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23" s="4"/>
      </tp>
      <tp t="s">
        <v>—</v>
        <stp/>
        <stp>##V3_BDHV12</stp>
        <stp>XOM US Equity</stp>
        <stp>CF_CASH_FROM_INV_ACT</stp>
        <stp>FQ1 1994</stp>
        <stp>FQ1 1994</stp>
        <stp>[FA1_ftkzu3fn.xlsx]Cash Flow - Standardized!R23C19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23" s="4"/>
      </tp>
      <tp>
        <v>12736</v>
        <stp/>
        <stp>##V3_BDHV12</stp>
        <stp>XOM US Equity</stp>
        <stp>BS_ACCT_PAYABLE</stp>
        <stp>FQ1 1992</stp>
        <stp>FQ1 1992</stp>
        <stp>[FA1_ftkzu3fn.xlsx]Bal Sheet - Standardized!R28C11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28" s="3"/>
      </tp>
      <tp>
        <v>923</v>
        <stp/>
        <stp>##V3_BDHV12</stp>
        <stp>XOM US Equity</stp>
        <stp>IS_INC_BEF_XO_ITEM</stp>
        <stp>FQ2 1994</stp>
        <stp>FQ2 1994</stp>
        <stp>[FA1_ftkzu3fn.xlsx]Income - Adjusted!R16C20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16" s="2"/>
      </tp>
      <tp>
        <v>13750</v>
        <stp/>
        <stp>##V3_BDHV12</stp>
        <stp>XOM US Equity</stp>
        <stp>BS_ACCT_PAYABLE</stp>
        <stp>FQ2 1995</stp>
        <stp>FQ2 1995</stp>
        <stp>[FA1_ftkzu3fn.xlsx]Bal Sheet - Standardized!R28C24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28" s="3"/>
      </tp>
      <tp>
        <v>1063</v>
        <stp/>
        <stp>##V3_BDHV12</stp>
        <stp>XOM US Equity</stp>
        <stp>IS_INC_BEF_XO_ITEM</stp>
        <stp>FQ4 1991</stp>
        <stp>FQ4 1991</stp>
        <stp>[FA1_ftkzu3fn.xlsx]Income - Adjusted!R16C10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16" s="2"/>
      </tp>
      <tp>
        <v>12729</v>
        <stp/>
        <stp>##V3_BDHV12</stp>
        <stp>XOM US Equity</stp>
        <stp>BS_ACCT_PAYABLE</stp>
        <stp>FQ2 1994</stp>
        <stp>FQ2 1994</stp>
        <stp>[FA1_ftkzu3fn.xlsx]Bal Sheet - Standardized!R28C20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28" s="3"/>
      </tp>
      <tp>
        <v>1584</v>
        <stp/>
        <stp>##V3_BDHV12</stp>
        <stp>XOM US Equity</stp>
        <stp>IS_INC_BEF_XO_ITEM</stp>
        <stp>FQ3 1995</stp>
        <stp>FQ3 1995</stp>
        <stp>[FA1_ftkzu3fn.xlsx]Income - Adjusted!R16C25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16" s="2"/>
      </tp>
      <tp>
        <v>14966</v>
        <stp/>
        <stp>##V3_BDHV12</stp>
        <stp>XOM US Equity</stp>
        <stp>BS_ACCT_PAYABLE</stp>
        <stp>FQ3 1997</stp>
        <stp>FQ3 1997</stp>
        <stp>[FA1_ftkzu3fn.xlsx]Bal Sheet - Standardized!R28C33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28" s="3"/>
      </tp>
      <tp>
        <v>12320</v>
        <stp/>
        <stp>##V3_BDHV12</stp>
        <stp>XOM US Equity</stp>
        <stp>BS_ACCT_PAYABLE</stp>
        <stp>FQ1 1993</stp>
        <stp>FQ1 1993</stp>
        <stp>[FA1_ftkzu3fn.xlsx]Bal Sheet - Standardized!R28C15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28" s="3"/>
      </tp>
      <tp>
        <v>1214</v>
        <stp/>
        <stp>##V3_BDHV12</stp>
        <stp>XOM US Equity</stp>
        <stp>IS_INC_BEF_XO_ITEM</stp>
        <stp>FQ1 1994</stp>
        <stp>FQ1 1994</stp>
        <stp>[FA1_ftkzu3fn.xlsx]Income - Adjusted!R16C19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16" s="2"/>
      </tp>
      <tp t="s">
        <v>—</v>
        <stp/>
        <stp>##V3_BDHV12</stp>
        <stp>XOM US Equity</stp>
        <stp>FREE_CASH_FLOW_PER_SH</stp>
        <stp>FQ3 1990</stp>
        <stp>FQ3 1990</stp>
        <stp>[FA1_ftkzu3fn.xlsx]Per Share!R23C5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23" s="5"/>
      </tp>
      <tp t="s">
        <v>—</v>
        <stp/>
        <stp>##V3_BDHV12</stp>
        <stp>XOM US Equity</stp>
        <stp>FREE_CASH_FLOW_PER_SH</stp>
        <stp>FQ2 1990</stp>
        <stp>FQ2 1990</stp>
        <stp>[FA1_ftkzu3fn.xlsx]Per Share!R23C4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23" s="5"/>
      </tp>
      <tp>
        <v>13329</v>
        <stp/>
        <stp>##V3_BDHV12</stp>
        <stp>XOM US Equity</stp>
        <stp>BS_ACCT_PAYABLE</stp>
        <stp>FQ2 1996</stp>
        <stp>FQ2 1996</stp>
        <stp>[FA1_ftkzu3fn.xlsx]Bal Sheet - Standardized!R28C28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28" s="3"/>
      </tp>
      <tp>
        <v>12326</v>
        <stp/>
        <stp>##V3_BDHV12</stp>
        <stp>XOM US Equity</stp>
        <stp>BS_ACCT_PAYABLE</stp>
        <stp>FQ1 1994</stp>
        <stp>FQ1 1994</stp>
        <stp>[FA1_ftkzu3fn.xlsx]Bal Sheet - Standardized!R28C19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28" s="3"/>
      </tp>
      <tp>
        <v>1335</v>
        <stp/>
        <stp>##V3_BDHV12</stp>
        <stp>XOM US Equity</stp>
        <stp>PRETAX_INC</stp>
        <stp>FQ2 1992</stp>
        <stp>FQ2 1992</stp>
        <stp>[FA1_ftkzu3fn.xlsx]Income - Adjusted!R13C12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L13" s="2"/>
      </tp>
      <tp>
        <v>2575</v>
        <stp/>
        <stp>##V3_BDHV12</stp>
        <stp>XOM US Equity</stp>
        <stp>PRETAX_INC</stp>
        <stp>FQ3 1995</stp>
        <stp>FQ3 1995</stp>
        <stp>[FA1_ftkzu3fn.xlsx]Income - Adjusted!R13C25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Y13" s="2"/>
      </tp>
      <tp>
        <v>987</v>
        <stp/>
        <stp>##V3_BDHV12</stp>
        <stp>XOM US Equity</stp>
        <stp>IS_INC_TAX_EXP</stp>
        <stp>FQ3 1996</stp>
        <stp>FQ3 1996</stp>
        <stp>[FA1_ftkzu3fn.xlsx]Income - Adjusted!R15C29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C15" s="2"/>
      </tp>
      <tp>
        <v>0.2175</v>
        <stp/>
        <stp>##V3_BDHV12</stp>
        <stp>XOM US Equity</stp>
        <stp>IS_DIL_EPS_BEF_XO</stp>
        <stp>FQ2 1990</stp>
        <stp>FQ2 1990</stp>
        <stp>[FA1_ftkzu3fn.xlsx]Income - Adjusted!R34C4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34" s="2"/>
      </tp>
      <tp>
        <v>0.21249999999999999</v>
        <stp/>
        <stp>##V3_BDHV12</stp>
        <stp>XOM US Equity</stp>
        <stp>IS_DIL_EPS_BEF_XO</stp>
        <stp>FQ3 1990</stp>
        <stp>FQ3 1990</stp>
        <stp>[FA1_ftkzu3fn.xlsx]Income - Adjusted!R34C5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34" s="2"/>
      </tp>
      <tp>
        <v>15.0313</v>
        <stp/>
        <stp>##V3_BDHV12</stp>
        <stp>XOM US Equity</stp>
        <stp>PX_LOW</stp>
        <stp>FQ1 1995</stp>
        <stp>FQ1 1995</stp>
        <stp>[FA1_ftkzu3fn.xlsx]Stock Value!R10C23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10" s="6"/>
      </tp>
      <tp>
        <v>14.125</v>
        <stp/>
        <stp>##V3_BDHV12</stp>
        <stp>XOM US Equity</stp>
        <stp>PX_LOW</stp>
        <stp>FQ3 1994</stp>
        <stp>FQ3 1994</stp>
        <stp>[FA1_ftkzu3fn.xlsx]Stock Value!R10C21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10" s="6"/>
      </tp>
      <tp>
        <v>14.0313</v>
        <stp/>
        <stp>##V3_BDHV12</stp>
        <stp>XOM US Equity</stp>
        <stp>PX_LOW</stp>
        <stp>FQ2 1994</stp>
        <stp>FQ2 1994</stp>
        <stp>[FA1_ftkzu3fn.xlsx]Stock Value!R10C20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10" s="6"/>
      </tp>
      <tp>
        <v>17.843800000000002</v>
        <stp/>
        <stp>##V3_BDHV12</stp>
        <stp>XOM US Equity</stp>
        <stp>PX_LOW</stp>
        <stp>FQ4 1995</stp>
        <stp>FQ4 1995</stp>
        <stp>[FA1_ftkzu3fn.xlsx]Stock Value!R10C26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10" s="6"/>
      </tp>
      <tp>
        <v>-1779</v>
        <stp/>
        <stp>##V3_BDHV12</stp>
        <stp>XOM US Equity</stp>
        <stp>CF_CASH_FROM_INV_ACT</stp>
        <stp>FQ3 1995</stp>
        <stp>FQ3 1995</stp>
        <stp>[FA1_ftkzu3fn.xlsx]Cash Flow - Standardized!R23C25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23" s="4"/>
      </tp>
      <tp>
        <v>2822</v>
        <stp/>
        <stp>##V3_BDHV12</stp>
        <stp>XOM US Equity</stp>
        <stp>BS_SH_CAP_AND_APIC</stp>
        <stp>FQ4 1994</stp>
        <stp>FQ4 1994</stp>
        <stp>[FA1_ftkzu3fn.xlsx]Bal Sheet - Standardized!R39C22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39" s="3"/>
      </tp>
      <tp>
        <v>27164</v>
        <stp/>
        <stp>##V3_BDHV12</stp>
        <stp>XOM US Equity</stp>
        <stp>SALES_REV_TURN</stp>
        <stp>FQ1 1996</stp>
        <stp>FQ1 1996</stp>
        <stp>[FA1_ftkzu3fn.xlsx]Income - Adjusted!R6C27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A6" s="2"/>
      </tp>
      <tp>
        <v>-1968</v>
        <stp/>
        <stp>##V3_BDHV12</stp>
        <stp>XOM US Equity</stp>
        <stp>CF_CASH_FROM_INV_ACT</stp>
        <stp>FQ2 1997</stp>
        <stp>FQ2 1997</stp>
        <stp>[FA1_ftkzu3fn.xlsx]Cash Flow - Standardized!R23C32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23" s="4"/>
      </tp>
      <tp>
        <v>2822</v>
        <stp/>
        <stp>##V3_BDHV12</stp>
        <stp>XOM US Equity</stp>
        <stp>BS_SH_CAP_AND_APIC</stp>
        <stp>FQ4 1995</stp>
        <stp>FQ4 1995</stp>
        <stp>[FA1_ftkzu3fn.xlsx]Bal Sheet - Standardized!R39C26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39" s="3"/>
      </tp>
      <tp>
        <v>1846</v>
        <stp/>
        <stp>##V3_BDHV12</stp>
        <stp>XOM US Equity</stp>
        <stp>OTHER_INVESTING_ACT_DETAILED</stp>
        <stp>FQ2 1996</stp>
        <stp>FQ2 1996</stp>
        <stp>[FA1_ftkzu3fn.xlsx]Cash Flow - Standardized!R22C28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22" s="4"/>
      </tp>
      <tp t="s">
        <v>—</v>
        <stp/>
        <stp>##V3_BDHV12</stp>
        <stp>XOM US Equity</stp>
        <stp>OTHER_INVESTING_ACT_DETAILED</stp>
        <stp>FQ1 1994</stp>
        <stp>FQ1 1994</stp>
        <stp>[FA1_ftkzu3fn.xlsx]Cash Flow - Standardized!R22C19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22" s="4"/>
      </tp>
      <tp t="s">
        <v>—</v>
        <stp/>
        <stp>##V3_BDHV12</stp>
        <stp>XOM US Equity</stp>
        <stp>CF_CASH_FROM_INV_ACT</stp>
        <stp>FQ3 1994</stp>
        <stp>FQ3 1994</stp>
        <stp>[FA1_ftkzu3fn.xlsx]Cash Flow - Standardized!R23C21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23" s="4"/>
      </tp>
      <tp>
        <v>116326</v>
        <stp/>
        <stp>##V3_BDHV12</stp>
        <stp>XOM US Equity</stp>
        <stp>BS_GROSS_FIX_ASSET</stp>
        <stp>FQ4 1994</stp>
        <stp>FQ4 1994</stp>
        <stp>[FA1_ftkzu3fn.xlsx]Bal Sheet - Standardized!R18C22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18" s="3"/>
      </tp>
      <tp>
        <v>1647</v>
        <stp/>
        <stp>##V3_BDHV12</stp>
        <stp>XOM US Equity</stp>
        <stp>OTHER_INVESTING_ACT_DETAILED</stp>
        <stp>FQ2 1995</stp>
        <stp>FQ2 1995</stp>
        <stp>[FA1_ftkzu3fn.xlsx]Cash Flow - Standardized!R22C24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22" s="4"/>
      </tp>
      <tp t="s">
        <v>—</v>
        <stp/>
        <stp>##V3_BDHV12</stp>
        <stp>XOM US Equity</stp>
        <stp>OTHER_INVESTING_ACT_DETAILED</stp>
        <stp>FQ1 1992</stp>
        <stp>FQ1 1992</stp>
        <stp>[FA1_ftkzu3fn.xlsx]Cash Flow - Standardized!R22C11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22" s="4"/>
      </tp>
      <tp>
        <v>122337</v>
        <stp/>
        <stp>##V3_BDHV12</stp>
        <stp>XOM US Equity</stp>
        <stp>BS_GROSS_FIX_ASSET</stp>
        <stp>FQ4 1995</stp>
        <stp>FQ4 1995</stp>
        <stp>[FA1_ftkzu3fn.xlsx]Bal Sheet - Standardized!R18C26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18" s="3"/>
      </tp>
      <tp>
        <v>-170</v>
        <stp/>
        <stp>##V3_BDHV12</stp>
        <stp>XOM US Equity</stp>
        <stp>OTHER_INVESTING_ACT_DETAILED</stp>
        <stp>FQ3 1997</stp>
        <stp>FQ3 1997</stp>
        <stp>[FA1_ftkzu3fn.xlsx]Cash Flow - Standardized!R22C33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22" s="4"/>
      </tp>
      <tp t="s">
        <v>—</v>
        <stp/>
        <stp>##V3_BDHV12</stp>
        <stp>XOM US Equity</stp>
        <stp>OTHER_INVESTING_ACT_DETAILED</stp>
        <stp>FQ1 1993</stp>
        <stp>FQ1 1993</stp>
        <stp>[FA1_ftkzu3fn.xlsx]Cash Flow - Standardized!R22C15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22" s="4"/>
      </tp>
      <tp>
        <v>-1943</v>
        <stp/>
        <stp>##V3_BDHV12</stp>
        <stp>XOM US Equity</stp>
        <stp>CF_CASH_FROM_INV_ACT</stp>
        <stp>FQ2 1998</stp>
        <stp>FQ2 1998</stp>
        <stp>[FA1_ftkzu3fn.xlsx]Cash Flow - Standardized!R23C36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23" s="4"/>
      </tp>
      <tp t="s">
        <v>—</v>
        <stp/>
        <stp>##V3_BDHV12</stp>
        <stp>XOM US Equity</stp>
        <stp>OTHER_INVESTING_ACT_DETAILED</stp>
        <stp>FQ2 1994</stp>
        <stp>FQ2 1994</stp>
        <stp>[FA1_ftkzu3fn.xlsx]Cash Flow - Standardized!R22C20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22" s="4"/>
      </tp>
      <tp>
        <v>-1842</v>
        <stp/>
        <stp>##V3_BDHV12</stp>
        <stp>XOM US Equity</stp>
        <stp>CF_CASH_FROM_INV_ACT</stp>
        <stp>FQ3 1996</stp>
        <stp>FQ3 1996</stp>
        <stp>[FA1_ftkzu3fn.xlsx]Cash Flow - Standardized!R23C29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23" s="4"/>
      </tp>
      <tp t="s">
        <v>—</v>
        <stp/>
        <stp>##V3_BDHV12</stp>
        <stp>XOM US Equity</stp>
        <stp>MINORITY_NONCONTROLLING_INTEREST</stp>
        <stp>FQ2 1991</stp>
        <stp>FQ2 1991</stp>
        <stp>[FA1_ftkzu3fn.xlsx]Bal Sheet - Standardized!R43C8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43" s="3"/>
      </tp>
      <tp t="s">
        <v>—</v>
        <stp/>
        <stp>##V3_BDHV12</stp>
        <stp>XOM US Equity</stp>
        <stp>MINORITY_NONCONTROLLING_INTEREST</stp>
        <stp>FQ3 1991</stp>
        <stp>FQ3 1991</stp>
        <stp>[FA1_ftkzu3fn.xlsx]Bal Sheet - Standardized!R43C9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43" s="3"/>
      </tp>
      <tp>
        <v>2950</v>
        <stp/>
        <stp>##V3_BDHV12</stp>
        <stp>XOM US Equity</stp>
        <stp>MINORITY_NONCONTROLLING_INTEREST</stp>
        <stp>FQ4 1990</stp>
        <stp>FQ4 1990</stp>
        <stp>[FA1_ftkzu3fn.xlsx]Bal Sheet - Standardized!R43C6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43" s="3"/>
      </tp>
      <tp t="s">
        <v>—</v>
        <stp/>
        <stp>##V3_BDHV12</stp>
        <stp>XOM US Equity</stp>
        <stp>MINORITY_NONCONTROLLING_INTEREST</stp>
        <stp>FQ1 1990</stp>
        <stp>FQ1 1990</stp>
        <stp>[FA1_ftkzu3fn.xlsx]Bal Sheet - Standardized!R43C3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43" s="3"/>
      </tp>
      <tp t="s">
        <v>—</v>
        <stp/>
        <stp>##V3_BDHV12</stp>
        <stp>XOM US Equity</stp>
        <stp>MINORITY_NONCONTROLLING_INTEREST</stp>
        <stp>FQ1 1991</stp>
        <stp>FQ1 1991</stp>
        <stp>[FA1_ftkzu3fn.xlsx]Bal Sheet - Standardized!R43C7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43" s="3"/>
      </tp>
      <tp t="s">
        <v>—</v>
        <stp/>
        <stp>##V3_BDHV12</stp>
        <stp>XOM US Equity</stp>
        <stp>MINORITY_NONCONTROLLING_INTEREST</stp>
        <stp>FQ3 1990</stp>
        <stp>FQ3 1990</stp>
        <stp>[FA1_ftkzu3fn.xlsx]Bal Sheet - Standardized!R43C5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43" s="3"/>
      </tp>
      <tp t="s">
        <v>—</v>
        <stp/>
        <stp>##V3_BDHV12</stp>
        <stp>XOM US Equity</stp>
        <stp>MINORITY_NONCONTROLLING_INTEREST</stp>
        <stp>FQ2 1990</stp>
        <stp>FQ2 1990</stp>
        <stp>[FA1_ftkzu3fn.xlsx]Bal Sheet - Standardized!R43C4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43" s="3"/>
      </tp>
      <tp>
        <v>2274</v>
        <stp/>
        <stp>##V3_BDHV12</stp>
        <stp>XOM US Equity</stp>
        <stp>IS_INC_BEF_XO_ITEM</stp>
        <stp>FQ1 1997</stp>
        <stp>FQ1 1997</stp>
        <stp>[FA1_ftkzu3fn.xlsx]Income - Adjusted!R16C31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16" s="2"/>
      </tp>
      <tp>
        <v>1252</v>
        <stp/>
        <stp>##V3_BDHV12</stp>
        <stp>XOM US Equity</stp>
        <stp>IS_INC_BEF_XO_ITEM</stp>
        <stp>FQ3 1994</stp>
        <stp>FQ3 1994</stp>
        <stp>[FA1_ftkzu3fn.xlsx]Income - Adjusted!R16C21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16" s="2"/>
      </tp>
      <tp>
        <v>13556</v>
        <stp/>
        <stp>##V3_BDHV12</stp>
        <stp>XOM US Equity</stp>
        <stp>BS_ACCT_PAYABLE</stp>
        <stp>FQ3 1995</stp>
        <stp>FQ3 1995</stp>
        <stp>[FA1_ftkzu3fn.xlsx]Bal Sheet - Standardized!R28C25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28" s="3"/>
      </tp>
      <tp>
        <v>2024</v>
        <stp/>
        <stp>##V3_BDHV12</stp>
        <stp>XOM US Equity</stp>
        <stp>IS_INC_BEF_XO_ITEM</stp>
        <stp>FQ1 1996</stp>
        <stp>FQ1 1996</stp>
        <stp>[FA1_ftkzu3fn.xlsx]Income - Adjusted!R16C27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16" s="2"/>
      </tp>
      <tp>
        <v>1716</v>
        <stp/>
        <stp>##V3_BDHV12</stp>
        <stp>XOM US Equity</stp>
        <stp>IS_INC_BEF_XO_ITEM</stp>
        <stp>FQ2 1995</stp>
        <stp>FQ2 1995</stp>
        <stp>[FA1_ftkzu3fn.xlsx]Income - Adjusted!R16C24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16" s="2"/>
      </tp>
      <tp>
        <v>12832</v>
        <stp/>
        <stp>##V3_BDHV12</stp>
        <stp>XOM US Equity</stp>
        <stp>BS_ACCT_PAYABLE</stp>
        <stp>FQ3 1994</stp>
        <stp>FQ3 1994</stp>
        <stp>[FA1_ftkzu3fn.xlsx]Bal Sheet - Standardized!R28C21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28" s="3"/>
      </tp>
      <tp>
        <v>13691</v>
        <stp/>
        <stp>##V3_BDHV12</stp>
        <stp>XOM US Equity</stp>
        <stp>BS_ACCT_PAYABLE</stp>
        <stp>FQ2 1997</stp>
        <stp>FQ2 1997</stp>
        <stp>[FA1_ftkzu3fn.xlsx]Bal Sheet - Standardized!R28C32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28" s="3"/>
      </tp>
      <tp>
        <v>7348</v>
        <stp/>
        <stp>##V3_BDHV12</stp>
        <stp>XOM US Equity</stp>
        <stp>IS_OPERATING_EXPN</stp>
        <stp>FQ4 1993</stp>
        <stp>FQ4 1993</stp>
        <stp>[FA1_ftkzu3fn.xlsx]Income - Adjusted!R9C18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R9" s="2"/>
      </tp>
      <tp t="s">
        <v>—</v>
        <stp/>
        <stp>##V3_BDHV12</stp>
        <stp>XOM US Equity</stp>
        <stp>FREE_CASH_FLOW_PER_SH</stp>
        <stp>FQ1 1991</stp>
        <stp>FQ1 1991</stp>
        <stp>[FA1_ftkzu3fn.xlsx]Per Share!R23C7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23" s="5"/>
      </tp>
      <tp>
        <v>13280</v>
        <stp/>
        <stp>##V3_BDHV12</stp>
        <stp>XOM US Equity</stp>
        <stp>BS_ACCT_PAYABLE</stp>
        <stp>FQ2 1998</stp>
        <stp>FQ2 1998</stp>
        <stp>[FA1_ftkzu3fn.xlsx]Bal Sheet - Standardized!R28C36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28" s="3"/>
      </tp>
      <tp>
        <v>14273</v>
        <stp/>
        <stp>##V3_BDHV12</stp>
        <stp>XOM US Equity</stp>
        <stp>BS_ACCT_PAYABLE</stp>
        <stp>FQ3 1996</stp>
        <stp>FQ3 1996</stp>
        <stp>[FA1_ftkzu3fn.xlsx]Bal Sheet - Standardized!R28C29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28" s="3"/>
      </tp>
      <tp>
        <v>2041</v>
        <stp/>
        <stp>##V3_BDHV12</stp>
        <stp>XOM US Equity</stp>
        <stp>PRETAX_INC</stp>
        <stp>FQ1 1992</stp>
        <stp>FQ1 1992</stp>
        <stp>[FA1_ftkzu3fn.xlsx]Income - Adjusted!R13C11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K13" s="2"/>
      </tp>
      <tp>
        <v>2823</v>
        <stp/>
        <stp>##V3_BDHV12</stp>
        <stp>XOM US Equity</stp>
        <stp>PRETAX_INC</stp>
        <stp>FQ4 1995</stp>
        <stp>FQ4 1995</stp>
        <stp>[FA1_ftkzu3fn.xlsx]Income - Adjusted!R13C26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Z13" s="2"/>
      </tp>
      <tp>
        <v>6352</v>
        <stp/>
        <stp>##V3_BDHV12</stp>
        <stp>XOM US Equity</stp>
        <stp>PRETAX_INC</stp>
        <stp>FQ4 1997</stp>
        <stp>FQ4 1997</stp>
        <stp>[FA1_ftkzu3fn.xlsx]Income - Adjusted!R13C34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H13" s="2"/>
      </tp>
      <tp t="s">
        <v>—</v>
        <stp/>
        <stp>##V3_BDHV12</stp>
        <stp>XOM US Equity</stp>
        <stp>CF_INCR_CAP_STOCK</stp>
        <stp>FQ3 1991</stp>
        <stp>FQ3 1991</stp>
        <stp>[FA1_ftkzu3fn.xlsx]Cash Flow - Standardized!R29C9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9" s="4"/>
      </tp>
      <tp t="s">
        <v>—</v>
        <stp/>
        <stp>##V3_BDHV12</stp>
        <stp>XOM US Equity</stp>
        <stp>CF_INCR_CAP_STOCK</stp>
        <stp>FQ2 1991</stp>
        <stp>FQ2 1991</stp>
        <stp>[FA1_ftkzu3fn.xlsx]Cash Flow - Standardized!R29C8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9" s="4"/>
      </tp>
      <tp t="s">
        <v>—</v>
        <stp/>
        <stp>##V3_BDHV12</stp>
        <stp>XOM US Equity</stp>
        <stp>CF_INCR_CAP_STOCK</stp>
        <stp>FQ2 1990</stp>
        <stp>FQ2 1990</stp>
        <stp>[FA1_ftkzu3fn.xlsx]Cash Flow - Standardized!R29C4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9" s="4"/>
      </tp>
      <tp t="s">
        <v>—</v>
        <stp/>
        <stp>##V3_BDHV12</stp>
        <stp>XOM US Equity</stp>
        <stp>CF_INCR_CAP_STOCK</stp>
        <stp>FQ3 1990</stp>
        <stp>FQ3 1990</stp>
        <stp>[FA1_ftkzu3fn.xlsx]Cash Flow - Standardized!R29C5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9" s="4"/>
      </tp>
      <tp t="s">
        <v>—</v>
        <stp/>
        <stp>##V3_BDHV12</stp>
        <stp>XOM US Equity</stp>
        <stp>CF_INCR_CAP_STOCK</stp>
        <stp>FQ1 1991</stp>
        <stp>FQ1 1991</stp>
        <stp>[FA1_ftkzu3fn.xlsx]Cash Flow - Standardized!R29C7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9" s="4"/>
      </tp>
      <tp t="s">
        <v>—</v>
        <stp/>
        <stp>##V3_BDHV12</stp>
        <stp>XOM US Equity</stp>
        <stp>CF_INCR_CAP_STOCK</stp>
        <stp>FQ4 1990</stp>
        <stp>FQ4 1990</stp>
        <stp>[FA1_ftkzu3fn.xlsx]Cash Flow - Standardized!R29C6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9" s="4"/>
      </tp>
      <tp t="s">
        <v>—</v>
        <stp/>
        <stp>##V3_BDHV12</stp>
        <stp>XOM US Equity</stp>
        <stp>CF_INCR_CAP_STOCK</stp>
        <stp>FQ1 1990</stp>
        <stp>FQ1 1990</stp>
        <stp>[FA1_ftkzu3fn.xlsx]Cash Flow - Standardized!R29C3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9" s="4"/>
      </tp>
      <tp>
        <v>27025</v>
        <stp/>
        <stp>##V3_BDHV12</stp>
        <stp>XOM US Equity</stp>
        <stp>SALES_REV_TURN</stp>
        <stp>FQ3 1995</stp>
        <stp>FQ3 1995</stp>
        <stp>[FA1_ftkzu3fn.xlsx]Income - Adjusted!R6C25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Y6" s="2"/>
      </tp>
      <tp>
        <v>27846</v>
        <stp/>
        <stp>##V3_BDHV12</stp>
        <stp>XOM US Equity</stp>
        <stp>SALES_REV_TURN</stp>
        <stp>FQ2 1995</stp>
        <stp>FQ2 1995</stp>
        <stp>[FA1_ftkzu3fn.xlsx]Income - Adjusted!R6C24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X6" s="2"/>
      </tp>
      <tp t="s">
        <v>—</v>
        <stp/>
        <stp>##V3_BDHV12</stp>
        <stp>XOM US Equity</stp>
        <stp>CF_CASH_FROM_INV_ACT</stp>
        <stp>FQ3 1992</stp>
        <stp>FQ3 1992</stp>
        <stp>[FA1_ftkzu3fn.xlsx]Cash Flow - Standardized!R23C13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23" s="4"/>
      </tp>
      <tp>
        <v>2822</v>
        <stp/>
        <stp>##V3_BDHV12</stp>
        <stp>XOM US Equity</stp>
        <stp>BS_SH_CAP_AND_APIC</stp>
        <stp>FQ4 1992</stp>
        <stp>FQ4 1992</stp>
        <stp>[FA1_ftkzu3fn.xlsx]Bal Sheet - Standardized!R39C14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39" s="3"/>
      </tp>
      <tp t="s">
        <v>—</v>
        <stp/>
        <stp>##V3_BDHV12</stp>
        <stp>XOM US Equity</stp>
        <stp>CF_CASH_FROM_INV_ACT</stp>
        <stp>FQ3 1993</stp>
        <stp>FQ3 1993</stp>
        <stp>[FA1_ftkzu3fn.xlsx]Cash Flow - Standardized!R23C17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23" s="4"/>
      </tp>
      <tp>
        <v>-1094</v>
        <stp/>
        <stp>##V3_BDHV12</stp>
        <stp>XOM US Equity</stp>
        <stp>CF_CASH_FROM_INV_ACT</stp>
        <stp>FQ1 1997</stp>
        <stp>FQ1 1997</stp>
        <stp>[FA1_ftkzu3fn.xlsx]Cash Flow - Standardized!R23C31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23" s="4"/>
      </tp>
      <tp>
        <v>111135</v>
        <stp/>
        <stp>##V3_BDHV12</stp>
        <stp>XOM US Equity</stp>
        <stp>BS_GROSS_FIX_ASSET</stp>
        <stp>FQ4 1993</stp>
        <stp>FQ4 1993</stp>
        <stp>[FA1_ftkzu3fn.xlsx]Bal Sheet - Standardized!R18C18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18" s="3"/>
      </tp>
      <tp>
        <v>2822</v>
        <stp/>
        <stp>##V3_BDHV12</stp>
        <stp>XOM US Equity</stp>
        <stp>BS_SH_CAP_AND_APIC</stp>
        <stp>FQ4 1991</stp>
        <stp>FQ4 1991</stp>
        <stp>[FA1_ftkzu3fn.xlsx]Bal Sheet - Standardized!R39C10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39" s="3"/>
      </tp>
      <tp>
        <v>0</v>
        <stp/>
        <stp>##V3_BDHV12</stp>
        <stp>XOM US Equity</stp>
        <stp>OTHER_INVESTING_ACT_DETAILED</stp>
        <stp>FQ1 1996</stp>
        <stp>FQ1 1996</stp>
        <stp>[FA1_ftkzu3fn.xlsx]Cash Flow - Standardized!R22C27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22" s="4"/>
      </tp>
      <tp>
        <v>110738</v>
        <stp/>
        <stp>##V3_BDHV12</stp>
        <stp>XOM US Equity</stp>
        <stp>BS_GROSS_FIX_ASSET</stp>
        <stp>FQ4 1992</stp>
        <stp>FQ4 1992</stp>
        <stp>[FA1_ftkzu3fn.xlsx]Bal Sheet - Standardized!R18C14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18" s="3"/>
      </tp>
      <tp t="s">
        <v>—</v>
        <stp/>
        <stp>##V3_BDHV12</stp>
        <stp>XOM US Equity</stp>
        <stp>OTHER_INVESTING_ACT_DETAILED</stp>
        <stp>FQ2 1992</stp>
        <stp>FQ2 1992</stp>
        <stp>[FA1_ftkzu3fn.xlsx]Cash Flow - Standardized!R22C12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22" s="4"/>
      </tp>
      <tp>
        <v>2822</v>
        <stp/>
        <stp>##V3_BDHV12</stp>
        <stp>XOM US Equity</stp>
        <stp>BS_SH_CAP_AND_APIC</stp>
        <stp>FQ4 1993</stp>
        <stp>FQ4 1993</stp>
        <stp>[FA1_ftkzu3fn.xlsx]Bal Sheet - Standardized!R39C18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39" s="3"/>
      </tp>
      <tp>
        <v>1399</v>
        <stp/>
        <stp>##V3_BDHV12</stp>
        <stp>XOM US Equity</stp>
        <stp>OTHER_INVESTING_ACT_DETAILED</stp>
        <stp>FQ1 1995</stp>
        <stp>FQ1 1995</stp>
        <stp>[FA1_ftkzu3fn.xlsx]Cash Flow - Standardized!R22C23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22" s="4"/>
      </tp>
      <tp t="s">
        <v>—</v>
        <stp/>
        <stp>##V3_BDHV12</stp>
        <stp>XOM US Equity</stp>
        <stp>OTHER_INVESTING_ACT_DETAILED</stp>
        <stp>FQ2 1993</stp>
        <stp>FQ2 1993</stp>
        <stp>[FA1_ftkzu3fn.xlsx]Cash Flow - Standardized!R22C16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22" s="4"/>
      </tp>
      <tp>
        <v>112440</v>
        <stp/>
        <stp>##V3_BDHV12</stp>
        <stp>XOM US Equity</stp>
        <stp>BS_GROSS_FIX_ASSET</stp>
        <stp>FQ4 1991</stp>
        <stp>FQ4 1991</stp>
        <stp>[FA1_ftkzu3fn.xlsx]Bal Sheet - Standardized!R18C10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18" s="3"/>
      </tp>
      <tp>
        <v>-1177</v>
        <stp/>
        <stp>##V3_BDHV12</stp>
        <stp>XOM US Equity</stp>
        <stp>CF_CASH_FROM_INV_ACT</stp>
        <stp>FQ1 1998</stp>
        <stp>FQ1 1998</stp>
        <stp>[FA1_ftkzu3fn.xlsx]Cash Flow - Standardized!R23C35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23" s="4"/>
      </tp>
      <tp>
        <v>6546</v>
        <stp/>
        <stp>##V3_BDHV12</stp>
        <stp>XOM US Equity</stp>
        <stp>IS_OPERATING_EXPN</stp>
        <stp>FQ1 1994</stp>
        <stp>FQ1 1994</stp>
        <stp>[FA1_ftkzu3fn.xlsx]Income - Adjusted!R9C19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S9" s="2"/>
      </tp>
      <tp>
        <v>1734</v>
        <stp/>
        <stp>##V3_BDHV12</stp>
        <stp>XOM US Equity</stp>
        <stp>IS_INC_BEF_XO_ITEM</stp>
        <stp>FQ1 1995</stp>
        <stp>FQ1 1995</stp>
        <stp>[FA1_ftkzu3fn.xlsx]Income - Adjusted!R16C23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16" s="2"/>
      </tp>
      <tp>
        <v>2063</v>
        <stp/>
        <stp>##V3_BDHV12</stp>
        <stp>XOM US Equity</stp>
        <stp>IS_INC_BEF_XO_ITEM</stp>
        <stp>FQ2 1997</stp>
        <stp>FQ2 1997</stp>
        <stp>[FA1_ftkzu3fn.xlsx]Income - Adjusted!R16C32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16" s="2"/>
      </tp>
      <tp>
        <v>14132</v>
        <stp/>
        <stp>##V3_BDHV12</stp>
        <stp>XOM US Equity</stp>
        <stp>BS_ACCT_PAYABLE</stp>
        <stp>FQ3 1992</stp>
        <stp>FQ3 1992</stp>
        <stp>[FA1_ftkzu3fn.xlsx]Bal Sheet - Standardized!R28C13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28" s="3"/>
      </tp>
      <tp>
        <v>7792</v>
        <stp/>
        <stp>##V3_BDHV12</stp>
        <stp>XOM US Equity</stp>
        <stp>IS_OPERATING_EXPN</stp>
        <stp>FQ2 1996</stp>
        <stp>FQ2 1996</stp>
        <stp>[FA1_ftkzu3fn.xlsx]Income - Adjusted!R9C28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B9" s="2"/>
      </tp>
      <tp>
        <v>8218</v>
        <stp/>
        <stp>##V3_BDHV12</stp>
        <stp>XOM US Equity</stp>
        <stp>IS_OPERATING_EXPN</stp>
        <stp>FQ3 1996</stp>
        <stp>FQ3 1996</stp>
        <stp>[FA1_ftkzu3fn.xlsx]Income - Adjusted!R9C29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C9" s="2"/>
      </tp>
      <tp>
        <v>13860</v>
        <stp/>
        <stp>##V3_BDHV12</stp>
        <stp>XOM US Equity</stp>
        <stp>BS_ACCT_PAYABLE</stp>
        <stp>FQ1 1997</stp>
        <stp>FQ1 1997</stp>
        <stp>[FA1_ftkzu3fn.xlsx]Bal Sheet - Standardized!R28C31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28" s="3"/>
      </tp>
      <tp>
        <v>12630</v>
        <stp/>
        <stp>##V3_BDHV12</stp>
        <stp>XOM US Equity</stp>
        <stp>BS_ACCT_PAYABLE</stp>
        <stp>FQ3 1993</stp>
        <stp>FQ3 1993</stp>
        <stp>[FA1_ftkzu3fn.xlsx]Bal Sheet - Standardized!R28C17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28" s="3"/>
      </tp>
      <tp>
        <v>20.815999999999999</v>
        <stp/>
        <stp>##V3_BDHV12</stp>
        <stp>XOM US Equity</stp>
        <stp>EBITDA_MARGIN</stp>
        <stp>FQ1 1998</stp>
        <stp>FQ1 1998</stp>
        <stp>[FA1_ftkzu3fn.xlsx]Income - Adjusted!R40C35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I40" s="2"/>
      </tp>
      <tp>
        <v>12.721500000000001</v>
        <stp/>
        <stp>##V3_BDHV12</stp>
        <stp>XOM US Equity</stp>
        <stp>EBITDA_MARGIN</stp>
        <stp>FQ1 1994</stp>
        <stp>FQ1 1994</stp>
        <stp>[FA1_ftkzu3fn.xlsx]Income - Adjusted!R40C19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S40" s="2"/>
      </tp>
      <tp>
        <v>13.585800000000001</v>
        <stp/>
        <stp>##V3_BDHV12</stp>
        <stp>XOM US Equity</stp>
        <stp>EBITDA_MARGIN</stp>
        <stp>FQ1 1996</stp>
        <stp>FQ1 1996</stp>
        <stp>[FA1_ftkzu3fn.xlsx]Income - Adjusted!R40C27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A40" s="2"/>
      </tp>
      <tp>
        <v>13.6493</v>
        <stp/>
        <stp>##V3_BDHV12</stp>
        <stp>XOM US Equity</stp>
        <stp>EBITDA_MARGIN</stp>
        <stp>FQ1 1997</stp>
        <stp>FQ1 1997</stp>
        <stp>[FA1_ftkzu3fn.xlsx]Income - Adjusted!R40C31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E40" s="2"/>
      </tp>
      <tp>
        <v>12.163</v>
        <stp/>
        <stp>##V3_BDHV12</stp>
        <stp>XOM US Equity</stp>
        <stp>EBITDA_MARGIN</stp>
        <stp>FQ1 1995</stp>
        <stp>FQ1 1995</stp>
        <stp>[FA1_ftkzu3fn.xlsx]Income - Adjusted!R40C23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W40" s="2"/>
      </tp>
      <tp>
        <v>11.488200000000001</v>
        <stp/>
        <stp>##V3_BDHV12</stp>
        <stp>XOM US Equity</stp>
        <stp>EBITDA_MARGIN</stp>
        <stp>FQ1 1992</stp>
        <stp>FQ1 1992</stp>
        <stp>[FA1_ftkzu3fn.xlsx]Income - Adjusted!R40C11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K40" s="2"/>
      </tp>
      <tp>
        <v>11.436</v>
        <stp/>
        <stp>##V3_BDHV12</stp>
        <stp>XOM US Equity</stp>
        <stp>EBITDA_MARGIN</stp>
        <stp>FQ1 1993</stp>
        <stp>FQ1 1993</stp>
        <stp>[FA1_ftkzu3fn.xlsx]Income - Adjusted!R40C15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O40" s="2"/>
      </tp>
      <tp>
        <v>1650</v>
        <stp/>
        <stp>##V3_BDHV12</stp>
        <stp>XOM US Equity</stp>
        <stp>IS_INC_BEF_XO_ITEM</stp>
        <stp>FQ2 1996</stp>
        <stp>FQ2 1996</stp>
        <stp>[FA1_ftkzu3fn.xlsx]Income - Adjusted!R16C28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16" s="2"/>
      </tp>
      <tp>
        <v>15.6632</v>
        <stp/>
        <stp>##V3_BDHV12</stp>
        <stp>XOM US Equity</stp>
        <stp>EBITDA_MARGIN</stp>
        <stp>FQ2 1998</stp>
        <stp>FQ2 1998</stp>
        <stp>[FA1_ftkzu3fn.xlsx]Income - Adjusted!R40C36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J40" s="2"/>
      </tp>
      <tp>
        <v>12.467600000000001</v>
        <stp/>
        <stp>##V3_BDHV12</stp>
        <stp>XOM US Equity</stp>
        <stp>EBITDA_MARGIN</stp>
        <stp>FQ2 1994</stp>
        <stp>FQ2 1994</stp>
        <stp>[FA1_ftkzu3fn.xlsx]Income - Adjusted!R40C20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T40" s="2"/>
      </tp>
      <tp>
        <v>12.768599999999999</v>
        <stp/>
        <stp>##V3_BDHV12</stp>
        <stp>XOM US Equity</stp>
        <stp>EBITDA_MARGIN</stp>
        <stp>FQ2 1995</stp>
        <stp>FQ2 1995</stp>
        <stp>[FA1_ftkzu3fn.xlsx]Income - Adjusted!R40C24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X40" s="2"/>
      </tp>
      <tp>
        <v>13.9275</v>
        <stp/>
        <stp>##V3_BDHV12</stp>
        <stp>XOM US Equity</stp>
        <stp>EBITDA_MARGIN</stp>
        <stp>FQ2 1997</stp>
        <stp>FQ2 1997</stp>
        <stp>[FA1_ftkzu3fn.xlsx]Income - Adjusted!R40C32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F40" s="2"/>
      </tp>
      <tp>
        <v>13.484400000000001</v>
        <stp/>
        <stp>##V3_BDHV12</stp>
        <stp>XOM US Equity</stp>
        <stp>EBITDA_MARGIN</stp>
        <stp>FQ2 1996</stp>
        <stp>FQ2 1996</stp>
        <stp>[FA1_ftkzu3fn.xlsx]Income - Adjusted!R40C28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B40" s="2"/>
      </tp>
      <tp>
        <v>11.780100000000001</v>
        <stp/>
        <stp>##V3_BDHV12</stp>
        <stp>XOM US Equity</stp>
        <stp>EBITDA_MARGIN</stp>
        <stp>FQ2 1993</stp>
        <stp>FQ2 1993</stp>
        <stp>[FA1_ftkzu3fn.xlsx]Income - Adjusted!R40C16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P40" s="2"/>
      </tp>
      <tp>
        <v>11.072800000000001</v>
        <stp/>
        <stp>##V3_BDHV12</stp>
        <stp>XOM US Equity</stp>
        <stp>EBITDA_MARGIN</stp>
        <stp>FQ2 1992</stp>
        <stp>FQ2 1992</stp>
        <stp>[FA1_ftkzu3fn.xlsx]Income - Adjusted!R40C12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L40" s="2"/>
      </tp>
      <tp>
        <v>13.295199999999999</v>
        <stp/>
        <stp>##V3_BDHV12</stp>
        <stp>XOM US Equity</stp>
        <stp>EBITDA_MARGIN</stp>
        <stp>FQ3 1995</stp>
        <stp>FQ3 1995</stp>
        <stp>[FA1_ftkzu3fn.xlsx]Income - Adjusted!R40C25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Y40" s="2"/>
      </tp>
      <tp>
        <v>12.325900000000001</v>
        <stp/>
        <stp>##V3_BDHV12</stp>
        <stp>XOM US Equity</stp>
        <stp>EBITDA_MARGIN</stp>
        <stp>FQ3 1994</stp>
        <stp>FQ3 1994</stp>
        <stp>[FA1_ftkzu3fn.xlsx]Income - Adjusted!R40C21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U40" s="2"/>
      </tp>
      <tp>
        <v>18.845600000000001</v>
        <stp/>
        <stp>##V3_BDHV12</stp>
        <stp>XOM US Equity</stp>
        <stp>EBITDA_MARGIN</stp>
        <stp>FQ3 1997</stp>
        <stp>FQ3 1997</stp>
        <stp>[FA1_ftkzu3fn.xlsx]Income - Adjusted!R40C33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G40" s="2"/>
      </tp>
      <tp>
        <v>13.1668</v>
        <stp/>
        <stp>##V3_BDHV12</stp>
        <stp>XOM US Equity</stp>
        <stp>EBITDA_MARGIN</stp>
        <stp>FQ3 1996</stp>
        <stp>FQ3 1996</stp>
        <stp>[FA1_ftkzu3fn.xlsx]Income - Adjusted!R40C29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C40" s="2"/>
      </tp>
      <tp>
        <v>11.0162</v>
        <stp/>
        <stp>##V3_BDHV12</stp>
        <stp>XOM US Equity</stp>
        <stp>EBITDA_MARGIN</stp>
        <stp>FQ3 1992</stp>
        <stp>FQ3 1992</stp>
        <stp>[FA1_ftkzu3fn.xlsx]Income - Adjusted!R40C13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M40" s="2"/>
      </tp>
      <tp>
        <v>11.982900000000001</v>
        <stp/>
        <stp>##V3_BDHV12</stp>
        <stp>XOM US Equity</stp>
        <stp>EBITDA_MARGIN</stp>
        <stp>FQ3 1993</stp>
        <stp>FQ3 1993</stp>
        <stp>[FA1_ftkzu3fn.xlsx]Income - Adjusted!R40C17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Q40" s="2"/>
      </tp>
      <tp>
        <v>15.732699999999999</v>
        <stp/>
        <stp>##V3_BDHV12</stp>
        <stp>XOM US Equity</stp>
        <stp>EBITDA_MARGIN</stp>
        <stp>FQ4 1991</stp>
        <stp>FQ4 1991</stp>
        <stp>[FA1_ftkzu3fn.xlsx]Income - Adjusted!R40C10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J40" s="2"/>
      </tp>
      <tp>
        <v>15.327400000000001</v>
        <stp/>
        <stp>##V3_BDHV12</stp>
        <stp>XOM US Equity</stp>
        <stp>EBITDA_MARGIN</stp>
        <stp>FQ4 1993</stp>
        <stp>FQ4 1993</stp>
        <stp>[FA1_ftkzu3fn.xlsx]Income - Adjusted!R40C18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R40" s="2"/>
      </tp>
      <tp>
        <v>14.2346</v>
        <stp/>
        <stp>##V3_BDHV12</stp>
        <stp>XOM US Equity</stp>
        <stp>EBITDA_MARGIN</stp>
        <stp>FQ4 1992</stp>
        <stp>FQ4 1992</stp>
        <stp>[FA1_ftkzu3fn.xlsx]Income - Adjusted!R40C14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N40" s="2"/>
      </tp>
      <tp>
        <v>20.725899999999999</v>
        <stp/>
        <stp>##V3_BDHV12</stp>
        <stp>XOM US Equity</stp>
        <stp>EBITDA_MARGIN</stp>
        <stp>FQ4 1997</stp>
        <stp>FQ4 1997</stp>
        <stp>[FA1_ftkzu3fn.xlsx]Income - Adjusted!R40C34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H40" s="2"/>
      </tp>
      <tp>
        <v>16.8279</v>
        <stp/>
        <stp>##V3_BDHV12</stp>
        <stp>XOM US Equity</stp>
        <stp>EBITDA_MARGIN</stp>
        <stp>FQ4 1996</stp>
        <stp>FQ4 1996</stp>
        <stp>[FA1_ftkzu3fn.xlsx]Income - Adjusted!R40C30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D40" s="2"/>
      </tp>
      <tp>
        <v>15.5229</v>
        <stp/>
        <stp>##V3_BDHV12</stp>
        <stp>XOM US Equity</stp>
        <stp>EBITDA_MARGIN</stp>
        <stp>FQ4 1994</stp>
        <stp>FQ4 1994</stp>
        <stp>[FA1_ftkzu3fn.xlsx]Income - Adjusted!R40C22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V40" s="2"/>
      </tp>
      <tp>
        <v>15.542199999999999</v>
        <stp/>
        <stp>##V3_BDHV12</stp>
        <stp>XOM US Equity</stp>
        <stp>EBITDA_MARGIN</stp>
        <stp>FQ4 1995</stp>
        <stp>FQ4 1995</stp>
        <stp>[FA1_ftkzu3fn.xlsx]Income - Adjusted!R40C26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Z40" s="2"/>
      </tp>
      <tp>
        <v>1563</v>
        <stp/>
        <stp>##V3_BDHV12</stp>
        <stp>XOM US Equity</stp>
        <stp>IS_INC_BEF_XO_ITEM</stp>
        <stp>FQ4 1993</stp>
        <stp>FQ4 1993</stp>
        <stp>[FA1_ftkzu3fn.xlsx]Income - Adjusted!R16C18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16" s="2"/>
      </tp>
      <tp>
        <v>13573</v>
        <stp/>
        <stp>##V3_BDHV12</stp>
        <stp>XOM US Equity</stp>
        <stp>BS_ACCT_PAYABLE</stp>
        <stp>FQ1 1998</stp>
        <stp>FQ1 1998</stp>
        <stp>[FA1_ftkzu3fn.xlsx]Bal Sheet - Standardized!R28C35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28" s="3"/>
      </tp>
      <tp>
        <v>7362</v>
        <stp/>
        <stp>##V3_BDHV12</stp>
        <stp>XOM US Equity</stp>
        <stp>IS_OPERATING_EXPN</stp>
        <stp>FQ1 1998</stp>
        <stp>FQ1 1998</stp>
        <stp>[FA1_ftkzu3fn.xlsx]Income - Adjusted!R9C35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I9" s="2"/>
      </tp>
      <tp>
        <v>7954</v>
        <stp/>
        <stp>##V3_BDHV12</stp>
        <stp>XOM US Equity</stp>
        <stp>IS_OPERATING_EXPN</stp>
        <stp>FQ2 1998</stp>
        <stp>FQ2 1998</stp>
        <stp>[FA1_ftkzu3fn.xlsx]Income - Adjusted!R9C36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J9" s="2"/>
      </tp>
      <tp>
        <v>839</v>
        <stp/>
        <stp>##V3_BDHV12</stp>
        <stp>XOM US Equity</stp>
        <stp>IS_INC_TAX_EXP</stp>
        <stp>FQ1 1998</stp>
        <stp>FQ1 1998</stp>
        <stp>[FA1_ftkzu3fn.xlsx]Income - Adjusted!R15C35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I15" s="2"/>
      </tp>
      <tp>
        <v>548</v>
        <stp/>
        <stp>##V3_BDHV12</stp>
        <stp>XOM US Equity</stp>
        <stp>IS_INC_TAX_EXP</stp>
        <stp>FQ1 1994</stp>
        <stp>FQ1 1994</stp>
        <stp>[FA1_ftkzu3fn.xlsx]Income - Adjusted!R15C19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S15" s="2"/>
      </tp>
      <tp>
        <v>24.9375</v>
        <stp/>
        <stp>##V3_BDHV12</stp>
        <stp>XOM US Equity</stp>
        <stp>PX_LOW</stp>
        <stp>FQ2 1997</stp>
        <stp>FQ2 1997</stp>
        <stp>[FA1_ftkzu3fn.xlsx]Stock Value!R10C32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10" s="6"/>
      </tp>
      <tp>
        <v>29.3125</v>
        <stp/>
        <stp>##V3_BDHV12</stp>
        <stp>XOM US Equity</stp>
        <stp>PX_LOW</stp>
        <stp>FQ3 1997</stp>
        <stp>FQ3 1997</stp>
        <stp>[FA1_ftkzu3fn.xlsx]Stock Value!R10C33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10" s="6"/>
      </tp>
      <tp>
        <v>14.5313</v>
        <stp/>
        <stp>##V3_BDHV12</stp>
        <stp>XOM US Equity</stp>
        <stp>PX_LOW</stp>
        <stp>FQ4 1992</stp>
        <stp>FQ4 1992</stp>
        <stp>[FA1_ftkzu3fn.xlsx]Stock Value!R10C14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10" s="6"/>
      </tp>
      <tp>
        <v>24.125</v>
        <stp/>
        <stp>##V3_BDHV12</stp>
        <stp>XOM US Equity</stp>
        <stp>PX_LOW</stp>
        <stp>FQ1 1997</stp>
        <stp>FQ1 1997</stp>
        <stp>[FA1_ftkzu3fn.xlsx]Stock Value!R10C31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10" s="6"/>
      </tp>
      <tp>
        <v>15.25</v>
        <stp/>
        <stp>##V3_BDHV12</stp>
        <stp>XOM US Equity</stp>
        <stp>PX_LOW</stp>
        <stp>FQ3 1992</stp>
        <stp>FQ3 1992</stp>
        <stp>[FA1_ftkzu3fn.xlsx]Stock Value!R10C13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10" s="6"/>
      </tp>
      <tp>
        <v>13.5625</v>
        <stp/>
        <stp>##V3_BDHV12</stp>
        <stp>XOM US Equity</stp>
        <stp>PX_LOW</stp>
        <stp>FQ2 1992</stp>
        <stp>FQ2 1992</stp>
        <stp>[FA1_ftkzu3fn.xlsx]Stock Value!R10C12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10" s="6"/>
      </tp>
      <tp>
        <v>13.4375</v>
        <stp/>
        <stp>##V3_BDHV12</stp>
        <stp>XOM US Equity</stp>
        <stp>PX_LOW</stp>
        <stp>FQ1 1992</stp>
        <stp>FQ1 1992</stp>
        <stp>[FA1_ftkzu3fn.xlsx]Stock Value!R10C11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10" s="6"/>
      </tp>
      <tp>
        <v>27.375</v>
        <stp/>
        <stp>##V3_BDHV12</stp>
        <stp>XOM US Equity</stp>
        <stp>PX_LOW</stp>
        <stp>FQ4 1997</stp>
        <stp>FQ4 1997</stp>
        <stp>[FA1_ftkzu3fn.xlsx]Stock Value!R10C34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10" s="6"/>
      </tp>
      <tp>
        <v>30561</v>
        <stp/>
        <stp>##V3_BDHV12</stp>
        <stp>XOM US Equity</stp>
        <stp>SALES_REV_TURN</stp>
        <stp>FQ4 1994</stp>
        <stp>FQ4 1994</stp>
        <stp>[FA1_ftkzu3fn.xlsx]Income - Adjusted!R6C22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V6" s="2"/>
      </tp>
      <tp t="s">
        <v>—</v>
        <stp/>
        <stp>##V3_BDHV12</stp>
        <stp>XOM US Equity</stp>
        <stp>CF_CASH_FROM_INV_ACT</stp>
        <stp>FQ2 1992</stp>
        <stp>FQ2 1992</stp>
        <stp>[FA1_ftkzu3fn.xlsx]Cash Flow - Standardized!R23C12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23" s="4"/>
      </tp>
      <tp>
        <v>37620</v>
        <stp/>
        <stp>##V3_BDHV12</stp>
        <stp>XOM US Equity</stp>
        <stp>SALES_REV_TURN</stp>
        <stp>FQ4 1996</stp>
        <stp>FQ4 1996</stp>
        <stp>[FA1_ftkzu3fn.xlsx]Income - Adjusted!R6C30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D6" s="2"/>
      </tp>
      <tp>
        <v>-1413</v>
        <stp/>
        <stp>##V3_BDHV12</stp>
        <stp>XOM US Equity</stp>
        <stp>CF_CASH_FROM_INV_ACT</stp>
        <stp>FQ1 1996</stp>
        <stp>FQ1 1996</stp>
        <stp>[FA1_ftkzu3fn.xlsx]Cash Flow - Standardized!R23C27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23" s="4"/>
      </tp>
      <tp t="s">
        <v>—</v>
        <stp/>
        <stp>##V3_BDHV12</stp>
        <stp>XOM US Equity</stp>
        <stp>CF_CASH_FROM_INV_ACT</stp>
        <stp>FQ2 1993</stp>
        <stp>FQ2 1993</stp>
        <stp>[FA1_ftkzu3fn.xlsx]Cash Flow - Standardized!R23C16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23" s="4"/>
      </tp>
      <tp t="s">
        <v>—</v>
        <stp/>
        <stp>##V3_BDHV12</stp>
        <stp>XOM US Equity</stp>
        <stp>CF_CASH_FROM_INV_ACT</stp>
        <stp>FQ1 1995</stp>
        <stp>FQ1 1995</stp>
        <stp>[FA1_ftkzu3fn.xlsx]Cash Flow - Standardized!R23C23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23" s="4"/>
      </tp>
      <tp>
        <v>407</v>
        <stp/>
        <stp>##V3_BDHV12</stp>
        <stp>XOM US Equity</stp>
        <stp>OTHER_INVESTING_ACT_DETAILED</stp>
        <stp>FQ1 1998</stp>
        <stp>FQ1 1998</stp>
        <stp>[FA1_ftkzu3fn.xlsx]Cash Flow - Standardized!R22C35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22" s="4"/>
      </tp>
      <tp>
        <v>30161</v>
        <stp/>
        <stp>##V3_BDHV12</stp>
        <stp>XOM US Equity</stp>
        <stp>SALES_REV_TURN</stp>
        <stp>FQ4 1992</stp>
        <stp>FQ4 1992</stp>
        <stp>[FA1_ftkzu3fn.xlsx]Income - Adjusted!R6C14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N6" s="2"/>
      </tp>
      <tp>
        <v>24475</v>
        <stp/>
        <stp>##V3_BDHV12</stp>
        <stp>XOM US Equity</stp>
        <stp>SALES_REV_TURN</stp>
        <stp>FQ1 1992</stp>
        <stp>FQ1 1992</stp>
        <stp>[FA1_ftkzu3fn.xlsx]Income - Adjusted!R6C11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K6" s="2"/>
      </tp>
      <tp>
        <v>24547</v>
        <stp/>
        <stp>##V3_BDHV12</stp>
        <stp>XOM US Equity</stp>
        <stp>SALES_REV_TURN</stp>
        <stp>FQ2 1992</stp>
        <stp>FQ2 1992</stp>
        <stp>[FA1_ftkzu3fn.xlsx]Income - Adjusted!R6C12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L6" s="2"/>
      </tp>
      <tp>
        <v>27241</v>
        <stp/>
        <stp>##V3_BDHV12</stp>
        <stp>XOM US Equity</stp>
        <stp>SALES_REV_TURN</stp>
        <stp>FQ3 1992</stp>
        <stp>FQ3 1992</stp>
        <stp>[FA1_ftkzu3fn.xlsx]Income - Adjusted!R6C13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M6" s="2"/>
      </tp>
      <tp t="s">
        <v>—</v>
        <stp/>
        <stp>##V3_BDHV12</stp>
        <stp>XOM US Equity</stp>
        <stp>OTHER_INVESTING_ACT_DETAILED</stp>
        <stp>FQ3 1992</stp>
        <stp>FQ3 1992</stp>
        <stp>[FA1_ftkzu3fn.xlsx]Cash Flow - Standardized!R22C13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22" s="4"/>
      </tp>
      <tp>
        <v>387</v>
        <stp/>
        <stp>##V3_BDHV12</stp>
        <stp>XOM US Equity</stp>
        <stp>OTHER_INVESTING_ACT_DETAILED</stp>
        <stp>FQ1 1997</stp>
        <stp>FQ1 1997</stp>
        <stp>[FA1_ftkzu3fn.xlsx]Cash Flow - Standardized!R22C31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22" s="4"/>
      </tp>
      <tp t="s">
        <v>—</v>
        <stp/>
        <stp>##V3_BDHV12</stp>
        <stp>XOM US Equity</stp>
        <stp>OTHER_INVESTING_ACT_DETAILED</stp>
        <stp>FQ3 1993</stp>
        <stp>FQ3 1993</stp>
        <stp>[FA1_ftkzu3fn.xlsx]Cash Flow - Standardized!R22C17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22" s="4"/>
      </tp>
      <tp>
        <v>13756</v>
        <stp/>
        <stp>##V3_BDHV12</stp>
        <stp>XOM US Equity</stp>
        <stp>BS_ACCT_PAYABLE</stp>
        <stp>FQ1 1996</stp>
        <stp>FQ1 1996</stp>
        <stp>[FA1_ftkzu3fn.xlsx]Bal Sheet - Standardized!R28C27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28" s="3"/>
      </tp>
      <tp>
        <v>1648</v>
        <stp/>
        <stp>##V3_BDHV12</stp>
        <stp>XOM US Equity</stp>
        <stp>IS_INC_BEF_XO_ITEM</stp>
        <stp>FQ4 1992</stp>
        <stp>FQ4 1992</stp>
        <stp>[FA1_ftkzu3fn.xlsx]Income - Adjusted!R16C14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16" s="2"/>
      </tp>
      <tp>
        <v>13702</v>
        <stp/>
        <stp>##V3_BDHV12</stp>
        <stp>XOM US Equity</stp>
        <stp>BS_ACCT_PAYABLE</stp>
        <stp>FQ2 1992</stp>
        <stp>FQ2 1992</stp>
        <stp>[FA1_ftkzu3fn.xlsx]Bal Sheet - Standardized!R28C12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28" s="3"/>
      </tp>
      <tp>
        <v>1916</v>
        <stp/>
        <stp>##V3_BDHV12</stp>
        <stp>XOM US Equity</stp>
        <stp>IS_INC_BEF_XO_ITEM</stp>
        <stp>FQ3 1997</stp>
        <stp>FQ3 1997</stp>
        <stp>[FA1_ftkzu3fn.xlsx]Income - Adjusted!R16C33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16" s="2"/>
      </tp>
      <tp>
        <v>13925</v>
        <stp/>
        <stp>##V3_BDHV12</stp>
        <stp>XOM US Equity</stp>
        <stp>BS_ACCT_PAYABLE</stp>
        <stp>FQ1 1995</stp>
        <stp>FQ1 1995</stp>
        <stp>[FA1_ftkzu3fn.xlsx]Bal Sheet - Standardized!R28C23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28" s="3"/>
      </tp>
      <tp>
        <v>12253</v>
        <stp/>
        <stp>##V3_BDHV12</stp>
        <stp>XOM US Equity</stp>
        <stp>BS_ACCT_PAYABLE</stp>
        <stp>FQ2 1993</stp>
        <stp>FQ2 1993</stp>
        <stp>[FA1_ftkzu3fn.xlsx]Bal Sheet - Standardized!R28C16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28" s="3"/>
      </tp>
      <tp>
        <v>1632</v>
        <stp/>
        <stp>##V3_BDHV12</stp>
        <stp>XOM US Equity</stp>
        <stp>IS_INC_BEF_XO_ITEM</stp>
        <stp>FQ3 1996</stp>
        <stp>FQ3 1996</stp>
        <stp>[FA1_ftkzu3fn.xlsx]Income - Adjusted!R16C29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16" s="2"/>
      </tp>
      <tp t="s">
        <v>—</v>
        <stp/>
        <stp>##V3_BDHV12</stp>
        <stp>XOM US Equity</stp>
        <stp>EBITDA_MARGIN</stp>
        <stp>FQ1 1990</stp>
        <stp>FQ1 1990</stp>
        <stp>[FA1_ftkzu3fn.xlsx]Income - Adjusted!R40C3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C40" s="2"/>
      </tp>
      <tp t="s">
        <v>—</v>
        <stp/>
        <stp>##V3_BDHV12</stp>
        <stp>XOM US Equity</stp>
        <stp>EBITDA_MARGIN</stp>
        <stp>FQ3 1990</stp>
        <stp>FQ3 1990</stp>
        <stp>[FA1_ftkzu3fn.xlsx]Income - Adjusted!R40C5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E40" s="2"/>
      </tp>
      <tp t="s">
        <v>—</v>
        <stp/>
        <stp>##V3_BDHV12</stp>
        <stp>XOM US Equity</stp>
        <stp>EBITDA_MARGIN</stp>
        <stp>FQ2 1990</stp>
        <stp>FQ2 1990</stp>
        <stp>[FA1_ftkzu3fn.xlsx]Income - Adjusted!R40C4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D40" s="2"/>
      </tp>
      <tp>
        <v>16.005800000000001</v>
        <stp/>
        <stp>##V3_BDHV12</stp>
        <stp>XOM US Equity</stp>
        <stp>EBITDA_MARGIN</stp>
        <stp>FQ4 1990</stp>
        <stp>FQ4 1990</stp>
        <stp>[FA1_ftkzu3fn.xlsx]Income - Adjusted!R40C6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F40" s="2"/>
      </tp>
      <tp>
        <v>3258</v>
        <stp/>
        <stp>##V3_BDHV12</stp>
        <stp>XOM US Equity</stp>
        <stp>PRETAX_INC</stp>
        <stp>FQ2 1997</stp>
        <stp>FQ2 1997</stp>
        <stp>[FA1_ftkzu3fn.xlsx]Income - Adjusted!R13C32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F13" s="2"/>
      </tp>
      <tp>
        <v>1822</v>
        <stp/>
        <stp>##V3_BDHV12</stp>
        <stp>XOM US Equity</stp>
        <stp>PRETAX_INC</stp>
        <stp>FQ2 1993</stp>
        <stp>FQ2 1993</stp>
        <stp>[FA1_ftkzu3fn.xlsx]Income - Adjusted!R13C16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P13" s="2"/>
      </tp>
      <tp>
        <v>2037</v>
        <stp/>
        <stp>##V3_BDHV12</stp>
        <stp>XOM US Equity</stp>
        <stp>PRETAX_INC</stp>
        <stp>FQ3 1994</stp>
        <stp>FQ3 1994</stp>
        <stp>[FA1_ftkzu3fn.xlsx]Income - Adjusted!R13C21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U13" s="2"/>
      </tp>
      <tp>
        <v>1555</v>
        <stp/>
        <stp>##V3_BDHV12</stp>
        <stp>XOM US Equity</stp>
        <stp>CF_NET_INC</stp>
        <stp>FQ4 1990</stp>
        <stp>FQ4 1990</stp>
        <stp>[FA1_ftkzu3fn.xlsx]Cash Flow - Standardized!R7C6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7" s="4"/>
      </tp>
      <tp>
        <v>1075</v>
        <stp/>
        <stp>##V3_BDHV12</stp>
        <stp>XOM US Equity</stp>
        <stp>CF_NET_INC</stp>
        <stp>FQ3 1990</stp>
        <stp>FQ3 1990</stp>
        <stp>[FA1_ftkzu3fn.xlsx]Cash Flow - Standardized!R7C5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7" s="4"/>
      </tp>
      <tp>
        <v>1100</v>
        <stp/>
        <stp>##V3_BDHV12</stp>
        <stp>XOM US Equity</stp>
        <stp>CF_NET_INC</stp>
        <stp>FQ2 1990</stp>
        <stp>FQ2 1990</stp>
        <stp>[FA1_ftkzu3fn.xlsx]Cash Flow - Standardized!R7C4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7" s="4"/>
      </tp>
      <tp>
        <v>1280</v>
        <stp/>
        <stp>##V3_BDHV12</stp>
        <stp>XOM US Equity</stp>
        <stp>CF_NET_INC</stp>
        <stp>FQ1 1990</stp>
        <stp>FQ1 1990</stp>
        <stp>[FA1_ftkzu3fn.xlsx]Cash Flow - Standardized!R7C3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7" s="4"/>
      </tp>
      <tp>
        <v>2822</v>
        <stp/>
        <stp>##V3_BDHV12</stp>
        <stp>XOM US Equity</stp>
        <stp>BS_SH_CAP_AND_APIC</stp>
        <stp>FQ2 1992</stp>
        <stp>FQ2 1992</stp>
        <stp>[FA1_ftkzu3fn.xlsx]Bal Sheet - Standardized!R39C12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39" s="3"/>
      </tp>
      <tp>
        <v>2822</v>
        <stp/>
        <stp>##V3_BDHV12</stp>
        <stp>XOM US Equity</stp>
        <stp>BS_SH_CAP_AND_APIC</stp>
        <stp>FQ1 1996</stp>
        <stp>FQ1 1996</stp>
        <stp>[FA1_ftkzu3fn.xlsx]Bal Sheet - Standardized!R39C27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39" s="3"/>
      </tp>
      <tp>
        <v>31020</v>
        <stp/>
        <stp>##V3_BDHV12</stp>
        <stp>XOM US Equity</stp>
        <stp>SALES_REV_TURN</stp>
        <stp>FQ4 1991</stp>
        <stp>FQ4 1991</stp>
        <stp>[FA1_ftkzu3fn.xlsx]Income - Adjusted!R6C10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J6" s="2"/>
      </tp>
      <tp>
        <v>2822</v>
        <stp/>
        <stp>##V3_BDHV12</stp>
        <stp>XOM US Equity</stp>
        <stp>BS_SH_CAP_AND_APIC</stp>
        <stp>FQ2 1993</stp>
        <stp>FQ2 1993</stp>
        <stp>[FA1_ftkzu3fn.xlsx]Bal Sheet - Standardized!R39C16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39" s="3"/>
      </tp>
      <tp>
        <v>2822</v>
        <stp/>
        <stp>##V3_BDHV12</stp>
        <stp>XOM US Equity</stp>
        <stp>BS_SH_CAP_AND_APIC</stp>
        <stp>FQ1 1995</stp>
        <stp>FQ1 1995</stp>
        <stp>[FA1_ftkzu3fn.xlsx]Bal Sheet - Standardized!R39C23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39" s="3"/>
      </tp>
      <tp t="s">
        <v>—</v>
        <stp/>
        <stp>##V3_BDHV12</stp>
        <stp>XOM US Equity</stp>
        <stp>OTHER_INVESTING_ACT_DETAILED</stp>
        <stp>FQ4 1993</stp>
        <stp>FQ4 1993</stp>
        <stp>[FA1_ftkzu3fn.xlsx]Cash Flow - Standardized!R22C18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22" s="4"/>
      </tp>
      <tp>
        <v>3204</v>
        <stp/>
        <stp>##V3_BDHV12</stp>
        <stp>XOM US Equity</stp>
        <stp>EBITDA</stp>
        <stp>FQ2 1990</stp>
        <stp>FQ2 1990</stp>
        <stp>[FA1_ftkzu3fn.xlsx]Income - Adjusted!R39C4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D39" s="2"/>
      </tp>
      <tp>
        <v>3148</v>
        <stp/>
        <stp>##V3_BDHV12</stp>
        <stp>XOM US Equity</stp>
        <stp>EBITDA</stp>
        <stp>FQ3 1990</stp>
        <stp>FQ3 1990</stp>
        <stp>[FA1_ftkzu3fn.xlsx]Income - Adjusted!R39C5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E39" s="2"/>
      </tp>
      <tp t="s">
        <v>—</v>
        <stp/>
        <stp>##V3_BDHV12</stp>
        <stp>XOM US Equity</stp>
        <stp>BS_GROSS_FIX_ASSET</stp>
        <stp>FQ2 1992</stp>
        <stp>FQ2 1992</stp>
        <stp>[FA1_ftkzu3fn.xlsx]Bal Sheet - Standardized!R18C12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18" s="3"/>
      </tp>
      <tp>
        <v>0.2949</v>
        <stp/>
        <stp>##V3_BDHV12</stp>
        <stp>XOM US Equity</stp>
        <stp>CASH_ST_INVESTMENTS_PER_SH</stp>
        <stp>FQ3 1991</stp>
        <stp>FQ3 1991</stp>
        <stp>[FA1_ftkzu3fn.xlsx]Per Share!R25C9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25" s="5"/>
      </tp>
      <tp>
        <v>0.21870000000000001</v>
        <stp/>
        <stp>##V3_BDHV12</stp>
        <stp>XOM US Equity</stp>
        <stp>CASH_ST_INVESTMENTS_PER_SH</stp>
        <stp>FQ2 1991</stp>
        <stp>FQ2 1991</stp>
        <stp>[FA1_ftkzu3fn.xlsx]Per Share!R25C8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25" s="5"/>
      </tp>
      <tp t="s">
        <v>—</v>
        <stp/>
        <stp>##V3_BDHV12</stp>
        <stp>XOM US Equity</stp>
        <stp>OTHER_INVESTING_ACT_DETAILED</stp>
        <stp>FQ4 1992</stp>
        <stp>FQ4 1992</stp>
        <stp>[FA1_ftkzu3fn.xlsx]Cash Flow - Standardized!R22C14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22" s="4"/>
      </tp>
      <tp t="s">
        <v>—</v>
        <stp/>
        <stp>##V3_BDHV12</stp>
        <stp>XOM US Equity</stp>
        <stp>BS_GROSS_FIX_ASSET</stp>
        <stp>FQ1 1996</stp>
        <stp>FQ1 1996</stp>
        <stp>[FA1_ftkzu3fn.xlsx]Bal Sheet - Standardized!R18C27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18" s="3"/>
      </tp>
      <tp t="s">
        <v>—</v>
        <stp/>
        <stp>##V3_BDHV12</stp>
        <stp>XOM US Equity</stp>
        <stp>OTHER_INVESTING_ACT_DETAILED</stp>
        <stp>FQ4 1991</stp>
        <stp>FQ4 1991</stp>
        <stp>[FA1_ftkzu3fn.xlsx]Cash Flow - Standardized!R22C10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22" s="4"/>
      </tp>
      <tp t="s">
        <v>—</v>
        <stp/>
        <stp>##V3_BDHV12</stp>
        <stp>XOM US Equity</stp>
        <stp>BS_GROSS_FIX_ASSET</stp>
        <stp>FQ2 1993</stp>
        <stp>FQ2 1993</stp>
        <stp>[FA1_ftkzu3fn.xlsx]Bal Sheet - Standardized!R18C16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18" s="3"/>
      </tp>
      <tp t="s">
        <v>—</v>
        <stp/>
        <stp>##V3_BDHV12</stp>
        <stp>XOM US Equity</stp>
        <stp>BS_GROSS_FIX_ASSET</stp>
        <stp>FQ1 1995</stp>
        <stp>FQ1 1995</stp>
        <stp>[FA1_ftkzu3fn.xlsx]Bal Sheet - Standardized!R18C23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18" s="3"/>
      </tp>
      <tp>
        <v>1293</v>
        <stp/>
        <stp>##V3_BDHV12</stp>
        <stp>XOM US Equity</stp>
        <stp>IS_INC_BEF_XO_ITEM</stp>
        <stp>FQ2 1993</stp>
        <stp>FQ2 1993</stp>
        <stp>[FA1_ftkzu3fn.xlsx]Income - Adjusted!R16C16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16" s="2"/>
      </tp>
      <tp>
        <v>8111</v>
        <stp/>
        <stp>##V3_BDHV12</stp>
        <stp>XOM US Equity</stp>
        <stp>IS_INC_BEF_XO_ITEM</stp>
        <stp>FQ4 1997</stp>
        <stp>FQ4 1997</stp>
        <stp>[FA1_ftkzu3fn.xlsx]Income - Adjusted!R16C34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16" s="2"/>
      </tp>
      <tp>
        <v>1227</v>
        <stp/>
        <stp>##V3_BDHV12</stp>
        <stp>XOM US Equity</stp>
        <stp>IS_INC_BEF_XO_ITEM</stp>
        <stp>FQ3 1992</stp>
        <stp>FQ3 1992</stp>
        <stp>[FA1_ftkzu3fn.xlsx]Income - Adjusted!R16C13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16" s="2"/>
      </tp>
      <tp t="s">
        <v>—</v>
        <stp/>
        <stp>##V3_BDHV12</stp>
        <stp>XOM US Equity</stp>
        <stp>FREE_CASH_FLOW_PER_SH</stp>
        <stp>FQ1 1990</stp>
        <stp>FQ1 1990</stp>
        <stp>[FA1_ftkzu3fn.xlsx]Per Share!R23C3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23" s="5"/>
      </tp>
      <tp t="s">
        <v>—</v>
        <stp/>
        <stp>##V3_BDHV12</stp>
        <stp>XOM US Equity</stp>
        <stp>FREE_CASH_FLOW_PER_SH</stp>
        <stp>FQ4 1990</stp>
        <stp>FQ4 1990</stp>
        <stp>[FA1_ftkzu3fn.xlsx]Per Share!R23C6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23" s="5"/>
      </tp>
      <tp>
        <v>13.8324</v>
        <stp/>
        <stp>##V3_BDHV12</stp>
        <stp>XOM US Equity</stp>
        <stp>EBITDA_MARGIN</stp>
        <stp>FQ1 1991</stp>
        <stp>FQ1 1991</stp>
        <stp>[FA1_ftkzu3fn.xlsx]Income - Adjusted!R40C7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G40" s="2"/>
      </tp>
      <tp>
        <v>13.3825</v>
        <stp/>
        <stp>##V3_BDHV12</stp>
        <stp>XOM US Equity</stp>
        <stp>EBITDA_MARGIN</stp>
        <stp>FQ3 1991</stp>
        <stp>FQ3 1991</stp>
        <stp>[FA1_ftkzu3fn.xlsx]Income - Adjusted!R40C9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I40" s="2"/>
      </tp>
      <tp>
        <v>13.4617</v>
        <stp/>
        <stp>##V3_BDHV12</stp>
        <stp>XOM US Equity</stp>
        <stp>EBITDA_MARGIN</stp>
        <stp>FQ2 1991</stp>
        <stp>FQ2 1991</stp>
        <stp>[FA1_ftkzu3fn.xlsx]Income - Adjusted!R40C8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H40" s="2"/>
      </tp>
      <tp>
        <v>1475</v>
        <stp/>
        <stp>##V3_BDHV12</stp>
        <stp>XOM US Equity</stp>
        <stp>PRETAX_INC</stp>
        <stp>FQ2 1994</stp>
        <stp>FQ2 1994</stp>
        <stp>[FA1_ftkzu3fn.xlsx]Income - Adjusted!R13C20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T13" s="2"/>
      </tp>
      <tp>
        <v>2862</v>
        <stp/>
        <stp>##V3_BDHV12</stp>
        <stp>XOM US Equity</stp>
        <stp>PRETAX_INC</stp>
        <stp>FQ3 1997</stp>
        <stp>FQ3 1997</stp>
        <stp>[FA1_ftkzu3fn.xlsx]Income - Adjusted!R13C33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G13" s="2"/>
      </tp>
      <tp>
        <v>2101</v>
        <stp/>
        <stp>##V3_BDHV12</stp>
        <stp>XOM US Equity</stp>
        <stp>PRETAX_INC</stp>
        <stp>FQ3 1993</stp>
        <stp>FQ3 1993</stp>
        <stp>[FA1_ftkzu3fn.xlsx]Income - Adjusted!R13C17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Q13" s="2"/>
      </tp>
      <tp>
        <v>881</v>
        <stp/>
        <stp>##V3_BDHV12</stp>
        <stp>XOM US Equity</stp>
        <stp>IS_INC_TAX_EXP</stp>
        <stp>FQ4 1993</stp>
        <stp>FQ4 1993</stp>
        <stp>[FA1_ftkzu3fn.xlsx]Income - Adjusted!R15C18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R15" s="2"/>
      </tp>
      <tp>
        <v>0.3075</v>
        <stp/>
        <stp>##V3_BDHV12</stp>
        <stp>XOM US Equity</stp>
        <stp>IS_DIL_EPS_BEF_XO</stp>
        <stp>FQ4 1990</stp>
        <stp>FQ4 1990</stp>
        <stp>[FA1_ftkzu3fn.xlsx]Income - Adjusted!R34C6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34" s="2"/>
      </tp>
      <tp>
        <v>0.2525</v>
        <stp/>
        <stp>##V3_BDHV12</stp>
        <stp>XOM US Equity</stp>
        <stp>IS_DIL_EPS_BEF_XO</stp>
        <stp>FQ1 1990</stp>
        <stp>FQ1 1990</stp>
        <stp>[FA1_ftkzu3fn.xlsx]Income - Adjusted!R34C3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34" s="2"/>
      </tp>
      <tp>
        <v>19.406300000000002</v>
        <stp/>
        <stp>##V3_BDHV12</stp>
        <stp>XOM US Equity</stp>
        <stp>PX_LOW</stp>
        <stp>FQ1 1996</stp>
        <stp>FQ1 1996</stp>
        <stp>[FA1_ftkzu3fn.xlsx]Stock Value!R10C27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10" s="6"/>
      </tp>
      <tp>
        <v>16.5</v>
        <stp/>
        <stp>##V3_BDHV12</stp>
        <stp>XOM US Equity</stp>
        <stp>PX_LOW</stp>
        <stp>FQ2 1995</stp>
        <stp>FQ2 1995</stp>
        <stp>[FA1_ftkzu3fn.xlsx]Stock Value!R10C24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10" s="6"/>
      </tp>
      <tp>
        <v>17.031300000000002</v>
        <stp/>
        <stp>##V3_BDHV12</stp>
        <stp>XOM US Equity</stp>
        <stp>PX_LOW</stp>
        <stp>FQ3 1995</stp>
        <stp>FQ3 1995</stp>
        <stp>[FA1_ftkzu3fn.xlsx]Stock Value!R10C25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10" s="6"/>
      </tp>
      <tp>
        <v>14.0625</v>
        <stp/>
        <stp>##V3_BDHV12</stp>
        <stp>XOM US Equity</stp>
        <stp>PX_LOW</stp>
        <stp>FQ4 1994</stp>
        <stp>FQ4 1994</stp>
        <stp>[FA1_ftkzu3fn.xlsx]Stock Value!R10C22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10" s="6"/>
      </tp>
      <tp>
        <v>1115</v>
        <stp/>
        <stp>##V3_BDHV12</stp>
        <stp>XOM US Equity</stp>
        <stp>CF_NET_INC</stp>
        <stp>FQ3 1991</stp>
        <stp>FQ3 1991</stp>
        <stp>[FA1_ftkzu3fn.xlsx]Cash Flow - Standardized!R7C9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7" s="4"/>
      </tp>
      <tp>
        <v>1125</v>
        <stp/>
        <stp>##V3_BDHV12</stp>
        <stp>XOM US Equity</stp>
        <stp>CF_NET_INC</stp>
        <stp>FQ2 1991</stp>
        <stp>FQ2 1991</stp>
        <stp>[FA1_ftkzu3fn.xlsx]Cash Flow - Standardized!R7C8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7" s="4"/>
      </tp>
      <tp>
        <v>2240</v>
        <stp/>
        <stp>##V3_BDHV12</stp>
        <stp>XOM US Equity</stp>
        <stp>CF_NET_INC</stp>
        <stp>FQ1 1991</stp>
        <stp>FQ1 1991</stp>
        <stp>[FA1_ftkzu3fn.xlsx]Cash Flow - Standardized!R7C7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7" s="4"/>
      </tp>
      <tp t="s">
        <v>—</v>
        <stp/>
        <stp>##V3_BDHV12</stp>
        <stp>XOM US Equity</stp>
        <stp>CF_CASH_FROM_INV_ACT</stp>
        <stp>FQ4 1992</stp>
        <stp>FQ4 1992</stp>
        <stp>[FA1_ftkzu3fn.xlsx]Cash Flow - Standardized!R23C14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23" s="4"/>
      </tp>
      <tp>
        <v>2822</v>
        <stp/>
        <stp>##V3_BDHV12</stp>
        <stp>XOM US Equity</stp>
        <stp>BS_SH_CAP_AND_APIC</stp>
        <stp>FQ3 1992</stp>
        <stp>FQ3 1992</stp>
        <stp>[FA1_ftkzu3fn.xlsx]Bal Sheet - Standardized!R39C13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39" s="3"/>
      </tp>
      <tp>
        <v>2822</v>
        <stp/>
        <stp>##V3_BDHV12</stp>
        <stp>XOM US Equity</stp>
        <stp>BS_SH_CAP_AND_APIC</stp>
        <stp>FQ3 1993</stp>
        <stp>FQ3 1993</stp>
        <stp>[FA1_ftkzu3fn.xlsx]Bal Sheet - Standardized!R39C17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39" s="3"/>
      </tp>
      <tp>
        <v>2322</v>
        <stp/>
        <stp>##V3_BDHV12</stp>
        <stp>XOM US Equity</stp>
        <stp>BS_SH_CAP_AND_APIC</stp>
        <stp>FQ1 1997</stp>
        <stp>FQ1 1997</stp>
        <stp>[FA1_ftkzu3fn.xlsx]Bal Sheet - Standardized!R39C31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39" s="3"/>
      </tp>
      <tp t="s">
        <v>—</v>
        <stp/>
        <stp>##V3_BDHV12</stp>
        <stp>XOM US Equity</stp>
        <stp>CF_CASH_FROM_INV_ACT</stp>
        <stp>FQ4 1991</stp>
        <stp>FQ4 1991</stp>
        <stp>[FA1_ftkzu3fn.xlsx]Cash Flow - Standardized!R23C10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23" s="4"/>
      </tp>
      <tp>
        <v>129161</v>
        <stp/>
        <stp>##V3_BDHV12</stp>
        <stp>XOM US Equity</stp>
        <stp>BS_GROSS_FIX_ASSET</stp>
        <stp>FQ1 1998</stp>
        <stp>FQ1 1998</stp>
        <stp>[FA1_ftkzu3fn.xlsx]Bal Sheet - Standardized!R18C35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18" s="3"/>
      </tp>
      <tp>
        <v>4483</v>
        <stp/>
        <stp>##V3_BDHV12</stp>
        <stp>XOM US Equity</stp>
        <stp>EBITDA</stp>
        <stp>FQ1 1991</stp>
        <stp>FQ1 1991</stp>
        <stp>[FA1_ftkzu3fn.xlsx]Income - Adjusted!R39C7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G39" s="2"/>
      </tp>
      <tp t="s">
        <v>—</v>
        <stp/>
        <stp>##V3_BDHV12</stp>
        <stp>XOM US Equity</stp>
        <stp>BS_GROSS_FIX_ASSET</stp>
        <stp>FQ3 1992</stp>
        <stp>FQ3 1992</stp>
        <stp>[FA1_ftkzu3fn.xlsx]Bal Sheet - Standardized!R18C13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18" s="3"/>
      </tp>
      <tp t="s">
        <v>—</v>
        <stp/>
        <stp>##V3_BDHV12</stp>
        <stp>XOM US Equity</stp>
        <stp>CF_CASH_FROM_INV_ACT</stp>
        <stp>FQ4 1993</stp>
        <stp>FQ4 1993</stp>
        <stp>[FA1_ftkzu3fn.xlsx]Cash Flow - Standardized!R23C18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23" s="4"/>
      </tp>
      <tp t="s">
        <v>—</v>
        <stp/>
        <stp>##V3_BDHV12</stp>
        <stp>XOM US Equity</stp>
        <stp>BS_GROSS_FIX_ASSET</stp>
        <stp>FQ3 1993</stp>
        <stp>FQ3 1993</stp>
        <stp>[FA1_ftkzu3fn.xlsx]Bal Sheet - Standardized!R18C17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18" s="3"/>
      </tp>
      <tp t="s">
        <v>—</v>
        <stp/>
        <stp>##V3_BDHV12</stp>
        <stp>XOM US Equity</stp>
        <stp>BS_GROSS_FIX_ASSET</stp>
        <stp>FQ1 1997</stp>
        <stp>FQ1 1997</stp>
        <stp>[FA1_ftkzu3fn.xlsx]Bal Sheet - Standardized!R18C31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18" s="3"/>
      </tp>
      <tp>
        <v>2323</v>
        <stp/>
        <stp>##V3_BDHV12</stp>
        <stp>XOM US Equity</stp>
        <stp>BS_SH_CAP_AND_APIC</stp>
        <stp>FQ1 1998</stp>
        <stp>FQ1 1998</stp>
        <stp>[FA1_ftkzu3fn.xlsx]Bal Sheet - Standardized!R39C35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39" s="3"/>
      </tp>
      <tp>
        <v>163</v>
        <stp/>
        <stp>##V3_BDHV12</stp>
        <stp>XOM US Equity</stp>
        <stp>IS_INT_EXPENSE</stp>
        <stp>FQ3 1991</stp>
        <stp>FQ3 1991</stp>
        <stp>[FA1_ftkzu3fn.xlsx]Income - Adjusted!R11C9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I11" s="2"/>
      </tp>
      <tp>
        <v>173</v>
        <stp/>
        <stp>##V3_BDHV12</stp>
        <stp>XOM US Equity</stp>
        <stp>IS_INT_EXPENSE</stp>
        <stp>FQ2 1991</stp>
        <stp>FQ2 1991</stp>
        <stp>[FA1_ftkzu3fn.xlsx]Income - Adjusted!R11C8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H11" s="2"/>
      </tp>
      <tp>
        <v>2588</v>
        <stp/>
        <stp>##V3_BDHV12</stp>
        <stp>XOM US Equity</stp>
        <stp>IS_INC_BEF_XO_ITEM</stp>
        <stp>FQ4 1996</stp>
        <stp>FQ4 1996</stp>
        <stp>[FA1_ftkzu3fn.xlsx]Income - Adjusted!R16C30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16" s="2"/>
      </tp>
      <tp>
        <v>7100</v>
        <stp/>
        <stp>##V3_BDHV12</stp>
        <stp>XOM US Equity</stp>
        <stp>BS_ACCT_PAYABLE</stp>
        <stp>FQ4 1992</stp>
        <stp>FQ4 1992</stp>
        <stp>[FA1_ftkzu3fn.xlsx]Bal Sheet - Standardized!R28C14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28" s="3"/>
      </tp>
      <tp>
        <v>1424</v>
        <stp/>
        <stp>##V3_BDHV12</stp>
        <stp>XOM US Equity</stp>
        <stp>IS_INC_BEF_XO_ITEM</stp>
        <stp>FQ3 1993</stp>
        <stp>FQ3 1993</stp>
        <stp>[FA1_ftkzu3fn.xlsx]Income - Adjusted!R16C17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16" s="2"/>
      </tp>
      <tp>
        <v>7774</v>
        <stp/>
        <stp>##V3_BDHV12</stp>
        <stp>XOM US Equity</stp>
        <stp>BS_ACCT_PAYABLE</stp>
        <stp>FQ4 1991</stp>
        <stp>FQ4 1991</stp>
        <stp>[FA1_ftkzu3fn.xlsx]Bal Sheet - Standardized!R28C10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28" s="3"/>
      </tp>
      <tp>
        <v>1012</v>
        <stp/>
        <stp>##V3_BDHV12</stp>
        <stp>XOM US Equity</stp>
        <stp>IS_INC_BEF_XO_ITEM</stp>
        <stp>FQ2 1992</stp>
        <stp>FQ2 1992</stp>
        <stp>[FA1_ftkzu3fn.xlsx]Income - Adjusted!R16C12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16" s="2"/>
      </tp>
      <tp>
        <v>6910</v>
        <stp/>
        <stp>##V3_BDHV12</stp>
        <stp>XOM US Equity</stp>
        <stp>BS_ACCT_PAYABLE</stp>
        <stp>FQ4 1993</stp>
        <stp>FQ4 1993</stp>
        <stp>[FA1_ftkzu3fn.xlsx]Bal Sheet - Standardized!R28C18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28" s="3"/>
      </tp>
      <tp>
        <v>30666</v>
        <stp/>
        <stp>##V3_BDHV12</stp>
        <stp>XOM US Equity</stp>
        <stp>SALES_REV_TURN</stp>
        <stp>FQ4 1995</stp>
        <stp>FQ4 1995</stp>
        <stp>[FA1_ftkzu3fn.xlsx]Income - Adjusted!R6C26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Z6" s="2"/>
      </tp>
      <tp>
        <v>26127</v>
        <stp/>
        <stp>##V3_BDHV12</stp>
        <stp>XOM US Equity</stp>
        <stp>SALES_REV_TURN</stp>
        <stp>FQ1 1995</stp>
        <stp>FQ1 1995</stp>
        <stp>[FA1_ftkzu3fn.xlsx]Income - Adjusted!R6C23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W6" s="2"/>
      </tp>
      <tp>
        <v>2822</v>
        <stp/>
        <stp>##V3_BDHV12</stp>
        <stp>XOM US Equity</stp>
        <stp>BS_SH_CAP_AND_APIC</stp>
        <stp>FQ3 1995</stp>
        <stp>FQ3 1995</stp>
        <stp>[FA1_ftkzu3fn.xlsx]Bal Sheet - Standardized!R39C25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39" s="3"/>
      </tp>
      <tp t="s">
        <v>—</v>
        <stp/>
        <stp>##V3_BDHV12</stp>
        <stp>XOM US Equity</stp>
        <stp>CF_CASH_FROM_INV_ACT</stp>
        <stp>FQ4 1994</stp>
        <stp>FQ4 1994</stp>
        <stp>[FA1_ftkzu3fn.xlsx]Cash Flow - Standardized!R23C22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23" s="4"/>
      </tp>
      <tp>
        <v>34495</v>
        <stp/>
        <stp>##V3_BDHV12</stp>
        <stp>XOM US Equity</stp>
        <stp>SALES_REV_TURN</stp>
        <stp>FQ4 1997</stp>
        <stp>FQ4 1997</stp>
        <stp>[FA1_ftkzu3fn.xlsx]Income - Adjusted!R6C34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H6" s="2"/>
      </tp>
      <tp>
        <v>28683</v>
        <stp/>
        <stp>##V3_BDHV12</stp>
        <stp>XOM US Equity</stp>
        <stp>SALES_REV_TURN</stp>
        <stp>FQ2 1997</stp>
        <stp>FQ2 1997</stp>
        <stp>[FA1_ftkzu3fn.xlsx]Income - Adjusted!R6C32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F6" s="2"/>
      </tp>
      <tp>
        <v>28765</v>
        <stp/>
        <stp>##V3_BDHV12</stp>
        <stp>XOM US Equity</stp>
        <stp>SALES_REV_TURN</stp>
        <stp>FQ3 1997</stp>
        <stp>FQ3 1997</stp>
        <stp>[FA1_ftkzu3fn.xlsx]Income - Adjusted!R6C33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G6" s="2"/>
      </tp>
      <tp>
        <v>29556</v>
        <stp/>
        <stp>##V3_BDHV12</stp>
        <stp>XOM US Equity</stp>
        <stp>SALES_REV_TURN</stp>
        <stp>FQ1 1997</stp>
        <stp>FQ1 1997</stp>
        <stp>[FA1_ftkzu3fn.xlsx]Income - Adjusted!R6C31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E6" s="2"/>
      </tp>
      <tp>
        <v>-2303</v>
        <stp/>
        <stp>##V3_BDHV12</stp>
        <stp>XOM US Equity</stp>
        <stp>CF_CASH_FROM_INV_ACT</stp>
        <stp>FQ4 1995</stp>
        <stp>FQ4 1995</stp>
        <stp>[FA1_ftkzu3fn.xlsx]Cash Flow - Standardized!R23C26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23" s="4"/>
      </tp>
      <tp>
        <v>2322</v>
        <stp/>
        <stp>##V3_BDHV12</stp>
        <stp>XOM US Equity</stp>
        <stp>BS_SH_CAP_AND_APIC</stp>
        <stp>FQ2 1997</stp>
        <stp>FQ2 1997</stp>
        <stp>[FA1_ftkzu3fn.xlsx]Bal Sheet - Standardized!R39C32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39" s="3"/>
      </tp>
      <tp>
        <v>2822</v>
        <stp/>
        <stp>##V3_BDHV12</stp>
        <stp>XOM US Equity</stp>
        <stp>BS_SH_CAP_AND_APIC</stp>
        <stp>FQ3 1994</stp>
        <stp>FQ3 1994</stp>
        <stp>[FA1_ftkzu3fn.xlsx]Bal Sheet - Standardized!R39C21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39" s="3"/>
      </tp>
      <tp>
        <v>24139</v>
        <stp/>
        <stp>##V3_BDHV12</stp>
        <stp>XOM US Equity</stp>
        <stp>SALES_REV_TURN</stp>
        <stp>FQ1 1993</stp>
        <stp>FQ1 1993</stp>
        <stp>[FA1_ftkzu3fn.xlsx]Income - Adjusted!R6C15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O6" s="2"/>
      </tp>
      <tp>
        <v>24702</v>
        <stp/>
        <stp>##V3_BDHV12</stp>
        <stp>XOM US Equity</stp>
        <stp>SALES_REV_TURN</stp>
        <stp>FQ2 1993</stp>
        <stp>FQ2 1993</stp>
        <stp>[FA1_ftkzu3fn.xlsx]Income - Adjusted!R6C16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P6" s="2"/>
      </tp>
      <tp>
        <v>24455</v>
        <stp/>
        <stp>##V3_BDHV12</stp>
        <stp>XOM US Equity</stp>
        <stp>SALES_REV_TURN</stp>
        <stp>FQ3 1993</stp>
        <stp>FQ3 1993</stp>
        <stp>[FA1_ftkzu3fn.xlsx]Income - Adjusted!R6C17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Q6" s="2"/>
      </tp>
      <tp t="s">
        <v>—</v>
        <stp/>
        <stp>##V3_BDHV12</stp>
        <stp>XOM US Equity</stp>
        <stp>BS_GROSS_FIX_ASSET</stp>
        <stp>FQ3 1996</stp>
        <stp>FQ3 1996</stp>
        <stp>[FA1_ftkzu3fn.xlsx]Bal Sheet - Standardized!R18C29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18" s="3"/>
      </tp>
      <tp>
        <v>129974</v>
        <stp/>
        <stp>##V3_BDHV12</stp>
        <stp>XOM US Equity</stp>
        <stp>BS_GROSS_FIX_ASSET</stp>
        <stp>FQ2 1998</stp>
        <stp>FQ2 1998</stp>
        <stp>[FA1_ftkzu3fn.xlsx]Bal Sheet - Standardized!R18C36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18" s="3"/>
      </tp>
      <tp t="s">
        <v>—</v>
        <stp/>
        <stp>##V3_BDHV12</stp>
        <stp>XOM US Equity</stp>
        <stp>BS_GROSS_FIX_ASSET</stp>
        <stp>FQ3 1995</stp>
        <stp>FQ3 1995</stp>
        <stp>[FA1_ftkzu3fn.xlsx]Bal Sheet - Standardized!R18C25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18" s="3"/>
      </tp>
      <tp>
        <v>0</v>
        <stp/>
        <stp>##V3_BDHV12</stp>
        <stp>XOM US Equity</stp>
        <stp>OTHER_INVESTING_ACT_DETAILED</stp>
        <stp>FQ4 1996</stp>
        <stp>FQ4 1996</stp>
        <stp>[FA1_ftkzu3fn.xlsx]Cash Flow - Standardized!R22C30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22" s="4"/>
      </tp>
      <tp>
        <v>125695</v>
        <stp/>
        <stp>##V3_BDHV12</stp>
        <stp>XOM US Equity</stp>
        <stp>BS_GROSS_FIX_ASSET</stp>
        <stp>FQ2 1997</stp>
        <stp>FQ2 1997</stp>
        <stp>[FA1_ftkzu3fn.xlsx]Bal Sheet - Standardized!R18C32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18" s="3"/>
      </tp>
      <tp t="s">
        <v>—</v>
        <stp/>
        <stp>##V3_BDHV12</stp>
        <stp>XOM US Equity</stp>
        <stp>BS_GROSS_FIX_ASSET</stp>
        <stp>FQ3 1994</stp>
        <stp>FQ3 1994</stp>
        <stp>[FA1_ftkzu3fn.xlsx]Bal Sheet - Standardized!R18C21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18" s="3"/>
      </tp>
      <tp>
        <v>503</v>
        <stp/>
        <stp>##V3_BDHV12</stp>
        <stp>XOM US Equity</stp>
        <stp>OTHER_INVESTING_ACT_DETAILED</stp>
        <stp>FQ4 1997</stp>
        <stp>FQ4 1997</stp>
        <stp>[FA1_ftkzu3fn.xlsx]Cash Flow - Standardized!R22C34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22" s="4"/>
      </tp>
      <tp>
        <v>2822</v>
        <stp/>
        <stp>##V3_BDHV12</stp>
        <stp>XOM US Equity</stp>
        <stp>BS_SH_CAP_AND_APIC</stp>
        <stp>FQ3 1996</stp>
        <stp>FQ3 1996</stp>
        <stp>[FA1_ftkzu3fn.xlsx]Bal Sheet - Standardized!R39C29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39" s="3"/>
      </tp>
      <tp>
        <v>2323</v>
        <stp/>
        <stp>##V3_BDHV12</stp>
        <stp>XOM US Equity</stp>
        <stp>BS_SH_CAP_AND_APIC</stp>
        <stp>FQ2 1998</stp>
        <stp>FQ2 1998</stp>
        <stp>[FA1_ftkzu3fn.xlsx]Bal Sheet - Standardized!R39C36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39" s="3"/>
      </tp>
      <tp>
        <v>1944</v>
        <stp/>
        <stp>##V3_BDHV12</stp>
        <stp>XOM US Equity</stp>
        <stp>IS_INC_BEF_XO_ITEM</stp>
        <stp>FQ4 1994</stp>
        <stp>FQ4 1994</stp>
        <stp>[FA1_ftkzu3fn.xlsx]Income - Adjusted!R16C22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16" s="2"/>
      </tp>
      <tp>
        <v>7466</v>
        <stp/>
        <stp>##V3_BDHV12</stp>
        <stp>XOM US Equity</stp>
        <stp>BS_ACCT_PAYABLE</stp>
        <stp>FQ4 1994</stp>
        <stp>FQ4 1994</stp>
        <stp>[FA1_ftkzu3fn.xlsx]Bal Sheet - Standardized!R28C22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28" s="3"/>
      </tp>
      <tp>
        <v>1400</v>
        <stp/>
        <stp>##V3_BDHV12</stp>
        <stp>XOM US Equity</stp>
        <stp>IS_INC_BEF_XO_ITEM</stp>
        <stp>FQ1 1992</stp>
        <stp>FQ1 1992</stp>
        <stp>[FA1_ftkzu3fn.xlsx]Income - Adjusted!R16C11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16" s="2"/>
      </tp>
      <tp>
        <v>8470</v>
        <stp/>
        <stp>##V3_BDHV12</stp>
        <stp>XOM US Equity</stp>
        <stp>BS_ACCT_PAYABLE</stp>
        <stp>FQ4 1995</stp>
        <stp>FQ4 1995</stp>
        <stp>[FA1_ftkzu3fn.xlsx]Bal Sheet - Standardized!R28C26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28" s="3"/>
      </tp>
      <tp>
        <v>2585</v>
        <stp/>
        <stp>##V3_BDHV12</stp>
        <stp>XOM US Equity</stp>
        <stp>PRETAX_INC</stp>
        <stp>FQ1 1995</stp>
        <stp>FQ1 1995</stp>
        <stp>[FA1_ftkzu3fn.xlsx]Income - Adjusted!R13C23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W13" s="2"/>
      </tp>
      <tp>
        <v>3617</v>
        <stp/>
        <stp>##V3_BDHV12</stp>
        <stp>XOM US Equity</stp>
        <stp>PRETAX_INC</stp>
        <stp>FQ1 1997</stp>
        <stp>FQ1 1997</stp>
        <stp>[FA1_ftkzu3fn.xlsx]Income - Adjusted!R13C31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E13" s="2"/>
      </tp>
      <tp>
        <v>1935</v>
        <stp/>
        <stp>##V3_BDHV12</stp>
        <stp>XOM US Equity</stp>
        <stp>PRETAX_INC</stp>
        <stp>FQ1 1993</stp>
        <stp>FQ1 1993</stp>
        <stp>[FA1_ftkzu3fn.xlsx]Income - Adjusted!R13C15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O13" s="2"/>
      </tp>
      <tp>
        <v>2354</v>
        <stp/>
        <stp>##V3_BDHV12</stp>
        <stp>XOM US Equity</stp>
        <stp>PRETAX_INC</stp>
        <stp>FQ4 1992</stp>
        <stp>FQ4 1992</stp>
        <stp>[FA1_ftkzu3fn.xlsx]Income - Adjusted!R13C14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N13" s="2"/>
      </tp>
      <tp>
        <v>2763</v>
        <stp/>
        <stp>##V3_BDHV12</stp>
        <stp>XOM US Equity</stp>
        <stp>PRETAX_INC</stp>
        <stp>FQ4 1994</stp>
        <stp>FQ4 1994</stp>
        <stp>[FA1_ftkzu3fn.xlsx]Income - Adjusted!R13C22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V13" s="2"/>
      </tp>
      <tp>
        <v>3969</v>
        <stp/>
        <stp>##V3_BDHV12</stp>
        <stp>XOM US Equity</stp>
        <stp>PRETAX_INC</stp>
        <stp>FQ4 1996</stp>
        <stp>FQ4 1996</stp>
        <stp>[FA1_ftkzu3fn.xlsx]Income - Adjusted!R13C30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D13" s="2"/>
      </tp>
      <tp>
        <v>13.9688</v>
        <stp/>
        <stp>##V3_BDHV12</stp>
        <stp>XOM US Equity</stp>
        <stp>PX_LOW</stp>
        <stp>FQ4 1991</stp>
        <stp>FQ4 1991</stp>
        <stp>[FA1_ftkzu3fn.xlsx]Stock Value!R10C10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10" s="6"/>
      </tp>
      <tp>
        <v>15.8125</v>
        <stp/>
        <stp>##V3_BDHV12</stp>
        <stp>XOM US Equity</stp>
        <stp>PX_LOW</stp>
        <stp>FQ2 1993</stp>
        <stp>FQ2 1993</stp>
        <stp>[FA1_ftkzu3fn.xlsx]Stock Value!R10C16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10" s="6"/>
      </tp>
      <tp>
        <v>15.8438</v>
        <stp/>
        <stp>##V3_BDHV12</stp>
        <stp>XOM US Equity</stp>
        <stp>PX_LOW</stp>
        <stp>FQ3 1993</stp>
        <stp>FQ3 1993</stp>
        <stp>[FA1_ftkzu3fn.xlsx]Stock Value!R10C17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10" s="6"/>
      </tp>
      <tp>
        <v>14.4375</v>
        <stp/>
        <stp>##V3_BDHV12</stp>
        <stp>XOM US Equity</stp>
        <stp>PX_LOW</stp>
        <stp>FQ1 1993</stp>
        <stp>FQ1 1993</stp>
        <stp>[FA1_ftkzu3fn.xlsx]Stock Value!R10C15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10" s="6"/>
      </tp>
      <tp>
        <v>20.718800000000002</v>
        <stp/>
        <stp>##V3_BDHV12</stp>
        <stp>XOM US Equity</stp>
        <stp>PX_LOW</stp>
        <stp>FQ4 1996</stp>
        <stp>FQ4 1996</stp>
        <stp>[FA1_ftkzu3fn.xlsx]Stock Value!R10C30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10" s="6"/>
      </tp>
      <tp>
        <v>28.3125</v>
        <stp/>
        <stp>##V3_BDHV12</stp>
        <stp>XOM US Equity</stp>
        <stp>PX_LOW</stp>
        <stp>FQ1 1998</stp>
        <stp>FQ1 1998</stp>
        <stp>[FA1_ftkzu3fn.xlsx]Stock Value!R10C35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10" s="6"/>
      </tp>
      <tp>
        <v>32.6875</v>
        <stp/>
        <stp>##V3_BDHV12</stp>
        <stp>XOM US Equity</stp>
        <stp>PX_LOW</stp>
        <stp>FQ2 1998</stp>
        <stp>FQ2 1998</stp>
        <stp>[FA1_ftkzu3fn.xlsx]Stock Value!R10C36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10" s="6"/>
      </tp>
      <tp>
        <v>2822</v>
        <stp/>
        <stp>##V3_BDHV12</stp>
        <stp>XOM US Equity</stp>
        <stp>BS_SH_CAP_AND_APIC</stp>
        <stp>FQ2 1995</stp>
        <stp>FQ2 1995</stp>
        <stp>[FA1_ftkzu3fn.xlsx]Bal Sheet - Standardized!R39C24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39" s="3"/>
      </tp>
      <tp>
        <v>26047</v>
        <stp/>
        <stp>##V3_BDHV12</stp>
        <stp>XOM US Equity</stp>
        <stp>SALES_REV_TURN</stp>
        <stp>FQ3 1994</stp>
        <stp>FQ3 1994</stp>
        <stp>[FA1_ftkzu3fn.xlsx]Income - Adjusted!R6C21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U6" s="2"/>
      </tp>
      <tp>
        <v>24246</v>
        <stp/>
        <stp>##V3_BDHV12</stp>
        <stp>XOM US Equity</stp>
        <stp>SALES_REV_TURN</stp>
        <stp>FQ2 1994</stp>
        <stp>FQ2 1994</stp>
        <stp>[FA1_ftkzu3fn.xlsx]Income - Adjusted!R6C20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T6" s="2"/>
      </tp>
      <tp>
        <v>-2108</v>
        <stp/>
        <stp>##V3_BDHV12</stp>
        <stp>XOM US Equity</stp>
        <stp>CF_CASH_FROM_INV_ACT</stp>
        <stp>FQ4 1996</stp>
        <stp>FQ4 1996</stp>
        <stp>[FA1_ftkzu3fn.xlsx]Cash Flow - Standardized!R23C30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23" s="4"/>
      </tp>
      <tp>
        <v>2822</v>
        <stp/>
        <stp>##V3_BDHV12</stp>
        <stp>XOM US Equity</stp>
        <stp>BS_SH_CAP_AND_APIC</stp>
        <stp>FQ1 1992</stp>
        <stp>FQ1 1992</stp>
        <stp>[FA1_ftkzu3fn.xlsx]Bal Sheet - Standardized!R39C11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39" s="3"/>
      </tp>
      <tp>
        <v>-1590</v>
        <stp/>
        <stp>##V3_BDHV12</stp>
        <stp>XOM US Equity</stp>
        <stp>CF_CASH_FROM_INV_ACT</stp>
        <stp>FQ4 1997</stp>
        <stp>FQ4 1997</stp>
        <stp>[FA1_ftkzu3fn.xlsx]Cash Flow - Standardized!R23C34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23" s="4"/>
      </tp>
      <tp>
        <v>2822</v>
        <stp/>
        <stp>##V3_BDHV12</stp>
        <stp>XOM US Equity</stp>
        <stp>BS_SH_CAP_AND_APIC</stp>
        <stp>FQ1 1993</stp>
        <stp>FQ1 1993</stp>
        <stp>[FA1_ftkzu3fn.xlsx]Bal Sheet - Standardized!R39C15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39" s="3"/>
      </tp>
      <tp>
        <v>2322</v>
        <stp/>
        <stp>##V3_BDHV12</stp>
        <stp>XOM US Equity</stp>
        <stp>BS_SH_CAP_AND_APIC</stp>
        <stp>FQ3 1997</stp>
        <stp>FQ3 1997</stp>
        <stp>[FA1_ftkzu3fn.xlsx]Bal Sheet - Standardized!R39C33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39" s="3"/>
      </tp>
      <tp>
        <v>2822</v>
        <stp/>
        <stp>##V3_BDHV12</stp>
        <stp>XOM US Equity</stp>
        <stp>BS_SH_CAP_AND_APIC</stp>
        <stp>FQ2 1994</stp>
        <stp>FQ2 1994</stp>
        <stp>[FA1_ftkzu3fn.xlsx]Bal Sheet - Standardized!R39C20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39" s="3"/>
      </tp>
      <tp t="s">
        <v>—</v>
        <stp/>
        <stp>##V3_BDHV12</stp>
        <stp>XOM US Equity</stp>
        <stp>BS_GROSS_FIX_ASSET</stp>
        <stp>FQ1 1994</stp>
        <stp>FQ1 1994</stp>
        <stp>[FA1_ftkzu3fn.xlsx]Bal Sheet - Standardized!R18C19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18" s="3"/>
      </tp>
      <tp t="s">
        <v>—</v>
        <stp/>
        <stp>##V3_BDHV12</stp>
        <stp>XOM US Equity</stp>
        <stp>BS_GROSS_FIX_ASSET</stp>
        <stp>FQ2 1996</stp>
        <stp>FQ2 1996</stp>
        <stp>[FA1_ftkzu3fn.xlsx]Bal Sheet - Standardized!R18C28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18" s="3"/>
      </tp>
      <tp t="s">
        <v>—</v>
        <stp/>
        <stp>##V3_BDHV12</stp>
        <stp>XOM US Equity</stp>
        <stp>BS_GROSS_FIX_ASSET</stp>
        <stp>FQ2 1995</stp>
        <stp>FQ2 1995</stp>
        <stp>[FA1_ftkzu3fn.xlsx]Bal Sheet - Standardized!R18C24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18" s="3"/>
      </tp>
      <tp t="s">
        <v>—</v>
        <stp/>
        <stp>##V3_BDHV12</stp>
        <stp>XOM US Equity</stp>
        <stp>BS_GROSS_FIX_ASSET</stp>
        <stp>FQ1 1992</stp>
        <stp>FQ1 1992</stp>
        <stp>[FA1_ftkzu3fn.xlsx]Bal Sheet - Standardized!R18C11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18" s="3"/>
      </tp>
      <tp t="s">
        <v>—</v>
        <stp/>
        <stp>##V3_BDHV12</stp>
        <stp>XOM US Equity</stp>
        <stp>OTHER_INVESTING_ACT_DETAILED</stp>
        <stp>FQ4 1994</stp>
        <stp>FQ4 1994</stp>
        <stp>[FA1_ftkzu3fn.xlsx]Cash Flow - Standardized!R22C22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22" s="4"/>
      </tp>
      <tp t="s">
        <v>—</v>
        <stp/>
        <stp>##V3_BDHV12</stp>
        <stp>XOM US Equity</stp>
        <stp>BS_GROSS_FIX_ASSET</stp>
        <stp>FQ1 1993</stp>
        <stp>FQ1 1993</stp>
        <stp>[FA1_ftkzu3fn.xlsx]Bal Sheet - Standardized!R18C15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18" s="3"/>
      </tp>
      <tp>
        <v>129176</v>
        <stp/>
        <stp>##V3_BDHV12</stp>
        <stp>XOM US Equity</stp>
        <stp>BS_GROSS_FIX_ASSET</stp>
        <stp>FQ3 1997</stp>
        <stp>FQ3 1997</stp>
        <stp>[FA1_ftkzu3fn.xlsx]Bal Sheet - Standardized!R18C33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18" s="3"/>
      </tp>
      <tp t="s">
        <v>—</v>
        <stp/>
        <stp>##V3_BDHV12</stp>
        <stp>XOM US Equity</stp>
        <stp>BS_GROSS_FIX_ASSET</stp>
        <stp>FQ2 1994</stp>
        <stp>FQ2 1994</stp>
        <stp>[FA1_ftkzu3fn.xlsx]Bal Sheet - Standardized!R18C20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18" s="3"/>
      </tp>
      <tp>
        <v>0</v>
        <stp/>
        <stp>##V3_BDHV12</stp>
        <stp>XOM US Equity</stp>
        <stp>OTHER_INVESTING_ACT_DETAILED</stp>
        <stp>FQ4 1995</stp>
        <stp>FQ4 1995</stp>
        <stp>[FA1_ftkzu3fn.xlsx]Cash Flow - Standardized!R22C26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22" s="4"/>
      </tp>
      <tp>
        <v>2822</v>
        <stp/>
        <stp>##V3_BDHV12</stp>
        <stp>XOM US Equity</stp>
        <stp>BS_SH_CAP_AND_APIC</stp>
        <stp>FQ2 1996</stp>
        <stp>FQ2 1996</stp>
        <stp>[FA1_ftkzu3fn.xlsx]Bal Sheet - Standardized!R39C28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39" s="3"/>
      </tp>
      <tp>
        <v>2822</v>
        <stp/>
        <stp>##V3_BDHV12</stp>
        <stp>XOM US Equity</stp>
        <stp>BS_SH_CAP_AND_APIC</stp>
        <stp>FQ1 1994</stp>
        <stp>FQ1 1994</stp>
        <stp>[FA1_ftkzu3fn.xlsx]Bal Sheet - Standardized!R39C19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39" s="3"/>
      </tp>
      <tp>
        <v>1250</v>
        <stp/>
        <stp>##V3_BDHV12</stp>
        <stp>XOM US Equity</stp>
        <stp>IS_INC_BEF_XO_ITEM</stp>
        <stp>FQ1 1993</stp>
        <stp>FQ1 1993</stp>
        <stp>[FA1_ftkzu3fn.xlsx]Income - Adjusted!R16C15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16" s="2"/>
      </tp>
      <tp>
        <v>8343</v>
        <stp/>
        <stp>##V3_BDHV12</stp>
        <stp>XOM US Equity</stp>
        <stp>BS_ACCT_PAYABLE</stp>
        <stp>FQ4 1996</stp>
        <stp>FQ4 1996</stp>
        <stp>[FA1_ftkzu3fn.xlsx]Bal Sheet - Standardized!R28C30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28" s="3"/>
      </tp>
      <tp>
        <v>1737</v>
        <stp/>
        <stp>##V3_BDHV12</stp>
        <stp>XOM US Equity</stp>
        <stp>IS_INC_BEF_XO_ITEM</stp>
        <stp>FQ4 1995</stp>
        <stp>FQ4 1995</stp>
        <stp>[FA1_ftkzu3fn.xlsx]Income - Adjusted!R16C26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16" s="2"/>
      </tp>
      <tp>
        <v>8246</v>
        <stp/>
        <stp>##V3_BDHV12</stp>
        <stp>XOM US Equity</stp>
        <stp>BS_ACCT_PAYABLE</stp>
        <stp>FQ4 1997</stp>
        <stp>FQ4 1997</stp>
        <stp>[FA1_ftkzu3fn.xlsx]Bal Sheet - Standardized!R28C34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28" s="3"/>
      </tp>
      <tp>
        <v>24238</v>
        <stp/>
        <stp>##V3_BDHV12</stp>
        <stp>XOM US Equity</stp>
        <stp>SALES_REV_TURN</stp>
        <stp>FQ3 1991</stp>
        <stp>FQ3 1991</stp>
        <stp>[FA1_ftkzu3fn.xlsx]Income - Adjusted!R6C9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I6" s="2"/>
      </tp>
      <tp>
        <v>24251</v>
        <stp/>
        <stp>##V3_BDHV12</stp>
        <stp>XOM US Equity</stp>
        <stp>SALES_REV_TURN</stp>
        <stp>FQ2 1991</stp>
        <stp>FQ2 1991</stp>
        <stp>[FA1_ftkzu3fn.xlsx]Income - Adjusted!R6C8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H6" s="2"/>
      </tp>
      <tp>
        <v>-116</v>
        <stp/>
        <stp>##V3_BDHV12</stp>
        <stp>XOM US Equity</stp>
        <stp>CF_CHNG_NON_CASH_WORK_CAP</stp>
        <stp>FQ2 1991</stp>
        <stp>FQ2 1991</stp>
        <stp>[FA1_ftkzu3fn.xlsx]Cash Flow - Standardized!R11C8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1" s="4"/>
      </tp>
      <tp>
        <v>215</v>
        <stp/>
        <stp>##V3_BDHV12</stp>
        <stp>XOM US Equity</stp>
        <stp>CF_CHNG_NON_CASH_WORK_CAP</stp>
        <stp>FQ3 1991</stp>
        <stp>FQ3 1991</stp>
        <stp>[FA1_ftkzu3fn.xlsx]Cash Flow - Standardized!R11C9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1" s="4"/>
      </tp>
      <tp>
        <v>-923</v>
        <stp/>
        <stp>##V3_BDHV12</stp>
        <stp>XOM US Equity</stp>
        <stp>CF_CHNG_NON_CASH_WORK_CAP</stp>
        <stp>FQ1 1990</stp>
        <stp>FQ1 1990</stp>
        <stp>[FA1_ftkzu3fn.xlsx]Cash Flow - Standardized!R11C3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1" s="4"/>
      </tp>
      <tp>
        <v>556</v>
        <stp/>
        <stp>##V3_BDHV12</stp>
        <stp>XOM US Equity</stp>
        <stp>CF_CHNG_NON_CASH_WORK_CAP</stp>
        <stp>FQ4 1990</stp>
        <stp>FQ4 1990</stp>
        <stp>[FA1_ftkzu3fn.xlsx]Cash Flow - Standardized!R11C6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1" s="4"/>
      </tp>
      <tp>
        <v>182</v>
        <stp/>
        <stp>##V3_BDHV12</stp>
        <stp>XOM US Equity</stp>
        <stp>CF_CHNG_NON_CASH_WORK_CAP</stp>
        <stp>FQ3 1990</stp>
        <stp>FQ3 1990</stp>
        <stp>[FA1_ftkzu3fn.xlsx]Cash Flow - Standardized!R11C5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1" s="4"/>
      </tp>
      <tp>
        <v>274</v>
        <stp/>
        <stp>##V3_BDHV12</stp>
        <stp>XOM US Equity</stp>
        <stp>CF_CHNG_NON_CASH_WORK_CAP</stp>
        <stp>FQ2 1990</stp>
        <stp>FQ2 1990</stp>
        <stp>[FA1_ftkzu3fn.xlsx]Cash Flow - Standardized!R11C4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1" s="4"/>
      </tp>
      <tp>
        <v>-880</v>
        <stp/>
        <stp>##V3_BDHV12</stp>
        <stp>XOM US Equity</stp>
        <stp>CF_CHNG_NON_CASH_WORK_CAP</stp>
        <stp>FQ1 1991</stp>
        <stp>FQ1 1991</stp>
        <stp>[FA1_ftkzu3fn.xlsx]Cash Flow - Standardized!R11C7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1" s="4"/>
      </tp>
      <tp>
        <v>-15.1632</v>
        <stp/>
        <stp>##V3_BDHV12</stp>
        <stp>XOM US Equity</stp>
        <stp>CASH_CONVERSION_CYCLE</stp>
        <stp>FQ2 1996</stp>
        <stp>FQ2 1996</stp>
        <stp>[FA1_ftkzu3fn.xlsx]Bal Sheet - Standardized!R54C28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B54" s="3"/>
      </tp>
      <tp>
        <v>-15.4008</v>
        <stp/>
        <stp>##V3_BDHV12</stp>
        <stp>XOM US Equity</stp>
        <stp>CASH_CONVERSION_CYCLE</stp>
        <stp>FQ3 1996</stp>
        <stp>FQ3 1996</stp>
        <stp>[FA1_ftkzu3fn.xlsx]Bal Sheet - Standardized!R54C29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C54" s="3"/>
      </tp>
      <tp>
        <v>-16.517099999999999</v>
        <stp/>
        <stp>##V3_BDHV12</stp>
        <stp>XOM US Equity</stp>
        <stp>CASH_CONVERSION_CYCLE</stp>
        <stp>FQ1 1996</stp>
        <stp>FQ1 1996</stp>
        <stp>[FA1_ftkzu3fn.xlsx]Bal Sheet - Standardized!R54C27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A54" s="3"/>
      </tp>
      <tp>
        <v>8.0001999999999995</v>
        <stp/>
        <stp>##V3_BDHV12</stp>
        <stp>XOM US Equity</stp>
        <stp>CASH_CONVERSION_CYCLE</stp>
        <stp>FQ4 1996</stp>
        <stp>FQ4 1996</stp>
        <stp>[FA1_ftkzu3fn.xlsx]Bal Sheet - Standardized!R54C30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D54" s="3"/>
      </tp>
      <tp>
        <v>0.63890000000000002</v>
        <stp/>
        <stp>##V3_BDHV12</stp>
        <stp>XOM US Equity</stp>
        <stp>CASH_ST_INVESTMENTS_PER_SH</stp>
        <stp>FQ1 1995</stp>
        <stp>FQ1 1995</stp>
        <stp>[FA1_ftkzu3fn.xlsx]Per Share!R25C23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25" s="5"/>
      </tp>
      <tp>
        <v>1.0636000000000001</v>
        <stp/>
        <stp>##V3_BDHV12</stp>
        <stp>XOM US Equity</stp>
        <stp>CASH_ST_INVESTMENTS_PER_SH</stp>
        <stp>FQ1 1997</stp>
        <stp>FQ1 1997</stp>
        <stp>[FA1_ftkzu3fn.xlsx]Per Share!R25C31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25" s="5"/>
      </tp>
      <tp>
        <v>0.35270000000000001</v>
        <stp/>
        <stp>##V3_BDHV12</stp>
        <stp>XOM US Equity</stp>
        <stp>CASH_ST_INVESTMENTS_PER_SH</stp>
        <stp>FQ1 1993</stp>
        <stp>FQ1 1993</stp>
        <stp>[FA1_ftkzu3fn.xlsx]Per Share!R25C15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25" s="5"/>
      </tp>
      <tp>
        <v>0.30499999999999999</v>
        <stp/>
        <stp>##V3_BDHV12</stp>
        <stp>XOM US Equity</stp>
        <stp>CASH_ST_INVESTMENTS_PER_SH</stp>
        <stp>FQ4 1992</stp>
        <stp>FQ4 1992</stp>
        <stp>[FA1_ftkzu3fn.xlsx]Per Share!R25C14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25" s="5"/>
      </tp>
      <tp>
        <v>0.35730000000000001</v>
        <stp/>
        <stp>##V3_BDHV12</stp>
        <stp>XOM US Equity</stp>
        <stp>CASH_ST_INVESTMENTS_PER_SH</stp>
        <stp>FQ4 1994</stp>
        <stp>FQ4 1994</stp>
        <stp>[FA1_ftkzu3fn.xlsx]Per Share!R25C22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25" s="5"/>
      </tp>
      <tp>
        <v>0.59750000000000003</v>
        <stp/>
        <stp>##V3_BDHV12</stp>
        <stp>XOM US Equity</stp>
        <stp>CASH_ST_INVESTMENTS_PER_SH</stp>
        <stp>FQ4 1996</stp>
        <stp>FQ4 1996</stp>
        <stp>[FA1_ftkzu3fn.xlsx]Per Share!R25C30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25" s="5"/>
      </tp>
      <tp>
        <v>2.0127999999999999</v>
        <stp/>
        <stp>##V3_BDHV12</stp>
        <stp>XOM US Equity</stp>
        <stp>CASH_FLOW_TO_NET_INC</stp>
        <stp>FQ3 1996</stp>
        <stp>FQ3 1996</stp>
        <stp>[FA1_ftkzu3fn.xlsx]Cash Flow - Standardized!R45C29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C45" s="4"/>
      </tp>
      <tp>
        <v>1.9</v>
        <stp/>
        <stp>##V3_BDHV12</stp>
        <stp>XOM US Equity</stp>
        <stp>CASH_FLOW_TO_NET_INC</stp>
        <stp>FQ2 1996</stp>
        <stp>FQ2 1996</stp>
        <stp>[FA1_ftkzu3fn.xlsx]Cash Flow - Standardized!R45C28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B45" s="4"/>
      </tp>
      <tp>
        <v>2.1629</v>
        <stp/>
        <stp>##V3_BDHV12</stp>
        <stp>XOM US Equity</stp>
        <stp>CASH_FLOW_TO_NET_INC</stp>
        <stp>FQ1 1996</stp>
        <stp>FQ1 1996</stp>
        <stp>[FA1_ftkzu3fn.xlsx]Cash Flow - Standardized!R45C27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A45" s="4"/>
      </tp>
      <tp>
        <v>1.1872</v>
        <stp/>
        <stp>##V3_BDHV12</stp>
        <stp>XOM US Equity</stp>
        <stp>CASH_FLOW_TO_NET_INC</stp>
        <stp>FQ4 1996</stp>
        <stp>FQ4 1996</stp>
        <stp>[FA1_ftkzu3fn.xlsx]Cash Flow - Standardized!R45C30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D45" s="4"/>
      </tp>
      <tp>
        <v>3522</v>
        <stp/>
        <stp>##V3_BDHV12</stp>
        <stp>XOM US Equity</stp>
        <stp>PRETAX_INC</stp>
        <stp>FQ1 1991</stp>
        <stp>FQ1 1991</stp>
        <stp>[FA1_ftkzu3fn.xlsx]Income - Adjusted!R14C7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G14" s="2"/>
      </tp>
      <tp>
        <v>0</v>
        <stp/>
        <stp>##V3_BDHV12</stp>
        <stp>XOM US Equity</stp>
        <stp>XO_GL_NET_OF_TAX</stp>
        <stp>FQ2 1991</stp>
        <stp>FQ2 1991</stp>
        <stp>[FA1_ftkzu3fn.xlsx]Income - Adjusted!R17C8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7" s="2"/>
      </tp>
      <tp>
        <v>0</v>
        <stp/>
        <stp>##V3_BDHV12</stp>
        <stp>XOM US Equity</stp>
        <stp>XO_GL_NET_OF_TAX</stp>
        <stp>FQ2 1991</stp>
        <stp>FQ2 1991</stp>
        <stp>[FA1_ftkzu3fn.xlsx]Income - Adjusted!R25C8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5" s="2"/>
      </tp>
      <tp>
        <v>4902</v>
        <stp/>
        <stp>##V3_BDHV12</stp>
        <stp>XOM US Equity</stp>
        <stp>IS_AVG_NUM_SH_FOR_EPS</stp>
        <stp>FQ1 1998</stp>
        <stp>FQ1 1998</stp>
        <stp>[FA1_ftkzu3fn.xlsx]Per Share!R8C35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8" s="5"/>
      </tp>
      <tp>
        <v>4886</v>
        <stp/>
        <stp>##V3_BDHV12</stp>
        <stp>XOM US Equity</stp>
        <stp>IS_AVG_NUM_SH_FOR_EPS</stp>
        <stp>FQ2 1998</stp>
        <stp>FQ2 1998</stp>
        <stp>[FA1_ftkzu3fn.xlsx]Per Share!R8C36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8" s="5"/>
      </tp>
      <tp>
        <v>4968.3999000000003</v>
        <stp/>
        <stp>##V3_BDHV12</stp>
        <stp>XOM US Equity</stp>
        <stp>IS_AVG_NUM_SH_FOR_EPS</stp>
        <stp>FQ2 1996</stp>
        <stp>FQ2 1996</stp>
        <stp>[FA1_ftkzu3fn.xlsx]Per Share!R8C28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8" s="5"/>
      </tp>
      <tp>
        <v>4967.6000999999997</v>
        <stp/>
        <stp>##V3_BDHV12</stp>
        <stp>XOM US Equity</stp>
        <stp>IS_AVG_NUM_SH_FOR_EPS</stp>
        <stp>FQ3 1996</stp>
        <stp>FQ3 1996</stp>
        <stp>[FA1_ftkzu3fn.xlsx]Per Share!R8C29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8" s="5"/>
      </tp>
      <tp>
        <v>0</v>
        <stp/>
        <stp>##V3_BDHV12</stp>
        <stp>XOM US Equity</stp>
        <stp>XO_GL_NET_OF_TAX</stp>
        <stp>FQ2 1990</stp>
        <stp>FQ2 1990</stp>
        <stp>[FA1_ftkzu3fn.xlsx]Income - Adjusted!R17C4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7" s="2"/>
      </tp>
      <tp>
        <v>0</v>
        <stp/>
        <stp>##V3_BDHV12</stp>
        <stp>XOM US Equity</stp>
        <stp>XO_GL_NET_OF_TAX</stp>
        <stp>FQ2 1990</stp>
        <stp>FQ2 1990</stp>
        <stp>[FA1_ftkzu3fn.xlsx]Income - Adjusted!R25C4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5" s="2"/>
      </tp>
      <tp>
        <v>4967.6000999999997</v>
        <stp/>
        <stp>##V3_BDHV12</stp>
        <stp>XOM US Equity</stp>
        <stp>IS_AVG_NUM_SH_FOR_EPS</stp>
        <stp>FQ1 1994</stp>
        <stp>FQ1 1994</stp>
        <stp>[FA1_ftkzu3fn.xlsx]Per Share!R8C19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8" s="5"/>
      </tp>
      <tp>
        <v>24755</v>
        <stp/>
        <stp>##V3_BDHV12</stp>
        <stp>XOM US Equity</stp>
        <stp>OTHER_NONCURRENT_LIABS_DETAILED</stp>
        <stp>FQ3 1996</stp>
        <stp>FQ3 1996</stp>
        <stp>[FA1_ftkzu3fn.xlsx]Bal Sheet - Standardized!R35C29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35" s="3"/>
      </tp>
      <tp>
        <v>25400</v>
        <stp/>
        <stp>##V3_BDHV12</stp>
        <stp>XOM US Equity</stp>
        <stp>OTHER_NONCURRENT_LIABS_DETAILED</stp>
        <stp>FQ2 1998</stp>
        <stp>FQ2 1998</stp>
        <stp>[FA1_ftkzu3fn.xlsx]Bal Sheet - Standardized!R35C36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35" s="3"/>
      </tp>
      <tp>
        <v>4967.6000999999997</v>
        <stp/>
        <stp>##V3_BDHV12</stp>
        <stp>XOM US Equity</stp>
        <stp>IS_SH_FOR_DILUTED_EPS</stp>
        <stp>FQ1 1994</stp>
        <stp>FQ1 1994</stp>
        <stp>[FA1_ftkzu3fn.xlsx]Per Share!R7C19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7" s="5"/>
      </tp>
      <tp>
        <v>5024</v>
        <stp/>
        <stp>##V3_BDHV12</stp>
        <stp>XOM US Equity</stp>
        <stp>IS_SH_FOR_DILUTED_EPS</stp>
        <stp>FQ3 1996</stp>
        <stp>FQ3 1996</stp>
        <stp>[FA1_ftkzu3fn.xlsx]Per Share!R7C29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7" s="5"/>
      </tp>
      <tp>
        <v>5024</v>
        <stp/>
        <stp>##V3_BDHV12</stp>
        <stp>XOM US Equity</stp>
        <stp>IS_SH_FOR_DILUTED_EPS</stp>
        <stp>FQ2 1996</stp>
        <stp>FQ2 1996</stp>
        <stp>[FA1_ftkzu3fn.xlsx]Per Share!R7C28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7" s="5"/>
      </tp>
      <tp t="s">
        <v>—</v>
        <stp/>
        <stp>##V3_BDHV12</stp>
        <stp>XOM US Equity</stp>
        <stp>ACTUAL_SALES_PER_EMPL</stp>
        <stp>FQ3 1993</stp>
        <stp>FQ3 1993</stp>
        <stp>[FA1_ftkzu3fn.xlsx]Income - Adjusted!R45C17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Q45" s="2"/>
      </tp>
      <tp t="s">
        <v>—</v>
        <stp/>
        <stp>##V3_BDHV12</stp>
        <stp>XOM US Equity</stp>
        <stp>ACTUAL_SALES_PER_EMPL</stp>
        <stp>FQ3 1992</stp>
        <stp>FQ3 1992</stp>
        <stp>[FA1_ftkzu3fn.xlsx]Income - Adjusted!R45C13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M45" s="2"/>
      </tp>
      <tp t="s">
        <v>—</v>
        <stp/>
        <stp>##V3_BDHV12</stp>
        <stp>XOM US Equity</stp>
        <stp>ACTUAL_SALES_PER_EMPL</stp>
        <stp>FQ3 1997</stp>
        <stp>FQ3 1997</stp>
        <stp>[FA1_ftkzu3fn.xlsx]Income - Adjusted!R45C33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G45" s="2"/>
      </tp>
      <tp t="s">
        <v>—</v>
        <stp/>
        <stp>##V3_BDHV12</stp>
        <stp>XOM US Equity</stp>
        <stp>ACTUAL_SALES_PER_EMPL</stp>
        <stp>FQ3 1996</stp>
        <stp>FQ3 1996</stp>
        <stp>[FA1_ftkzu3fn.xlsx]Income - Adjusted!R45C29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C45" s="2"/>
      </tp>
      <tp t="s">
        <v>—</v>
        <stp/>
        <stp>##V3_BDHV12</stp>
        <stp>XOM US Equity</stp>
        <stp>ACTUAL_SALES_PER_EMPL</stp>
        <stp>FQ3 1994</stp>
        <stp>FQ3 1994</stp>
        <stp>[FA1_ftkzu3fn.xlsx]Income - Adjusted!R45C21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U45" s="2"/>
      </tp>
      <tp t="s">
        <v>—</v>
        <stp/>
        <stp>##V3_BDHV12</stp>
        <stp>XOM US Equity</stp>
        <stp>ACTUAL_SALES_PER_EMPL</stp>
        <stp>FQ3 1995</stp>
        <stp>FQ3 1995</stp>
        <stp>[FA1_ftkzu3fn.xlsx]Income - Adjusted!R45C25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Y45" s="2"/>
      </tp>
      <tp>
        <v>23085</v>
        <stp/>
        <stp>##V3_BDHV12</stp>
        <stp>XOM US Equity</stp>
        <stp>OTHER_NONCURRENT_LIABS_DETAILED</stp>
        <stp>FQ3 1994</stp>
        <stp>FQ3 1994</stp>
        <stp>[FA1_ftkzu3fn.xlsx]Bal Sheet - Standardized!R35C21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35" s="3"/>
      </tp>
      <tp t="s">
        <v>—</v>
        <stp/>
        <stp>##V3_BDHV12</stp>
        <stp>XOM US Equity</stp>
        <stp>ACTUAL_SALES_PER_EMPL</stp>
        <stp>FQ2 1998</stp>
        <stp>FQ2 1998</stp>
        <stp>[FA1_ftkzu3fn.xlsx]Income - Adjusted!R45C36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J45" s="2"/>
      </tp>
      <tp t="s">
        <v>—</v>
        <stp/>
        <stp>##V3_BDHV12</stp>
        <stp>XOM US Equity</stp>
        <stp>ACTUAL_SALES_PER_EMPL</stp>
        <stp>FQ2 1992</stp>
        <stp>FQ2 1992</stp>
        <stp>[FA1_ftkzu3fn.xlsx]Income - Adjusted!R45C12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L45" s="2"/>
      </tp>
      <tp t="s">
        <v>—</v>
        <stp/>
        <stp>##V3_BDHV12</stp>
        <stp>XOM US Equity</stp>
        <stp>ACTUAL_SALES_PER_EMPL</stp>
        <stp>FQ2 1993</stp>
        <stp>FQ2 1993</stp>
        <stp>[FA1_ftkzu3fn.xlsx]Income - Adjusted!R45C16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P45" s="2"/>
      </tp>
      <tp t="s">
        <v>—</v>
        <stp/>
        <stp>##V3_BDHV12</stp>
        <stp>XOM US Equity</stp>
        <stp>ACTUAL_SALES_PER_EMPL</stp>
        <stp>FQ2 1997</stp>
        <stp>FQ2 1997</stp>
        <stp>[FA1_ftkzu3fn.xlsx]Income - Adjusted!R45C32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F45" s="2"/>
      </tp>
      <tp t="s">
        <v>—</v>
        <stp/>
        <stp>##V3_BDHV12</stp>
        <stp>XOM US Equity</stp>
        <stp>ACTUAL_SALES_PER_EMPL</stp>
        <stp>FQ2 1996</stp>
        <stp>FQ2 1996</stp>
        <stp>[FA1_ftkzu3fn.xlsx]Income - Adjusted!R45C28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B45" s="2"/>
      </tp>
      <tp t="s">
        <v>—</v>
        <stp/>
        <stp>##V3_BDHV12</stp>
        <stp>XOM US Equity</stp>
        <stp>ACTUAL_SALES_PER_EMPL</stp>
        <stp>FQ2 1995</stp>
        <stp>FQ2 1995</stp>
        <stp>[FA1_ftkzu3fn.xlsx]Income - Adjusted!R45C24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X45" s="2"/>
      </tp>
      <tp t="s">
        <v>—</v>
        <stp/>
        <stp>##V3_BDHV12</stp>
        <stp>XOM US Equity</stp>
        <stp>ACTUAL_SALES_PER_EMPL</stp>
        <stp>FQ2 1994</stp>
        <stp>FQ2 1994</stp>
        <stp>[FA1_ftkzu3fn.xlsx]Income - Adjusted!R45C20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T45" s="2"/>
      </tp>
      <tp>
        <v>4950</v>
        <stp/>
        <stp>##V3_BDHV12</stp>
        <stp>XOM US Equity</stp>
        <stp>IS_SH_FOR_DILUTED_EPS</stp>
        <stp>FQ2 1998</stp>
        <stp>FQ2 1998</stp>
        <stp>[FA1_ftkzu3fn.xlsx]Per Share!R7C36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7" s="5"/>
      </tp>
      <tp>
        <v>4966</v>
        <stp/>
        <stp>##V3_BDHV12</stp>
        <stp>XOM US Equity</stp>
        <stp>IS_SH_FOR_DILUTED_EPS</stp>
        <stp>FQ1 1998</stp>
        <stp>FQ1 1998</stp>
        <stp>[FA1_ftkzu3fn.xlsx]Per Share!R7C35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7" s="5"/>
      </tp>
      <tp>
        <v>25332</v>
        <stp/>
        <stp>##V3_BDHV12</stp>
        <stp>XOM US Equity</stp>
        <stp>OTHER_NONCURRENT_LIABS_DETAILED</stp>
        <stp>FQ2 1997</stp>
        <stp>FQ2 1997</stp>
        <stp>[FA1_ftkzu3fn.xlsx]Bal Sheet - Standardized!R35C32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35" s="3"/>
      </tp>
      <tp t="s">
        <v>—</v>
        <stp/>
        <stp>##V3_BDHV12</stp>
        <stp>XOM US Equity</stp>
        <stp>ACTUAL_SALES_PER_EMPL</stp>
        <stp>FQ1 1998</stp>
        <stp>FQ1 1998</stp>
        <stp>[FA1_ftkzu3fn.xlsx]Income - Adjusted!R45C35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I45" s="2"/>
      </tp>
      <tp t="s">
        <v>—</v>
        <stp/>
        <stp>##V3_BDHV12</stp>
        <stp>XOM US Equity</stp>
        <stp>ACTUAL_SALES_PER_EMPL</stp>
        <stp>FQ1 1993</stp>
        <stp>FQ1 1993</stp>
        <stp>[FA1_ftkzu3fn.xlsx]Income - Adjusted!R45C15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O45" s="2"/>
      </tp>
      <tp t="s">
        <v>—</v>
        <stp/>
        <stp>##V3_BDHV12</stp>
        <stp>XOM US Equity</stp>
        <stp>ACTUAL_SALES_PER_EMPL</stp>
        <stp>FQ1 1992</stp>
        <stp>FQ1 1992</stp>
        <stp>[FA1_ftkzu3fn.xlsx]Income - Adjusted!R45C11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K45" s="2"/>
      </tp>
      <tp t="s">
        <v>—</v>
        <stp/>
        <stp>##V3_BDHV12</stp>
        <stp>XOM US Equity</stp>
        <stp>ACTUAL_SALES_PER_EMPL</stp>
        <stp>FQ1 1995</stp>
        <stp>FQ1 1995</stp>
        <stp>[FA1_ftkzu3fn.xlsx]Income - Adjusted!R45C23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W45" s="2"/>
      </tp>
      <tp t="s">
        <v>—</v>
        <stp/>
        <stp>##V3_BDHV12</stp>
        <stp>XOM US Equity</stp>
        <stp>ACTUAL_SALES_PER_EMPL</stp>
        <stp>FQ1 1997</stp>
        <stp>FQ1 1997</stp>
        <stp>[FA1_ftkzu3fn.xlsx]Income - Adjusted!R45C31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E45" s="2"/>
      </tp>
      <tp t="s">
        <v>—</v>
        <stp/>
        <stp>##V3_BDHV12</stp>
        <stp>XOM US Equity</stp>
        <stp>ACTUAL_SALES_PER_EMPL</stp>
        <stp>FQ1 1996</stp>
        <stp>FQ1 1996</stp>
        <stp>[FA1_ftkzu3fn.xlsx]Income - Adjusted!R45C27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A45" s="2"/>
      </tp>
      <tp t="s">
        <v>—</v>
        <stp/>
        <stp>##V3_BDHV12</stp>
        <stp>XOM US Equity</stp>
        <stp>ACTUAL_SALES_PER_EMPL</stp>
        <stp>FQ1 1994</stp>
        <stp>FQ1 1994</stp>
        <stp>[FA1_ftkzu3fn.xlsx]Income - Adjusted!R45C19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S45" s="2"/>
      </tp>
      <tp>
        <v>23726</v>
        <stp/>
        <stp>##V3_BDHV12</stp>
        <stp>XOM US Equity</stp>
        <stp>OTHER_NONCURRENT_LIABS_DETAILED</stp>
        <stp>FQ3 1995</stp>
        <stp>FQ3 1995</stp>
        <stp>[FA1_ftkzu3fn.xlsx]Bal Sheet - Standardized!R35C25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35" s="3"/>
      </tp>
      <tp t="s">
        <v>—</v>
        <stp/>
        <stp>##V3_BDHV12</stp>
        <stp>XOM US Equity</stp>
        <stp>ACTUAL_SALES_PER_EMPL</stp>
        <stp>FQ4 1995</stp>
        <stp>FQ4 1995</stp>
        <stp>[FA1_ftkzu3fn.xlsx]Income - Adjusted!R45C26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Z45" s="2"/>
      </tp>
      <tp t="s">
        <v>—</v>
        <stp/>
        <stp>##V3_BDHV12</stp>
        <stp>XOM US Equity</stp>
        <stp>ACTUAL_SALES_PER_EMPL</stp>
        <stp>FQ4 1994</stp>
        <stp>FQ4 1994</stp>
        <stp>[FA1_ftkzu3fn.xlsx]Income - Adjusted!R45C22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V45" s="2"/>
      </tp>
      <tp t="s">
        <v>—</v>
        <stp/>
        <stp>##V3_BDHV12</stp>
        <stp>XOM US Equity</stp>
        <stp>ACTUAL_SALES_PER_EMPL</stp>
        <stp>FQ4 1996</stp>
        <stp>FQ4 1996</stp>
        <stp>[FA1_ftkzu3fn.xlsx]Income - Adjusted!R45C30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D45" s="2"/>
      </tp>
      <tp t="s">
        <v>—</v>
        <stp/>
        <stp>##V3_BDHV12</stp>
        <stp>XOM US Equity</stp>
        <stp>ACTUAL_SALES_PER_EMPL</stp>
        <stp>FQ4 1997</stp>
        <stp>FQ4 1997</stp>
        <stp>[FA1_ftkzu3fn.xlsx]Income - Adjusted!R45C34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H45" s="2"/>
      </tp>
      <tp>
        <v>317484.21049999999</v>
        <stp/>
        <stp>##V3_BDHV12</stp>
        <stp>XOM US Equity</stp>
        <stp>ACTUAL_SALES_PER_EMPL</stp>
        <stp>FQ4 1992</stp>
        <stp>FQ4 1992</stp>
        <stp>[FA1_ftkzu3fn.xlsx]Income - Adjusted!R45C14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N45" s="2"/>
      </tp>
      <tp t="s">
        <v>—</v>
        <stp/>
        <stp>##V3_BDHV12</stp>
        <stp>XOM US Equity</stp>
        <stp>ACTUAL_SALES_PER_EMPL</stp>
        <stp>FQ4 1993</stp>
        <stp>FQ4 1993</stp>
        <stp>[FA1_ftkzu3fn.xlsx]Income - Adjusted!R45C18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R45" s="2"/>
      </tp>
      <tp>
        <v>307128.71289999998</v>
        <stp/>
        <stp>##V3_BDHV12</stp>
        <stp>XOM US Equity</stp>
        <stp>ACTUAL_SALES_PER_EMPL</stp>
        <stp>FQ4 1991</stp>
        <stp>FQ4 1991</stp>
        <stp>[FA1_ftkzu3fn.xlsx]Income - Adjusted!R45C10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J45" s="2"/>
      </tp>
      <tp>
        <v>-13.572699999999999</v>
        <stp/>
        <stp>##V3_BDHV12</stp>
        <stp>XOM US Equity</stp>
        <stp>CASH_CONVERSION_CYCLE</stp>
        <stp>FQ3 1997</stp>
        <stp>FQ3 1997</stp>
        <stp>[FA1_ftkzu3fn.xlsx]Bal Sheet - Standardized!R54C33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G54" s="3"/>
      </tp>
      <tp>
        <v>-10.9353</v>
        <stp/>
        <stp>##V3_BDHV12</stp>
        <stp>XOM US Equity</stp>
        <stp>CASH_CONVERSION_CYCLE</stp>
        <stp>FQ2 1997</stp>
        <stp>FQ2 1997</stp>
        <stp>[FA1_ftkzu3fn.xlsx]Bal Sheet - Standardized!R54C32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F54" s="3"/>
      </tp>
      <tp>
        <v>-11.582599999999999</v>
        <stp/>
        <stp>##V3_BDHV12</stp>
        <stp>XOM US Equity</stp>
        <stp>CASH_CONVERSION_CYCLE</stp>
        <stp>FQ1 1997</stp>
        <stp>FQ1 1997</stp>
        <stp>[FA1_ftkzu3fn.xlsx]Bal Sheet - Standardized!R54C31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E54" s="3"/>
      </tp>
      <tp>
        <v>9.9942999999999991</v>
        <stp/>
        <stp>##V3_BDHV12</stp>
        <stp>XOM US Equity</stp>
        <stp>CASH_CONVERSION_CYCLE</stp>
        <stp>FQ4 1997</stp>
        <stp>FQ4 1997</stp>
        <stp>[FA1_ftkzu3fn.xlsx]Bal Sheet - Standardized!R54C34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H54" s="3"/>
      </tp>
      <tp>
        <v>1.7368999999999999</v>
        <stp/>
        <stp>##V3_BDHV12</stp>
        <stp>XOM US Equity</stp>
        <stp>CASH_FLOW_TO_NET_INC</stp>
        <stp>FQ2 1997</stp>
        <stp>FQ2 1997</stp>
        <stp>[FA1_ftkzu3fn.xlsx]Cash Flow - Standardized!R45C32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F45" s="4"/>
      </tp>
      <tp>
        <v>2.2462</v>
        <stp/>
        <stp>##V3_BDHV12</stp>
        <stp>XOM US Equity</stp>
        <stp>CASH_FLOW_TO_NET_INC</stp>
        <stp>FQ3 1997</stp>
        <stp>FQ3 1997</stp>
        <stp>[FA1_ftkzu3fn.xlsx]Cash Flow - Standardized!R45C33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G45" s="4"/>
      </tp>
      <tp>
        <v>2.0754000000000001</v>
        <stp/>
        <stp>##V3_BDHV12</stp>
        <stp>XOM US Equity</stp>
        <stp>CASH_FLOW_TO_NET_INC</stp>
        <stp>FQ1 1997</stp>
        <stp>FQ1 1997</stp>
        <stp>[FA1_ftkzu3fn.xlsx]Cash Flow - Standardized!R45C31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E45" s="4"/>
      </tp>
      <tp>
        <v>1.0644</v>
        <stp/>
        <stp>##V3_BDHV12</stp>
        <stp>XOM US Equity</stp>
        <stp>CASH_FLOW_TO_NET_INC</stp>
        <stp>FQ4 1997</stp>
        <stp>FQ4 1997</stp>
        <stp>[FA1_ftkzu3fn.xlsx]Cash Flow - Standardized!R45C34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H45" s="4"/>
      </tp>
      <tp>
        <v>1125</v>
        <stp/>
        <stp>##V3_BDHV12</stp>
        <stp>XOM US Equity</stp>
        <stp>NET_INCOME</stp>
        <stp>FQ2 1991</stp>
        <stp>FQ2 1991</stp>
        <stp>[FA1_ftkzu3fn.xlsx]Income - Adjusted!R20C8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H20" s="2"/>
      </tp>
      <tp>
        <v>1115</v>
        <stp/>
        <stp>##V3_BDHV12</stp>
        <stp>XOM US Equity</stp>
        <stp>NET_INCOME</stp>
        <stp>FQ3 1991</stp>
        <stp>FQ3 1991</stp>
        <stp>[FA1_ftkzu3fn.xlsx]Income - Adjusted!R20C9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I20" s="2"/>
      </tp>
      <tp>
        <v>1914</v>
        <stp/>
        <stp>##V3_BDHV12</stp>
        <stp>XOM US Equity</stp>
        <stp>PRETAX_INC</stp>
        <stp>FQ3 1990</stp>
        <stp>FQ3 1990</stp>
        <stp>[FA1_ftkzu3fn.xlsx]Income - Adjusted!R14C5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E14" s="2"/>
      </tp>
      <tp>
        <v>1979</v>
        <stp/>
        <stp>##V3_BDHV12</stp>
        <stp>XOM US Equity</stp>
        <stp>PRETAX_INC</stp>
        <stp>FQ2 1990</stp>
        <stp>FQ2 1990</stp>
        <stp>[FA1_ftkzu3fn.xlsx]Income - Adjusted!R14C4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D14" s="2"/>
      </tp>
      <tp>
        <v>0</v>
        <stp/>
        <stp>##V3_BDHV12</stp>
        <stp>XOM US Equity</stp>
        <stp>XO_GL_NET_OF_TAX</stp>
        <stp>FQ3 1991</stp>
        <stp>FQ3 1991</stp>
        <stp>[FA1_ftkzu3fn.xlsx]Income - Adjusted!R17C9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7" s="2"/>
      </tp>
      <tp>
        <v>0</v>
        <stp/>
        <stp>##V3_BDHV12</stp>
        <stp>XOM US Equity</stp>
        <stp>XO_GL_NET_OF_TAX</stp>
        <stp>FQ3 1991</stp>
        <stp>FQ3 1991</stp>
        <stp>[FA1_ftkzu3fn.xlsx]Income - Adjusted!R25C9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5" s="2"/>
      </tp>
      <tp>
        <v>0</v>
        <stp/>
        <stp>##V3_BDHV12</stp>
        <stp>XOM US Equity</stp>
        <stp>XO_GL_NET_OF_TAX</stp>
        <stp>FQ3 1990</stp>
        <stp>FQ3 1990</stp>
        <stp>[FA1_ftkzu3fn.xlsx]Income - Adjusted!R17C5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7" s="2"/>
      </tp>
      <tp>
        <v>0</v>
        <stp/>
        <stp>##V3_BDHV12</stp>
        <stp>XOM US Equity</stp>
        <stp>XO_GL_NET_OF_TAX</stp>
        <stp>FQ3 1990</stp>
        <stp>FQ3 1990</stp>
        <stp>[FA1_ftkzu3fn.xlsx]Income - Adjusted!R25C5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5" s="2"/>
      </tp>
      <tp>
        <v>22275</v>
        <stp/>
        <stp>##V3_BDHV12</stp>
        <stp>XOM US Equity</stp>
        <stp>OTHER_NONCURRENT_LIABS_DETAILED</stp>
        <stp>FQ1 1994</stp>
        <stp>FQ1 1994</stp>
        <stp>[FA1_ftkzu3fn.xlsx]Bal Sheet - Standardized!R35C19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35" s="3"/>
      </tp>
      <tp>
        <v>24785</v>
        <stp/>
        <stp>##V3_BDHV12</stp>
        <stp>XOM US Equity</stp>
        <stp>OTHER_NONCURRENT_LIABS_DETAILED</stp>
        <stp>FQ2 1996</stp>
        <stp>FQ2 1996</stp>
        <stp>[FA1_ftkzu3fn.xlsx]Bal Sheet - Standardized!R35C28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35" s="3"/>
      </tp>
      <tp>
        <v>22598</v>
        <stp/>
        <stp>##V3_BDHV12</stp>
        <stp>XOM US Equity</stp>
        <stp>OTHER_NONCURRENT_LIABS_DETAILED</stp>
        <stp>FQ2 1994</stp>
        <stp>FQ2 1994</stp>
        <stp>[FA1_ftkzu3fn.xlsx]Bal Sheet - Standardized!R35C20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35" s="3"/>
      </tp>
      <tp>
        <v>26236</v>
        <stp/>
        <stp>##V3_BDHV12</stp>
        <stp>XOM US Equity</stp>
        <stp>OTHER_NONCURRENT_LIABS_DETAILED</stp>
        <stp>FQ3 1997</stp>
        <stp>FQ3 1997</stp>
        <stp>[FA1_ftkzu3fn.xlsx]Bal Sheet - Standardized!R35C33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35" s="3"/>
      </tp>
      <tp>
        <v>22718</v>
        <stp/>
        <stp>##V3_BDHV12</stp>
        <stp>XOM US Equity</stp>
        <stp>OTHER_NONCURRENT_LIABS_DETAILED</stp>
        <stp>FQ1 1993</stp>
        <stp>FQ1 1993</stp>
        <stp>[FA1_ftkzu3fn.xlsx]Bal Sheet - Standardized!R35C15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35" s="3"/>
      </tp>
      <tp>
        <v>22762</v>
        <stp/>
        <stp>##V3_BDHV12</stp>
        <stp>XOM US Equity</stp>
        <stp>OTHER_NONCURRENT_LIABS_DETAILED</stp>
        <stp>FQ1 1992</stp>
        <stp>FQ1 1992</stp>
        <stp>[FA1_ftkzu3fn.xlsx]Bal Sheet - Standardized!R35C11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35" s="3"/>
      </tp>
      <tp>
        <v>23148</v>
        <stp/>
        <stp>##V3_BDHV12</stp>
        <stp>XOM US Equity</stp>
        <stp>OTHER_NONCURRENT_LIABS_DETAILED</stp>
        <stp>FQ2 1995</stp>
        <stp>FQ2 1995</stp>
        <stp>[FA1_ftkzu3fn.xlsx]Bal Sheet - Standardized!R35C24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35" s="3"/>
      </tp>
      <tp>
        <v>-13.664099999999999</v>
        <stp/>
        <stp>##V3_BDHV12</stp>
        <stp>XOM US Equity</stp>
        <stp>CASH_CONVERSION_CYCLE</stp>
        <stp>FQ1 1994</stp>
        <stp>FQ1 1994</stp>
        <stp>[FA1_ftkzu3fn.xlsx]Bal Sheet - Standardized!R54C19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S54" s="3"/>
      </tp>
      <tp>
        <v>-13.840299999999999</v>
        <stp/>
        <stp>##V3_BDHV12</stp>
        <stp>XOM US Equity</stp>
        <stp>CASH_CONVERSION_CYCLE</stp>
        <stp>FQ2 1994</stp>
        <stp>FQ2 1994</stp>
        <stp>[FA1_ftkzu3fn.xlsx]Bal Sheet - Standardized!R54C20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T54" s="3"/>
      </tp>
      <tp>
        <v>-14.856999999999999</v>
        <stp/>
        <stp>##V3_BDHV12</stp>
        <stp>XOM US Equity</stp>
        <stp>CASH_CONVERSION_CYCLE</stp>
        <stp>FQ3 1994</stp>
        <stp>FQ3 1994</stp>
        <stp>[FA1_ftkzu3fn.xlsx]Bal Sheet - Standardized!R54C21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U54" s="3"/>
      </tp>
      <tp>
        <v>11.007300000000001</v>
        <stp/>
        <stp>##V3_BDHV12</stp>
        <stp>XOM US Equity</stp>
        <stp>CASH_CONVERSION_CYCLE</stp>
        <stp>FQ4 1994</stp>
        <stp>FQ4 1994</stp>
        <stp>[FA1_ftkzu3fn.xlsx]Bal Sheet - Standardized!R54C22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V54" s="3"/>
      </tp>
      <tp>
        <v>0.97299999999999998</v>
        <stp/>
        <stp>##V3_BDHV12</stp>
        <stp>XOM US Equity</stp>
        <stp>CASH_ST_INVESTMENTS_PER_SH</stp>
        <stp>FQ3 1997</stp>
        <stp>FQ3 1997</stp>
        <stp>[FA1_ftkzu3fn.xlsx]Per Share!R25C33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25" s="5"/>
      </tp>
      <tp>
        <v>0.45889999999999997</v>
        <stp/>
        <stp>##V3_BDHV12</stp>
        <stp>XOM US Equity</stp>
        <stp>CASH_ST_INVESTMENTS_PER_SH</stp>
        <stp>FQ3 1993</stp>
        <stp>FQ3 1993</stp>
        <stp>[FA1_ftkzu3fn.xlsx]Per Share!R25C17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25" s="5"/>
      </tp>
      <tp>
        <v>0.42709999999999998</v>
        <stp/>
        <stp>##V3_BDHV12</stp>
        <stp>XOM US Equity</stp>
        <stp>CASH_ST_INVESTMENTS_PER_SH</stp>
        <stp>FQ2 1994</stp>
        <stp>FQ2 1994</stp>
        <stp>[FA1_ftkzu3fn.xlsx]Per Share!R25C20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25" s="5"/>
      </tp>
      <tp>
        <v>2.3229000000000002</v>
        <stp/>
        <stp>##V3_BDHV12</stp>
        <stp>XOM US Equity</stp>
        <stp>CASH_FLOW_TO_NET_INC</stp>
        <stp>FQ3 1994</stp>
        <stp>FQ3 1994</stp>
        <stp>[FA1_ftkzu3fn.xlsx]Cash Flow - Standardized!R45C21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U45" s="4"/>
      </tp>
      <tp>
        <v>2.3220000000000001</v>
        <stp/>
        <stp>##V3_BDHV12</stp>
        <stp>XOM US Equity</stp>
        <stp>CASH_FLOW_TO_NET_INC</stp>
        <stp>FQ2 1994</stp>
        <stp>FQ2 1994</stp>
        <stp>[FA1_ftkzu3fn.xlsx]Cash Flow - Standardized!R45C20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T45" s="4"/>
      </tp>
      <tp>
        <v>2.0371000000000001</v>
        <stp/>
        <stp>##V3_BDHV12</stp>
        <stp>XOM US Equity</stp>
        <stp>CASH_FLOW_TO_NET_INC</stp>
        <stp>FQ1 1994</stp>
        <stp>FQ1 1994</stp>
        <stp>[FA1_ftkzu3fn.xlsx]Cash Flow - Standardized!R45C19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S45" s="4"/>
      </tp>
      <tp>
        <v>1.4474</v>
        <stp/>
        <stp>##V3_BDHV12</stp>
        <stp>XOM US Equity</stp>
        <stp>CASH_FLOW_TO_NET_INC</stp>
        <stp>FQ4 1994</stp>
        <stp>FQ4 1994</stp>
        <stp>[FA1_ftkzu3fn.xlsx]Cash Flow - Standardized!R45C22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V45" s="4"/>
      </tp>
      <tp>
        <v>5476</v>
        <stp/>
        <stp>##V3_BDHV12</stp>
        <stp>XOM US Equity</stp>
        <stp>OTHER_NONCURRENT_ASSETS_DETAILED</stp>
        <stp>FQ4 1990</stp>
        <stp>FQ4 1990</stp>
        <stp>[FA1_ftkzu3fn.xlsx]Bal Sheet - Standardized!R22C6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2" s="3"/>
      </tp>
      <tp>
        <v>5983</v>
        <stp/>
        <stp>##V3_BDHV12</stp>
        <stp>XOM US Equity</stp>
        <stp>OTHER_NONCURRENT_ASSETS_DETAILED</stp>
        <stp>FQ1 1990</stp>
        <stp>FQ1 1990</stp>
        <stp>[FA1_ftkzu3fn.xlsx]Bal Sheet - Standardized!R22C3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2" s="3"/>
      </tp>
      <tp>
        <v>5903</v>
        <stp/>
        <stp>##V3_BDHV12</stp>
        <stp>XOM US Equity</stp>
        <stp>OTHER_NONCURRENT_ASSETS_DETAILED</stp>
        <stp>FQ2 1990</stp>
        <stp>FQ2 1990</stp>
        <stp>[FA1_ftkzu3fn.xlsx]Bal Sheet - Standardized!R22C4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2" s="3"/>
      </tp>
      <tp>
        <v>6586</v>
        <stp/>
        <stp>##V3_BDHV12</stp>
        <stp>XOM US Equity</stp>
        <stp>OTHER_NONCURRENT_ASSETS_DETAILED</stp>
        <stp>FQ3 1990</stp>
        <stp>FQ3 1990</stp>
        <stp>[FA1_ftkzu3fn.xlsx]Bal Sheet - Standardized!R22C5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2" s="3"/>
      </tp>
      <tp>
        <v>6064</v>
        <stp/>
        <stp>##V3_BDHV12</stp>
        <stp>XOM US Equity</stp>
        <stp>OTHER_NONCURRENT_ASSETS_DETAILED</stp>
        <stp>FQ1 1991</stp>
        <stp>FQ1 1991</stp>
        <stp>[FA1_ftkzu3fn.xlsx]Bal Sheet - Standardized!R22C7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2" s="3"/>
      </tp>
      <tp>
        <v>6310</v>
        <stp/>
        <stp>##V3_BDHV12</stp>
        <stp>XOM US Equity</stp>
        <stp>OTHER_NONCURRENT_ASSETS_DETAILED</stp>
        <stp>FQ3 1991</stp>
        <stp>FQ3 1991</stp>
        <stp>[FA1_ftkzu3fn.xlsx]Bal Sheet - Standardized!R22C9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2" s="3"/>
      </tp>
      <tp>
        <v>5909</v>
        <stp/>
        <stp>##V3_BDHV12</stp>
        <stp>XOM US Equity</stp>
        <stp>OTHER_NONCURRENT_ASSETS_DETAILED</stp>
        <stp>FQ2 1991</stp>
        <stp>FQ2 1991</stp>
        <stp>[FA1_ftkzu3fn.xlsx]Bal Sheet - Standardized!R22C8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2" s="3"/>
      </tp>
      <tp>
        <v>22946</v>
        <stp/>
        <stp>##V3_BDHV12</stp>
        <stp>XOM US Equity</stp>
        <stp>OTHER_NONCURRENT_LIABS_DETAILED</stp>
        <stp>FQ1 1995</stp>
        <stp>FQ1 1995</stp>
        <stp>[FA1_ftkzu3fn.xlsx]Bal Sheet - Standardized!R35C23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35" s="3"/>
      </tp>
      <tp>
        <v>22322</v>
        <stp/>
        <stp>##V3_BDHV12</stp>
        <stp>XOM US Equity</stp>
        <stp>OTHER_NONCURRENT_LIABS_DETAILED</stp>
        <stp>FQ2 1993</stp>
        <stp>FQ2 1993</stp>
        <stp>[FA1_ftkzu3fn.xlsx]Bal Sheet - Standardized!R35C16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35" s="3"/>
      </tp>
      <tp>
        <v>23039</v>
        <stp/>
        <stp>##V3_BDHV12</stp>
        <stp>XOM US Equity</stp>
        <stp>OTHER_NONCURRENT_LIABS_DETAILED</stp>
        <stp>FQ2 1992</stp>
        <stp>FQ2 1992</stp>
        <stp>[FA1_ftkzu3fn.xlsx]Bal Sheet - Standardized!R35C12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35" s="3"/>
      </tp>
      <tp>
        <v>24677</v>
        <stp/>
        <stp>##V3_BDHV12</stp>
        <stp>XOM US Equity</stp>
        <stp>OTHER_NONCURRENT_LIABS_DETAILED</stp>
        <stp>FQ1 1996</stp>
        <stp>FQ1 1996</stp>
        <stp>[FA1_ftkzu3fn.xlsx]Bal Sheet - Standardized!R35C27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35" s="3"/>
      </tp>
      <tp>
        <v>-14.2852</v>
        <stp/>
        <stp>##V3_BDHV12</stp>
        <stp>XOM US Equity</stp>
        <stp>CASH_CONVERSION_CYCLE</stp>
        <stp>FQ2 1995</stp>
        <stp>FQ2 1995</stp>
        <stp>[FA1_ftkzu3fn.xlsx]Bal Sheet - Standardized!R54C24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X54" s="3"/>
      </tp>
      <tp>
        <v>-14.012499999999999</v>
        <stp/>
        <stp>##V3_BDHV12</stp>
        <stp>XOM US Equity</stp>
        <stp>CASH_CONVERSION_CYCLE</stp>
        <stp>FQ3 1995</stp>
        <stp>FQ3 1995</stp>
        <stp>[FA1_ftkzu3fn.xlsx]Bal Sheet - Standardized!R54C25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Y54" s="3"/>
      </tp>
      <tp>
        <v>-15.517099999999999</v>
        <stp/>
        <stp>##V3_BDHV12</stp>
        <stp>XOM US Equity</stp>
        <stp>CASH_CONVERSION_CYCLE</stp>
        <stp>FQ1 1995</stp>
        <stp>FQ1 1995</stp>
        <stp>[FA1_ftkzu3fn.xlsx]Bal Sheet - Standardized!R54C23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W54" s="3"/>
      </tp>
      <tp>
        <v>8.9482999999999997</v>
        <stp/>
        <stp>##V3_BDHV12</stp>
        <stp>XOM US Equity</stp>
        <stp>CASH_CONVERSION_CYCLE</stp>
        <stp>FQ4 1995</stp>
        <stp>FQ4 1995</stp>
        <stp>[FA1_ftkzu3fn.xlsx]Bal Sheet - Standardized!R54C26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Z54" s="3"/>
      </tp>
      <tp>
        <v>0.48809999999999998</v>
        <stp/>
        <stp>##V3_BDHV12</stp>
        <stp>XOM US Equity</stp>
        <stp>CASH_ST_INVESTMENTS_PER_SH</stp>
        <stp>FQ3 1994</stp>
        <stp>FQ3 1994</stp>
        <stp>[FA1_ftkzu3fn.xlsx]Per Share!R25C21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25" s="5"/>
      </tp>
      <tp>
        <v>0.95840000000000003</v>
        <stp/>
        <stp>##V3_BDHV12</stp>
        <stp>XOM US Equity</stp>
        <stp>CASH_ST_INVESTMENTS_PER_SH</stp>
        <stp>FQ2 1997</stp>
        <stp>FQ2 1997</stp>
        <stp>[FA1_ftkzu3fn.xlsx]Per Share!R25C32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25" s="5"/>
      </tp>
      <tp>
        <v>0.43659999999999999</v>
        <stp/>
        <stp>##V3_BDHV12</stp>
        <stp>XOM US Equity</stp>
        <stp>CASH_ST_INVESTMENTS_PER_SH</stp>
        <stp>FQ2 1993</stp>
        <stp>FQ2 1993</stp>
        <stp>[FA1_ftkzu3fn.xlsx]Per Share!R25C16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25" s="5"/>
      </tp>
      <tp>
        <v>2.6292999999999997</v>
        <stp/>
        <stp>##V3_BDHV12</stp>
        <stp>XOM US Equity</stp>
        <stp>CASH_FLOW_TO_NET_INC</stp>
        <stp>FQ3 1995</stp>
        <stp>FQ3 1995</stp>
        <stp>[FA1_ftkzu3fn.xlsx]Cash Flow - Standardized!R45C25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Y45" s="4"/>
      </tp>
      <tp>
        <v>1.8698999999999999</v>
        <stp/>
        <stp>##V3_BDHV12</stp>
        <stp>XOM US Equity</stp>
        <stp>CASH_FLOW_TO_NET_INC</stp>
        <stp>FQ2 1995</stp>
        <stp>FQ2 1995</stp>
        <stp>[FA1_ftkzu3fn.xlsx]Cash Flow - Standardized!R45C24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X45" s="4"/>
      </tp>
      <tp>
        <v>1.9771000000000001</v>
        <stp/>
        <stp>##V3_BDHV12</stp>
        <stp>XOM US Equity</stp>
        <stp>CASH_FLOW_TO_NET_INC</stp>
        <stp>FQ1 1995</stp>
        <stp>FQ1 1995</stp>
        <stp>[FA1_ftkzu3fn.xlsx]Cash Flow - Standardized!R45C23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W45" s="4"/>
      </tp>
      <tp>
        <v>2.1267999999999998</v>
        <stp/>
        <stp>##V3_BDHV12</stp>
        <stp>XOM US Equity</stp>
        <stp>CASH_FLOW_TO_NET_INC</stp>
        <stp>FQ4 1995</stp>
        <stp>FQ4 1995</stp>
        <stp>[FA1_ftkzu3fn.xlsx]Cash Flow - Standardized!R45C26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Z45" s="4"/>
      </tp>
      <tp>
        <v>15511</v>
        <stp/>
        <stp>##V3_BDHV12</stp>
        <stp>XOM US Equity</stp>
        <stp>BS_CUR_ASSET_REPORT</stp>
        <stp>FQ2 1991</stp>
        <stp>FQ2 1991</stp>
        <stp>[FA1_ftkzu3fn.xlsx]Bal Sheet - Standardized!R16C8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6" s="3"/>
      </tp>
      <tp>
        <v>16168</v>
        <stp/>
        <stp>##V3_BDHV12</stp>
        <stp>XOM US Equity</stp>
        <stp>BS_CUR_ASSET_REPORT</stp>
        <stp>FQ3 1991</stp>
        <stp>FQ3 1991</stp>
        <stp>[FA1_ftkzu3fn.xlsx]Bal Sheet - Standardized!R16C9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6" s="3"/>
      </tp>
      <tp>
        <v>0</v>
        <stp/>
        <stp>##V3_BDHV12</stp>
        <stp>XOM US Equity</stp>
        <stp>XO_GL_NET_OF_TAX</stp>
        <stp>FQ1 1991</stp>
        <stp>FQ1 1991</stp>
        <stp>[FA1_ftkzu3fn.xlsx]Income - Adjusted!R17C7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7" s="2"/>
      </tp>
      <tp>
        <v>0</v>
        <stp/>
        <stp>##V3_BDHV12</stp>
        <stp>XOM US Equity</stp>
        <stp>XO_GL_NET_OF_TAX</stp>
        <stp>FQ1 1991</stp>
        <stp>FQ1 1991</stp>
        <stp>[FA1_ftkzu3fn.xlsx]Income - Adjusted!R25C7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5" s="2"/>
      </tp>
      <tp>
        <v>17309</v>
        <stp/>
        <stp>##V3_BDHV12</stp>
        <stp>XOM US Equity</stp>
        <stp>BS_CUR_ASSET_REPORT</stp>
        <stp>FQ3 1990</stp>
        <stp>FQ3 1990</stp>
        <stp>[FA1_ftkzu3fn.xlsx]Bal Sheet - Standardized!R16C5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6" s="3"/>
      </tp>
      <tp>
        <v>15697</v>
        <stp/>
        <stp>##V3_BDHV12</stp>
        <stp>XOM US Equity</stp>
        <stp>BS_CUR_ASSET_REPORT</stp>
        <stp>FQ2 1990</stp>
        <stp>FQ2 1990</stp>
        <stp>[FA1_ftkzu3fn.xlsx]Bal Sheet - Standardized!R16C4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6" s="3"/>
      </tp>
      <tp>
        <v>16843</v>
        <stp/>
        <stp>##V3_BDHV12</stp>
        <stp>XOM US Equity</stp>
        <stp>BS_CUR_ASSET_REPORT</stp>
        <stp>FQ1 1991</stp>
        <stp>FQ1 1991</stp>
        <stp>[FA1_ftkzu3fn.xlsx]Bal Sheet - Standardized!R16C7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6" s="3"/>
      </tp>
      <tp>
        <v>18336</v>
        <stp/>
        <stp>##V3_BDHV12</stp>
        <stp>XOM US Equity</stp>
        <stp>BS_CUR_ASSET_REPORT</stp>
        <stp>FQ4 1990</stp>
        <stp>FQ4 1990</stp>
        <stp>[FA1_ftkzu3fn.xlsx]Bal Sheet - Standardized!R16C6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6" s="3"/>
      </tp>
      <tp>
        <v>16158</v>
        <stp/>
        <stp>##V3_BDHV12</stp>
        <stp>XOM US Equity</stp>
        <stp>BS_CUR_ASSET_REPORT</stp>
        <stp>FQ1 1990</stp>
        <stp>FQ1 1990</stp>
        <stp>[FA1_ftkzu3fn.xlsx]Bal Sheet - Standardized!R16C3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6" s="3"/>
      </tp>
      <tp>
        <v>0</v>
        <stp/>
        <stp>##V3_BDHV12</stp>
        <stp>XOM US Equity</stp>
        <stp>XO_GL_NET_OF_TAX</stp>
        <stp>FQ1 1990</stp>
        <stp>FQ1 1990</stp>
        <stp>[FA1_ftkzu3fn.xlsx]Income - Adjusted!R17C3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7" s="2"/>
      </tp>
      <tp>
        <v>0</v>
        <stp/>
        <stp>##V3_BDHV12</stp>
        <stp>XOM US Equity</stp>
        <stp>XO_GL_NET_OF_TAX</stp>
        <stp>FQ1 1990</stp>
        <stp>FQ1 1990</stp>
        <stp>[FA1_ftkzu3fn.xlsx]Income - Adjusted!R25C3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5" s="2"/>
      </tp>
      <tp>
        <v>4966</v>
        <stp/>
        <stp>##V3_BDHV12</stp>
        <stp>XOM US Equity</stp>
        <stp>IS_AVG_NUM_SH_FOR_EPS</stp>
        <stp>FQ4 1993</stp>
        <stp>FQ4 1993</stp>
        <stp>[FA1_ftkzu3fn.xlsx]Per Share!R8C18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8" s="5"/>
      </tp>
      <tp>
        <v>4966</v>
        <stp/>
        <stp>##V3_BDHV12</stp>
        <stp>XOM US Equity</stp>
        <stp>IS_SH_FOR_DILUTED_EPS</stp>
        <stp>FQ4 1993</stp>
        <stp>FQ4 1993</stp>
        <stp>[FA1_ftkzu3fn.xlsx]Per Share!R7C18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7" s="5"/>
      </tp>
      <tp>
        <v>25555</v>
        <stp/>
        <stp>##V3_BDHV12</stp>
        <stp>XOM US Equity</stp>
        <stp>OTHER_NONCURRENT_LIABS_DETAILED</stp>
        <stp>FQ1 1998</stp>
        <stp>FQ1 1998</stp>
        <stp>[FA1_ftkzu3fn.xlsx]Bal Sheet - Standardized!R35C35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35" s="3"/>
      </tp>
      <tp>
        <v>25625</v>
        <stp/>
        <stp>##V3_BDHV12</stp>
        <stp>XOM US Equity</stp>
        <stp>OTHER_NONCURRENT_LIABS_DETAILED</stp>
        <stp>FQ1 1997</stp>
        <stp>FQ1 1997</stp>
        <stp>[FA1_ftkzu3fn.xlsx]Bal Sheet - Standardized!R35C31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35" s="3"/>
      </tp>
      <tp>
        <v>22092</v>
        <stp/>
        <stp>##V3_BDHV12</stp>
        <stp>XOM US Equity</stp>
        <stp>OTHER_NONCURRENT_LIABS_DETAILED</stp>
        <stp>FQ3 1993</stp>
        <stp>FQ3 1993</stp>
        <stp>[FA1_ftkzu3fn.xlsx]Bal Sheet - Standardized!R35C17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35" s="3"/>
      </tp>
      <tp>
        <v>23022</v>
        <stp/>
        <stp>##V3_BDHV12</stp>
        <stp>XOM US Equity</stp>
        <stp>OTHER_NONCURRENT_LIABS_DETAILED</stp>
        <stp>FQ3 1992</stp>
        <stp>FQ3 1992</stp>
        <stp>[FA1_ftkzu3fn.xlsx]Bal Sheet - Standardized!R35C13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35" s="3"/>
      </tp>
      <tp>
        <v>4164</v>
        <stp/>
        <stp>##V3_BDHV12</stp>
        <stp>XOM US Equity</stp>
        <stp>CF_CASH_FROM_OPER</stp>
        <stp>FQ4 1990</stp>
        <stp>FQ4 1990</stp>
        <stp>[FA1_ftkzu3fn.xlsx]Cash Flow - Standardized!R13C6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3" s="4"/>
      </tp>
      <tp>
        <v>1770</v>
        <stp/>
        <stp>##V3_BDHV12</stp>
        <stp>XOM US Equity</stp>
        <stp>CF_CASH_FROM_OPER</stp>
        <stp>FQ1 1990</stp>
        <stp>FQ1 1990</stp>
        <stp>[FA1_ftkzu3fn.xlsx]Cash Flow - Standardized!R13C3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3" s="4"/>
      </tp>
      <tp>
        <v>2750</v>
        <stp/>
        <stp>##V3_BDHV12</stp>
        <stp>XOM US Equity</stp>
        <stp>CF_CASH_FROM_OPER</stp>
        <stp>FQ1 1991</stp>
        <stp>FQ1 1991</stp>
        <stp>[FA1_ftkzu3fn.xlsx]Cash Flow - Standardized!R13C7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3" s="4"/>
      </tp>
      <tp>
        <v>1961</v>
        <stp/>
        <stp>##V3_BDHV12</stp>
        <stp>XOM US Equity</stp>
        <stp>CF_CASH_FROM_OPER</stp>
        <stp>FQ3 1990</stp>
        <stp>FQ3 1990</stp>
        <stp>[FA1_ftkzu3fn.xlsx]Cash Flow - Standardized!R13C5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3" s="4"/>
      </tp>
      <tp>
        <v>2751</v>
        <stp/>
        <stp>##V3_BDHV12</stp>
        <stp>XOM US Equity</stp>
        <stp>CF_CASH_FROM_OPER</stp>
        <stp>FQ2 1990</stp>
        <stp>FQ2 1990</stp>
        <stp>[FA1_ftkzu3fn.xlsx]Cash Flow - Standardized!R13C4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3" s="4"/>
      </tp>
      <tp>
        <v>2593</v>
        <stp/>
        <stp>##V3_BDHV12</stp>
        <stp>XOM US Equity</stp>
        <stp>CF_CASH_FROM_OPER</stp>
        <stp>FQ2 1991</stp>
        <stp>FQ2 1991</stp>
        <stp>[FA1_ftkzu3fn.xlsx]Cash Flow - Standardized!R13C8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3" s="4"/>
      </tp>
      <tp>
        <v>2799</v>
        <stp/>
        <stp>##V3_BDHV12</stp>
        <stp>XOM US Equity</stp>
        <stp>CF_CASH_FROM_OPER</stp>
        <stp>FQ3 1991</stp>
        <stp>FQ3 1991</stp>
        <stp>[FA1_ftkzu3fn.xlsx]Cash Flow - Standardized!R13C9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3" s="4"/>
      </tp>
      <tp>
        <v>-12.160299999999999</v>
        <stp/>
        <stp>##V3_BDHV12</stp>
        <stp>XOM US Equity</stp>
        <stp>CASH_CONVERSION_CYCLE</stp>
        <stp>FQ1 1992</stp>
        <stp>FQ1 1992</stp>
        <stp>[FA1_ftkzu3fn.xlsx]Bal Sheet - Standardized!R54C11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K54" s="3"/>
      </tp>
      <tp>
        <v>-11.7988</v>
        <stp/>
        <stp>##V3_BDHV12</stp>
        <stp>XOM US Equity</stp>
        <stp>CASH_CONVERSION_CYCLE</stp>
        <stp>FQ3 1992</stp>
        <stp>FQ3 1992</stp>
        <stp>[FA1_ftkzu3fn.xlsx]Bal Sheet - Standardized!R54C13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M54" s="3"/>
      </tp>
      <tp>
        <v>-11.695399999999999</v>
        <stp/>
        <stp>##V3_BDHV12</stp>
        <stp>XOM US Equity</stp>
        <stp>CASH_CONVERSION_CYCLE</stp>
        <stp>FQ2 1992</stp>
        <stp>FQ2 1992</stp>
        <stp>[FA1_ftkzu3fn.xlsx]Bal Sheet - Standardized!R54C12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L54" s="3"/>
      </tp>
      <tp>
        <v>14.1906</v>
        <stp/>
        <stp>##V3_BDHV12</stp>
        <stp>XOM US Equity</stp>
        <stp>CASH_CONVERSION_CYCLE</stp>
        <stp>FQ4 1992</stp>
        <stp>FQ4 1992</stp>
        <stp>[FA1_ftkzu3fn.xlsx]Bal Sheet - Standardized!R54C14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N54" s="3"/>
      </tp>
      <tp>
        <v>1.837</v>
        <stp/>
        <stp>##V3_BDHV12</stp>
        <stp>XOM US Equity</stp>
        <stp>CASH_FLOW_TO_NET_INC</stp>
        <stp>FQ1 1992</stp>
        <stp>FQ1 1992</stp>
        <stp>[FA1_ftkzu3fn.xlsx]Cash Flow - Standardized!R45C11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K45" s="4"/>
      </tp>
      <tp>
        <v>1.8387</v>
        <stp/>
        <stp>##V3_BDHV12</stp>
        <stp>XOM US Equity</stp>
        <stp>CASH_FLOW_TO_NET_INC</stp>
        <stp>FQ2 1992</stp>
        <stp>FQ2 1992</stp>
        <stp>[FA1_ftkzu3fn.xlsx]Cash Flow - Standardized!R45C12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L45" s="4"/>
      </tp>
      <tp>
        <v>2.2827999999999999</v>
        <stp/>
        <stp>##V3_BDHV12</stp>
        <stp>XOM US Equity</stp>
        <stp>CASH_FLOW_TO_NET_INC</stp>
        <stp>FQ3 1992</stp>
        <stp>FQ3 1992</stp>
        <stp>[FA1_ftkzu3fn.xlsx]Cash Flow - Standardized!R45C13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M45" s="4"/>
      </tp>
      <tp>
        <v>1.7846</v>
        <stp/>
        <stp>##V3_BDHV12</stp>
        <stp>XOM US Equity</stp>
        <stp>CASH_FLOW_TO_NET_INC</stp>
        <stp>FQ4 1992</stp>
        <stp>FQ4 1992</stp>
        <stp>[FA1_ftkzu3fn.xlsx]Cash Flow - Standardized!R45C14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N45" s="4"/>
      </tp>
      <tp>
        <v>82608</v>
        <stp/>
        <stp>##V3_BDHV12</stp>
        <stp>XOM US Equity</stp>
        <stp>TOT_LIAB_AND_EQY</stp>
        <stp>FQ2 1990</stp>
        <stp>FQ2 1990</stp>
        <stp>[FA1_ftkzu3fn.xlsx]Bal Sheet - Standardized!R45C4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45" s="3"/>
      </tp>
      <tp>
        <v>86157</v>
        <stp/>
        <stp>##V3_BDHV12</stp>
        <stp>XOM US Equity</stp>
        <stp>TOT_LIAB_AND_EQY</stp>
        <stp>FQ3 1990</stp>
        <stp>FQ3 1990</stp>
        <stp>[FA1_ftkzu3fn.xlsx]Bal Sheet - Standardized!R45C5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45" s="3"/>
      </tp>
      <tp>
        <v>83661</v>
        <stp/>
        <stp>##V3_BDHV12</stp>
        <stp>XOM US Equity</stp>
        <stp>TOT_LIAB_AND_EQY</stp>
        <stp>FQ1 1991</stp>
        <stp>FQ1 1991</stp>
        <stp>[FA1_ftkzu3fn.xlsx]Bal Sheet - Standardized!R45C7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45" s="3"/>
      </tp>
      <tp>
        <v>87707</v>
        <stp/>
        <stp>##V3_BDHV12</stp>
        <stp>XOM US Equity</stp>
        <stp>TOT_LIAB_AND_EQY</stp>
        <stp>FQ4 1990</stp>
        <stp>FQ4 1990</stp>
        <stp>[FA1_ftkzu3fn.xlsx]Bal Sheet - Standardized!R45C6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45" s="3"/>
      </tp>
      <tp>
        <v>82285</v>
        <stp/>
        <stp>##V3_BDHV12</stp>
        <stp>XOM US Equity</stp>
        <stp>TOT_LIAB_AND_EQY</stp>
        <stp>FQ1 1990</stp>
        <stp>FQ1 1990</stp>
        <stp>[FA1_ftkzu3fn.xlsx]Bal Sheet - Standardized!R45C3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45" s="3"/>
      </tp>
      <tp>
        <v>84593</v>
        <stp/>
        <stp>##V3_BDHV12</stp>
        <stp>XOM US Equity</stp>
        <stp>TOT_LIAB_AND_EQY</stp>
        <stp>FQ3 1991</stp>
        <stp>FQ3 1991</stp>
        <stp>[FA1_ftkzu3fn.xlsx]Bal Sheet - Standardized!R45C9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45" s="3"/>
      </tp>
      <tp>
        <v>81744</v>
        <stp/>
        <stp>##V3_BDHV12</stp>
        <stp>XOM US Equity</stp>
        <stp>TOT_LIAB_AND_EQY</stp>
        <stp>FQ2 1991</stp>
        <stp>FQ2 1991</stp>
        <stp>[FA1_ftkzu3fn.xlsx]Bal Sheet - Standardized!R45C8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45" s="3"/>
      </tp>
      <tp>
        <v>19862</v>
        <stp/>
        <stp>##V3_BDHV12</stp>
        <stp>XOM US Equity</stp>
        <stp>OTHER_NONCURRENT_LIABS_DETAILED</stp>
        <stp>FQ4 1993</stp>
        <stp>FQ4 1993</stp>
        <stp>[FA1_ftkzu3fn.xlsx]Bal Sheet - Standardized!R35C18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35" s="3"/>
      </tp>
      <tp>
        <v>20230</v>
        <stp/>
        <stp>##V3_BDHV12</stp>
        <stp>XOM US Equity</stp>
        <stp>OTHER_NONCURRENT_LIABS_DETAILED</stp>
        <stp>FQ4 1991</stp>
        <stp>FQ4 1991</stp>
        <stp>[FA1_ftkzu3fn.xlsx]Bal Sheet - Standardized!R35C10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35" s="3"/>
      </tp>
      <tp>
        <v>19979</v>
        <stp/>
        <stp>##V3_BDHV12</stp>
        <stp>XOM US Equity</stp>
        <stp>OTHER_NONCURRENT_LIABS_DETAILED</stp>
        <stp>FQ4 1992</stp>
        <stp>FQ4 1992</stp>
        <stp>[FA1_ftkzu3fn.xlsx]Bal Sheet - Standardized!R35C14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35" s="3"/>
      </tp>
      <tp>
        <v>-10.545199999999999</v>
        <stp/>
        <stp>##V3_BDHV12</stp>
        <stp>XOM US Equity</stp>
        <stp>CASH_CONVERSION_CYCLE</stp>
        <stp>FQ1 1993</stp>
        <stp>FQ1 1993</stp>
        <stp>[FA1_ftkzu3fn.xlsx]Bal Sheet - Standardized!R54C15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O54" s="3"/>
      </tp>
      <tp>
        <v>-13.845800000000001</v>
        <stp/>
        <stp>##V3_BDHV12</stp>
        <stp>XOM US Equity</stp>
        <stp>CASH_CONVERSION_CYCLE</stp>
        <stp>FQ3 1993</stp>
        <stp>FQ3 1993</stp>
        <stp>[FA1_ftkzu3fn.xlsx]Bal Sheet - Standardized!R54C17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Q54" s="3"/>
      </tp>
      <tp>
        <v>-11.991300000000001</v>
        <stp/>
        <stp>##V3_BDHV12</stp>
        <stp>XOM US Equity</stp>
        <stp>CASH_CONVERSION_CYCLE</stp>
        <stp>FQ2 1993</stp>
        <stp>FQ2 1993</stp>
        <stp>[FA1_ftkzu3fn.xlsx]Bal Sheet - Standardized!R54C16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P54" s="3"/>
      </tp>
      <tp>
        <v>13.2143</v>
        <stp/>
        <stp>##V3_BDHV12</stp>
        <stp>XOM US Equity</stp>
        <stp>CASH_CONVERSION_CYCLE</stp>
        <stp>FQ4 1993</stp>
        <stp>FQ4 1993</stp>
        <stp>[FA1_ftkzu3fn.xlsx]Bal Sheet - Standardized!R54C18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R54" s="3"/>
      </tp>
      <tp>
        <v>0.34050000000000002</v>
        <stp/>
        <stp>##V3_BDHV12</stp>
        <stp>XOM US Equity</stp>
        <stp>CASH_ST_INVESTMENTS_PER_SH</stp>
        <stp>FQ1 1992</stp>
        <stp>FQ1 1992</stp>
        <stp>[FA1_ftkzu3fn.xlsx]Per Share!R25C11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25" s="5"/>
      </tp>
      <tp>
        <v>0.36009999999999998</v>
        <stp/>
        <stp>##V3_BDHV12</stp>
        <stp>XOM US Equity</stp>
        <stp>CASH_ST_INVESTMENTS_PER_SH</stp>
        <stp>FQ4 1995</stp>
        <stp>FQ4 1995</stp>
        <stp>[FA1_ftkzu3fn.xlsx]Per Share!R25C26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25" s="5"/>
      </tp>
      <tp>
        <v>0.8266</v>
        <stp/>
        <stp>##V3_BDHV12</stp>
        <stp>XOM US Equity</stp>
        <stp>CASH_ST_INVESTMENTS_PER_SH</stp>
        <stp>FQ4 1997</stp>
        <stp>FQ4 1997</stp>
        <stp>[FA1_ftkzu3fn.xlsx]Per Share!R25C34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25" s="5"/>
      </tp>
      <tp>
        <v>2.2042000000000002</v>
        <stp/>
        <stp>##V3_BDHV12</stp>
        <stp>XOM US Equity</stp>
        <stp>CASH_FLOW_TO_NET_INC</stp>
        <stp>FQ1 1993</stp>
        <stp>FQ1 1993</stp>
        <stp>[FA1_ftkzu3fn.xlsx]Cash Flow - Standardized!R45C15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O45" s="4"/>
      </tp>
      <tp>
        <v>2.1764999999999999</v>
        <stp/>
        <stp>##V3_BDHV12</stp>
        <stp>XOM US Equity</stp>
        <stp>CASH_FLOW_TO_NET_INC</stp>
        <stp>FQ2 1993</stp>
        <stp>FQ2 1993</stp>
        <stp>[FA1_ftkzu3fn.xlsx]Cash Flow - Standardized!R45C16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P45" s="4"/>
      </tp>
      <tp>
        <v>2.3359999999999999</v>
        <stp/>
        <stp>##V3_BDHV12</stp>
        <stp>XOM US Equity</stp>
        <stp>CASH_FLOW_TO_NET_INC</stp>
        <stp>FQ3 1993</stp>
        <stp>FQ3 1993</stp>
        <stp>[FA1_ftkzu3fn.xlsx]Cash Flow - Standardized!R45C17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Q45" s="4"/>
      </tp>
      <tp>
        <v>2.0173000000000001</v>
        <stp/>
        <stp>##V3_BDHV12</stp>
        <stp>XOM US Equity</stp>
        <stp>CASH_FLOW_TO_NET_INC</stp>
        <stp>FQ4 1993</stp>
        <stp>FQ4 1993</stp>
        <stp>[FA1_ftkzu3fn.xlsx]Cash Flow - Standardized!R45C18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R45" s="4"/>
      </tp>
      <tp>
        <v>2261</v>
        <stp/>
        <stp>##V3_BDHV12</stp>
        <stp>XOM US Equity</stp>
        <stp>PRETAX_INC</stp>
        <stp>FQ1 1990</stp>
        <stp>FQ1 1990</stp>
        <stp>[FA1_ftkzu3fn.xlsx]Income - Adjusted!R14C3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C14" s="2"/>
      </tp>
      <tp>
        <v>2298</v>
        <stp/>
        <stp>##V3_BDHV12</stp>
        <stp>XOM US Equity</stp>
        <stp>PRETAX_INC</stp>
        <stp>FQ4 1990</stp>
        <stp>FQ4 1990</stp>
        <stp>[FA1_ftkzu3fn.xlsx]Income - Adjusted!R14C6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F14" s="2"/>
      </tp>
      <tp>
        <v>0.51080000000000003</v>
        <stp/>
        <stp>##V3_BDHV12</stp>
        <stp>XOM US Equity</stp>
        <stp>CASH_ST_INVESTMENTS_PER_SH</stp>
        <stp>FQ3 1995</stp>
        <stp>FQ3 1995</stp>
        <stp>[FA1_ftkzu3fn.xlsx]Per Share!R25C25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25" s="5"/>
      </tp>
      <tp>
        <v>0.32640000000000002</v>
        <stp/>
        <stp>##V3_BDHV12</stp>
        <stp>XOM US Equity</stp>
        <stp>CASH_ST_INVESTMENTS_PER_SH</stp>
        <stp>FQ2 1992</stp>
        <stp>FQ2 1992</stp>
        <stp>[FA1_ftkzu3fn.xlsx]Per Share!R25C12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25" s="5"/>
      </tp>
      <tp t="s">
        <v>—</v>
        <stp/>
        <stp>##V3_BDHV12</stp>
        <stp>XOM US Equity</stp>
        <stp>CHG_PCT_PERIOD</stp>
        <stp>FQ2 1991</stp>
        <stp>FQ2 1991</stp>
        <stp>[FA1_ftkzu3fn.xlsx]Stock Value!R7C8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7" s="6"/>
      </tp>
      <tp>
        <v>0</v>
        <stp/>
        <stp>##V3_BDHV12</stp>
        <stp>XOM US Equity</stp>
        <stp>XO_GL_NET_OF_TAX</stp>
        <stp>FQ4 1990</stp>
        <stp>FQ4 1990</stp>
        <stp>[FA1_ftkzu3fn.xlsx]Income - Adjusted!R17C6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7" s="2"/>
      </tp>
      <tp>
        <v>0</v>
        <stp/>
        <stp>##V3_BDHV12</stp>
        <stp>XOM US Equity</stp>
        <stp>XO_GL_NET_OF_TAX</stp>
        <stp>FQ4 1990</stp>
        <stp>FQ4 1990</stp>
        <stp>[FA1_ftkzu3fn.xlsx]Income - Adjusted!R25C6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5" s="2"/>
      </tp>
      <tp>
        <v>23329</v>
        <stp/>
        <stp>##V3_BDHV12</stp>
        <stp>XOM US Equity</stp>
        <stp>OTHER_NONCURRENT_LIABS_DETAILED</stp>
        <stp>FQ4 1997</stp>
        <stp>FQ4 1997</stp>
        <stp>[FA1_ftkzu3fn.xlsx]Bal Sheet - Standardized!R35C34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35" s="3"/>
      </tp>
      <tp>
        <v>23330</v>
        <stp/>
        <stp>##V3_BDHV12</stp>
        <stp>XOM US Equity</stp>
        <stp>OTHER_NONCURRENT_LIABS_DETAILED</stp>
        <stp>FQ4 1996</stp>
        <stp>FQ4 1996</stp>
        <stp>[FA1_ftkzu3fn.xlsx]Bal Sheet - Standardized!R35C30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35" s="3"/>
      </tp>
      <tp>
        <v>12.997999999999999</v>
        <stp/>
        <stp>##V3_BDHV12</stp>
        <stp>XOM US Equity</stp>
        <stp>CASH_CONVERSION_CYCLE</stp>
        <stp>FQ4 1991</stp>
        <stp>FQ4 1991</stp>
        <stp>[FA1_ftkzu3fn.xlsx]Bal Sheet - Standardized!R54C10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J54" s="3"/>
      </tp>
      <tp>
        <v>0.73729999999999996</v>
        <stp/>
        <stp>##V3_BDHV12</stp>
        <stp>XOM US Equity</stp>
        <stp>CASH_ST_INVESTMENTS_PER_SH</stp>
        <stp>FQ1 1996</stp>
        <stp>FQ1 1996</stp>
        <stp>[FA1_ftkzu3fn.xlsx]Per Share!R25C27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25" s="5"/>
      </tp>
      <tp>
        <v>0.3155</v>
        <stp/>
        <stp>##V3_BDHV12</stp>
        <stp>XOM US Equity</stp>
        <stp>CASH_ST_INVESTMENTS_PER_SH</stp>
        <stp>FQ3 1992</stp>
        <stp>FQ3 1992</stp>
        <stp>[FA1_ftkzu3fn.xlsx]Per Share!R25C13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25" s="5"/>
      </tp>
      <tp>
        <v>0.55030000000000001</v>
        <stp/>
        <stp>##V3_BDHV12</stp>
        <stp>XOM US Equity</stp>
        <stp>CASH_ST_INVESTMENTS_PER_SH</stp>
        <stp>FQ2 1995</stp>
        <stp>FQ2 1995</stp>
        <stp>[FA1_ftkzu3fn.xlsx]Per Share!R25C24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25" s="5"/>
      </tp>
      <tp>
        <v>0.31940000000000002</v>
        <stp/>
        <stp>##V3_BDHV12</stp>
        <stp>XOM US Equity</stp>
        <stp>CASH_ST_INVESTMENTS_PER_SH</stp>
        <stp>FQ4 1991</stp>
        <stp>FQ4 1991</stp>
        <stp>[FA1_ftkzu3fn.xlsx]Per Share!R25C10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25" s="5"/>
      </tp>
      <tp>
        <v>2.5</v>
        <stp/>
        <stp>##V3_BDHV12</stp>
        <stp>XOM US Equity</stp>
        <stp>CASH_FLOW_TO_NET_INC</stp>
        <stp>FQ4 1991</stp>
        <stp>FQ4 1991</stp>
        <stp>[FA1_ftkzu3fn.xlsx]Cash Flow - Standardized!R45C10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J45" s="4"/>
      </tp>
      <tp t="s">
        <v>—</v>
        <stp/>
        <stp>##V3_BDHV12</stp>
        <stp>XOM US Equity</stp>
        <stp>CHG_PCT_PERIOD</stp>
        <stp>FQ3 1991</stp>
        <stp>FQ3 1991</stp>
        <stp>[FA1_ftkzu3fn.xlsx]Stock Value!R7C9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7" s="6"/>
      </tp>
      <tp>
        <v>22176</v>
        <stp/>
        <stp>##V3_BDHV12</stp>
        <stp>XOM US Equity</stp>
        <stp>OTHER_NONCURRENT_LIABS_DETAILED</stp>
        <stp>FQ4 1995</stp>
        <stp>FQ4 1995</stp>
        <stp>[FA1_ftkzu3fn.xlsx]Bal Sheet - Standardized!R35C26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35" s="3"/>
      </tp>
      <tp>
        <v>0.22</v>
        <stp/>
        <stp>##V3_BDHV12</stp>
        <stp>XOM US Equity</stp>
        <stp>IS_BASIC_EPS_CONT_OPS</stp>
        <stp>FQ3 1991</stp>
        <stp>FQ3 1991</stp>
        <stp>[FA1_ftkzu3fn.xlsx]Per Share!R16C9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16" s="5"/>
      </tp>
      <tp t="s">
        <v>—</v>
        <stp/>
        <stp>##V3_BDHV12</stp>
        <stp>XOM US Equity</stp>
        <stp>IS_BASIC_EPS_CONT_OPS</stp>
        <stp>FQ2 1991</stp>
        <stp>FQ2 1991</stp>
        <stp>[FA1_ftkzu3fn.xlsx]Per Share!R16C8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16" s="5"/>
      </tp>
      <tp>
        <v>19955</v>
        <stp/>
        <stp>##V3_BDHV12</stp>
        <stp>XOM US Equity</stp>
        <stp>OTHER_NONCURRENT_LIABS_DETAILED</stp>
        <stp>FQ4 1994</stp>
        <stp>FQ4 1994</stp>
        <stp>[FA1_ftkzu3fn.xlsx]Bal Sheet - Standardized!R35C22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35" s="3"/>
      </tp>
      <tp>
        <v>35122</v>
        <stp/>
        <stp>##V3_BDHV12</stp>
        <stp>XOM US Equity</stp>
        <stp>SALES_REV_TURN</stp>
        <stp>FQ4 1990</stp>
        <stp>FQ4 1990</stp>
        <stp>[FA1_ftkzu3fn.xlsx]Income - Adjusted!R6C6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F6" s="2"/>
      </tp>
      <tp>
        <v>24127</v>
        <stp/>
        <stp>##V3_BDHV12</stp>
        <stp>XOM US Equity</stp>
        <stp>SALES_REV_TURN</stp>
        <stp>FQ1 1990</stp>
        <stp>FQ1 1990</stp>
        <stp>[FA1_ftkzu3fn.xlsx]Income - Adjusted!R6C3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C6" s="2"/>
      </tp>
      <tp>
        <v>1820</v>
        <stp/>
        <stp>##V3_BDHV12</stp>
        <stp>XOM US Equity</stp>
        <stp>CF_NET_INC</stp>
        <stp>FQ3 1997</stp>
        <stp>FQ3 1997</stp>
        <stp>[FA1_ftkzu3fn.xlsx]Cash Flow - Standardized!R7C33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7" s="4"/>
      </tp>
      <tp>
        <v>1965</v>
        <stp/>
        <stp>##V3_BDHV12</stp>
        <stp>XOM US Equity</stp>
        <stp>CF_NET_INC</stp>
        <stp>FQ2 1997</stp>
        <stp>FQ2 1997</stp>
        <stp>[FA1_ftkzu3fn.xlsx]Cash Flow - Standardized!R7C32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7" s="4"/>
      </tp>
      <tp>
        <v>2175</v>
        <stp/>
        <stp>##V3_BDHV12</stp>
        <stp>XOM US Equity</stp>
        <stp>CF_NET_INC</stp>
        <stp>FQ1 1997</stp>
        <stp>FQ1 1997</stp>
        <stp>[FA1_ftkzu3fn.xlsx]Cash Flow - Standardized!R7C31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7" s="4"/>
      </tp>
      <tp>
        <v>2500</v>
        <stp/>
        <stp>##V3_BDHV12</stp>
        <stp>XOM US Equity</stp>
        <stp>CF_NET_INC</stp>
        <stp>FQ4 1997</stp>
        <stp>FQ4 1997</stp>
        <stp>[FA1_ftkzu3fn.xlsx]Cash Flow - Standardized!R7C34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7" s="4"/>
      </tp>
      <tp>
        <v>1890</v>
        <stp/>
        <stp>##V3_BDHV12</stp>
        <stp>XOM US Equity</stp>
        <stp>CF_NET_INC</stp>
        <stp>FQ1 1998</stp>
        <stp>FQ1 1998</stp>
        <stp>[FA1_ftkzu3fn.xlsx]Cash Flow - Standardized!R7C35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7" s="4"/>
      </tp>
      <tp>
        <v>1620</v>
        <stp/>
        <stp>##V3_BDHV12</stp>
        <stp>XOM US Equity</stp>
        <stp>CF_NET_INC</stp>
        <stp>FQ2 1998</stp>
        <stp>FQ2 1998</stp>
        <stp>[FA1_ftkzu3fn.xlsx]Cash Flow - Standardized!R7C36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7" s="4"/>
      </tp>
      <tp>
        <v>2495</v>
        <stp/>
        <stp>##V3_BDHV12</stp>
        <stp>XOM US Equity</stp>
        <stp>CF_NET_INC</stp>
        <stp>FQ4 1996</stp>
        <stp>FQ4 1996</stp>
        <stp>[FA1_ftkzu3fn.xlsx]Cash Flow - Standardized!R7C30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7" s="4"/>
      </tp>
      <tp>
        <v>0.66920000000000002</v>
        <stp/>
        <stp>##V3_BDHV12</stp>
        <stp>XOM US Equity</stp>
        <stp>CASH_ST_INVESTMENTS_PER_SH</stp>
        <stp>FQ2 1996</stp>
        <stp>FQ2 1996</stp>
        <stp>[FA1_ftkzu3fn.xlsx]Per Share!R25C28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25" s="5"/>
      </tp>
      <tp>
        <v>0.55569999999999997</v>
        <stp/>
        <stp>##V3_BDHV12</stp>
        <stp>XOM US Equity</stp>
        <stp>CASH_ST_INVESTMENTS_PER_SH</stp>
        <stp>FQ2 1998</stp>
        <stp>FQ2 1998</stp>
        <stp>[FA1_ftkzu3fn.xlsx]Per Share!R25C36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25" s="5"/>
      </tp>
      <tp t="s">
        <v>—</v>
        <stp/>
        <stp>##V3_BDHV12</stp>
        <stp>XOM US Equity</stp>
        <stp>INVTRY_IN_PROGRESS</stp>
        <stp>FQ2 1991</stp>
        <stp>FQ2 1991</stp>
        <stp>[FA1_ftkzu3fn.xlsx]Bal Sheet - Standardized!R13C8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3" s="3"/>
      </tp>
      <tp t="s">
        <v>—</v>
        <stp/>
        <stp>##V3_BDHV12</stp>
        <stp>XOM US Equity</stp>
        <stp>INVTRY_IN_PROGRESS</stp>
        <stp>FQ3 1991</stp>
        <stp>FQ3 1991</stp>
        <stp>[FA1_ftkzu3fn.xlsx]Bal Sheet - Standardized!R13C9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3" s="3"/>
      </tp>
      <tp t="s">
        <v>—</v>
        <stp/>
        <stp>##V3_BDHV12</stp>
        <stp>XOM US Equity</stp>
        <stp>INVTRY_IN_PROGRESS</stp>
        <stp>FQ4 1990</stp>
        <stp>FQ4 1990</stp>
        <stp>[FA1_ftkzu3fn.xlsx]Bal Sheet - Standardized!R13C6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3" s="3"/>
      </tp>
      <tp t="s">
        <v>—</v>
        <stp/>
        <stp>##V3_BDHV12</stp>
        <stp>XOM US Equity</stp>
        <stp>INVTRY_IN_PROGRESS</stp>
        <stp>FQ1 1990</stp>
        <stp>FQ1 1990</stp>
        <stp>[FA1_ftkzu3fn.xlsx]Bal Sheet - Standardized!R13C3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3" s="3"/>
      </tp>
      <tp t="s">
        <v>—</v>
        <stp/>
        <stp>##V3_BDHV12</stp>
        <stp>XOM US Equity</stp>
        <stp>INVTRY_IN_PROGRESS</stp>
        <stp>FQ3 1990</stp>
        <stp>FQ3 1990</stp>
        <stp>[FA1_ftkzu3fn.xlsx]Bal Sheet - Standardized!R13C5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3" s="3"/>
      </tp>
      <tp t="s">
        <v>—</v>
        <stp/>
        <stp>##V3_BDHV12</stp>
        <stp>XOM US Equity</stp>
        <stp>INVTRY_IN_PROGRESS</stp>
        <stp>FQ2 1990</stp>
        <stp>FQ2 1990</stp>
        <stp>[FA1_ftkzu3fn.xlsx]Bal Sheet - Standardized!R13C4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3" s="3"/>
      </tp>
      <tp t="s">
        <v>—</v>
        <stp/>
        <stp>##V3_BDHV12</stp>
        <stp>XOM US Equity</stp>
        <stp>INVTRY_IN_PROGRESS</stp>
        <stp>FQ1 1991</stp>
        <stp>FQ1 1991</stp>
        <stp>[FA1_ftkzu3fn.xlsx]Bal Sheet - Standardized!R13C7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3" s="3"/>
      </tp>
      <tp>
        <v>1555</v>
        <stp/>
        <stp>##V3_BDHV12</stp>
        <stp>XOM US Equity</stp>
        <stp>NET_INCOME</stp>
        <stp>FQ4 1990</stp>
        <stp>FQ4 1990</stp>
        <stp>[FA1_ftkzu3fn.xlsx]Income - Adjusted!R20C6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F20" s="2"/>
      </tp>
      <tp>
        <v>1280</v>
        <stp/>
        <stp>##V3_BDHV12</stp>
        <stp>XOM US Equity</stp>
        <stp>NET_INCOME</stp>
        <stp>FQ1 1990</stp>
        <stp>FQ1 1990</stp>
        <stp>[FA1_ftkzu3fn.xlsx]Income - Adjusted!R20C3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C20" s="2"/>
      </tp>
      <tp>
        <v>1570</v>
        <stp/>
        <stp>##V3_BDHV12</stp>
        <stp>XOM US Equity</stp>
        <stp>CF_NET_INC</stp>
        <stp>FQ2 1996</stp>
        <stp>FQ2 1996</stp>
        <stp>[FA1_ftkzu3fn.xlsx]Cash Flow - Standardized!R7C28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7" s="4"/>
      </tp>
      <tp>
        <v>1560</v>
        <stp/>
        <stp>##V3_BDHV12</stp>
        <stp>XOM US Equity</stp>
        <stp>CF_NET_INC</stp>
        <stp>FQ3 1996</stp>
        <stp>FQ3 1996</stp>
        <stp>[FA1_ftkzu3fn.xlsx]Cash Flow - Standardized!R7C29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7" s="4"/>
      </tp>
      <tp>
        <v>1660</v>
        <stp/>
        <stp>##V3_BDHV12</stp>
        <stp>XOM US Equity</stp>
        <stp>CF_NET_INC</stp>
        <stp>FQ1 1995</stp>
        <stp>FQ1 1995</stp>
        <stp>[FA1_ftkzu3fn.xlsx]Cash Flow - Standardized!R7C23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7" s="4"/>
      </tp>
      <tp>
        <v>885</v>
        <stp/>
        <stp>##V3_BDHV12</stp>
        <stp>XOM US Equity</stp>
        <stp>CF_NET_INC</stp>
        <stp>FQ2 1994</stp>
        <stp>FQ2 1994</stp>
        <stp>[FA1_ftkzu3fn.xlsx]Cash Flow - Standardized!R7C20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7" s="4"/>
      </tp>
      <tp>
        <v>1155</v>
        <stp/>
        <stp>##V3_BDHV12</stp>
        <stp>XOM US Equity</stp>
        <stp>CF_NET_INC</stp>
        <stp>FQ3 1994</stp>
        <stp>FQ3 1994</stp>
        <stp>[FA1_ftkzu3fn.xlsx]Cash Flow - Standardized!R7C21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7" s="4"/>
      </tp>
      <tp>
        <v>1680</v>
        <stp/>
        <stp>##V3_BDHV12</stp>
        <stp>XOM US Equity</stp>
        <stp>CF_NET_INC</stp>
        <stp>FQ4 1995</stp>
        <stp>FQ4 1995</stp>
        <stp>[FA1_ftkzu3fn.xlsx]Cash Flow - Standardized!R7C26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7" s="4"/>
      </tp>
      <tp>
        <v>1500</v>
        <stp/>
        <stp>##V3_BDHV12</stp>
        <stp>XOM US Equity</stp>
        <stp>CF_NET_INC</stp>
        <stp>FQ3 1995</stp>
        <stp>FQ3 1995</stp>
        <stp>[FA1_ftkzu3fn.xlsx]Cash Flow - Standardized!R7C25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7" s="4"/>
      </tp>
      <tp>
        <v>1885</v>
        <stp/>
        <stp>##V3_BDHV12</stp>
        <stp>XOM US Equity</stp>
        <stp>CF_NET_INC</stp>
        <stp>FQ1 1996</stp>
        <stp>FQ1 1996</stp>
        <stp>[FA1_ftkzu3fn.xlsx]Cash Flow - Standardized!R7C27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7" s="4"/>
      </tp>
      <tp>
        <v>1630</v>
        <stp/>
        <stp>##V3_BDHV12</stp>
        <stp>XOM US Equity</stp>
        <stp>CF_NET_INC</stp>
        <stp>FQ2 1995</stp>
        <stp>FQ2 1995</stp>
        <stp>[FA1_ftkzu3fn.xlsx]Cash Flow - Standardized!R7C24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7" s="4"/>
      </tp>
      <tp>
        <v>1900</v>
        <stp/>
        <stp>##V3_BDHV12</stp>
        <stp>XOM US Equity</stp>
        <stp>CF_NET_INC</stp>
        <stp>FQ4 1994</stp>
        <stp>FQ4 1994</stp>
        <stp>[FA1_ftkzu3fn.xlsx]Cash Flow - Standardized!R7C22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7" s="4"/>
      </tp>
      <tp>
        <v>0.59050000000000002</v>
        <stp/>
        <stp>##V3_BDHV12</stp>
        <stp>XOM US Equity</stp>
        <stp>CASH_ST_INVESTMENTS_PER_SH</stp>
        <stp>FQ3 1996</stp>
        <stp>FQ3 1996</stp>
        <stp>[FA1_ftkzu3fn.xlsx]Per Share!R25C29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25" s="5"/>
      </tp>
      <tp>
        <v>13.0435</v>
        <stp/>
        <stp>##V3_BDHV12</stp>
        <stp>XOM US Equity</stp>
        <stp>CHG_PCT_PERIOD</stp>
        <stp>FQ1 1991</stp>
        <stp>FQ1 1991</stp>
        <stp>[FA1_ftkzu3fn.xlsx]Stock Value!R7C7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7" s="6"/>
      </tp>
      <tp t="s">
        <v>—</v>
        <stp/>
        <stp>##V3_BDHV12</stp>
        <stp>XOM US Equity</stp>
        <stp>CHG_PCT_PERIOD</stp>
        <stp>FQ4 1990</stp>
        <stp>FQ4 1990</stp>
        <stp>[FA1_ftkzu3fn.xlsx]Stock Value!R7C6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7" s="6"/>
      </tp>
      <tp t="s">
        <v>—</v>
        <stp/>
        <stp>##V3_BDHV12</stp>
        <stp>XOM US Equity</stp>
        <stp>INVTRY_IN_PROGRESS</stp>
        <stp>FQ4 1991</stp>
        <stp>FQ4 1991</stp>
        <stp>[FA1_ftkzu3fn.xlsx]Bal Sheet - Standardized!R13C10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13" s="3"/>
      </tp>
      <tp t="s">
        <v>—</v>
        <stp/>
        <stp>##V3_BDHV12</stp>
        <stp>XOM US Equity</stp>
        <stp>INVTRY_IN_PROGRESS</stp>
        <stp>FQ4 1992</stp>
        <stp>FQ4 1992</stp>
        <stp>[FA1_ftkzu3fn.xlsx]Bal Sheet - Standardized!R13C14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13" s="3"/>
      </tp>
      <tp t="s">
        <v>—</v>
        <stp/>
        <stp>##V3_BDHV12</stp>
        <stp>XOM US Equity</stp>
        <stp>INVTRY_IN_PROGRESS</stp>
        <stp>FQ4 1993</stp>
        <stp>FQ4 1993</stp>
        <stp>[FA1_ftkzu3fn.xlsx]Bal Sheet - Standardized!R13C18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13" s="3"/>
      </tp>
      <tp>
        <v>4969.2002000000002</v>
        <stp/>
        <stp>##V3_BDHV12</stp>
        <stp>XOM US Equity</stp>
        <stp>IS_AVG_NUM_SH_FOR_EPS</stp>
        <stp>FQ4 1991</stp>
        <stp>FQ4 1991</stp>
        <stp>[FA1_ftkzu3fn.xlsx]Per Share!R8C10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8" s="5"/>
      </tp>
      <tp>
        <v>4969.2002000000002</v>
        <stp/>
        <stp>##V3_BDHV12</stp>
        <stp>XOM US Equity</stp>
        <stp>IS_SH_FOR_DILUTED_EPS</stp>
        <stp>FQ4 1991</stp>
        <stp>FQ4 1991</stp>
        <stp>[FA1_ftkzu3fn.xlsx]Per Share!R7C10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7" s="5"/>
      </tp>
      <tp>
        <v>1160</v>
        <stp/>
        <stp>##V3_BDHV12</stp>
        <stp>XOM US Equity</stp>
        <stp>CF_NET_INC</stp>
        <stp>FQ1 1994</stp>
        <stp>FQ1 1994</stp>
        <stp>[FA1_ftkzu3fn.xlsx]Cash Flow - Standardized!R7C19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7" s="4"/>
      </tp>
      <tp>
        <v>1500</v>
        <stp/>
        <stp>##V3_BDHV12</stp>
        <stp>XOM US Equity</stp>
        <stp>CF_NET_INC</stp>
        <stp>FQ4 1993</stp>
        <stp>FQ4 1993</stp>
        <stp>[FA1_ftkzu3fn.xlsx]Cash Flow - Standardized!R7C18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7" s="4"/>
      </tp>
      <tp t="s">
        <v>—</v>
        <stp/>
        <stp>##V3_BDHV12</stp>
        <stp>XOM US Equity</stp>
        <stp>ACTUAL_SALES_PER_EMPL</stp>
        <stp>FQ2 1991</stp>
        <stp>FQ2 1991</stp>
        <stp>[FA1_ftkzu3fn.xlsx]Income - Adjusted!R45C8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H45" s="2"/>
      </tp>
      <tp t="s">
        <v>—</v>
        <stp/>
        <stp>##V3_BDHV12</stp>
        <stp>XOM US Equity</stp>
        <stp>ACTUAL_SALES_PER_EMPL</stp>
        <stp>FQ3 1991</stp>
        <stp>FQ3 1991</stp>
        <stp>[FA1_ftkzu3fn.xlsx]Income - Adjusted!R45C9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I45" s="2"/>
      </tp>
      <tp t="s">
        <v>—</v>
        <stp/>
        <stp>##V3_BDHV12</stp>
        <stp>XOM US Equity</stp>
        <stp>ACTUAL_SALES_PER_EMPL</stp>
        <stp>FQ1 1991</stp>
        <stp>FQ1 1991</stp>
        <stp>[FA1_ftkzu3fn.xlsx]Income - Adjusted!R45C7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G45" s="2"/>
      </tp>
      <tp>
        <v>1560</v>
        <stp/>
        <stp>##V3_BDHV12</stp>
        <stp>XOM US Equity</stp>
        <stp>CF_NET_INC</stp>
        <stp>FQ4 1992</stp>
        <stp>FQ4 1992</stp>
        <stp>[FA1_ftkzu3fn.xlsx]Cash Flow - Standardized!R7C14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7" s="4"/>
      </tp>
      <tp>
        <v>955</v>
        <stp/>
        <stp>##V3_BDHV12</stp>
        <stp>XOM US Equity</stp>
        <stp>CF_NET_INC</stp>
        <stp>FQ2 1992</stp>
        <stp>FQ2 1992</stp>
        <stp>[FA1_ftkzu3fn.xlsx]Cash Flow - Standardized!R7C12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7" s="4"/>
      </tp>
      <tp>
        <v>1135</v>
        <stp/>
        <stp>##V3_BDHV12</stp>
        <stp>XOM US Equity</stp>
        <stp>CF_NET_INC</stp>
        <stp>FQ3 1992</stp>
        <stp>FQ3 1992</stp>
        <stp>[FA1_ftkzu3fn.xlsx]Cash Flow - Standardized!R7C13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7" s="4"/>
      </tp>
      <tp>
        <v>1350</v>
        <stp/>
        <stp>##V3_BDHV12</stp>
        <stp>XOM US Equity</stp>
        <stp>CF_NET_INC</stp>
        <stp>FQ1 1992</stp>
        <stp>FQ1 1992</stp>
        <stp>[FA1_ftkzu3fn.xlsx]Cash Flow - Standardized!R7C11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7" s="4"/>
      </tp>
      <tp>
        <v>1120</v>
        <stp/>
        <stp>##V3_BDHV12</stp>
        <stp>XOM US Equity</stp>
        <stp>CF_NET_INC</stp>
        <stp>FQ4 1991</stp>
        <stp>FQ4 1991</stp>
        <stp>[FA1_ftkzu3fn.xlsx]Cash Flow - Standardized!R7C10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7" s="4"/>
      </tp>
      <tp>
        <v>1360</v>
        <stp/>
        <stp>##V3_BDHV12</stp>
        <stp>XOM US Equity</stp>
        <stp>CF_NET_INC</stp>
        <stp>FQ3 1993</stp>
        <stp>FQ3 1993</stp>
        <stp>[FA1_ftkzu3fn.xlsx]Cash Flow - Standardized!R7C17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7" s="4"/>
      </tp>
      <tp>
        <v>1235</v>
        <stp/>
        <stp>##V3_BDHV12</stp>
        <stp>XOM US Equity</stp>
        <stp>CF_NET_INC</stp>
        <stp>FQ2 1993</stp>
        <stp>FQ2 1993</stp>
        <stp>[FA1_ftkzu3fn.xlsx]Cash Flow - Standardized!R7C16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7" s="4"/>
      </tp>
      <tp>
        <v>1185</v>
        <stp/>
        <stp>##V3_BDHV12</stp>
        <stp>XOM US Equity</stp>
        <stp>CF_NET_INC</stp>
        <stp>FQ1 1993</stp>
        <stp>FQ1 1993</stp>
        <stp>[FA1_ftkzu3fn.xlsx]Cash Flow - Standardized!R7C15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7" s="4"/>
      </tp>
      <tp>
        <v>2.3498999999999999</v>
        <stp/>
        <stp>##V3_BDHV12</stp>
        <stp>XOM US Equity</stp>
        <stp>CHG_PCT_PERIOD</stp>
        <stp>FQ3 1990</stp>
        <stp>FQ3 1990</stp>
        <stp>[FA1_ftkzu3fn.xlsx]Stock Value!R7C5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7" s="6"/>
      </tp>
      <tp t="s">
        <v>—</v>
        <stp/>
        <stp>##V3_BDHV12</stp>
        <stp>XOM US Equity</stp>
        <stp>INVTRY_IN_PROGRESS</stp>
        <stp>FQ4 1995</stp>
        <stp>FQ4 1995</stp>
        <stp>[FA1_ftkzu3fn.xlsx]Bal Sheet - Standardized!R13C26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13" s="3"/>
      </tp>
      <tp t="s">
        <v>—</v>
        <stp/>
        <stp>##V3_BDHV12</stp>
        <stp>XOM US Equity</stp>
        <stp>INVTRY_IN_PROGRESS</stp>
        <stp>FQ4 1994</stp>
        <stp>FQ4 1994</stp>
        <stp>[FA1_ftkzu3fn.xlsx]Bal Sheet - Standardized!R13C22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13" s="3"/>
      </tp>
      <tp>
        <v>4966.3999000000003</v>
        <stp/>
        <stp>##V3_BDHV12</stp>
        <stp>XOM US Equity</stp>
        <stp>IS_AVG_NUM_SH_FOR_EPS</stp>
        <stp>FQ2 1994</stp>
        <stp>FQ2 1994</stp>
        <stp>[FA1_ftkzu3fn.xlsx]Per Share!R8C20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8" s="5"/>
      </tp>
      <tp>
        <v>4965.6000999999997</v>
        <stp/>
        <stp>##V3_BDHV12</stp>
        <stp>XOM US Equity</stp>
        <stp>IS_AVG_NUM_SH_FOR_EPS</stp>
        <stp>FQ3 1994</stp>
        <stp>FQ3 1994</stp>
        <stp>[FA1_ftkzu3fn.xlsx]Per Share!R8C21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8" s="5"/>
      </tp>
      <tp>
        <v>4965.6000999999997</v>
        <stp/>
        <stp>##V3_BDHV12</stp>
        <stp>XOM US Equity</stp>
        <stp>IS_SH_FOR_DILUTED_EPS</stp>
        <stp>FQ3 1994</stp>
        <stp>FQ3 1994</stp>
        <stp>[FA1_ftkzu3fn.xlsx]Per Share!R7C21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7" s="5"/>
      </tp>
      <tp>
        <v>4966.3999000000003</v>
        <stp/>
        <stp>##V3_BDHV12</stp>
        <stp>XOM US Equity</stp>
        <stp>IS_SH_FOR_DILUTED_EPS</stp>
        <stp>FQ2 1994</stp>
        <stp>FQ2 1994</stp>
        <stp>[FA1_ftkzu3fn.xlsx]Per Share!R7C20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7" s="5"/>
      </tp>
      <tp t="s">
        <v>—</v>
        <stp/>
        <stp>##V3_BDHV12</stp>
        <stp>XOM US Equity</stp>
        <stp>IS_BASIC_EPS_CONT_OPS</stp>
        <stp>FQ3 1990</stp>
        <stp>FQ3 1990</stp>
        <stp>[FA1_ftkzu3fn.xlsx]Per Share!R16C5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16" s="5"/>
      </tp>
      <tp t="s">
        <v>—</v>
        <stp/>
        <stp>##V3_BDHV12</stp>
        <stp>XOM US Equity</stp>
        <stp>IS_BASIC_EPS_CONT_OPS</stp>
        <stp>FQ2 1990</stp>
        <stp>FQ2 1990</stp>
        <stp>[FA1_ftkzu3fn.xlsx]Per Share!R16C4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16" s="5"/>
      </tp>
      <tp t="s">
        <v>—</v>
        <stp/>
        <stp>##V3_BDHV12</stp>
        <stp>XOM US Equity</stp>
        <stp>ACTUAL_SALES_PER_EMPL</stp>
        <stp>FQ2 1990</stp>
        <stp>FQ2 1990</stp>
        <stp>[FA1_ftkzu3fn.xlsx]Income - Adjusted!R45C4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D45" s="2"/>
      </tp>
      <tp t="s">
        <v>—</v>
        <stp/>
        <stp>##V3_BDHV12</stp>
        <stp>XOM US Equity</stp>
        <stp>ACTUAL_SALES_PER_EMPL</stp>
        <stp>FQ3 1990</stp>
        <stp>FQ3 1990</stp>
        <stp>[FA1_ftkzu3fn.xlsx]Income - Adjusted!R45C5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E45" s="2"/>
      </tp>
      <tp t="s">
        <v>—</v>
        <stp/>
        <stp>##V3_BDHV12</stp>
        <stp>XOM US Equity</stp>
        <stp>ACTUAL_SALES_PER_EMPL</stp>
        <stp>FQ1 1990</stp>
        <stp>FQ1 1990</stp>
        <stp>[FA1_ftkzu3fn.xlsx]Income - Adjusted!R45C3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C45" s="2"/>
      </tp>
      <tp>
        <v>337711.53850000002</v>
        <stp/>
        <stp>##V3_BDHV12</stp>
        <stp>XOM US Equity</stp>
        <stp>ACTUAL_SALES_PER_EMPL</stp>
        <stp>FQ4 1990</stp>
        <stp>FQ4 1990</stp>
        <stp>[FA1_ftkzu3fn.xlsx]Income - Adjusted!R45C6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F45" s="2"/>
      </tp>
      <tp>
        <v>0.4259</v>
        <stp/>
        <stp>##V3_BDHV12</stp>
        <stp>XOM US Equity</stp>
        <stp>CASH_ST_INVESTMENTS_PER_SH</stp>
        <stp>FQ1 1994</stp>
        <stp>FQ1 1994</stp>
        <stp>[FA1_ftkzu3fn.xlsx]Per Share!R25C19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25" s="5"/>
      </tp>
      <tp>
        <v>0.78900000000000003</v>
        <stp/>
        <stp>##V3_BDHV12</stp>
        <stp>XOM US Equity</stp>
        <stp>CASH_ST_INVESTMENTS_PER_SH</stp>
        <stp>FQ1 1998</stp>
        <stp>FQ1 1998</stp>
        <stp>[FA1_ftkzu3fn.xlsx]Per Share!R25C35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25" s="5"/>
      </tp>
      <tp>
        <v>3.794</v>
        <stp/>
        <stp>##V3_BDHV12</stp>
        <stp>XOM US Equity</stp>
        <stp>CHG_PCT_PERIOD</stp>
        <stp>FQ2 1990</stp>
        <stp>FQ2 1990</stp>
        <stp>[FA1_ftkzu3fn.xlsx]Stock Value!R7C4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7" s="6"/>
      </tp>
      <tp t="s">
        <v>—</v>
        <stp/>
        <stp>##V3_BDHV12</stp>
        <stp>XOM US Equity</stp>
        <stp>INVTRY_IN_PROGRESS</stp>
        <stp>FQ4 1997</stp>
        <stp>FQ4 1997</stp>
        <stp>[FA1_ftkzu3fn.xlsx]Bal Sheet - Standardized!R13C34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13" s="3"/>
      </tp>
      <tp t="s">
        <v>—</v>
        <stp/>
        <stp>##V3_BDHV12</stp>
        <stp>XOM US Equity</stp>
        <stp>INVTRY_IN_PROGRESS</stp>
        <stp>FQ4 1996</stp>
        <stp>FQ4 1996</stp>
        <stp>[FA1_ftkzu3fn.xlsx]Bal Sheet - Standardized!R13C30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13" s="3"/>
      </tp>
      <tp>
        <v>4968</v>
        <stp/>
        <stp>##V3_BDHV12</stp>
        <stp>XOM US Equity</stp>
        <stp>IS_AVG_NUM_SH_FOR_EPS</stp>
        <stp>FQ1 1997</stp>
        <stp>FQ1 1997</stp>
        <stp>[FA1_ftkzu3fn.xlsx]Per Share!R8C31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8" s="5"/>
      </tp>
      <tp>
        <v>4940.6000999999997</v>
        <stp/>
        <stp>##V3_BDHV12</stp>
        <stp>XOM US Equity</stp>
        <stp>IS_AVG_NUM_SH_FOR_EPS</stp>
        <stp>FQ3 1997</stp>
        <stp>FQ3 1997</stp>
        <stp>[FA1_ftkzu3fn.xlsx]Per Share!R8C33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8" s="5"/>
      </tp>
      <tp>
        <v>4957</v>
        <stp/>
        <stp>##V3_BDHV12</stp>
        <stp>XOM US Equity</stp>
        <stp>IS_AVG_NUM_SH_FOR_EPS</stp>
        <stp>FQ2 1997</stp>
        <stp>FQ2 1997</stp>
        <stp>[FA1_ftkzu3fn.xlsx]Per Share!R8C32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8" s="5"/>
      </tp>
      <tp>
        <v>4922.3999999999996</v>
        <stp/>
        <stp>##V3_BDHV12</stp>
        <stp>XOM US Equity</stp>
        <stp>IS_AVG_NUM_SH_FOR_EPS</stp>
        <stp>FQ4 1997</stp>
        <stp>FQ4 1997</stp>
        <stp>[FA1_ftkzu3fn.xlsx]Per Share!R8C34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8" s="5"/>
      </tp>
      <tp>
        <v>4967.6000999999997</v>
        <stp/>
        <stp>##V3_BDHV12</stp>
        <stp>XOM US Equity</stp>
        <stp>IS_AVG_NUM_SH_FOR_EPS</stp>
        <stp>FQ1 1995</stp>
        <stp>FQ1 1995</stp>
        <stp>[FA1_ftkzu3fn.xlsx]Per Share!R8C23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8" s="5"/>
      </tp>
      <tp>
        <v>4966</v>
        <stp/>
        <stp>##V3_BDHV12</stp>
        <stp>XOM US Equity</stp>
        <stp>IS_AVG_NUM_SH_FOR_EPS</stp>
        <stp>FQ4 1995</stp>
        <stp>FQ4 1995</stp>
        <stp>[FA1_ftkzu3fn.xlsx]Per Share!R8C26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8" s="5"/>
      </tp>
      <tp>
        <v>4966.3999000000003</v>
        <stp/>
        <stp>##V3_BDHV12</stp>
        <stp>XOM US Equity</stp>
        <stp>IS_AVG_NUM_SH_FOR_EPS</stp>
        <stp>FQ3 1993</stp>
        <stp>FQ3 1993</stp>
        <stp>[FA1_ftkzu3fn.xlsx]Per Share!R8C17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8" s="5"/>
      </tp>
      <tp>
        <v>4967.6000999999997</v>
        <stp/>
        <stp>##V3_BDHV12</stp>
        <stp>XOM US Equity</stp>
        <stp>IS_AVG_NUM_SH_FOR_EPS</stp>
        <stp>FQ2 1993</stp>
        <stp>FQ2 1993</stp>
        <stp>[FA1_ftkzu3fn.xlsx]Per Share!R8C16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8" s="5"/>
      </tp>
      <tp>
        <v>4966.7440999999999</v>
        <stp/>
        <stp>##V3_BDHV12</stp>
        <stp>XOM US Equity</stp>
        <stp>IS_AVG_NUM_SH_FOR_EPS</stp>
        <stp>FQ1 1993</stp>
        <stp>FQ1 1993</stp>
        <stp>[FA1_ftkzu3fn.xlsx]Per Share!R8C15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8" s="5"/>
      </tp>
      <tp>
        <v>4966.7440999999999</v>
        <stp/>
        <stp>##V3_BDHV12</stp>
        <stp>XOM US Equity</stp>
        <stp>IS_SH_FOR_DILUTED_EPS</stp>
        <stp>FQ1 1993</stp>
        <stp>FQ1 1993</stp>
        <stp>[FA1_ftkzu3fn.xlsx]Per Share!R7C15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7" s="5"/>
      </tp>
      <tp>
        <v>4967.6000999999997</v>
        <stp/>
        <stp>##V3_BDHV12</stp>
        <stp>XOM US Equity</stp>
        <stp>IS_SH_FOR_DILUTED_EPS</stp>
        <stp>FQ2 1993</stp>
        <stp>FQ2 1993</stp>
        <stp>[FA1_ftkzu3fn.xlsx]Per Share!R7C16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7" s="5"/>
      </tp>
      <tp>
        <v>4966.3999000000003</v>
        <stp/>
        <stp>##V3_BDHV12</stp>
        <stp>XOM US Equity</stp>
        <stp>IS_SH_FOR_DILUTED_EPS</stp>
        <stp>FQ3 1993</stp>
        <stp>FQ3 1993</stp>
        <stp>[FA1_ftkzu3fn.xlsx]Per Share!R7C17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7" s="5"/>
      </tp>
      <tp>
        <v>4967.6000999999997</v>
        <stp/>
        <stp>##V3_BDHV12</stp>
        <stp>XOM US Equity</stp>
        <stp>IS_SH_FOR_DILUTED_EPS</stp>
        <stp>FQ1 1995</stp>
        <stp>FQ1 1995</stp>
        <stp>[FA1_ftkzu3fn.xlsx]Per Share!R7C23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7" s="5"/>
      </tp>
      <tp>
        <v>4966</v>
        <stp/>
        <stp>##V3_BDHV12</stp>
        <stp>XOM US Equity</stp>
        <stp>IS_SH_FOR_DILUTED_EPS</stp>
        <stp>FQ4 1995</stp>
        <stp>FQ4 1995</stp>
        <stp>[FA1_ftkzu3fn.xlsx]Per Share!R7C26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7" s="5"/>
      </tp>
      <tp>
        <v>5027.5640000000003</v>
        <stp/>
        <stp>##V3_BDHV12</stp>
        <stp>XOM US Equity</stp>
        <stp>IS_SH_FOR_DILUTED_EPS</stp>
        <stp>FQ2 1997</stp>
        <stp>FQ2 1997</stp>
        <stp>[FA1_ftkzu3fn.xlsx]Per Share!R7C32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7" s="5"/>
      </tp>
      <tp>
        <v>5012</v>
        <stp/>
        <stp>##V3_BDHV12</stp>
        <stp>XOM US Equity</stp>
        <stp>IS_SH_FOR_DILUTED_EPS</stp>
        <stp>FQ3 1997</stp>
        <stp>FQ3 1997</stp>
        <stp>[FA1_ftkzu3fn.xlsx]Per Share!R7C33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7" s="5"/>
      </tp>
      <tp>
        <v>5034</v>
        <stp/>
        <stp>##V3_BDHV12</stp>
        <stp>XOM US Equity</stp>
        <stp>IS_SH_FOR_DILUTED_EPS</stp>
        <stp>FQ1 1997</stp>
        <stp>FQ1 1997</stp>
        <stp>[FA1_ftkzu3fn.xlsx]Per Share!R7C31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7" s="5"/>
      </tp>
      <tp>
        <v>4922.3999999999996</v>
        <stp/>
        <stp>##V3_BDHV12</stp>
        <stp>XOM US Equity</stp>
        <stp>IS_SH_FOR_DILUTED_EPS</stp>
        <stp>FQ4 1997</stp>
        <stp>FQ4 1997</stp>
        <stp>[FA1_ftkzu3fn.xlsx]Per Share!R7C34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7" s="5"/>
      </tp>
      <tp>
        <v>0.44500000000000001</v>
        <stp/>
        <stp>##V3_BDHV12</stp>
        <stp>XOM US Equity</stp>
        <stp>IS_BASIC_EPS_CONT_OPS</stp>
        <stp>FQ1 1991</stp>
        <stp>FQ1 1991</stp>
        <stp>[FA1_ftkzu3fn.xlsx]Per Share!R16C7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16" s="5"/>
      </tp>
      <tp>
        <v>23444</v>
        <stp/>
        <stp>##V3_BDHV12</stp>
        <stp>XOM US Equity</stp>
        <stp>SALES_REV_TURN</stp>
        <stp>FQ2 1990</stp>
        <stp>FQ2 1990</stp>
        <stp>[FA1_ftkzu3fn.xlsx]Income - Adjusted!R6C4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D6" s="2"/>
      </tp>
      <tp>
        <v>26086</v>
        <stp/>
        <stp>##V3_BDHV12</stp>
        <stp>XOM US Equity</stp>
        <stp>SALES_REV_TURN</stp>
        <stp>FQ3 1990</stp>
        <stp>FQ3 1990</stp>
        <stp>[FA1_ftkzu3fn.xlsx]Income - Adjusted!R6C5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E6" s="2"/>
      </tp>
      <tp>
        <v>27237</v>
        <stp/>
        <stp>##V3_BDHV12</stp>
        <stp>XOM US Equity</stp>
        <stp>SALES_REV_TURN</stp>
        <stp>FQ1 1991</stp>
        <stp>FQ1 1991</stp>
        <stp>[FA1_ftkzu3fn.xlsx]Income - Adjusted!R6C7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G6" s="2"/>
      </tp>
      <tp>
        <v>1684</v>
        <stp/>
        <stp>##V3_BDHV12</stp>
        <stp>XOM US Equity</stp>
        <stp>BS_CASH_NEAR_CASH_ITEM</stp>
        <stp>FQ1 1990</stp>
        <stp>FQ1 1990</stp>
        <stp>[FA1_ftkzu3fn.xlsx]Bal Sheet - Standardized!R8C3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8" s="3"/>
      </tp>
      <tp>
        <v>1340</v>
        <stp/>
        <stp>##V3_BDHV12</stp>
        <stp>XOM US Equity</stp>
        <stp>BS_CASH_NEAR_CASH_ITEM</stp>
        <stp>FQ3 1990</stp>
        <stp>FQ3 1990</stp>
        <stp>[FA1_ftkzu3fn.xlsx]Bal Sheet - Standardized!R8C5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8" s="3"/>
      </tp>
      <tp>
        <v>1530</v>
        <stp/>
        <stp>##V3_BDHV12</stp>
        <stp>XOM US Equity</stp>
        <stp>BS_CASH_NEAR_CASH_ITEM</stp>
        <stp>FQ2 1990</stp>
        <stp>FQ2 1990</stp>
        <stp>[FA1_ftkzu3fn.xlsx]Bal Sheet - Standardized!R8C4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8" s="3"/>
      </tp>
      <tp>
        <v>1332</v>
        <stp/>
        <stp>##V3_BDHV12</stp>
        <stp>XOM US Equity</stp>
        <stp>BS_CASH_NEAR_CASH_ITEM</stp>
        <stp>FQ4 1990</stp>
        <stp>FQ4 1990</stp>
        <stp>[FA1_ftkzu3fn.xlsx]Bal Sheet - Standardized!R8C6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8" s="3"/>
      </tp>
      <tp t="s">
        <v>—</v>
        <stp/>
        <stp>##V3_BDHV12</stp>
        <stp>XOM US Equity</stp>
        <stp>CHG_PCT_PERIOD</stp>
        <stp>FQ1 1990</stp>
        <stp>FQ1 1990</stp>
        <stp>[FA1_ftkzu3fn.xlsx]Stock Value!R7C3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7" s="6"/>
      </tp>
      <tp>
        <v>1100</v>
        <stp/>
        <stp>##V3_BDHV12</stp>
        <stp>XOM US Equity</stp>
        <stp>NET_INCOME</stp>
        <stp>FQ2 1990</stp>
        <stp>FQ2 1990</stp>
        <stp>[FA1_ftkzu3fn.xlsx]Income - Adjusted!R20C4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D20" s="2"/>
      </tp>
      <tp>
        <v>1075</v>
        <stp/>
        <stp>##V3_BDHV12</stp>
        <stp>XOM US Equity</stp>
        <stp>NET_INCOME</stp>
        <stp>FQ3 1990</stp>
        <stp>FQ3 1990</stp>
        <stp>[FA1_ftkzu3fn.xlsx]Income - Adjusted!R20C5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E20" s="2"/>
      </tp>
      <tp>
        <v>1645</v>
        <stp/>
        <stp>##V3_BDHV12</stp>
        <stp>XOM US Equity</stp>
        <stp>PRETAX_INC</stp>
        <stp>FQ3 1991</stp>
        <stp>FQ3 1991</stp>
        <stp>[FA1_ftkzu3fn.xlsx]Income - Adjusted!R14C9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I14" s="2"/>
      </tp>
      <tp>
        <v>1834</v>
        <stp/>
        <stp>##V3_BDHV12</stp>
        <stp>XOM US Equity</stp>
        <stp>PRETAX_INC</stp>
        <stp>FQ2 1991</stp>
        <stp>FQ2 1991</stp>
        <stp>[FA1_ftkzu3fn.xlsx]Income - Adjusted!R14C8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H14" s="2"/>
      </tp>
      <tp t="s">
        <v>—</v>
        <stp/>
        <stp>##V3_BDHV12</stp>
        <stp>XOM US Equity</stp>
        <stp>INVTRY_IN_PROGRESS</stp>
        <stp>FQ2 1994</stp>
        <stp>FQ2 1994</stp>
        <stp>[FA1_ftkzu3fn.xlsx]Bal Sheet - Standardized!R13C20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13" s="3"/>
      </tp>
      <tp t="s">
        <v>—</v>
        <stp/>
        <stp>##V3_BDHV12</stp>
        <stp>XOM US Equity</stp>
        <stp>INVTRY_IN_PROGRESS</stp>
        <stp>FQ3 1997</stp>
        <stp>FQ3 1997</stp>
        <stp>[FA1_ftkzu3fn.xlsx]Bal Sheet - Standardized!R13C33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13" s="3"/>
      </tp>
      <tp t="s">
        <v>—</v>
        <stp/>
        <stp>##V3_BDHV12</stp>
        <stp>XOM US Equity</stp>
        <stp>INVTRY_IN_PROGRESS</stp>
        <stp>FQ1 1993</stp>
        <stp>FQ1 1993</stp>
        <stp>[FA1_ftkzu3fn.xlsx]Bal Sheet - Standardized!R13C15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13" s="3"/>
      </tp>
      <tp t="s">
        <v>—</v>
        <stp/>
        <stp>##V3_BDHV12</stp>
        <stp>XOM US Equity</stp>
        <stp>INVTRY_IN_PROGRESS</stp>
        <stp>FQ1 1992</stp>
        <stp>FQ1 1992</stp>
        <stp>[FA1_ftkzu3fn.xlsx]Bal Sheet - Standardized!R13C11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13" s="3"/>
      </tp>
      <tp t="s">
        <v>—</v>
        <stp/>
        <stp>##V3_BDHV12</stp>
        <stp>XOM US Equity</stp>
        <stp>INVTRY_IN_PROGRESS</stp>
        <stp>FQ2 1995</stp>
        <stp>FQ2 1995</stp>
        <stp>[FA1_ftkzu3fn.xlsx]Bal Sheet - Standardized!R13C24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13" s="3"/>
      </tp>
      <tp t="s">
        <v>—</v>
        <stp/>
        <stp>##V3_BDHV12</stp>
        <stp>XOM US Equity</stp>
        <stp>INVTRY_IN_PROGRESS</stp>
        <stp>FQ2 1996</stp>
        <stp>FQ2 1996</stp>
        <stp>[FA1_ftkzu3fn.xlsx]Bal Sheet - Standardized!R13C28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13" s="3"/>
      </tp>
      <tp t="s">
        <v>—</v>
        <stp/>
        <stp>##V3_BDHV12</stp>
        <stp>XOM US Equity</stp>
        <stp>INVTRY_IN_PROGRESS</stp>
        <stp>FQ1 1994</stp>
        <stp>FQ1 1994</stp>
        <stp>[FA1_ftkzu3fn.xlsx]Bal Sheet - Standardized!R13C19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13" s="3"/>
      </tp>
      <tp>
        <v>4968</v>
        <stp/>
        <stp>##V3_BDHV12</stp>
        <stp>XOM US Equity</stp>
        <stp>IS_AVG_NUM_SH_FOR_EPS</stp>
        <stp>FQ1 1996</stp>
        <stp>FQ1 1996</stp>
        <stp>[FA1_ftkzu3fn.xlsx]Per Share!R8C27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8" s="5"/>
      </tp>
      <tp>
        <v>2022</v>
        <stp/>
        <stp>##V3_BDHV12</stp>
        <stp>XOM US Equity</stp>
        <stp>OTHER_CURRENT_LIABS_SUB_DETAILED</stp>
        <stp>FQ1 1991</stp>
        <stp>FQ1 1991</stp>
        <stp>[FA1_ftkzu3fn.xlsx]Bal Sheet - Standardized!R30C7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30" s="3"/>
      </tp>
      <tp>
        <v>2090</v>
        <stp/>
        <stp>##V3_BDHV12</stp>
        <stp>XOM US Equity</stp>
        <stp>OTHER_CURRENT_LIABS_SUB_DETAILED</stp>
        <stp>FQ3 1990</stp>
        <stp>FQ3 1990</stp>
        <stp>[FA1_ftkzu3fn.xlsx]Bal Sheet - Standardized!R30C5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30" s="3"/>
      </tp>
      <tp>
        <v>1648</v>
        <stp/>
        <stp>##V3_BDHV12</stp>
        <stp>XOM US Equity</stp>
        <stp>OTHER_CURRENT_LIABS_SUB_DETAILED</stp>
        <stp>FQ2 1990</stp>
        <stp>FQ2 1990</stp>
        <stp>[FA1_ftkzu3fn.xlsx]Bal Sheet - Standardized!R30C4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30" s="3"/>
      </tp>
      <tp>
        <v>8941</v>
        <stp/>
        <stp>##V3_BDHV12</stp>
        <stp>XOM US Equity</stp>
        <stp>OTHER_CURRENT_LIABS_SUB_DETAILED</stp>
        <stp>FQ4 1990</stp>
        <stp>FQ4 1990</stp>
        <stp>[FA1_ftkzu3fn.xlsx]Bal Sheet - Standardized!R30C6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30" s="3"/>
      </tp>
      <tp>
        <v>1818</v>
        <stp/>
        <stp>##V3_BDHV12</stp>
        <stp>XOM US Equity</stp>
        <stp>OTHER_CURRENT_LIABS_SUB_DETAILED</stp>
        <stp>FQ1 1990</stp>
        <stp>FQ1 1990</stp>
        <stp>[FA1_ftkzu3fn.xlsx]Bal Sheet - Standardized!R30C3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30" s="3"/>
      </tp>
      <tp>
        <v>5024</v>
        <stp/>
        <stp>##V3_BDHV12</stp>
        <stp>XOM US Equity</stp>
        <stp>IS_SH_FOR_DILUTED_EPS</stp>
        <stp>FQ1 1996</stp>
        <stp>FQ1 1996</stp>
        <stp>[FA1_ftkzu3fn.xlsx]Per Share!R7C27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7" s="5"/>
      </tp>
      <tp>
        <v>1727</v>
        <stp/>
        <stp>##V3_BDHV12</stp>
        <stp>XOM US Equity</stp>
        <stp>OTHER_CURRENT_LIABS_SUB_DETAILED</stp>
        <stp>FQ2 1991</stp>
        <stp>FQ2 1991</stp>
        <stp>[FA1_ftkzu3fn.xlsx]Bal Sheet - Standardized!R30C8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30" s="3"/>
      </tp>
      <tp>
        <v>2037</v>
        <stp/>
        <stp>##V3_BDHV12</stp>
        <stp>XOM US Equity</stp>
        <stp>OTHER_CURRENT_LIABS_SUB_DETAILED</stp>
        <stp>FQ3 1991</stp>
        <stp>FQ3 1991</stp>
        <stp>[FA1_ftkzu3fn.xlsx]Bal Sheet - Standardized!R30C9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30" s="3"/>
      </tp>
      <tp>
        <v>1417</v>
        <stp/>
        <stp>##V3_BDHV12</stp>
        <stp>XOM US Equity</stp>
        <stp>BS_CASH_NEAR_CASH_ITEM</stp>
        <stp>FQ3 1991</stp>
        <stp>FQ3 1991</stp>
        <stp>[FA1_ftkzu3fn.xlsx]Bal Sheet - Standardized!R8C9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8" s="3"/>
      </tp>
      <tp>
        <v>1036</v>
        <stp/>
        <stp>##V3_BDHV12</stp>
        <stp>XOM US Equity</stp>
        <stp>BS_CASH_NEAR_CASH_ITEM</stp>
        <stp>FQ2 1991</stp>
        <stp>FQ2 1991</stp>
        <stp>[FA1_ftkzu3fn.xlsx]Bal Sheet - Standardized!R8C8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8" s="3"/>
      </tp>
      <tp>
        <v>1635</v>
        <stp/>
        <stp>##V3_BDHV12</stp>
        <stp>XOM US Equity</stp>
        <stp>BS_CASH_NEAR_CASH_ITEM</stp>
        <stp>FQ1 1991</stp>
        <stp>FQ1 1991</stp>
        <stp>[FA1_ftkzu3fn.xlsx]Bal Sheet - Standardized!R8C7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8" s="3"/>
      </tp>
      <tp>
        <v>0.33250000000000002</v>
        <stp/>
        <stp>##V3_BDHV12</stp>
        <stp>XOM US Equity</stp>
        <stp>CASH_ST_INVESTMENTS_PER_SH</stp>
        <stp>FQ4 1993</stp>
        <stp>FQ4 1993</stp>
        <stp>[FA1_ftkzu3fn.xlsx]Per Share!R25C18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25" s="5"/>
      </tp>
      <tp>
        <v>2240</v>
        <stp/>
        <stp>##V3_BDHV12</stp>
        <stp>XOM US Equity</stp>
        <stp>NET_INCOME</stp>
        <stp>FQ1 1991</stp>
        <stp>FQ1 1991</stp>
        <stp>[FA1_ftkzu3fn.xlsx]Income - Adjusted!R20C7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G20" s="2"/>
      </tp>
      <tp t="s">
        <v>—</v>
        <stp/>
        <stp>##V3_BDHV12</stp>
        <stp>XOM US Equity</stp>
        <stp>INVTRY_IN_PROGRESS</stp>
        <stp>FQ3 1994</stp>
        <stp>FQ3 1994</stp>
        <stp>[FA1_ftkzu3fn.xlsx]Bal Sheet - Standardized!R13C21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13" s="3"/>
      </tp>
      <tp t="s">
        <v>—</v>
        <stp/>
        <stp>##V3_BDHV12</stp>
        <stp>XOM US Equity</stp>
        <stp>INVTRY_IN_PROGRESS</stp>
        <stp>FQ2 1997</stp>
        <stp>FQ2 1997</stp>
        <stp>[FA1_ftkzu3fn.xlsx]Bal Sheet - Standardized!R13C32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13" s="3"/>
      </tp>
      <tp t="s">
        <v>—</v>
        <stp/>
        <stp>##V3_BDHV12</stp>
        <stp>XOM US Equity</stp>
        <stp>INVTRY_IN_PROGRESS</stp>
        <stp>FQ3 1995</stp>
        <stp>FQ3 1995</stp>
        <stp>[FA1_ftkzu3fn.xlsx]Bal Sheet - Standardized!R13C25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13" s="3"/>
      </tp>
      <tp>
        <v>0</v>
        <stp/>
        <stp>##V3_BDHV12</stp>
        <stp>XOM US Equity</stp>
        <stp>INVTRY_IN_PROGRESS</stp>
        <stp>FQ2 1998</stp>
        <stp>FQ2 1998</stp>
        <stp>[FA1_ftkzu3fn.xlsx]Bal Sheet - Standardized!R13C36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13" s="3"/>
      </tp>
      <tp t="s">
        <v>—</v>
        <stp/>
        <stp>##V3_BDHV12</stp>
        <stp>XOM US Equity</stp>
        <stp>INVTRY_IN_PROGRESS</stp>
        <stp>FQ3 1996</stp>
        <stp>FQ3 1996</stp>
        <stp>[FA1_ftkzu3fn.xlsx]Bal Sheet - Standardized!R13C29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13" s="3"/>
      </tp>
      <tp t="s">
        <v>—</v>
        <stp/>
        <stp>##V3_BDHV12</stp>
        <stp>XOM US Equity</stp>
        <stp>CF_FREE_CASH_FLOW</stp>
        <stp>FQ4 1990</stp>
        <stp>FQ4 1990</stp>
        <stp>[FA1_ftkzu3fn.xlsx]Cash Flow - Standardized!R40C6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40" s="4"/>
      </tp>
      <tp t="s">
        <v>—</v>
        <stp/>
        <stp>##V3_BDHV12</stp>
        <stp>XOM US Equity</stp>
        <stp>CF_FREE_CASH_FLOW</stp>
        <stp>FQ1 1990</stp>
        <stp>FQ1 1990</stp>
        <stp>[FA1_ftkzu3fn.xlsx]Cash Flow - Standardized!R40C3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40" s="4"/>
      </tp>
      <tp t="s">
        <v>—</v>
        <stp/>
        <stp>##V3_BDHV12</stp>
        <stp>XOM US Equity</stp>
        <stp>CF_FREE_CASH_FLOW</stp>
        <stp>FQ1 1991</stp>
        <stp>FQ1 1991</stp>
        <stp>[FA1_ftkzu3fn.xlsx]Cash Flow - Standardized!R40C7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40" s="4"/>
      </tp>
      <tp t="s">
        <v>—</v>
        <stp/>
        <stp>##V3_BDHV12</stp>
        <stp>XOM US Equity</stp>
        <stp>CF_FREE_CASH_FLOW</stp>
        <stp>FQ2 1990</stp>
        <stp>FQ2 1990</stp>
        <stp>[FA1_ftkzu3fn.xlsx]Cash Flow - Standardized!R40C4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40" s="4"/>
      </tp>
      <tp t="s">
        <v>—</v>
        <stp/>
        <stp>##V3_BDHV12</stp>
        <stp>XOM US Equity</stp>
        <stp>CF_FREE_CASH_FLOW</stp>
        <stp>FQ3 1990</stp>
        <stp>FQ3 1990</stp>
        <stp>[FA1_ftkzu3fn.xlsx]Cash Flow - Standardized!R40C5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40" s="4"/>
      </tp>
      <tp t="s">
        <v>—</v>
        <stp/>
        <stp>##V3_BDHV12</stp>
        <stp>XOM US Equity</stp>
        <stp>CF_FREE_CASH_FLOW</stp>
        <stp>FQ3 1991</stp>
        <stp>FQ3 1991</stp>
        <stp>[FA1_ftkzu3fn.xlsx]Cash Flow - Standardized!R40C9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40" s="4"/>
      </tp>
      <tp t="s">
        <v>—</v>
        <stp/>
        <stp>##V3_BDHV12</stp>
        <stp>XOM US Equity</stp>
        <stp>CF_FREE_CASH_FLOW</stp>
        <stp>FQ2 1991</stp>
        <stp>FQ2 1991</stp>
        <stp>[FA1_ftkzu3fn.xlsx]Cash Flow - Standardized!R40C8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40" s="4"/>
      </tp>
      <tp>
        <v>-16.903099999999998</v>
        <stp/>
        <stp>##V3_BDHV12</stp>
        <stp>XOM US Equity</stp>
        <stp>CASH_CONVERSION_CYCLE</stp>
        <stp>FQ2 1998</stp>
        <stp>FQ2 1998</stp>
        <stp>[FA1_ftkzu3fn.xlsx]Bal Sheet - Standardized!R54C36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J54" s="3"/>
      </tp>
      <tp>
        <v>-15.041600000000001</v>
        <stp/>
        <stp>##V3_BDHV12</stp>
        <stp>XOM US Equity</stp>
        <stp>CASH_CONVERSION_CYCLE</stp>
        <stp>FQ1 1998</stp>
        <stp>FQ1 1998</stp>
        <stp>[FA1_ftkzu3fn.xlsx]Bal Sheet - Standardized!R54C35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I54" s="3"/>
      </tp>
      <tp>
        <v>1.829</v>
        <stp/>
        <stp>##V3_BDHV12</stp>
        <stp>XOM US Equity</stp>
        <stp>CASH_FLOW_TO_NET_INC</stp>
        <stp>FQ2 1998</stp>
        <stp>FQ2 1998</stp>
        <stp>[FA1_ftkzu3fn.xlsx]Cash Flow - Standardized!R45C36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J45" s="4"/>
      </tp>
      <tp>
        <v>1.6265000000000001</v>
        <stp/>
        <stp>##V3_BDHV12</stp>
        <stp>XOM US Equity</stp>
        <stp>CASH_FLOW_TO_NET_INC</stp>
        <stp>FQ1 1998</stp>
        <stp>FQ1 1998</stp>
        <stp>[FA1_ftkzu3fn.xlsx]Cash Flow - Standardized!R45C35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I45" s="4"/>
      </tp>
      <tp t="s">
        <v>—</v>
        <stp/>
        <stp>##V3_BDHV12</stp>
        <stp>XOM US Equity</stp>
        <stp>INVTRY_IN_PROGRESS</stp>
        <stp>FQ1 1997</stp>
        <stp>FQ1 1997</stp>
        <stp>[FA1_ftkzu3fn.xlsx]Bal Sheet - Standardized!R13C31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13" s="3"/>
      </tp>
      <tp t="s">
        <v>—</v>
        <stp/>
        <stp>##V3_BDHV12</stp>
        <stp>XOM US Equity</stp>
        <stp>INVTRY_IN_PROGRESS</stp>
        <stp>FQ3 1993</stp>
        <stp>FQ3 1993</stp>
        <stp>[FA1_ftkzu3fn.xlsx]Bal Sheet - Standardized!R13C17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13" s="3"/>
      </tp>
      <tp t="s">
        <v>—</v>
        <stp/>
        <stp>##V3_BDHV12</stp>
        <stp>XOM US Equity</stp>
        <stp>INVTRY_IN_PROGRESS</stp>
        <stp>FQ3 1992</stp>
        <stp>FQ3 1992</stp>
        <stp>[FA1_ftkzu3fn.xlsx]Bal Sheet - Standardized!R13C13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13" s="3"/>
      </tp>
      <tp t="s">
        <v>—</v>
        <stp/>
        <stp>##V3_BDHV12</stp>
        <stp>XOM US Equity</stp>
        <stp>INVTRY_IN_PROGRESS</stp>
        <stp>FQ1 1998</stp>
        <stp>FQ1 1998</stp>
        <stp>[FA1_ftkzu3fn.xlsx]Bal Sheet - Standardized!R13C35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13" s="3"/>
      </tp>
      <tp>
        <v>4968</v>
        <stp/>
        <stp>##V3_BDHV12</stp>
        <stp>XOM US Equity</stp>
        <stp>IS_AVG_NUM_SH_FOR_EPS</stp>
        <stp>FQ4 1996</stp>
        <stp>FQ4 1996</stp>
        <stp>[FA1_ftkzu3fn.xlsx]Per Share!R8C30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8" s="5"/>
      </tp>
      <tp>
        <v>4966.7997999999998</v>
        <stp/>
        <stp>##V3_BDHV12</stp>
        <stp>XOM US Equity</stp>
        <stp>IS_AVG_NUM_SH_FOR_EPS</stp>
        <stp>FQ4 1994</stp>
        <stp>FQ4 1994</stp>
        <stp>[FA1_ftkzu3fn.xlsx]Per Share!R8C22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8" s="5"/>
      </tp>
      <tp>
        <v>4966.1518999999998</v>
        <stp/>
        <stp>##V3_BDHV12</stp>
        <stp>XOM US Equity</stp>
        <stp>IS_AVG_NUM_SH_FOR_EPS</stp>
        <stp>FQ3 1992</stp>
        <stp>FQ3 1992</stp>
        <stp>[FA1_ftkzu3fn.xlsx]Per Share!R8C13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8" s="5"/>
      </tp>
      <tp>
        <v>4965.8959999999997</v>
        <stp/>
        <stp>##V3_BDHV12</stp>
        <stp>XOM US Equity</stp>
        <stp>IS_AVG_NUM_SH_FOR_EPS</stp>
        <stp>FQ2 1992</stp>
        <stp>FQ2 1992</stp>
        <stp>[FA1_ftkzu3fn.xlsx]Per Share!R8C12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8" s="5"/>
      </tp>
      <tp>
        <v>4966.6958000000004</v>
        <stp/>
        <stp>##V3_BDHV12</stp>
        <stp>XOM US Equity</stp>
        <stp>IS_AVG_NUM_SH_FOR_EPS</stp>
        <stp>FQ1 1992</stp>
        <stp>FQ1 1992</stp>
        <stp>[FA1_ftkzu3fn.xlsx]Per Share!R8C11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8" s="5"/>
      </tp>
      <tp>
        <v>4966</v>
        <stp/>
        <stp>##V3_BDHV12</stp>
        <stp>XOM US Equity</stp>
        <stp>IS_AVG_NUM_SH_FOR_EPS</stp>
        <stp>FQ4 1992</stp>
        <stp>FQ4 1992</stp>
        <stp>[FA1_ftkzu3fn.xlsx]Per Share!R8C14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8" s="5"/>
      </tp>
      <tp>
        <v>4966.6958000000004</v>
        <stp/>
        <stp>##V3_BDHV12</stp>
        <stp>XOM US Equity</stp>
        <stp>IS_SH_FOR_DILUTED_EPS</stp>
        <stp>FQ1 1992</stp>
        <stp>FQ1 1992</stp>
        <stp>[FA1_ftkzu3fn.xlsx]Per Share!R7C11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7" s="5"/>
      </tp>
      <tp>
        <v>4965.8959999999997</v>
        <stp/>
        <stp>##V3_BDHV12</stp>
        <stp>XOM US Equity</stp>
        <stp>IS_SH_FOR_DILUTED_EPS</stp>
        <stp>FQ2 1992</stp>
        <stp>FQ2 1992</stp>
        <stp>[FA1_ftkzu3fn.xlsx]Per Share!R7C12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7" s="5"/>
      </tp>
      <tp>
        <v>4966.1518999999998</v>
        <stp/>
        <stp>##V3_BDHV12</stp>
        <stp>XOM US Equity</stp>
        <stp>IS_SH_FOR_DILUTED_EPS</stp>
        <stp>FQ3 1992</stp>
        <stp>FQ3 1992</stp>
        <stp>[FA1_ftkzu3fn.xlsx]Per Share!R7C13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7" s="5"/>
      </tp>
      <tp>
        <v>4966</v>
        <stp/>
        <stp>##V3_BDHV12</stp>
        <stp>XOM US Equity</stp>
        <stp>IS_SH_FOR_DILUTED_EPS</stp>
        <stp>FQ4 1992</stp>
        <stp>FQ4 1992</stp>
        <stp>[FA1_ftkzu3fn.xlsx]Per Share!R7C14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7" s="5"/>
      </tp>
      <tp>
        <v>4966.7997999999998</v>
        <stp/>
        <stp>##V3_BDHV12</stp>
        <stp>XOM US Equity</stp>
        <stp>IS_SH_FOR_DILUTED_EPS</stp>
        <stp>FQ4 1994</stp>
        <stp>FQ4 1994</stp>
        <stp>[FA1_ftkzu3fn.xlsx]Per Share!R7C22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7" s="5"/>
      </tp>
      <tp>
        <v>4968</v>
        <stp/>
        <stp>##V3_BDHV12</stp>
        <stp>XOM US Equity</stp>
        <stp>IS_SH_FOR_DILUTED_EPS</stp>
        <stp>FQ4 1996</stp>
        <stp>FQ4 1996</stp>
        <stp>[FA1_ftkzu3fn.xlsx]Per Share!R7C30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7" s="5"/>
      </tp>
      <tp>
        <v>0.3075</v>
        <stp/>
        <stp>##V3_BDHV12</stp>
        <stp>XOM US Equity</stp>
        <stp>IS_BASIC_EPS_CONT_OPS</stp>
        <stp>FQ4 1990</stp>
        <stp>FQ4 1990</stp>
        <stp>[FA1_ftkzu3fn.xlsx]Per Share!R16C6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16" s="5"/>
      </tp>
      <tp t="s">
        <v>—</v>
        <stp/>
        <stp>##V3_BDHV12</stp>
        <stp>XOM US Equity</stp>
        <stp>IS_BASIC_EPS_CONT_OPS</stp>
        <stp>FQ1 1990</stp>
        <stp>FQ1 1990</stp>
        <stp>[FA1_ftkzu3fn.xlsx]Per Share!R16C3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16" s="5"/>
      </tp>
      <tp t="s">
        <v>—</v>
        <stp/>
        <stp>##V3_BDHV12</stp>
        <stp>XOM US Equity</stp>
        <stp>INVTRY_IN_PROGRESS</stp>
        <stp>FQ1 1995</stp>
        <stp>FQ1 1995</stp>
        <stp>[FA1_ftkzu3fn.xlsx]Bal Sheet - Standardized!R13C23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13" s="3"/>
      </tp>
      <tp t="s">
        <v>—</v>
        <stp/>
        <stp>##V3_BDHV12</stp>
        <stp>XOM US Equity</stp>
        <stp>INVTRY_IN_PROGRESS</stp>
        <stp>FQ2 1993</stp>
        <stp>FQ2 1993</stp>
        <stp>[FA1_ftkzu3fn.xlsx]Bal Sheet - Standardized!R13C16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13" s="3"/>
      </tp>
      <tp t="s">
        <v>—</v>
        <stp/>
        <stp>##V3_BDHV12</stp>
        <stp>XOM US Equity</stp>
        <stp>INVTRY_IN_PROGRESS</stp>
        <stp>FQ2 1992</stp>
        <stp>FQ2 1992</stp>
        <stp>[FA1_ftkzu3fn.xlsx]Bal Sheet - Standardized!R13C12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13" s="3"/>
      </tp>
      <tp t="s">
        <v>—</v>
        <stp/>
        <stp>##V3_BDHV12</stp>
        <stp>XOM US Equity</stp>
        <stp>INVTRY_IN_PROGRESS</stp>
        <stp>FQ1 1996</stp>
        <stp>FQ1 1996</stp>
        <stp>[FA1_ftkzu3fn.xlsx]Bal Sheet - Standardized!R13C27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13" s="3"/>
      </tp>
      <tp>
        <v>8994</v>
        <stp/>
        <stp>##V3_BDHV12</stp>
        <stp>XOM US Equity</stp>
        <stp>ACCT_PAYABLE_&amp;_ACCRUALS_DETAILED</stp>
        <stp>FQ4 1990</stp>
        <stp>FQ4 1990</stp>
        <stp>[FA1_ftkzu3fn.xlsx]Bal Sheet - Standardized!R27C6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7" s="3"/>
      </tp>
      <tp>
        <v>12263</v>
        <stp/>
        <stp>##V3_BDHV12</stp>
        <stp>XOM US Equity</stp>
        <stp>ACCT_PAYABLE_&amp;_ACCRUALS_DETAILED</stp>
        <stp>FQ1 1990</stp>
        <stp>FQ1 1990</stp>
        <stp>[FA1_ftkzu3fn.xlsx]Bal Sheet - Standardized!R27C3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7" s="3"/>
      </tp>
      <tp>
        <v>14083</v>
        <stp/>
        <stp>##V3_BDHV12</stp>
        <stp>XOM US Equity</stp>
        <stp>ACCT_PAYABLE_&amp;_ACCRUALS_DETAILED</stp>
        <stp>FQ3 1990</stp>
        <stp>FQ3 1990</stp>
        <stp>[FA1_ftkzu3fn.xlsx]Bal Sheet - Standardized!R27C5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7" s="3"/>
      </tp>
      <tp>
        <v>12482</v>
        <stp/>
        <stp>##V3_BDHV12</stp>
        <stp>XOM US Equity</stp>
        <stp>ACCT_PAYABLE_&amp;_ACCRUALS_DETAILED</stp>
        <stp>FQ2 1990</stp>
        <stp>FQ2 1990</stp>
        <stp>[FA1_ftkzu3fn.xlsx]Bal Sheet - Standardized!R27C4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7" s="3"/>
      </tp>
      <tp>
        <v>13047</v>
        <stp/>
        <stp>##V3_BDHV12</stp>
        <stp>XOM US Equity</stp>
        <stp>ACCT_PAYABLE_&amp;_ACCRUALS_DETAILED</stp>
        <stp>FQ1 1991</stp>
        <stp>FQ1 1991</stp>
        <stp>[FA1_ftkzu3fn.xlsx]Bal Sheet - Standardized!R27C7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7" s="3"/>
      </tp>
      <tp>
        <v>12560</v>
        <stp/>
        <stp>##V3_BDHV12</stp>
        <stp>XOM US Equity</stp>
        <stp>ACCT_PAYABLE_&amp;_ACCRUALS_DETAILED</stp>
        <stp>FQ2 1991</stp>
        <stp>FQ2 1991</stp>
        <stp>[FA1_ftkzu3fn.xlsx]Bal Sheet - Standardized!R27C8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7" s="3"/>
      </tp>
      <tp>
        <v>13063</v>
        <stp/>
        <stp>##V3_BDHV12</stp>
        <stp>XOM US Equity</stp>
        <stp>ACCT_PAYABLE_&amp;_ACCRUALS_DETAILED</stp>
        <stp>FQ3 1991</stp>
        <stp>FQ3 1991</stp>
        <stp>[FA1_ftkzu3fn.xlsx]Bal Sheet - Standardized!R27C9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7" s="3"/>
      </tp>
      <tp>
        <v>4970</v>
        <stp/>
        <stp>##V3_BDHV12</stp>
        <stp>XOM US Equity</stp>
        <stp>IS_AVG_NUM_SH_FOR_EPS</stp>
        <stp>FQ2 1995</stp>
        <stp>FQ2 1995</stp>
        <stp>[FA1_ftkzu3fn.xlsx]Per Share!R8C24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8" s="5"/>
      </tp>
      <tp>
        <v>4967.2002000000002</v>
        <stp/>
        <stp>##V3_BDHV12</stp>
        <stp>XOM US Equity</stp>
        <stp>IS_AVG_NUM_SH_FOR_EPS</stp>
        <stp>FQ3 1995</stp>
        <stp>FQ3 1995</stp>
        <stp>[FA1_ftkzu3fn.xlsx]Per Share!R8C25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8" s="5"/>
      </tp>
      <tp>
        <v>4967.2002000000002</v>
        <stp/>
        <stp>##V3_BDHV12</stp>
        <stp>XOM US Equity</stp>
        <stp>IS_SH_FOR_DILUTED_EPS</stp>
        <stp>FQ3 1995</stp>
        <stp>FQ3 1995</stp>
        <stp>[FA1_ftkzu3fn.xlsx]Per Share!R7C25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7" s="5"/>
      </tp>
      <tp>
        <v>4970</v>
        <stp/>
        <stp>##V3_BDHV12</stp>
        <stp>XOM US Equity</stp>
        <stp>IS_SH_FOR_DILUTED_EPS</stp>
        <stp>FQ2 1995</stp>
        <stp>FQ2 1995</stp>
        <stp>[FA1_ftkzu3fn.xlsx]Per Share!R7C24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7" s="5"/>
      </tp>
      <tp t="s">
        <v>—</v>
        <stp/>
        <stp>##V3_BDHV12</stp>
        <stp>XOM US Equity</stp>
        <stp>CF_DECR_CAP_STOCK</stp>
        <stp>FQ2 1993</stp>
        <stp>FQ2 1993</stp>
        <stp>[FA1_ftkzu3fn.xlsx]Cash Flow - Standardized!R30C16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30" s="4"/>
      </tp>
      <tp t="s">
        <v>—</v>
        <stp/>
        <stp>##V3_BDHV12</stp>
        <stp>XOM US Equity</stp>
        <stp>CF_DECR_CAP_STOCK</stp>
        <stp>FQ1 1995</stp>
        <stp>FQ1 1995</stp>
        <stp>[FA1_ftkzu3fn.xlsx]Cash Flow - Standardized!R30C23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30" s="4"/>
      </tp>
      <tp t="s">
        <v>—</v>
        <stp/>
        <stp>##V3_BDHV12</stp>
        <stp>XOM US Equity</stp>
        <stp>CF_DECR_CAP_STOCK</stp>
        <stp>FQ2 1992</stp>
        <stp>FQ2 1992</stp>
        <stp>[FA1_ftkzu3fn.xlsx]Cash Flow - Standardized!R30C12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30" s="4"/>
      </tp>
      <tp t="s">
        <v>—</v>
        <stp/>
        <stp>##V3_BDHV12</stp>
        <stp>XOM US Equity</stp>
        <stp>CF_DECR_CAP_STOCK</stp>
        <stp>FQ1 1996</stp>
        <stp>FQ1 1996</stp>
        <stp>[FA1_ftkzu3fn.xlsx]Cash Flow - Standardized!R30C27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30" s="4"/>
      </tp>
      <tp>
        <v>0.3</v>
        <stp/>
        <stp>##V3_BDHV12</stp>
        <stp>XOM US Equity</stp>
        <stp>IS_BASIC_EPS_CONT_OPS</stp>
        <stp>FQ3 1995</stp>
        <stp>FQ3 1995</stp>
        <stp>[FA1_ftkzu3fn.xlsx]Per Share!R16C25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16" s="5"/>
      </tp>
      <tp t="s">
        <v>—</v>
        <stp/>
        <stp>##V3_BDHV12</stp>
        <stp>XOM US Equity</stp>
        <stp>IS_BASIC_EPS_CONT_OPS</stp>
        <stp>FQ2 1992</stp>
        <stp>FQ2 1992</stp>
        <stp>[FA1_ftkzu3fn.xlsx]Per Share!R16C12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16" s="5"/>
      </tp>
      <tp>
        <v>4978.9840000000004</v>
        <stp/>
        <stp>##V3_BDHV12</stp>
        <stp>XOM US Equity</stp>
        <stp>EQY_SH_OUT</stp>
        <stp>FQ2 1991</stp>
        <stp>FQ2 1991</stp>
        <stp>[FA1_ftkzu3fn.xlsx]Stock Value!R13C8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13" s="6"/>
      </tp>
      <tp>
        <v>751</v>
        <stp/>
        <stp>##V3_BDHV12</stp>
        <stp>XOM US Equity</stp>
        <stp>IS_TOT_CASH_COM_DVD</stp>
        <stp>FQ1 1991</stp>
        <stp>FQ1 1991</stp>
        <stp>[FA1_ftkzu3fn.xlsx]Income - Adjusted!R47C7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47" s="2"/>
      </tp>
      <tp>
        <v>873.5</v>
        <stp/>
        <stp>##V3_BDHV12</stp>
        <stp>XOM US Equity</stp>
        <stp>EARN_FOR_COMMON</stp>
        <stp>FQ2 1994</stp>
        <stp>FQ2 1994</stp>
        <stp>[FA1_ftkzu3fn.xlsx]Income - Adjusted!R24C20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T24" s="2"/>
      </tp>
      <tp>
        <v>1815.75</v>
        <stp/>
        <stp>##V3_BDHV12</stp>
        <stp>XOM US Equity</stp>
        <stp>EARN_FOR_COMMON</stp>
        <stp>FQ3 1997</stp>
        <stp>FQ3 1997</stp>
        <stp>[FA1_ftkzu3fn.xlsx]Income - Adjusted!R24C33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G24" s="2"/>
      </tp>
      <tp>
        <v>1346.5</v>
        <stp/>
        <stp>##V3_BDHV12</stp>
        <stp>XOM US Equity</stp>
        <stp>EARN_FOR_COMMON</stp>
        <stp>FQ3 1993</stp>
        <stp>FQ3 1993</stp>
        <stp>[FA1_ftkzu3fn.xlsx]Income - Adjusted!R24C17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Q24" s="2"/>
      </tp>
      <tp>
        <v>750</v>
        <stp/>
        <stp>##V3_BDHV12</stp>
        <stp>XOM US Equity</stp>
        <stp>IS_TOT_CASH_COM_DVD</stp>
        <stp>FQ1 1990</stp>
        <stp>FQ1 1990</stp>
        <stp>[FA1_ftkzu3fn.xlsx]Income - Adjusted!R47C3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47" s="2"/>
      </tp>
      <tp>
        <v>2247</v>
        <stp/>
        <stp>##V3_BDHV12</stp>
        <stp>XOM US Equity</stp>
        <stp>BS_ST_BORROW</stp>
        <stp>FQ4 1995</stp>
        <stp>FQ4 1995</stp>
        <stp>[FA1_ftkzu3fn.xlsx]Bal Sheet - Standardized!R29C26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29" s="3"/>
      </tp>
      <tp>
        <v>3858</v>
        <stp/>
        <stp>##V3_BDHV12</stp>
        <stp>XOM US Equity</stp>
        <stp>BS_ST_BORROW</stp>
        <stp>FQ4 1994</stp>
        <stp>FQ4 1994</stp>
        <stp>[FA1_ftkzu3fn.xlsx]Bal Sheet - Standardized!R29C22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29" s="3"/>
      </tp>
      <tp>
        <v>1588</v>
        <stp/>
        <stp>##V3_BDHV12</stp>
        <stp>XOM US Equity</stp>
        <stp>NI_INCLUDING_MINORITY_INT_RATIO</stp>
        <stp>FQ4 1990</stp>
        <stp>FQ4 1990</stp>
        <stp>[FA1_ftkzu3fn.xlsx]Income - Adjusted!R18C6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F18" s="2"/>
      </tp>
      <tp>
        <v>1351</v>
        <stp/>
        <stp>##V3_BDHV12</stp>
        <stp>XOM US Equity</stp>
        <stp>NI_INCLUDING_MINORITY_INT_RATIO</stp>
        <stp>FQ1 1990</stp>
        <stp>FQ1 1990</stp>
        <stp>[FA1_ftkzu3fn.xlsx]Income - Adjusted!R18C3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C18" s="2"/>
      </tp>
      <tp>
        <v>54377</v>
        <stp/>
        <stp>##V3_BDHV12</stp>
        <stp>XOM US Equity</stp>
        <stp>OTHER_INS_RES_TO_SHRHLDR_EQY</stp>
        <stp>FQ4 1995</stp>
        <stp>FQ4 1995</stp>
        <stp>[FA1_ftkzu3fn.xlsx]Bal Sheet - Standardized!R41C26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41" s="3"/>
      </tp>
      <tp>
        <v>53457</v>
        <stp/>
        <stp>##V3_BDHV12</stp>
        <stp>XOM US Equity</stp>
        <stp>OTHER_INS_RES_TO_SHRHLDR_EQY</stp>
        <stp>FQ1 1995</stp>
        <stp>FQ1 1995</stp>
        <stp>[FA1_ftkzu3fn.xlsx]Bal Sheet - Standardized!R41C23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41" s="3"/>
      </tp>
      <tp>
        <v>50870</v>
        <stp/>
        <stp>##V3_BDHV12</stp>
        <stp>XOM US Equity</stp>
        <stp>OTHER_INS_RES_TO_SHRHLDR_EQY</stp>
        <stp>FQ4 1997</stp>
        <stp>FQ4 1997</stp>
        <stp>[FA1_ftkzu3fn.xlsx]Bal Sheet - Standardized!R41C34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41" s="3"/>
      </tp>
      <tp>
        <v>49902</v>
        <stp/>
        <stp>##V3_BDHV12</stp>
        <stp>XOM US Equity</stp>
        <stp>OTHER_INS_RES_TO_SHRHLDR_EQY</stp>
        <stp>FQ3 1997</stp>
        <stp>FQ3 1997</stp>
        <stp>[FA1_ftkzu3fn.xlsx]Bal Sheet - Standardized!R41C33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41" s="3"/>
      </tp>
      <tp>
        <v>49755</v>
        <stp/>
        <stp>##V3_BDHV12</stp>
        <stp>XOM US Equity</stp>
        <stp>OTHER_INS_RES_TO_SHRHLDR_EQY</stp>
        <stp>FQ2 1997</stp>
        <stp>FQ2 1997</stp>
        <stp>[FA1_ftkzu3fn.xlsx]Bal Sheet - Standardized!R41C32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41" s="3"/>
      </tp>
      <tp>
        <v>48862</v>
        <stp/>
        <stp>##V3_BDHV12</stp>
        <stp>XOM US Equity</stp>
        <stp>OTHER_INS_RES_TO_SHRHLDR_EQY</stp>
        <stp>FQ1 1997</stp>
        <stp>FQ1 1997</stp>
        <stp>[FA1_ftkzu3fn.xlsx]Bal Sheet - Standardized!R41C31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41" s="3"/>
      </tp>
      <tp>
        <v>47457</v>
        <stp/>
        <stp>##V3_BDHV12</stp>
        <stp>XOM US Equity</stp>
        <stp>OTHER_INS_RES_TO_SHRHLDR_EQY</stp>
        <stp>FQ1 1993</stp>
        <stp>FQ1 1993</stp>
        <stp>[FA1_ftkzu3fn.xlsx]Bal Sheet - Standardized!R41C15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41" s="3"/>
      </tp>
      <tp>
        <v>48097</v>
        <stp/>
        <stp>##V3_BDHV12</stp>
        <stp>XOM US Equity</stp>
        <stp>OTHER_INS_RES_TO_SHRHLDR_EQY</stp>
        <stp>FQ3 1993</stp>
        <stp>FQ3 1993</stp>
        <stp>[FA1_ftkzu3fn.xlsx]Bal Sheet - Standardized!R41C17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41" s="3"/>
      </tp>
      <tp>
        <v>48470</v>
        <stp/>
        <stp>##V3_BDHV12</stp>
        <stp>XOM US Equity</stp>
        <stp>OTHER_INS_RES_TO_SHRHLDR_EQY</stp>
        <stp>FQ2 1993</stp>
        <stp>FQ2 1993</stp>
        <stp>[FA1_ftkzu3fn.xlsx]Bal Sheet - Standardized!R41C16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41" s="3"/>
      </tp>
      <tp>
        <v>71</v>
        <stp/>
        <stp>##V3_BDHV12</stp>
        <stp>XOM US Equity</stp>
        <stp>MIN_NONCONTROL_INTEREST_CREDITS</stp>
        <stp>FQ1 1990</stp>
        <stp>FQ1 1990</stp>
        <stp>[FA1_ftkzu3fn.xlsx]Income - Adjusted!R19C3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C19" s="2"/>
      </tp>
      <tp>
        <v>33</v>
        <stp/>
        <stp>##V3_BDHV12</stp>
        <stp>XOM US Equity</stp>
        <stp>MIN_NONCONTROL_INTEREST_CREDITS</stp>
        <stp>FQ4 1990</stp>
        <stp>FQ4 1990</stp>
        <stp>[FA1_ftkzu3fn.xlsx]Income - Adjusted!R19C6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F19" s="2"/>
      </tp>
      <tp>
        <v>0.18</v>
        <stp/>
        <stp>##V3_BDHV12</stp>
        <stp>XOM US Equity</stp>
        <stp>EQY_DPS</stp>
        <stp>FQ4 1993</stp>
        <stp>FQ4 1993</stp>
        <stp>[FA1_ftkzu3fn.xlsx]Per Share!R20C18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20" s="5"/>
      </tp>
      <tp>
        <v>1881</v>
        <stp/>
        <stp>##V3_BDHV12</stp>
        <stp>XOM US Equity</stp>
        <stp>IS_OPER_INC</stp>
        <stp>FQ2 1990</stp>
        <stp>FQ2 1990</stp>
        <stp>[FA1_ftkzu3fn.xlsx]Income - Adjusted!R10C4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D10" s="2"/>
      </tp>
      <tp>
        <v>1963</v>
        <stp/>
        <stp>##V3_BDHV12</stp>
        <stp>XOM US Equity</stp>
        <stp>IS_OPER_INC</stp>
        <stp>FQ3 1990</stp>
        <stp>FQ3 1990</stp>
        <stp>[FA1_ftkzu3fn.xlsx]Income - Adjusted!R10C5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E10" s="2"/>
      </tp>
      <tp>
        <v>4966</v>
        <stp/>
        <stp>##V3_BDHV12</stp>
        <stp>XOM US Equity</stp>
        <stp>IS_AVG_NUM_SH_FOR_EPS</stp>
        <stp>FQ4 1992</stp>
        <stp>FQ4 1992</stp>
        <stp>[FA1_ftkzu3fn.xlsx]Income - Adjusted!R27C14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27" s="2"/>
      </tp>
      <tp>
        <v>4968</v>
        <stp/>
        <stp>##V3_BDHV12</stp>
        <stp>XOM US Equity</stp>
        <stp>IS_AVG_NUM_SH_FOR_EPS</stp>
        <stp>FQ4 1996</stp>
        <stp>FQ4 1996</stp>
        <stp>[FA1_ftkzu3fn.xlsx]Income - Adjusted!R27C30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27" s="2"/>
      </tp>
      <tp>
        <v>4966.7997999999998</v>
        <stp/>
        <stp>##V3_BDHV12</stp>
        <stp>XOM US Equity</stp>
        <stp>IS_AVG_NUM_SH_FOR_EPS</stp>
        <stp>FQ4 1994</stp>
        <stp>FQ4 1994</stp>
        <stp>[FA1_ftkzu3fn.xlsx]Income - Adjusted!R27C22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27" s="2"/>
      </tp>
      <tp>
        <v>4968</v>
        <stp/>
        <stp>##V3_BDHV12</stp>
        <stp>XOM US Equity</stp>
        <stp>IS_AVG_NUM_SH_FOR_EPS</stp>
        <stp>FQ1 1997</stp>
        <stp>FQ1 1997</stp>
        <stp>[FA1_ftkzu3fn.xlsx]Income - Adjusted!R27C31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27" s="2"/>
      </tp>
      <tp>
        <v>4967.6000999999997</v>
        <stp/>
        <stp>##V3_BDHV12</stp>
        <stp>XOM US Equity</stp>
        <stp>IS_AVG_NUM_SH_FOR_EPS</stp>
        <stp>FQ1 1995</stp>
        <stp>FQ1 1995</stp>
        <stp>[FA1_ftkzu3fn.xlsx]Income - Adjusted!R27C23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27" s="2"/>
      </tp>
      <tp>
        <v>4966.7440999999999</v>
        <stp/>
        <stp>##V3_BDHV12</stp>
        <stp>XOM US Equity</stp>
        <stp>IS_AVG_NUM_SH_FOR_EPS</stp>
        <stp>FQ1 1993</stp>
        <stp>FQ1 1993</stp>
        <stp>[FA1_ftkzu3fn.xlsx]Income - Adjusted!R27C15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27" s="2"/>
      </tp>
      <tp t="s">
        <v>—</v>
        <stp/>
        <stp>##V3_BDHV12</stp>
        <stp>XOM US Equity</stp>
        <stp>CF_DECR_CAP_STOCK</stp>
        <stp>FQ3 1993</stp>
        <stp>FQ3 1993</stp>
        <stp>[FA1_ftkzu3fn.xlsx]Cash Flow - Standardized!R30C17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30" s="4"/>
      </tp>
      <tp>
        <v>-166</v>
        <stp/>
        <stp>##V3_BDHV12</stp>
        <stp>XOM US Equity</stp>
        <stp>CF_DECR_CAP_STOCK</stp>
        <stp>FQ1 1997</stp>
        <stp>FQ1 1997</stp>
        <stp>[FA1_ftkzu3fn.xlsx]Cash Flow - Standardized!R30C31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30" s="4"/>
      </tp>
      <tp t="s">
        <v>—</v>
        <stp/>
        <stp>##V3_BDHV12</stp>
        <stp>XOM US Equity</stp>
        <stp>CF_DECR_CAP_STOCK</stp>
        <stp>FQ3 1992</stp>
        <stp>FQ3 1992</stp>
        <stp>[FA1_ftkzu3fn.xlsx]Cash Flow - Standardized!R30C13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30" s="4"/>
      </tp>
      <tp>
        <v>-797</v>
        <stp/>
        <stp>##V3_BDHV12</stp>
        <stp>XOM US Equity</stp>
        <stp>CF_DECR_CAP_STOCK</stp>
        <stp>FQ1 1998</stp>
        <stp>FQ1 1998</stp>
        <stp>[FA1_ftkzu3fn.xlsx]Cash Flow - Standardized!R30C35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30" s="4"/>
      </tp>
      <tp>
        <v>0.2225</v>
        <stp/>
        <stp>##V3_BDHV12</stp>
        <stp>XOM US Equity</stp>
        <stp>IS_BASIC_EPS_CONT_OPS</stp>
        <stp>FQ4 1991</stp>
        <stp>FQ4 1991</stp>
        <stp>[FA1_ftkzu3fn.xlsx]Per Share!R16C10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16" s="5"/>
      </tp>
      <tp t="s">
        <v>—</v>
        <stp/>
        <stp>##V3_BDHV12</stp>
        <stp>XOM US Equity</stp>
        <stp>IS_BASIC_EPS_CONT_OPS</stp>
        <stp>FQ3 1992</stp>
        <stp>FQ3 1992</stp>
        <stp>[FA1_ftkzu3fn.xlsx]Per Share!R16C13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16" s="5"/>
      </tp>
      <tp t="s">
        <v>—</v>
        <stp/>
        <stp>##V3_BDHV12</stp>
        <stp>XOM US Equity</stp>
        <stp>IS_BASIC_EPS_CONT_OPS</stp>
        <stp>FQ2 1995</stp>
        <stp>FQ2 1995</stp>
        <stp>[FA1_ftkzu3fn.xlsx]Per Share!R16C24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16" s="5"/>
      </tp>
      <tp>
        <v>0.35249999999999998</v>
        <stp/>
        <stp>##V3_BDHV12</stp>
        <stp>XOM US Equity</stp>
        <stp>IS_BASIC_EPS_CONT_OPS</stp>
        <stp>FQ1 1996</stp>
        <stp>FQ1 1996</stp>
        <stp>[FA1_ftkzu3fn.xlsx]Per Share!R16C27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16" s="5"/>
      </tp>
      <tp t="s">
        <v>—</v>
        <stp/>
        <stp>##V3_BDHV12</stp>
        <stp>XOM US Equity</stp>
        <stp>CF_FREE_CASH_FLOW</stp>
        <stp>FQ4 1991</stp>
        <stp>FQ4 1991</stp>
        <stp>[FA1_ftkzu3fn.xlsx]Cash Flow - Standardized!R40C10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40" s="4"/>
      </tp>
      <tp>
        <v>4975.3519999999999</v>
        <stp/>
        <stp>##V3_BDHV12</stp>
        <stp>XOM US Equity</stp>
        <stp>EQY_SH_OUT</stp>
        <stp>FQ3 1991</stp>
        <stp>FQ3 1991</stp>
        <stp>[FA1_ftkzu3fn.xlsx]Stock Value!R13C9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13" s="6"/>
      </tp>
      <tp t="s">
        <v>—</v>
        <stp/>
        <stp>##V3_BDHV12</stp>
        <stp>XOM US Equity</stp>
        <stp>CF_FREE_CASH_FLOW</stp>
        <stp>FQ4 1992</stp>
        <stp>FQ4 1992</stp>
        <stp>[FA1_ftkzu3fn.xlsx]Cash Flow - Standardized!R40C14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40" s="4"/>
      </tp>
      <tp t="s">
        <v>—</v>
        <stp/>
        <stp>##V3_BDHV12</stp>
        <stp>XOM US Equity</stp>
        <stp>CF_FREE_CASH_FLOW</stp>
        <stp>FQ4 1993</stp>
        <stp>FQ4 1993</stp>
        <stp>[FA1_ftkzu3fn.xlsx]Cash Flow - Standardized!R40C18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40" s="4"/>
      </tp>
      <tp>
        <v>0.37909999999999999</v>
        <stp/>
        <stp>##V3_BDHV12</stp>
        <stp>XOM US Equity</stp>
        <stp>FREE_CASH_FLOW_PER_SH</stp>
        <stp>FQ1 1995</stp>
        <stp>FQ1 1995</stp>
        <stp>[FA1_ftkzu3fn.xlsx]Per Share!R23C23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23" s="5"/>
      </tp>
      <tp>
        <v>0.61050000000000004</v>
        <stp/>
        <stp>##V3_BDHV12</stp>
        <stp>XOM US Equity</stp>
        <stp>FREE_CASH_FLOW_PER_SH</stp>
        <stp>FQ1 1997</stp>
        <stp>FQ1 1997</stp>
        <stp>[FA1_ftkzu3fn.xlsx]Per Share!R23C31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23" s="5"/>
      </tp>
      <tp t="s">
        <v>—</v>
        <stp/>
        <stp>##V3_BDHV12</stp>
        <stp>XOM US Equity</stp>
        <stp>FREE_CASH_FLOW_PER_SH</stp>
        <stp>FQ1 1993</stp>
        <stp>FQ1 1993</stp>
        <stp>[FA1_ftkzu3fn.xlsx]Per Share!R23C15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23" s="5"/>
      </tp>
      <tp t="s">
        <v>—</v>
        <stp/>
        <stp>##V3_BDHV12</stp>
        <stp>XOM US Equity</stp>
        <stp>FREE_CASH_FLOW_PER_SH</stp>
        <stp>FQ4 1992</stp>
        <stp>FQ4 1992</stp>
        <stp>[FA1_ftkzu3fn.xlsx]Per Share!R23C14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23" s="5"/>
      </tp>
      <tp t="s">
        <v>—</v>
        <stp/>
        <stp>##V3_BDHV12</stp>
        <stp>XOM US Equity</stp>
        <stp>FREE_CASH_FLOW_PER_SH</stp>
        <stp>FQ4 1994</stp>
        <stp>FQ4 1994</stp>
        <stp>[FA1_ftkzu3fn.xlsx]Per Share!R23C22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23" s="5"/>
      </tp>
      <tp>
        <v>0.1719</v>
        <stp/>
        <stp>##V3_BDHV12</stp>
        <stp>XOM US Equity</stp>
        <stp>FREE_CASH_FLOW_PER_SH</stp>
        <stp>FQ4 1996</stp>
        <stp>FQ4 1996</stp>
        <stp>[FA1_ftkzu3fn.xlsx]Per Share!R23C30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23" s="5"/>
      </tp>
      <tp>
        <v>45.843000000000004</v>
        <stp/>
        <stp>##V3_BDHV12</stp>
        <stp>XOM US Equity</stp>
        <stp>NET_DEBT_TO_SHRHLDR_EQTY</stp>
        <stp>FQ1 1990</stp>
        <stp>FQ1 1990</stp>
        <stp>[FA1_ftkzu3fn.xlsx]Bal Sheet - Standardized!R52C3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52" s="3"/>
      </tp>
      <tp>
        <v>2280</v>
        <stp/>
        <stp>##V3_BDHV12</stp>
        <stp>XOM US Equity</stp>
        <stp>BS_NUM_OF_TSY_SH</stp>
        <stp>FQ3 1991</stp>
        <stp>FQ3 1991</stp>
        <stp>[FA1_ftkzu3fn.xlsx]Bal Sheet - Standardized!R50C9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50" s="3"/>
      </tp>
      <tp>
        <v>34.434100000000001</v>
        <stp/>
        <stp>##V3_BDHV12</stp>
        <stp>XOM US Equity</stp>
        <stp>NET_DEBT_TO_SHRHLDR_EQTY</stp>
        <stp>FQ4 1990</stp>
        <stp>FQ4 1990</stp>
        <stp>[FA1_ftkzu3fn.xlsx]Bal Sheet - Standardized!R52C6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52" s="3"/>
      </tp>
      <tp>
        <v>2276</v>
        <stp/>
        <stp>##V3_BDHV12</stp>
        <stp>XOM US Equity</stp>
        <stp>BS_NUM_OF_TSY_SH</stp>
        <stp>FQ2 1991</stp>
        <stp>FQ2 1991</stp>
        <stp>[FA1_ftkzu3fn.xlsx]Bal Sheet - Standardized!R50C8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50" s="3"/>
      </tp>
      <tp>
        <v>0.22</v>
        <stp/>
        <stp>##V3_BDHV12</stp>
        <stp>XOM US Equity</stp>
        <stp>IS_DIL_EPS_CONT_OPS</stp>
        <stp>FQ3 1991</stp>
        <stp>FQ3 1991</stp>
        <stp>[FA1_ftkzu3fn.xlsx]Income - Adjusted!R35C9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35" s="2"/>
      </tp>
      <tp>
        <v>0.22500000000000001</v>
        <stp/>
        <stp>##V3_BDHV12</stp>
        <stp>XOM US Equity</stp>
        <stp>IS_DIL_EPS_CONT_OPS</stp>
        <stp>FQ2 1991</stp>
        <stp>FQ2 1991</stp>
        <stp>[FA1_ftkzu3fn.xlsx]Income - Adjusted!R35C8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35" s="2"/>
      </tp>
      <tp>
        <v>4977.0518000000002</v>
        <stp/>
        <stp>##V3_BDHV12</stp>
        <stp>XOM US Equity</stp>
        <stp>IS_AVG_NUM_SH_FOR_EPS</stp>
        <stp>FQ2 1991</stp>
        <stp>FQ2 1991</stp>
        <stp>[FA1_ftkzu3fn.xlsx]Per Share!R8C8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8" s="5"/>
      </tp>
      <tp>
        <v>4973.2002000000002</v>
        <stp/>
        <stp>##V3_BDHV12</stp>
        <stp>XOM US Equity</stp>
        <stp>IS_AVG_NUM_SH_FOR_EPS</stp>
        <stp>FQ3 1991</stp>
        <stp>FQ3 1991</stp>
        <stp>[FA1_ftkzu3fn.xlsx]Per Share!R8C9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8" s="5"/>
      </tp>
      <tp>
        <v>1960.75</v>
        <stp/>
        <stp>##V3_BDHV12</stp>
        <stp>XOM US Equity</stp>
        <stp>EARN_FOR_COMMON</stp>
        <stp>FQ2 1997</stp>
        <stp>FQ2 1997</stp>
        <stp>[FA1_ftkzu3fn.xlsx]Income - Adjusted!R24C32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F24" s="2"/>
      </tp>
      <tp>
        <v>1221.5</v>
        <stp/>
        <stp>##V3_BDHV12</stp>
        <stp>XOM US Equity</stp>
        <stp>EARN_FOR_COMMON</stp>
        <stp>FQ2 1993</stp>
        <stp>FQ2 1993</stp>
        <stp>[FA1_ftkzu3fn.xlsx]Income - Adjusted!R24C16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P24" s="2"/>
      </tp>
      <tp>
        <v>1143.5</v>
        <stp/>
        <stp>##V3_BDHV12</stp>
        <stp>XOM US Equity</stp>
        <stp>EARN_FOR_COMMON</stp>
        <stp>FQ3 1994</stp>
        <stp>FQ3 1994</stp>
        <stp>[FA1_ftkzu3fn.xlsx]Income - Adjusted!R24C21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U24" s="2"/>
      </tp>
      <tp>
        <v>2902</v>
        <stp/>
        <stp>##V3_BDHV12</stp>
        <stp>XOM US Equity</stp>
        <stp>BS_ST_BORROW</stp>
        <stp>FQ4 1997</stp>
        <stp>FQ4 1997</stp>
        <stp>[FA1_ftkzu3fn.xlsx]Bal Sheet - Standardized!R29C34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29" s="3"/>
      </tp>
      <tp>
        <v>37187</v>
        <stp/>
        <stp>##V3_BDHV12</stp>
        <stp>XOM US Equity</stp>
        <stp>TOTAL_EQUITY</stp>
        <stp>FQ4 1993</stp>
        <stp>FQ4 1993</stp>
        <stp>[FA1_ftkzu3fn.xlsx]Bal Sheet - Standardized!R44C18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44" s="3"/>
      </tp>
      <tp>
        <v>2510</v>
        <stp/>
        <stp>##V3_BDHV12</stp>
        <stp>XOM US Equity</stp>
        <stp>BS_ST_BORROW</stp>
        <stp>FQ4 1996</stp>
        <stp>FQ4 1996</stp>
        <stp>[FA1_ftkzu3fn.xlsx]Bal Sheet - Standardized!R29C30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29" s="3"/>
      </tp>
      <tp>
        <v>36751</v>
        <stp/>
        <stp>##V3_BDHV12</stp>
        <stp>XOM US Equity</stp>
        <stp>TOTAL_EQUITY</stp>
        <stp>FQ4 1992</stp>
        <stp>FQ4 1992</stp>
        <stp>[FA1_ftkzu3fn.xlsx]Bal Sheet - Standardized!R44C14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44" s="3"/>
      </tp>
      <tp>
        <v>37894</v>
        <stp/>
        <stp>##V3_BDHV12</stp>
        <stp>XOM US Equity</stp>
        <stp>TOTAL_EQUITY</stp>
        <stp>FQ4 1991</stp>
        <stp>FQ4 1991</stp>
        <stp>[FA1_ftkzu3fn.xlsx]Bal Sheet - Standardized!R44C10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44" s="3"/>
      </tp>
      <tp>
        <v>49451</v>
        <stp/>
        <stp>##V3_BDHV12</stp>
        <stp>XOM US Equity</stp>
        <stp>OTHER_INS_RES_TO_SHRHLDR_EQY</stp>
        <stp>FQ2 1994</stp>
        <stp>FQ2 1994</stp>
        <stp>[FA1_ftkzu3fn.xlsx]Bal Sheet - Standardized!R41C20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41" s="3"/>
      </tp>
      <tp>
        <v>50138</v>
        <stp/>
        <stp>##V3_BDHV12</stp>
        <stp>XOM US Equity</stp>
        <stp>OTHER_INS_RES_TO_SHRHLDR_EQY</stp>
        <stp>FQ3 1994</stp>
        <stp>FQ3 1994</stp>
        <stp>[FA1_ftkzu3fn.xlsx]Bal Sheet - Standardized!R41C21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41" s="3"/>
      </tp>
      <tp>
        <v>8.0210000000000008</v>
        <stp/>
        <stp>##V3_BDHV12</stp>
        <stp>XOM US Equity</stp>
        <stp>OPER_MARGIN</stp>
        <stp>FQ3 1996</stp>
        <stp>FQ3 1996</stp>
        <stp>[FA1_ftkzu3fn.xlsx]Income - Adjusted!R43C29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C43" s="2"/>
      </tp>
      <tp>
        <v>9.0421999999999993</v>
        <stp/>
        <stp>##V3_BDHV12</stp>
        <stp>XOM US Equity</stp>
        <stp>OPER_MARGIN</stp>
        <stp>FQ3 1997</stp>
        <stp>FQ3 1997</stp>
        <stp>[FA1_ftkzu3fn.xlsx]Income - Adjusted!R43C33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G43" s="2"/>
      </tp>
      <tp>
        <v>7.0526</v>
        <stp/>
        <stp>##V3_BDHV12</stp>
        <stp>XOM US Equity</stp>
        <stp>OPER_MARGIN</stp>
        <stp>FQ3 1994</stp>
        <stp>FQ3 1994</stp>
        <stp>[FA1_ftkzu3fn.xlsx]Income - Adjusted!R43C21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U43" s="2"/>
      </tp>
      <tp>
        <v>8.7881999999999998</v>
        <stp/>
        <stp>##V3_BDHV12</stp>
        <stp>XOM US Equity</stp>
        <stp>OPER_MARGIN</stp>
        <stp>FQ3 1995</stp>
        <stp>FQ3 1995</stp>
        <stp>[FA1_ftkzu3fn.xlsx]Income - Adjusted!R43C25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Y43" s="2"/>
      </tp>
      <tp>
        <v>7.1723999999999997</v>
        <stp/>
        <stp>##V3_BDHV12</stp>
        <stp>XOM US Equity</stp>
        <stp>OPER_MARGIN</stp>
        <stp>FQ3 1993</stp>
        <stp>FQ3 1993</stp>
        <stp>[FA1_ftkzu3fn.xlsx]Income - Adjusted!R43C17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Q43" s="2"/>
      </tp>
      <tp>
        <v>7.5400999999999998</v>
        <stp/>
        <stp>##V3_BDHV12</stp>
        <stp>XOM US Equity</stp>
        <stp>OPER_MARGIN</stp>
        <stp>FQ3 1992</stp>
        <stp>FQ3 1992</stp>
        <stp>[FA1_ftkzu3fn.xlsx]Income - Adjusted!R43C13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M43" s="2"/>
      </tp>
      <tp>
        <v>8.1572999999999993</v>
        <stp/>
        <stp>##V3_BDHV12</stp>
        <stp>XOM US Equity</stp>
        <stp>OPER_MARGIN</stp>
        <stp>FQ2 1996</stp>
        <stp>FQ2 1996</stp>
        <stp>[FA1_ftkzu3fn.xlsx]Income - Adjusted!R43C28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B43" s="2"/>
      </tp>
      <tp>
        <v>9.8629999999999995</v>
        <stp/>
        <stp>##V3_BDHV12</stp>
        <stp>XOM US Equity</stp>
        <stp>OPER_MARGIN</stp>
        <stp>FQ2 1997</stp>
        <stp>FQ2 1997</stp>
        <stp>[FA1_ftkzu3fn.xlsx]Income - Adjusted!R43C32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F43" s="2"/>
      </tp>
      <tp>
        <v>8.4499999999999993</v>
        <stp/>
        <stp>##V3_BDHV12</stp>
        <stp>XOM US Equity</stp>
        <stp>OPER_MARGIN</stp>
        <stp>FQ2 1995</stp>
        <stp>FQ2 1995</stp>
        <stp>[FA1_ftkzu3fn.xlsx]Income - Adjusted!R43C24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X43" s="2"/>
      </tp>
      <tp>
        <v>5.6298000000000004</v>
        <stp/>
        <stp>##V3_BDHV12</stp>
        <stp>XOM US Equity</stp>
        <stp>OPER_MARGIN</stp>
        <stp>FQ2 1994</stp>
        <stp>FQ2 1994</stp>
        <stp>[FA1_ftkzu3fn.xlsx]Income - Adjusted!R43C20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T43" s="2"/>
      </tp>
      <tp>
        <v>5.3204000000000002</v>
        <stp/>
        <stp>##V3_BDHV12</stp>
        <stp>XOM US Equity</stp>
        <stp>OPER_MARGIN</stp>
        <stp>FQ2 1992</stp>
        <stp>FQ2 1992</stp>
        <stp>[FA1_ftkzu3fn.xlsx]Income - Adjusted!R43C12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L43" s="2"/>
      </tp>
      <tp>
        <v>6.7363</v>
        <stp/>
        <stp>##V3_BDHV12</stp>
        <stp>XOM US Equity</stp>
        <stp>OPER_MARGIN</stp>
        <stp>FQ2 1993</stp>
        <stp>FQ2 1993</stp>
        <stp>[FA1_ftkzu3fn.xlsx]Income - Adjusted!R43C16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P43" s="2"/>
      </tp>
      <tp>
        <v>7.4984999999999999</v>
        <stp/>
        <stp>##V3_BDHV12</stp>
        <stp>XOM US Equity</stp>
        <stp>OPER_MARGIN</stp>
        <stp>FQ2 1998</stp>
        <stp>FQ2 1998</stp>
        <stp>[FA1_ftkzu3fn.xlsx]Income - Adjusted!R43C36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J43" s="2"/>
      </tp>
      <tp>
        <v>8.2136999999999993</v>
        <stp/>
        <stp>##V3_BDHV12</stp>
        <stp>XOM US Equity</stp>
        <stp>OPER_MARGIN</stp>
        <stp>FQ1 1995</stp>
        <stp>FQ1 1995</stp>
        <stp>[FA1_ftkzu3fn.xlsx]Income - Adjusted!R43C23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W43" s="2"/>
      </tp>
      <tp>
        <v>8.5591000000000008</v>
        <stp/>
        <stp>##V3_BDHV12</stp>
        <stp>XOM US Equity</stp>
        <stp>OPER_MARGIN</stp>
        <stp>FQ1 1996</stp>
        <stp>FQ1 1996</stp>
        <stp>[FA1_ftkzu3fn.xlsx]Income - Adjusted!R43C27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A43" s="2"/>
      </tp>
      <tp>
        <v>10.840400000000001</v>
        <stp/>
        <stp>##V3_BDHV12</stp>
        <stp>XOM US Equity</stp>
        <stp>OPER_MARGIN</stp>
        <stp>FQ1 1997</stp>
        <stp>FQ1 1997</stp>
        <stp>[FA1_ftkzu3fn.xlsx]Income - Adjusted!R43C31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E43" s="2"/>
      </tp>
      <tp>
        <v>7.5296000000000003</v>
        <stp/>
        <stp>##V3_BDHV12</stp>
        <stp>XOM US Equity</stp>
        <stp>OPER_MARGIN</stp>
        <stp>FQ1 1994</stp>
        <stp>FQ1 1994</stp>
        <stp>[FA1_ftkzu3fn.xlsx]Income - Adjusted!R43C19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S43" s="2"/>
      </tp>
      <tp>
        <v>7.1295000000000002</v>
        <stp/>
        <stp>##V3_BDHV12</stp>
        <stp>XOM US Equity</stp>
        <stp>OPER_MARGIN</stp>
        <stp>FQ1 1993</stp>
        <stp>FQ1 1993</stp>
        <stp>[FA1_ftkzu3fn.xlsx]Income - Adjusted!R43C15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O43" s="2"/>
      </tp>
      <tp>
        <v>7.2891000000000004</v>
        <stp/>
        <stp>##V3_BDHV12</stp>
        <stp>XOM US Equity</stp>
        <stp>OPER_MARGIN</stp>
        <stp>FQ1 1992</stp>
        <stp>FQ1 1992</stp>
        <stp>[FA1_ftkzu3fn.xlsx]Income - Adjusted!R43C11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K43" s="2"/>
      </tp>
      <tp>
        <v>8.9123000000000001</v>
        <stp/>
        <stp>##V3_BDHV12</stp>
        <stp>XOM US Equity</stp>
        <stp>OPER_MARGIN</stp>
        <stp>FQ1 1998</stp>
        <stp>FQ1 1998</stp>
        <stp>[FA1_ftkzu3fn.xlsx]Income - Adjusted!R43C35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I43" s="2"/>
      </tp>
      <tp>
        <v>16.591000000000001</v>
        <stp/>
        <stp>##V3_BDHV12</stp>
        <stp>XOM US Equity</stp>
        <stp>OPER_MARGIN</stp>
        <stp>FQ4 1992</stp>
        <stp>FQ4 1992</stp>
        <stp>[FA1_ftkzu3fn.xlsx]Income - Adjusted!R43C14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N43" s="2"/>
      </tp>
      <tp>
        <v>19.6782</v>
        <stp/>
        <stp>##V3_BDHV12</stp>
        <stp>XOM US Equity</stp>
        <stp>OPER_MARGIN</stp>
        <stp>FQ4 1993</stp>
        <stp>FQ4 1993</stp>
        <stp>[FA1_ftkzu3fn.xlsx]Income - Adjusted!R43C18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R43" s="2"/>
      </tp>
      <tp>
        <v>17.2469</v>
        <stp/>
        <stp>##V3_BDHV12</stp>
        <stp>XOM US Equity</stp>
        <stp>OPER_MARGIN</stp>
        <stp>FQ4 1991</stp>
        <stp>FQ4 1991</stp>
        <stp>[FA1_ftkzu3fn.xlsx]Income - Adjusted!R43C10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J43" s="2"/>
      </tp>
      <tp>
        <v>16.6145</v>
        <stp/>
        <stp>##V3_BDHV12</stp>
        <stp>XOM US Equity</stp>
        <stp>OPER_MARGIN</stp>
        <stp>FQ4 1995</stp>
        <stp>FQ4 1995</stp>
        <stp>[FA1_ftkzu3fn.xlsx]Income - Adjusted!R43C26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Z43" s="2"/>
      </tp>
      <tp>
        <v>20.1662</v>
        <stp/>
        <stp>##V3_BDHV12</stp>
        <stp>XOM US Equity</stp>
        <stp>OPER_MARGIN</stp>
        <stp>FQ4 1994</stp>
        <stp>FQ4 1994</stp>
        <stp>[FA1_ftkzu3fn.xlsx]Income - Adjusted!R43C22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V43" s="2"/>
      </tp>
      <tp>
        <v>21.89</v>
        <stp/>
        <stp>##V3_BDHV12</stp>
        <stp>XOM US Equity</stp>
        <stp>OPER_MARGIN</stp>
        <stp>FQ4 1996</stp>
        <stp>FQ4 1996</stp>
        <stp>[FA1_ftkzu3fn.xlsx]Income - Adjusted!R43C30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D43" s="2"/>
      </tp>
      <tp>
        <v>16.7271</v>
        <stp/>
        <stp>##V3_BDHV12</stp>
        <stp>XOM US Equity</stp>
        <stp>OPER_MARGIN</stp>
        <stp>FQ4 1997</stp>
        <stp>FQ4 1997</stp>
        <stp>[FA1_ftkzu3fn.xlsx]Income - Adjusted!R43C34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H43" s="2"/>
      </tp>
      <tp>
        <v>3278</v>
        <stp/>
        <stp>##V3_BDHV12</stp>
        <stp>XOM US Equity</stp>
        <stp>IS_OPER_INC</stp>
        <stp>FQ1 1991</stp>
        <stp>FQ1 1991</stp>
        <stp>[FA1_ftkzu3fn.xlsx]Income - Adjusted!R10C7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G10" s="2"/>
      </tp>
      <tp t="s">
        <v>—</v>
        <stp/>
        <stp>##V3_BDHV12</stp>
        <stp>XOM US Equity</stp>
        <stp>CF_DECR_CAP_STOCK</stp>
        <stp>FQ3 1994</stp>
        <stp>FQ3 1994</stp>
        <stp>[FA1_ftkzu3fn.xlsx]Cash Flow - Standardized!R30C21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30" s="4"/>
      </tp>
      <tp>
        <v>-821</v>
        <stp/>
        <stp>##V3_BDHV12</stp>
        <stp>XOM US Equity</stp>
        <stp>CF_DECR_CAP_STOCK</stp>
        <stp>FQ2 1997</stp>
        <stp>FQ2 1997</stp>
        <stp>[FA1_ftkzu3fn.xlsx]Cash Flow - Standardized!R30C32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30" s="4"/>
      </tp>
      <tp t="s">
        <v>—</v>
        <stp/>
        <stp>##V3_BDHV12</stp>
        <stp>XOM US Equity</stp>
        <stp>CF_DECR_CAP_STOCK</stp>
        <stp>FQ3 1995</stp>
        <stp>FQ3 1995</stp>
        <stp>[FA1_ftkzu3fn.xlsx]Cash Flow - Standardized!R30C25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30" s="4"/>
      </tp>
      <tp>
        <v>-856</v>
        <stp/>
        <stp>##V3_BDHV12</stp>
        <stp>XOM US Equity</stp>
        <stp>CF_DECR_CAP_STOCK</stp>
        <stp>FQ2 1998</stp>
        <stp>FQ2 1998</stp>
        <stp>[FA1_ftkzu3fn.xlsx]Cash Flow - Standardized!R30C36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30" s="4"/>
      </tp>
      <tp t="s">
        <v>—</v>
        <stp/>
        <stp>##V3_BDHV12</stp>
        <stp>XOM US Equity</stp>
        <stp>CF_DECR_CAP_STOCK</stp>
        <stp>FQ3 1996</stp>
        <stp>FQ3 1996</stp>
        <stp>[FA1_ftkzu3fn.xlsx]Cash Flow - Standardized!R30C29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30" s="4"/>
      </tp>
      <tp>
        <v>1270</v>
        <stp/>
        <stp>##V3_BDHV12</stp>
        <stp>XOM US Equity</stp>
        <stp>CF_FREE_CASH_FLOW</stp>
        <stp>FQ4 1995</stp>
        <stp>FQ4 1995</stp>
        <stp>[FA1_ftkzu3fn.xlsx]Cash Flow - Standardized!R40C26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40" s="4"/>
      </tp>
      <tp t="s">
        <v>—</v>
        <stp/>
        <stp>##V3_BDHV12</stp>
        <stp>XOM US Equity</stp>
        <stp>CF_FREE_CASH_FLOW</stp>
        <stp>FQ4 1994</stp>
        <stp>FQ4 1994</stp>
        <stp>[FA1_ftkzu3fn.xlsx]Cash Flow - Standardized!R40C22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40" s="4"/>
      </tp>
      <tp t="s">
        <v>—</v>
        <stp/>
        <stp>##V3_BDHV12</stp>
        <stp>XOM US Equity</stp>
        <stp>FREE_CASH_FLOW_PER_SH</stp>
        <stp>FQ3 1994</stp>
        <stp>FQ3 1994</stp>
        <stp>[FA1_ftkzu3fn.xlsx]Per Share!R23C21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23" s="5"/>
      </tp>
      <tp>
        <v>0.31530000000000002</v>
        <stp/>
        <stp>##V3_BDHV12</stp>
        <stp>XOM US Equity</stp>
        <stp>FREE_CASH_FLOW_PER_SH</stp>
        <stp>FQ2 1997</stp>
        <stp>FQ2 1997</stp>
        <stp>[FA1_ftkzu3fn.xlsx]Per Share!R23C32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23" s="5"/>
      </tp>
      <tp t="s">
        <v>—</v>
        <stp/>
        <stp>##V3_BDHV12</stp>
        <stp>XOM US Equity</stp>
        <stp>FREE_CASH_FLOW_PER_SH</stp>
        <stp>FQ2 1993</stp>
        <stp>FQ2 1993</stp>
        <stp>[FA1_ftkzu3fn.xlsx]Per Share!R23C16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23" s="5"/>
      </tp>
      <tp>
        <v>4998.1758</v>
        <stp/>
        <stp>##V3_BDHV12</stp>
        <stp>XOM US Equity</stp>
        <stp>IS_SH_FOR_DILUTED_EPS</stp>
        <stp>FQ1 1990</stp>
        <stp>FQ1 1990</stp>
        <stp>[FA1_ftkzu3fn.xlsx]Per Share!R7C3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7" s="5"/>
      </tp>
      <tp>
        <v>747</v>
        <stp/>
        <stp>##V3_BDHV12</stp>
        <stp>XOM US Equity</stp>
        <stp>IS_TOT_CASH_COM_DVD</stp>
        <stp>FQ3 1990</stp>
        <stp>FQ3 1990</stp>
        <stp>[FA1_ftkzu3fn.xlsx]Income - Adjusted!R47C5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47" s="2"/>
      </tp>
      <tp>
        <v>4983.2002000000002</v>
        <stp/>
        <stp>##V3_BDHV12</stp>
        <stp>XOM US Equity</stp>
        <stp>IS_SH_FOR_DILUTED_EPS</stp>
        <stp>FQ4 1990</stp>
        <stp>FQ4 1990</stp>
        <stp>[FA1_ftkzu3fn.xlsx]Per Share!R7C6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7" s="5"/>
      </tp>
      <tp>
        <v>2170.75</v>
        <stp/>
        <stp>##V3_BDHV12</stp>
        <stp>XOM US Equity</stp>
        <stp>EARN_FOR_COMMON</stp>
        <stp>FQ1 1997</stp>
        <stp>FQ1 1997</stp>
        <stp>[FA1_ftkzu3fn.xlsx]Income - Adjusted!R24C31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E24" s="2"/>
      </tp>
      <tp>
        <v>1650.5</v>
        <stp/>
        <stp>##V3_BDHV12</stp>
        <stp>XOM US Equity</stp>
        <stp>EARN_FOR_COMMON</stp>
        <stp>FQ1 1995</stp>
        <stp>FQ1 1995</stp>
        <stp>[FA1_ftkzu3fn.xlsx]Income - Adjusted!R24C23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W24" s="2"/>
      </tp>
      <tp>
        <v>1171.5</v>
        <stp/>
        <stp>##V3_BDHV12</stp>
        <stp>XOM US Equity</stp>
        <stp>EARN_FOR_COMMON</stp>
        <stp>FQ1 1993</stp>
        <stp>FQ1 1993</stp>
        <stp>[FA1_ftkzu3fn.xlsx]Income - Adjusted!R24C15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O24" s="2"/>
      </tp>
      <tp>
        <v>1545</v>
        <stp/>
        <stp>##V3_BDHV12</stp>
        <stp>XOM US Equity</stp>
        <stp>EARN_FOR_COMMON</stp>
        <stp>FQ4 1992</stp>
        <stp>FQ4 1992</stp>
        <stp>[FA1_ftkzu3fn.xlsx]Income - Adjusted!R24C14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N24" s="2"/>
      </tp>
      <tp>
        <v>2488.25</v>
        <stp/>
        <stp>##V3_BDHV12</stp>
        <stp>XOM US Equity</stp>
        <stp>EARN_FOR_COMMON</stp>
        <stp>FQ4 1996</stp>
        <stp>FQ4 1996</stp>
        <stp>[FA1_ftkzu3fn.xlsx]Income - Adjusted!R24C30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D24" s="2"/>
      </tp>
      <tp>
        <v>1888.5</v>
        <stp/>
        <stp>##V3_BDHV12</stp>
        <stp>XOM US Equity</stp>
        <stp>EARN_FOR_COMMON</stp>
        <stp>FQ4 1994</stp>
        <stp>FQ4 1994</stp>
        <stp>[FA1_ftkzu3fn.xlsx]Income - Adjusted!R24C22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V24" s="2"/>
      </tp>
      <tp>
        <v>1000</v>
        <stp/>
        <stp>##V3_BDHV12</stp>
        <stp>XOM US Equity</stp>
        <stp>IS_TOT_CASH_COM_DVD</stp>
        <stp>FQ3 1991</stp>
        <stp>FQ3 1991</stp>
        <stp>[FA1_ftkzu3fn.xlsx]Income - Adjusted!R47C9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47" s="2"/>
      </tp>
      <tp>
        <v>39583</v>
        <stp/>
        <stp>##V3_BDHV12</stp>
        <stp>XOM US Equity</stp>
        <stp>TOTAL_EQUITY</stp>
        <stp>FQ4 1994</stp>
        <stp>FQ4 1994</stp>
        <stp>[FA1_ftkzu3fn.xlsx]Bal Sheet - Standardized!R44C22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44" s="3"/>
      </tp>
      <tp>
        <v>42606</v>
        <stp/>
        <stp>##V3_BDHV12</stp>
        <stp>XOM US Equity</stp>
        <stp>TOTAL_EQUITY</stp>
        <stp>FQ4 1995</stp>
        <stp>FQ4 1995</stp>
        <stp>[FA1_ftkzu3fn.xlsx]Bal Sheet - Standardized!R44C26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44" s="3"/>
      </tp>
      <tp>
        <v>48012</v>
        <stp/>
        <stp>##V3_BDHV12</stp>
        <stp>XOM US Equity</stp>
        <stp>OTHER_INS_RES_TO_SHRHLDR_EQY</stp>
        <stp>FQ4 1991</stp>
        <stp>FQ4 1991</stp>
        <stp>[FA1_ftkzu3fn.xlsx]Bal Sheet - Standardized!R41C10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41" s="3"/>
      </tp>
      <tp>
        <v>4940.6000999999997</v>
        <stp/>
        <stp>##V3_BDHV12</stp>
        <stp>XOM US Equity</stp>
        <stp>IS_AVG_NUM_SH_FOR_EPS</stp>
        <stp>FQ3 1997</stp>
        <stp>FQ3 1997</stp>
        <stp>[FA1_ftkzu3fn.xlsx]Income - Adjusted!R27C33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27" s="2"/>
      </tp>
      <tp>
        <v>4966.3999000000003</v>
        <stp/>
        <stp>##V3_BDHV12</stp>
        <stp>XOM US Equity</stp>
        <stp>IS_AVG_NUM_SH_FOR_EPS</stp>
        <stp>FQ3 1993</stp>
        <stp>FQ3 1993</stp>
        <stp>[FA1_ftkzu3fn.xlsx]Income - Adjusted!R27C17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27" s="2"/>
      </tp>
      <tp>
        <v>4966.3999000000003</v>
        <stp/>
        <stp>##V3_BDHV12</stp>
        <stp>XOM US Equity</stp>
        <stp>IS_AVG_NUM_SH_FOR_EPS</stp>
        <stp>FQ2 1994</stp>
        <stp>FQ2 1994</stp>
        <stp>[FA1_ftkzu3fn.xlsx]Income - Adjusted!R27C20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27" s="2"/>
      </tp>
      <tp t="s">
        <v>—</v>
        <stp/>
        <stp>##V3_BDHV12</stp>
        <stp>XOM US Equity</stp>
        <stp>CF_DECR_CAP_STOCK</stp>
        <stp>FQ2 1994</stp>
        <stp>FQ2 1994</stp>
        <stp>[FA1_ftkzu3fn.xlsx]Cash Flow - Standardized!R30C20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30" s="4"/>
      </tp>
      <tp t="s">
        <v>—</v>
        <stp/>
        <stp>##V3_BDHV12</stp>
        <stp>XOM US Equity</stp>
        <stp>CF_DECR_CAP_STOCK</stp>
        <stp>FQ1 1993</stp>
        <stp>FQ1 1993</stp>
        <stp>[FA1_ftkzu3fn.xlsx]Cash Flow - Standardized!R30C15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30" s="4"/>
      </tp>
      <tp>
        <v>-568</v>
        <stp/>
        <stp>##V3_BDHV12</stp>
        <stp>XOM US Equity</stp>
        <stp>CF_DECR_CAP_STOCK</stp>
        <stp>FQ3 1997</stp>
        <stp>FQ3 1997</stp>
        <stp>[FA1_ftkzu3fn.xlsx]Cash Flow - Standardized!R30C33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30" s="4"/>
      </tp>
      <tp t="s">
        <v>—</v>
        <stp/>
        <stp>##V3_BDHV12</stp>
        <stp>XOM US Equity</stp>
        <stp>CF_DECR_CAP_STOCK</stp>
        <stp>FQ1 1992</stp>
        <stp>FQ1 1992</stp>
        <stp>[FA1_ftkzu3fn.xlsx]Cash Flow - Standardized!R30C11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30" s="4"/>
      </tp>
      <tp t="s">
        <v>—</v>
        <stp/>
        <stp>##V3_BDHV12</stp>
        <stp>XOM US Equity</stp>
        <stp>CF_DECR_CAP_STOCK</stp>
        <stp>FQ2 1995</stp>
        <stp>FQ2 1995</stp>
        <stp>[FA1_ftkzu3fn.xlsx]Cash Flow - Standardized!R30C24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30" s="4"/>
      </tp>
      <tp t="s">
        <v>—</v>
        <stp/>
        <stp>##V3_BDHV12</stp>
        <stp>XOM US Equity</stp>
        <stp>CF_DECR_CAP_STOCK</stp>
        <stp>FQ2 1996</stp>
        <stp>FQ2 1996</stp>
        <stp>[FA1_ftkzu3fn.xlsx]Cash Flow - Standardized!R30C28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30" s="4"/>
      </tp>
      <tp t="s">
        <v>—</v>
        <stp/>
        <stp>##V3_BDHV12</stp>
        <stp>XOM US Equity</stp>
        <stp>CF_DECR_CAP_STOCK</stp>
        <stp>FQ1 1994</stp>
        <stp>FQ1 1994</stp>
        <stp>[FA1_ftkzu3fn.xlsx]Cash Flow - Standardized!R30C19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30" s="4"/>
      </tp>
      <tp>
        <v>0.44500000000000001</v>
        <stp/>
        <stp>##V3_BDHV12</stp>
        <stp>XOM US Equity</stp>
        <stp>IS_BASIC_EPS_CONT_OPS</stp>
        <stp>FQ4 1997</stp>
        <stp>FQ4 1997</stp>
        <stp>[FA1_ftkzu3fn.xlsx]Per Share!R16C34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16" s="5"/>
      </tp>
      <tp>
        <v>0.33750000000000002</v>
        <stp/>
        <stp>##V3_BDHV12</stp>
        <stp>XOM US Equity</stp>
        <stp>IS_BASIC_EPS_CONT_OPS</stp>
        <stp>FQ4 1995</stp>
        <stp>FQ4 1995</stp>
        <stp>[FA1_ftkzu3fn.xlsx]Per Share!R16C26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16" s="5"/>
      </tp>
      <tp t="s">
        <v>—</v>
        <stp/>
        <stp>##V3_BDHV12</stp>
        <stp>XOM US Equity</stp>
        <stp>IS_BASIC_EPS_CONT_OPS</stp>
        <stp>FQ1 1992</stp>
        <stp>FQ1 1992</stp>
        <stp>[FA1_ftkzu3fn.xlsx]Per Share!R16C11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16" s="5"/>
      </tp>
      <tp>
        <v>568</v>
        <stp/>
        <stp>##V3_BDHV12</stp>
        <stp>XOM US Equity</stp>
        <stp>CF_FREE_CASH_FLOW</stp>
        <stp>FQ4 1997</stp>
        <stp>FQ4 1997</stp>
        <stp>[FA1_ftkzu3fn.xlsx]Cash Flow - Standardized!R40C34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40" s="4"/>
      </tp>
      <tp>
        <v>854</v>
        <stp/>
        <stp>##V3_BDHV12</stp>
        <stp>XOM US Equity</stp>
        <stp>CF_FREE_CASH_FLOW</stp>
        <stp>FQ4 1996</stp>
        <stp>FQ4 1996</stp>
        <stp>[FA1_ftkzu3fn.xlsx]Cash Flow - Standardized!R40C30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40" s="4"/>
      </tp>
      <tp>
        <v>0.4289</v>
        <stp/>
        <stp>##V3_BDHV12</stp>
        <stp>XOM US Equity</stp>
        <stp>FREE_CASH_FLOW_PER_SH</stp>
        <stp>FQ3 1997</stp>
        <stp>FQ3 1997</stp>
        <stp>[FA1_ftkzu3fn.xlsx]Per Share!R23C33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23" s="5"/>
      </tp>
      <tp t="s">
        <v>—</v>
        <stp/>
        <stp>##V3_BDHV12</stp>
        <stp>XOM US Equity</stp>
        <stp>FREE_CASH_FLOW_PER_SH</stp>
        <stp>FQ3 1993</stp>
        <stp>FQ3 1993</stp>
        <stp>[FA1_ftkzu3fn.xlsx]Per Share!R23C17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23" s="5"/>
      </tp>
      <tp t="s">
        <v>—</v>
        <stp/>
        <stp>##V3_BDHV12</stp>
        <stp>XOM US Equity</stp>
        <stp>FREE_CASH_FLOW_PER_SH</stp>
        <stp>FQ2 1994</stp>
        <stp>FQ2 1994</stp>
        <stp>[FA1_ftkzu3fn.xlsx]Per Share!R23C20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23" s="5"/>
      </tp>
      <tp>
        <v>749</v>
        <stp/>
        <stp>##V3_BDHV12</stp>
        <stp>XOM US Equity</stp>
        <stp>IS_TOT_CASH_COM_DVD</stp>
        <stp>FQ2 1990</stp>
        <stp>FQ2 1990</stp>
        <stp>[FA1_ftkzu3fn.xlsx]Income - Adjusted!R47C4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47" s="2"/>
      </tp>
      <tp>
        <v>751</v>
        <stp/>
        <stp>##V3_BDHV12</stp>
        <stp>XOM US Equity</stp>
        <stp>IS_TOT_CASH_COM_DVD</stp>
        <stp>FQ2 1991</stp>
        <stp>FQ2 1991</stp>
        <stp>[FA1_ftkzu3fn.xlsx]Income - Adjusted!R47C8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47" s="2"/>
      </tp>
      <tp>
        <v>4460</v>
        <stp/>
        <stp>##V3_BDHV12</stp>
        <stp>XOM US Equity</stp>
        <stp>BS_ST_BORROW</stp>
        <stp>FQ4 1991</stp>
        <stp>FQ4 1991</stp>
        <stp>[FA1_ftkzu3fn.xlsx]Bal Sheet - Standardized!R29C10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29" s="3"/>
      </tp>
      <tp>
        <v>4787</v>
        <stp/>
        <stp>##V3_BDHV12</stp>
        <stp>XOM US Equity</stp>
        <stp>BS_ST_BORROW</stp>
        <stp>FQ4 1992</stp>
        <stp>FQ4 1992</stp>
        <stp>[FA1_ftkzu3fn.xlsx]Bal Sheet - Standardized!R29C14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29" s="3"/>
      </tp>
      <tp>
        <v>45456</v>
        <stp/>
        <stp>##V3_BDHV12</stp>
        <stp>XOM US Equity</stp>
        <stp>TOTAL_EQUITY</stp>
        <stp>FQ4 1996</stp>
        <stp>FQ4 1996</stp>
        <stp>[FA1_ftkzu3fn.xlsx]Bal Sheet - Standardized!R44C30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44" s="3"/>
      </tp>
      <tp>
        <v>4109</v>
        <stp/>
        <stp>##V3_BDHV12</stp>
        <stp>XOM US Equity</stp>
        <stp>BS_ST_BORROW</stp>
        <stp>FQ4 1993</stp>
        <stp>FQ4 1993</stp>
        <stp>[FA1_ftkzu3fn.xlsx]Bal Sheet - Standardized!R29C18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29" s="3"/>
      </tp>
      <tp>
        <v>46031</v>
        <stp/>
        <stp>##V3_BDHV12</stp>
        <stp>XOM US Equity</stp>
        <stp>TOTAL_EQUITY</stp>
        <stp>FQ4 1997</stp>
        <stp>FQ4 1997</stp>
        <stp>[FA1_ftkzu3fn.xlsx]Bal Sheet - Standardized!R44C34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44" s="3"/>
      </tp>
      <tp>
        <v>4965.6000999999997</v>
        <stp/>
        <stp>##V3_BDHV12</stp>
        <stp>XOM US Equity</stp>
        <stp>IS_AVG_NUM_SH_FOR_EPS</stp>
        <stp>FQ3 1994</stp>
        <stp>FQ3 1994</stp>
        <stp>[FA1_ftkzu3fn.xlsx]Income - Adjusted!R27C21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27" s="2"/>
      </tp>
      <tp>
        <v>4957</v>
        <stp/>
        <stp>##V3_BDHV12</stp>
        <stp>XOM US Equity</stp>
        <stp>IS_AVG_NUM_SH_FOR_EPS</stp>
        <stp>FQ2 1997</stp>
        <stp>FQ2 1997</stp>
        <stp>[FA1_ftkzu3fn.xlsx]Income - Adjusted!R27C32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27" s="2"/>
      </tp>
      <tp>
        <v>4967.6000999999997</v>
        <stp/>
        <stp>##V3_BDHV12</stp>
        <stp>XOM US Equity</stp>
        <stp>IS_AVG_NUM_SH_FOR_EPS</stp>
        <stp>FQ2 1993</stp>
        <stp>FQ2 1993</stp>
        <stp>[FA1_ftkzu3fn.xlsx]Income - Adjusted!R27C16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27" s="2"/>
      </tp>
      <tp>
        <v>-1031</v>
        <stp/>
        <stp>##V3_BDHV12</stp>
        <stp>XOM US Equity</stp>
        <stp>CF_DECR_CAP_STOCK</stp>
        <stp>FQ4 1997</stp>
        <stp>FQ4 1997</stp>
        <stp>[FA1_ftkzu3fn.xlsx]Cash Flow - Standardized!R30C34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30" s="4"/>
      </tp>
      <tp t="s">
        <v>—</v>
        <stp/>
        <stp>##V3_BDHV12</stp>
        <stp>XOM US Equity</stp>
        <stp>CF_DECR_CAP_STOCK</stp>
        <stp>FQ4 1996</stp>
        <stp>FQ4 1996</stp>
        <stp>[FA1_ftkzu3fn.xlsx]Cash Flow - Standardized!R30C30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30" s="4"/>
      </tp>
      <tp>
        <v>0.37</v>
        <stp/>
        <stp>##V3_BDHV12</stp>
        <stp>XOM US Equity</stp>
        <stp>IS_BASIC_EPS_CONT_OPS</stp>
        <stp>FQ3 1997</stp>
        <stp>FQ3 1997</stp>
        <stp>[FA1_ftkzu3fn.xlsx]Per Share!R16C33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16" s="5"/>
      </tp>
      <tp>
        <v>0.27250000000000002</v>
        <stp/>
        <stp>##V3_BDHV12</stp>
        <stp>XOM US Equity</stp>
        <stp>IS_BASIC_EPS_CONT_OPS</stp>
        <stp>FQ3 1993</stp>
        <stp>FQ3 1993</stp>
        <stp>[FA1_ftkzu3fn.xlsx]Per Share!R16C17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16" s="5"/>
      </tp>
      <tp>
        <v>0.17499999999999999</v>
        <stp/>
        <stp>##V3_BDHV12</stp>
        <stp>XOM US Equity</stp>
        <stp>IS_BASIC_EPS_CONT_OPS</stp>
        <stp>FQ2 1994</stp>
        <stp>FQ2 1994</stp>
        <stp>[FA1_ftkzu3fn.xlsx]Per Share!R16C20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16" s="5"/>
      </tp>
      <tp>
        <v>2119</v>
        <stp/>
        <stp>##V3_BDHV12</stp>
        <stp>XOM US Equity</stp>
        <stp>CF_FREE_CASH_FLOW</stp>
        <stp>FQ3 1997</stp>
        <stp>FQ3 1997</stp>
        <stp>[FA1_ftkzu3fn.xlsx]Cash Flow - Standardized!R40C33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40" s="4"/>
      </tp>
      <tp t="s">
        <v>—</v>
        <stp/>
        <stp>##V3_BDHV12</stp>
        <stp>XOM US Equity</stp>
        <stp>CF_FREE_CASH_FLOW</stp>
        <stp>FQ1 1993</stp>
        <stp>FQ1 1993</stp>
        <stp>[FA1_ftkzu3fn.xlsx]Cash Flow - Standardized!R40C15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40" s="4"/>
      </tp>
      <tp t="s">
        <v>—</v>
        <stp/>
        <stp>##V3_BDHV12</stp>
        <stp>XOM US Equity</stp>
        <stp>CF_FREE_CASH_FLOW</stp>
        <stp>FQ2 1994</stp>
        <stp>FQ2 1994</stp>
        <stp>[FA1_ftkzu3fn.xlsx]Cash Flow - Standardized!R40C20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40" s="4"/>
      </tp>
      <tp>
        <v>1401</v>
        <stp/>
        <stp>##V3_BDHV12</stp>
        <stp>XOM US Equity</stp>
        <stp>CF_FREE_CASH_FLOW</stp>
        <stp>FQ2 1995</stp>
        <stp>FQ2 1995</stp>
        <stp>[FA1_ftkzu3fn.xlsx]Cash Flow - Standardized!R40C24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40" s="4"/>
      </tp>
      <tp t="s">
        <v>—</v>
        <stp/>
        <stp>##V3_BDHV12</stp>
        <stp>XOM US Equity</stp>
        <stp>CF_FREE_CASH_FLOW</stp>
        <stp>FQ1 1992</stp>
        <stp>FQ1 1992</stp>
        <stp>[FA1_ftkzu3fn.xlsx]Cash Flow - Standardized!R40C11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40" s="4"/>
      </tp>
      <tp t="s">
        <v>—</v>
        <stp/>
        <stp>##V3_BDHV12</stp>
        <stp>XOM US Equity</stp>
        <stp>CF_FREE_CASH_FLOW</stp>
        <stp>FQ1 1994</stp>
        <stp>FQ1 1994</stp>
        <stp>[FA1_ftkzu3fn.xlsx]Cash Flow - Standardized!R40C19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40" s="4"/>
      </tp>
      <tp>
        <v>1137</v>
        <stp/>
        <stp>##V3_BDHV12</stp>
        <stp>XOM US Equity</stp>
        <stp>CF_FREE_CASH_FLOW</stp>
        <stp>FQ2 1996</stp>
        <stp>FQ2 1996</stp>
        <stp>[FA1_ftkzu3fn.xlsx]Cash Flow - Standardized!R40C28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40" s="4"/>
      </tp>
      <tp t="s">
        <v>—</v>
        <stp/>
        <stp>##V3_BDHV12</stp>
        <stp>XOM US Equity</stp>
        <stp>FREE_CASH_FLOW_PER_SH</stp>
        <stp>FQ1 1992</stp>
        <stp>FQ1 1992</stp>
        <stp>[FA1_ftkzu3fn.xlsx]Per Share!R23C11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23" s="5"/>
      </tp>
      <tp>
        <v>0.25569999999999998</v>
        <stp/>
        <stp>##V3_BDHV12</stp>
        <stp>XOM US Equity</stp>
        <stp>FREE_CASH_FLOW_PER_SH</stp>
        <stp>FQ4 1995</stp>
        <stp>FQ4 1995</stp>
        <stp>[FA1_ftkzu3fn.xlsx]Per Share!R23C26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23" s="5"/>
      </tp>
      <tp>
        <v>0.1154</v>
        <stp/>
        <stp>##V3_BDHV12</stp>
        <stp>XOM US Equity</stp>
        <stp>FREE_CASH_FLOW_PER_SH</stp>
        <stp>FQ4 1997</stp>
        <stp>FQ4 1997</stp>
        <stp>[FA1_ftkzu3fn.xlsx]Per Share!R23C34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23" s="5"/>
      </tp>
      <tp>
        <v>1307</v>
        <stp/>
        <stp>##V3_BDHV12</stp>
        <stp>XOM US Equity</stp>
        <stp>CF_DEPR_AMORT</stp>
        <stp>FQ3 1996</stp>
        <stp>FQ3 1996</stp>
        <stp>[FA1_ftkzu3fn.xlsx]Cash Flow - Standardized!R8C29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8" s="4"/>
      </tp>
      <tp>
        <v>1306</v>
        <stp/>
        <stp>##V3_BDHV12</stp>
        <stp>XOM US Equity</stp>
        <stp>CF_DEPR_AMORT</stp>
        <stp>FQ2 1996</stp>
        <stp>FQ2 1996</stp>
        <stp>[FA1_ftkzu3fn.xlsx]Cash Flow - Standardized!R8C28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8" s="4"/>
      </tp>
      <tp>
        <v>940</v>
        <stp/>
        <stp>##V3_BDHV12</stp>
        <stp>XOM US Equity</stp>
        <stp>EARN_FOR_COMMON</stp>
        <stp>FQ2 1992</stp>
        <stp>FQ2 1992</stp>
        <stp>[FA1_ftkzu3fn.xlsx]Income - Adjusted!R24C12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L24" s="2"/>
      </tp>
      <tp>
        <v>1490.5</v>
        <stp/>
        <stp>##V3_BDHV12</stp>
        <stp>XOM US Equity</stp>
        <stp>EARN_FOR_COMMON</stp>
        <stp>FQ3 1995</stp>
        <stp>FQ3 1995</stp>
        <stp>[FA1_ftkzu3fn.xlsx]Income - Adjusted!R24C25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Y24" s="2"/>
      </tp>
      <tp>
        <v>1187</v>
        <stp/>
        <stp>##V3_BDHV12</stp>
        <stp>XOM US Equity</stp>
        <stp>CF_DEPR_AMORT</stp>
        <stp>FQ3 1994</stp>
        <stp>FQ3 1994</stp>
        <stp>[FA1_ftkzu3fn.xlsx]Cash Flow - Standardized!R8C21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8" s="4"/>
      </tp>
      <tp>
        <v>1233</v>
        <stp/>
        <stp>##V3_BDHV12</stp>
        <stp>XOM US Equity</stp>
        <stp>CF_DEPR_AMORT</stp>
        <stp>FQ2 1994</stp>
        <stp>FQ2 1994</stp>
        <stp>[FA1_ftkzu3fn.xlsx]Cash Flow - Standardized!R8C20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8" s="4"/>
      </tp>
      <tp>
        <v>1336</v>
        <stp/>
        <stp>##V3_BDHV12</stp>
        <stp>XOM US Equity</stp>
        <stp>CF_DEPR_AMORT</stp>
        <stp>FQ1 1995</stp>
        <stp>FQ1 1995</stp>
        <stp>[FA1_ftkzu3fn.xlsx]Cash Flow - Standardized!R8C23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8" s="4"/>
      </tp>
      <tp>
        <v>1382</v>
        <stp/>
        <stp>##V3_BDHV12</stp>
        <stp>XOM US Equity</stp>
        <stp>CF_DEPR_AMORT</stp>
        <stp>FQ4 1995</stp>
        <stp>FQ4 1995</stp>
        <stp>[FA1_ftkzu3fn.xlsx]Cash Flow - Standardized!R8C26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8" s="4"/>
      </tp>
      <tp>
        <v>1372</v>
        <stp/>
        <stp>##V3_BDHV12</stp>
        <stp>XOM US Equity</stp>
        <stp>CF_DEPR_AMORT</stp>
        <stp>FQ1 1996</stp>
        <stp>FQ1 1996</stp>
        <stp>[FA1_ftkzu3fn.xlsx]Cash Flow - Standardized!R8C27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8" s="4"/>
      </tp>
      <tp>
        <v>1328</v>
        <stp/>
        <stp>##V3_BDHV12</stp>
        <stp>XOM US Equity</stp>
        <stp>CF_DEPR_AMORT</stp>
        <stp>FQ2 1995</stp>
        <stp>FQ2 1995</stp>
        <stp>[FA1_ftkzu3fn.xlsx]Cash Flow - Standardized!R8C24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8" s="4"/>
      </tp>
      <tp>
        <v>1340</v>
        <stp/>
        <stp>##V3_BDHV12</stp>
        <stp>XOM US Equity</stp>
        <stp>CF_DEPR_AMORT</stp>
        <stp>FQ3 1995</stp>
        <stp>FQ3 1995</stp>
        <stp>[FA1_ftkzu3fn.xlsx]Cash Flow - Standardized!R8C25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8" s="4"/>
      </tp>
      <tp>
        <v>1306</v>
        <stp/>
        <stp>##V3_BDHV12</stp>
        <stp>XOM US Equity</stp>
        <stp>CF_DEPR_AMORT</stp>
        <stp>FQ4 1994</stp>
        <stp>FQ4 1994</stp>
        <stp>[FA1_ftkzu3fn.xlsx]Cash Flow - Standardized!R8C22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8" s="4"/>
      </tp>
      <tp>
        <v>4385</v>
        <stp/>
        <stp>##V3_BDHV12</stp>
        <stp>XOM US Equity</stp>
        <stp>BS_ST_BORROW</stp>
        <stp>FQ3 1993</stp>
        <stp>FQ3 1993</stp>
        <stp>[FA1_ftkzu3fn.xlsx]Bal Sheet - Standardized!R29C17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29" s="3"/>
      </tp>
      <tp>
        <v>2617</v>
        <stp/>
        <stp>##V3_BDHV12</stp>
        <stp>XOM US Equity</stp>
        <stp>BS_ST_BORROW</stp>
        <stp>FQ1 1997</stp>
        <stp>FQ1 1997</stp>
        <stp>[FA1_ftkzu3fn.xlsx]Bal Sheet - Standardized!R29C31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29" s="3"/>
      </tp>
      <tp>
        <v>35253</v>
        <stp/>
        <stp>##V3_BDHV12</stp>
        <stp>XOM US Equity</stp>
        <stp>TOTAL_EQUITY</stp>
        <stp>FQ1 1994</stp>
        <stp>FQ1 1994</stp>
        <stp>[FA1_ftkzu3fn.xlsx]Bal Sheet - Standardized!R44C19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44" s="3"/>
      </tp>
      <tp>
        <v>41378</v>
        <stp/>
        <stp>##V3_BDHV12</stp>
        <stp>XOM US Equity</stp>
        <stp>TOTAL_EQUITY</stp>
        <stp>FQ2 1996</stp>
        <stp>FQ2 1996</stp>
        <stp>[FA1_ftkzu3fn.xlsx]Bal Sheet - Standardized!R44C28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44" s="3"/>
      </tp>
      <tp>
        <v>4084</v>
        <stp/>
        <stp>##V3_BDHV12</stp>
        <stp>XOM US Equity</stp>
        <stp>BS_ST_BORROW</stp>
        <stp>FQ3 1992</stp>
        <stp>FQ3 1992</stp>
        <stp>[FA1_ftkzu3fn.xlsx]Bal Sheet - Standardized!R29C13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29" s="3"/>
      </tp>
      <tp>
        <v>34243</v>
        <stp/>
        <stp>##V3_BDHV12</stp>
        <stp>XOM US Equity</stp>
        <stp>TOTAL_EQUITY</stp>
        <stp>FQ1 1992</stp>
        <stp>FQ1 1992</stp>
        <stp>[FA1_ftkzu3fn.xlsx]Bal Sheet - Standardized!R44C11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44" s="3"/>
      </tp>
      <tp>
        <v>2753</v>
        <stp/>
        <stp>##V3_BDHV12</stp>
        <stp>XOM US Equity</stp>
        <stp>BS_ST_BORROW</stp>
        <stp>FQ1 1998</stp>
        <stp>FQ1 1998</stp>
        <stp>[FA1_ftkzu3fn.xlsx]Bal Sheet - Standardized!R29C35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29" s="3"/>
      </tp>
      <tp>
        <v>39999</v>
        <stp/>
        <stp>##V3_BDHV12</stp>
        <stp>XOM US Equity</stp>
        <stp>TOTAL_EQUITY</stp>
        <stp>FQ2 1995</stp>
        <stp>FQ2 1995</stp>
        <stp>[FA1_ftkzu3fn.xlsx]Bal Sheet - Standardized!R44C24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44" s="3"/>
      </tp>
      <tp>
        <v>35861</v>
        <stp/>
        <stp>##V3_BDHV12</stp>
        <stp>XOM US Equity</stp>
        <stp>TOTAL_EQUITY</stp>
        <stp>FQ2 1994</stp>
        <stp>FQ2 1994</stp>
        <stp>[FA1_ftkzu3fn.xlsx]Bal Sheet - Standardized!R44C20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44" s="3"/>
      </tp>
      <tp>
        <v>34115</v>
        <stp/>
        <stp>##V3_BDHV12</stp>
        <stp>XOM US Equity</stp>
        <stp>TOTAL_EQUITY</stp>
        <stp>FQ1 1993</stp>
        <stp>FQ1 1993</stp>
        <stp>[FA1_ftkzu3fn.xlsx]Bal Sheet - Standardized!R44C15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44" s="3"/>
      </tp>
      <tp>
        <v>43356</v>
        <stp/>
        <stp>##V3_BDHV12</stp>
        <stp>XOM US Equity</stp>
        <stp>TOTAL_EQUITY</stp>
        <stp>FQ3 1997</stp>
        <stp>FQ3 1997</stp>
        <stp>[FA1_ftkzu3fn.xlsx]Bal Sheet - Standardized!R44C33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44" s="3"/>
      </tp>
      <tp>
        <v>1210</v>
        <stp/>
        <stp>##V3_BDHV12</stp>
        <stp>XOM US Equity</stp>
        <stp>NI_INCLUDING_MINORITY_INT_RATIO</stp>
        <stp>FQ2 1990</stp>
        <stp>FQ2 1990</stp>
        <stp>[FA1_ftkzu3fn.xlsx]Income - Adjusted!R18C4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D18" s="2"/>
      </tp>
      <tp>
        <v>1133</v>
        <stp/>
        <stp>##V3_BDHV12</stp>
        <stp>XOM US Equity</stp>
        <stp>NI_INCLUDING_MINORITY_INT_RATIO</stp>
        <stp>FQ3 1990</stp>
        <stp>FQ3 1990</stp>
        <stp>[FA1_ftkzu3fn.xlsx]Income - Adjusted!R18C5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E18" s="2"/>
      </tp>
      <tp>
        <v>54291</v>
        <stp/>
        <stp>##V3_BDHV12</stp>
        <stp>XOM US Equity</stp>
        <stp>OTHER_INS_RES_TO_SHRHLDR_EQY</stp>
        <stp>FQ2 1995</stp>
        <stp>FQ2 1995</stp>
        <stp>[FA1_ftkzu3fn.xlsx]Bal Sheet - Standardized!R41C24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41" s="3"/>
      </tp>
      <tp>
        <v>53881</v>
        <stp/>
        <stp>##V3_BDHV12</stp>
        <stp>XOM US Equity</stp>
        <stp>OTHER_INS_RES_TO_SHRHLDR_EQY</stp>
        <stp>FQ3 1995</stp>
        <stp>FQ3 1995</stp>
        <stp>[FA1_ftkzu3fn.xlsx]Bal Sheet - Standardized!R41C25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41" s="3"/>
      </tp>
      <tp>
        <v>58</v>
        <stp/>
        <stp>##V3_BDHV12</stp>
        <stp>XOM US Equity</stp>
        <stp>MIN_NONCONTROL_INTEREST_CREDITS</stp>
        <stp>FQ3 1990</stp>
        <stp>FQ3 1990</stp>
        <stp>[FA1_ftkzu3fn.xlsx]Income - Adjusted!R19C5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E19" s="2"/>
      </tp>
      <tp>
        <v>110</v>
        <stp/>
        <stp>##V3_BDHV12</stp>
        <stp>XOM US Equity</stp>
        <stp>MIN_NONCONTROL_INTEREST_CREDITS</stp>
        <stp>FQ2 1990</stp>
        <stp>FQ2 1990</stp>
        <stp>[FA1_ftkzu3fn.xlsx]Income - Adjusted!R19C4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D19" s="2"/>
      </tp>
      <tp>
        <v>0.19750000000000001</v>
        <stp/>
        <stp>##V3_BDHV12</stp>
        <stp>XOM US Equity</stp>
        <stp>EQY_DPS</stp>
        <stp>FQ3 1996</stp>
        <stp>FQ3 1996</stp>
        <stp>[FA1_ftkzu3fn.xlsx]Per Share!R20C29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20" s="5"/>
      </tp>
      <tp>
        <v>2322</v>
        <stp/>
        <stp>##V3_BDHV12</stp>
        <stp>XOM US Equity</stp>
        <stp>IS_OPER_INC</stp>
        <stp>FQ1 1990</stp>
        <stp>FQ1 1990</stp>
        <stp>[FA1_ftkzu3fn.xlsx]Income - Adjusted!R10C3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C10" s="2"/>
      </tp>
      <tp>
        <v>5700</v>
        <stp/>
        <stp>##V3_BDHV12</stp>
        <stp>XOM US Equity</stp>
        <stp>IS_OPER_INC</stp>
        <stp>FQ4 1990</stp>
        <stp>FQ4 1990</stp>
        <stp>[FA1_ftkzu3fn.xlsx]Income - Adjusted!R10C6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F10" s="2"/>
      </tp>
      <tp>
        <v>4.9091000000000005</v>
        <stp/>
        <stp>##V3_BDHV12</stp>
        <stp>XOM US Equity</stp>
        <stp>PROF_MARGIN</stp>
        <stp>FQ1 1993</stp>
        <stp>FQ1 1993</stp>
        <stp>[FA1_ftkzu3fn.xlsx]Income - Adjusted!R44C15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O44" s="2"/>
      </tp>
      <tp>
        <v>5.5158000000000005</v>
        <stp/>
        <stp>##V3_BDHV12</stp>
        <stp>XOM US Equity</stp>
        <stp>PROF_MARGIN</stp>
        <stp>FQ1 1992</stp>
        <stp>FQ1 1992</stp>
        <stp>[FA1_ftkzu3fn.xlsx]Income - Adjusted!R44C11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K44" s="2"/>
      </tp>
      <tp>
        <v>6.3536000000000001</v>
        <stp/>
        <stp>##V3_BDHV12</stp>
        <stp>XOM US Equity</stp>
        <stp>PROF_MARGIN</stp>
        <stp>FQ1 1995</stp>
        <stp>FQ1 1995</stp>
        <stp>[FA1_ftkzu3fn.xlsx]Income - Adjusted!R44C23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W44" s="2"/>
      </tp>
      <tp>
        <v>7.3589000000000002</v>
        <stp/>
        <stp>##V3_BDHV12</stp>
        <stp>XOM US Equity</stp>
        <stp>PROF_MARGIN</stp>
        <stp>FQ1 1997</stp>
        <stp>FQ1 1997</stp>
        <stp>[FA1_ftkzu3fn.xlsx]Income - Adjusted!R44C31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E44" s="2"/>
      </tp>
      <tp>
        <v>6.9393000000000002</v>
        <stp/>
        <stp>##V3_BDHV12</stp>
        <stp>XOM US Equity</stp>
        <stp>PROF_MARGIN</stp>
        <stp>FQ1 1996</stp>
        <stp>FQ1 1996</stp>
        <stp>[FA1_ftkzu3fn.xlsx]Income - Adjusted!R44C27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A44" s="2"/>
      </tp>
      <tp>
        <v>5.0693000000000001</v>
        <stp/>
        <stp>##V3_BDHV12</stp>
        <stp>XOM US Equity</stp>
        <stp>PROF_MARGIN</stp>
        <stp>FQ1 1994</stp>
        <stp>FQ1 1994</stp>
        <stp>[FA1_ftkzu3fn.xlsx]Income - Adjusted!R44C19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S44" s="2"/>
      </tp>
      <tp>
        <v>7.2107000000000001</v>
        <stp/>
        <stp>##V3_BDHV12</stp>
        <stp>XOM US Equity</stp>
        <stp>PROF_MARGIN</stp>
        <stp>FQ1 1998</stp>
        <stp>FQ1 1998</stp>
        <stp>[FA1_ftkzu3fn.xlsx]Income - Adjusted!R44C35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I44" s="2"/>
      </tp>
      <tp>
        <v>5.5612000000000004</v>
        <stp/>
        <stp>##V3_BDHV12</stp>
        <stp>XOM US Equity</stp>
        <stp>PROF_MARGIN</stp>
        <stp>FQ3 1993</stp>
        <stp>FQ3 1993</stp>
        <stp>[FA1_ftkzu3fn.xlsx]Income - Adjusted!R44C17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Q44" s="2"/>
      </tp>
      <tp>
        <v>4.1665000000000001</v>
        <stp/>
        <stp>##V3_BDHV12</stp>
        <stp>XOM US Equity</stp>
        <stp>PROF_MARGIN</stp>
        <stp>FQ3 1992</stp>
        <stp>FQ3 1992</stp>
        <stp>[FA1_ftkzu3fn.xlsx]Income - Adjusted!R44C13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M44" s="2"/>
      </tp>
      <tp>
        <v>6.3270999999999997</v>
        <stp/>
        <stp>##V3_BDHV12</stp>
        <stp>XOM US Equity</stp>
        <stp>PROF_MARGIN</stp>
        <stp>FQ3 1997</stp>
        <stp>FQ3 1997</stp>
        <stp>[FA1_ftkzu3fn.xlsx]Income - Adjusted!R44C33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G44" s="2"/>
      </tp>
      <tp>
        <v>5.3634000000000004</v>
        <stp/>
        <stp>##V3_BDHV12</stp>
        <stp>XOM US Equity</stp>
        <stp>PROF_MARGIN</stp>
        <stp>FQ3 1996</stp>
        <stp>FQ3 1996</stp>
        <stp>[FA1_ftkzu3fn.xlsx]Income - Adjusted!R44C29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C44" s="2"/>
      </tp>
      <tp>
        <v>4.4343000000000004</v>
        <stp/>
        <stp>##V3_BDHV12</stp>
        <stp>XOM US Equity</stp>
        <stp>PROF_MARGIN</stp>
        <stp>FQ3 1994</stp>
        <stp>FQ3 1994</stp>
        <stp>[FA1_ftkzu3fn.xlsx]Income - Adjusted!R44C21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U44" s="2"/>
      </tp>
      <tp>
        <v>5.5503999999999998</v>
        <stp/>
        <stp>##V3_BDHV12</stp>
        <stp>XOM US Equity</stp>
        <stp>PROF_MARGIN</stp>
        <stp>FQ3 1995</stp>
        <stp>FQ3 1995</stp>
        <stp>[FA1_ftkzu3fn.xlsx]Income - Adjusted!R44C25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Y44" s="2"/>
      </tp>
      <tp>
        <v>3.8904999999999998</v>
        <stp/>
        <stp>##V3_BDHV12</stp>
        <stp>XOM US Equity</stp>
        <stp>PROF_MARGIN</stp>
        <stp>FQ2 1992</stp>
        <stp>FQ2 1992</stp>
        <stp>[FA1_ftkzu3fn.xlsx]Income - Adjusted!R44C12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L44" s="2"/>
      </tp>
      <tp>
        <v>4.9996</v>
        <stp/>
        <stp>##V3_BDHV12</stp>
        <stp>XOM US Equity</stp>
        <stp>PROF_MARGIN</stp>
        <stp>FQ2 1993</stp>
        <stp>FQ2 1993</stp>
        <stp>[FA1_ftkzu3fn.xlsx]Income - Adjusted!R44C16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P44" s="2"/>
      </tp>
      <tp>
        <v>6.8506999999999998</v>
        <stp/>
        <stp>##V3_BDHV12</stp>
        <stp>XOM US Equity</stp>
        <stp>PROF_MARGIN</stp>
        <stp>FQ2 1997</stp>
        <stp>FQ2 1997</stp>
        <stp>[FA1_ftkzu3fn.xlsx]Income - Adjusted!R44C32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F44" s="2"/>
      </tp>
      <tp>
        <v>5.6121999999999996</v>
        <stp/>
        <stp>##V3_BDHV12</stp>
        <stp>XOM US Equity</stp>
        <stp>PROF_MARGIN</stp>
        <stp>FQ2 1996</stp>
        <stp>FQ2 1996</stp>
        <stp>[FA1_ftkzu3fn.xlsx]Income - Adjusted!R44C28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B44" s="2"/>
      </tp>
      <tp>
        <v>5.8536000000000001</v>
        <stp/>
        <stp>##V3_BDHV12</stp>
        <stp>XOM US Equity</stp>
        <stp>PROF_MARGIN</stp>
        <stp>FQ2 1995</stp>
        <stp>FQ2 1995</stp>
        <stp>[FA1_ftkzu3fn.xlsx]Income - Adjusted!R44C24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X44" s="2"/>
      </tp>
      <tp>
        <v>3.6501000000000001</v>
        <stp/>
        <stp>##V3_BDHV12</stp>
        <stp>XOM US Equity</stp>
        <stp>PROF_MARGIN</stp>
        <stp>FQ2 1994</stp>
        <stp>FQ2 1994</stp>
        <stp>[FA1_ftkzu3fn.xlsx]Income - Adjusted!R44C20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T44" s="2"/>
      </tp>
      <tp>
        <v>6.3467000000000002</v>
        <stp/>
        <stp>##V3_BDHV12</stp>
        <stp>XOM US Equity</stp>
        <stp>PROF_MARGIN</stp>
        <stp>FQ2 1998</stp>
        <stp>FQ2 1998</stp>
        <stp>[FA1_ftkzu3fn.xlsx]Income - Adjusted!R44C36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J44" s="2"/>
      </tp>
      <tp>
        <v>5.4783999999999997</v>
        <stp/>
        <stp>##V3_BDHV12</stp>
        <stp>XOM US Equity</stp>
        <stp>PROF_MARGIN</stp>
        <stp>FQ4 1995</stp>
        <stp>FQ4 1995</stp>
        <stp>[FA1_ftkzu3fn.xlsx]Income - Adjusted!R44C26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Z44" s="2"/>
      </tp>
      <tp>
        <v>6.2171000000000003</v>
        <stp/>
        <stp>##V3_BDHV12</stp>
        <stp>XOM US Equity</stp>
        <stp>PROF_MARGIN</stp>
        <stp>FQ4 1994</stp>
        <stp>FQ4 1994</stp>
        <stp>[FA1_ftkzu3fn.xlsx]Income - Adjusted!R44C22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V44" s="2"/>
      </tp>
      <tp>
        <v>6.6321000000000003</v>
        <stp/>
        <stp>##V3_BDHV12</stp>
        <stp>XOM US Equity</stp>
        <stp>PROF_MARGIN</stp>
        <stp>FQ4 1996</stp>
        <stp>FQ4 1996</stp>
        <stp>[FA1_ftkzu3fn.xlsx]Income - Adjusted!R44C30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D44" s="2"/>
      </tp>
      <tp>
        <v>7.2473999999999998</v>
        <stp/>
        <stp>##V3_BDHV12</stp>
        <stp>XOM US Equity</stp>
        <stp>PROF_MARGIN</stp>
        <stp>FQ4 1997</stp>
        <stp>FQ4 1997</stp>
        <stp>[FA1_ftkzu3fn.xlsx]Income - Adjusted!R44C34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H44" s="2"/>
      </tp>
      <tp>
        <v>5.1722000000000001</v>
        <stp/>
        <stp>##V3_BDHV12</stp>
        <stp>XOM US Equity</stp>
        <stp>PROF_MARGIN</stp>
        <stp>FQ4 1992</stp>
        <stp>FQ4 1992</stp>
        <stp>[FA1_ftkzu3fn.xlsx]Income - Adjusted!R44C14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N44" s="2"/>
      </tp>
      <tp>
        <v>5.3874000000000004</v>
        <stp/>
        <stp>##V3_BDHV12</stp>
        <stp>XOM US Equity</stp>
        <stp>PROF_MARGIN</stp>
        <stp>FQ4 1993</stp>
        <stp>FQ4 1993</stp>
        <stp>[FA1_ftkzu3fn.xlsx]Income - Adjusted!R44C18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R44" s="2"/>
      </tp>
      <tp>
        <v>3.6105999999999998</v>
        <stp/>
        <stp>##V3_BDHV12</stp>
        <stp>XOM US Equity</stp>
        <stp>PROF_MARGIN</stp>
        <stp>FQ4 1991</stp>
        <stp>FQ4 1991</stp>
        <stp>[FA1_ftkzu3fn.xlsx]Income - Adjusted!R44C10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J44" s="2"/>
      </tp>
      <tp t="s">
        <v>—</v>
        <stp/>
        <stp>##V3_BDHV12</stp>
        <stp>XOM US Equity</stp>
        <stp>CF_DECR_CAP_STOCK</stp>
        <stp>FQ4 1995</stp>
        <stp>FQ4 1995</stp>
        <stp>[FA1_ftkzu3fn.xlsx]Cash Flow - Standardized!R30C26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30" s="4"/>
      </tp>
      <tp t="s">
        <v>—</v>
        <stp/>
        <stp>##V3_BDHV12</stp>
        <stp>XOM US Equity</stp>
        <stp>CF_DECR_CAP_STOCK</stp>
        <stp>FQ4 1994</stp>
        <stp>FQ4 1994</stp>
        <stp>[FA1_ftkzu3fn.xlsx]Cash Flow - Standardized!R30C22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30" s="4"/>
      </tp>
      <tp>
        <v>0.23</v>
        <stp/>
        <stp>##V3_BDHV12</stp>
        <stp>XOM US Equity</stp>
        <stp>IS_BASIC_EPS_CONT_OPS</stp>
        <stp>FQ3 1994</stp>
        <stp>FQ3 1994</stp>
        <stp>[FA1_ftkzu3fn.xlsx]Per Share!R16C21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16" s="5"/>
      </tp>
      <tp>
        <v>0.39500000000000002</v>
        <stp/>
        <stp>##V3_BDHV12</stp>
        <stp>XOM US Equity</stp>
        <stp>IS_BASIC_EPS_CONT_OPS</stp>
        <stp>FQ2 1997</stp>
        <stp>FQ2 1997</stp>
        <stp>[FA1_ftkzu3fn.xlsx]Per Share!R16C32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16" s="5"/>
      </tp>
      <tp t="s">
        <v>—</v>
        <stp/>
        <stp>##V3_BDHV12</stp>
        <stp>XOM US Equity</stp>
        <stp>IS_BASIC_EPS_CONT_OPS</stp>
        <stp>FQ2 1993</stp>
        <stp>FQ2 1993</stp>
        <stp>[FA1_ftkzu3fn.xlsx]Per Share!R16C16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16" s="5"/>
      </tp>
      <tp>
        <v>1563</v>
        <stp/>
        <stp>##V3_BDHV12</stp>
        <stp>XOM US Equity</stp>
        <stp>CF_FREE_CASH_FLOW</stp>
        <stp>FQ2 1997</stp>
        <stp>FQ2 1997</stp>
        <stp>[FA1_ftkzu3fn.xlsx]Cash Flow - Standardized!R40C32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40" s="4"/>
      </tp>
      <tp t="s">
        <v>—</v>
        <stp/>
        <stp>##V3_BDHV12</stp>
        <stp>XOM US Equity</stp>
        <stp>CF_FREE_CASH_FLOW</stp>
        <stp>FQ3 1994</stp>
        <stp>FQ3 1994</stp>
        <stp>[FA1_ftkzu3fn.xlsx]Cash Flow - Standardized!R40C21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40" s="4"/>
      </tp>
      <tp>
        <v>2165</v>
        <stp/>
        <stp>##V3_BDHV12</stp>
        <stp>XOM US Equity</stp>
        <stp>CF_FREE_CASH_FLOW</stp>
        <stp>FQ3 1995</stp>
        <stp>FQ3 1995</stp>
        <stp>[FA1_ftkzu3fn.xlsx]Cash Flow - Standardized!R40C25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40" s="4"/>
      </tp>
      <tp>
        <v>928</v>
        <stp/>
        <stp>##V3_BDHV12</stp>
        <stp>XOM US Equity</stp>
        <stp>CF_FREE_CASH_FLOW</stp>
        <stp>FQ2 1998</stp>
        <stp>FQ2 1998</stp>
        <stp>[FA1_ftkzu3fn.xlsx]Cash Flow - Standardized!R40C36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40" s="4"/>
      </tp>
      <tp>
        <v>1298</v>
        <stp/>
        <stp>##V3_BDHV12</stp>
        <stp>XOM US Equity</stp>
        <stp>CF_FREE_CASH_FLOW</stp>
        <stp>FQ3 1996</stp>
        <stp>FQ3 1996</stp>
        <stp>[FA1_ftkzu3fn.xlsx]Cash Flow - Standardized!R40C29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40" s="4"/>
      </tp>
      <tp>
        <v>33.631999999999998</v>
        <stp/>
        <stp>##V3_BDHV12</stp>
        <stp>XOM US Equity</stp>
        <stp>NET_DEBT_TO_SHRHLDR_EQTY</stp>
        <stp>FQ1 1991</stp>
        <stp>FQ1 1991</stp>
        <stp>[FA1_ftkzu3fn.xlsx]Bal Sheet - Standardized!R52C7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52" s="3"/>
      </tp>
      <tp>
        <v>41.987299999999998</v>
        <stp/>
        <stp>##V3_BDHV12</stp>
        <stp>XOM US Equity</stp>
        <stp>NET_DEBT_TO_SHRHLDR_EQTY</stp>
        <stp>FQ3 1990</stp>
        <stp>FQ3 1990</stp>
        <stp>[FA1_ftkzu3fn.xlsx]Bal Sheet - Standardized!R52C5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52" s="3"/>
      </tp>
      <tp>
        <v>42.357199999999999</v>
        <stp/>
        <stp>##V3_BDHV12</stp>
        <stp>XOM US Equity</stp>
        <stp>NET_DEBT_TO_SHRHLDR_EQTY</stp>
        <stp>FQ2 1990</stp>
        <stp>FQ2 1990</stp>
        <stp>[FA1_ftkzu3fn.xlsx]Bal Sheet - Standardized!R52C4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52" s="3"/>
      </tp>
      <tp>
        <v>1620.5</v>
        <stp/>
        <stp>##V3_BDHV12</stp>
        <stp>XOM US Equity</stp>
        <stp>EARN_FOR_COMMON</stp>
        <stp>FQ2 1995</stp>
        <stp>FQ2 1995</stp>
        <stp>[FA1_ftkzu3fn.xlsx]Income - Adjusted!R24C24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X24" s="2"/>
      </tp>
      <tp>
        <v>1120</v>
        <stp/>
        <stp>##V3_BDHV12</stp>
        <stp>XOM US Equity</stp>
        <stp>EARN_FOR_COMMON</stp>
        <stp>FQ3 1992</stp>
        <stp>FQ3 1992</stp>
        <stp>[FA1_ftkzu3fn.xlsx]Income - Adjusted!R24C13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M24" s="2"/>
      </tp>
      <tp>
        <v>1878.25</v>
        <stp/>
        <stp>##V3_BDHV12</stp>
        <stp>XOM US Equity</stp>
        <stp>EARN_FOR_COMMON</stp>
        <stp>FQ1 1996</stp>
        <stp>FQ1 1996</stp>
        <stp>[FA1_ftkzu3fn.xlsx]Income - Adjusted!R24C27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A24" s="2"/>
      </tp>
      <tp>
        <v>1103</v>
        <stp/>
        <stp>##V3_BDHV12</stp>
        <stp>XOM US Equity</stp>
        <stp>EARN_FOR_COMMON</stp>
        <stp>FQ4 1991</stp>
        <stp>FQ4 1991</stp>
        <stp>[FA1_ftkzu3fn.xlsx]Income - Adjusted!R24C10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J24" s="2"/>
      </tp>
      <tp>
        <v>836</v>
        <stp/>
        <stp>##V3_BDHV12</stp>
        <stp>XOM US Equity</stp>
        <stp>IS_TOT_CASH_COM_DVD</stp>
        <stp>FQ4 1990</stp>
        <stp>FQ4 1990</stp>
        <stp>[FA1_ftkzu3fn.xlsx]Income - Adjusted!R47C6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47" s="2"/>
      </tp>
      <tp>
        <v>1365</v>
        <stp/>
        <stp>##V3_BDHV12</stp>
        <stp>XOM US Equity</stp>
        <stp>CF_DEPR_AMORT</stp>
        <stp>FQ1 1997</stp>
        <stp>FQ1 1997</stp>
        <stp>[FA1_ftkzu3fn.xlsx]Cash Flow - Standardized!R8C31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8" s="4"/>
      </tp>
      <tp>
        <v>1342</v>
        <stp/>
        <stp>##V3_BDHV12</stp>
        <stp>XOM US Equity</stp>
        <stp>CF_DEPR_AMORT</stp>
        <stp>FQ2 1997</stp>
        <stp>FQ2 1997</stp>
        <stp>[FA1_ftkzu3fn.xlsx]Cash Flow - Standardized!R8C32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8" s="4"/>
      </tp>
      <tp>
        <v>1361</v>
        <stp/>
        <stp>##V3_BDHV12</stp>
        <stp>XOM US Equity</stp>
        <stp>CF_DEPR_AMORT</stp>
        <stp>FQ3 1997</stp>
        <stp>FQ3 1997</stp>
        <stp>[FA1_ftkzu3fn.xlsx]Cash Flow - Standardized!R8C33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8" s="4"/>
      </tp>
      <tp>
        <v>1406</v>
        <stp/>
        <stp>##V3_BDHV12</stp>
        <stp>XOM US Equity</stp>
        <stp>CF_DEPR_AMORT</stp>
        <stp>FQ4 1997</stp>
        <stp>FQ4 1997</stp>
        <stp>[FA1_ftkzu3fn.xlsx]Cash Flow - Standardized!R8C34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8" s="4"/>
      </tp>
      <tp>
        <v>1344</v>
        <stp/>
        <stp>##V3_BDHV12</stp>
        <stp>XOM US Equity</stp>
        <stp>CF_DEPR_AMORT</stp>
        <stp>FQ4 1996</stp>
        <stp>FQ4 1996</stp>
        <stp>[FA1_ftkzu3fn.xlsx]Cash Flow - Standardized!R8C30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8" s="4"/>
      </tp>
      <tp>
        <v>1390</v>
        <stp/>
        <stp>##V3_BDHV12</stp>
        <stp>XOM US Equity</stp>
        <stp>CF_DEPR_AMORT</stp>
        <stp>FQ2 1998</stp>
        <stp>FQ2 1998</stp>
        <stp>[FA1_ftkzu3fn.xlsx]Cash Flow - Standardized!R8C36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8" s="4"/>
      </tp>
      <tp>
        <v>1388</v>
        <stp/>
        <stp>##V3_BDHV12</stp>
        <stp>XOM US Equity</stp>
        <stp>CF_DEPR_AMORT</stp>
        <stp>FQ1 1998</stp>
        <stp>FQ1 1998</stp>
        <stp>[FA1_ftkzu3fn.xlsx]Cash Flow - Standardized!R8C35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8" s="4"/>
      </tp>
      <tp>
        <v>4905</v>
        <stp/>
        <stp>##V3_BDHV12</stp>
        <stp>XOM US Equity</stp>
        <stp>BS_ST_BORROW</stp>
        <stp>FQ2 1993</stp>
        <stp>FQ2 1993</stp>
        <stp>[FA1_ftkzu3fn.xlsx]Bal Sheet - Standardized!R29C16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29" s="3"/>
      </tp>
      <tp>
        <v>3581</v>
        <stp/>
        <stp>##V3_BDHV12</stp>
        <stp>XOM US Equity</stp>
        <stp>BS_ST_BORROW</stp>
        <stp>FQ1 1995</stp>
        <stp>FQ1 1995</stp>
        <stp>[FA1_ftkzu3fn.xlsx]Bal Sheet - Standardized!R29C23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29" s="3"/>
      </tp>
      <tp>
        <v>2433</v>
        <stp/>
        <stp>##V3_BDHV12</stp>
        <stp>XOM US Equity</stp>
        <stp>BS_ST_BORROW</stp>
        <stp>FQ1 1996</stp>
        <stp>FQ1 1996</stp>
        <stp>[FA1_ftkzu3fn.xlsx]Bal Sheet - Standardized!R29C27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29" s="3"/>
      </tp>
      <tp>
        <v>43357</v>
        <stp/>
        <stp>##V3_BDHV12</stp>
        <stp>XOM US Equity</stp>
        <stp>TOTAL_EQUITY</stp>
        <stp>FQ2 1998</stp>
        <stp>FQ2 1998</stp>
        <stp>[FA1_ftkzu3fn.xlsx]Bal Sheet - Standardized!R44C36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44" s="3"/>
      </tp>
      <tp>
        <v>41791</v>
        <stp/>
        <stp>##V3_BDHV12</stp>
        <stp>XOM US Equity</stp>
        <stp>TOTAL_EQUITY</stp>
        <stp>FQ3 1996</stp>
        <stp>FQ3 1996</stp>
        <stp>[FA1_ftkzu3fn.xlsx]Bal Sheet - Standardized!R44C29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44" s="3"/>
      </tp>
      <tp>
        <v>4798</v>
        <stp/>
        <stp>##V3_BDHV12</stp>
        <stp>XOM US Equity</stp>
        <stp>BS_ST_BORROW</stp>
        <stp>FQ2 1992</stp>
        <stp>FQ2 1992</stp>
        <stp>[FA1_ftkzu3fn.xlsx]Bal Sheet - Standardized!R29C12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29" s="3"/>
      </tp>
      <tp>
        <v>40035</v>
        <stp/>
        <stp>##V3_BDHV12</stp>
        <stp>XOM US Equity</stp>
        <stp>TOTAL_EQUITY</stp>
        <stp>FQ3 1995</stp>
        <stp>FQ3 1995</stp>
        <stp>[FA1_ftkzu3fn.xlsx]Bal Sheet - Standardized!R44C25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44" s="3"/>
      </tp>
      <tp>
        <v>36516</v>
        <stp/>
        <stp>##V3_BDHV12</stp>
        <stp>XOM US Equity</stp>
        <stp>TOTAL_EQUITY</stp>
        <stp>FQ3 1994</stp>
        <stp>FQ3 1994</stp>
        <stp>[FA1_ftkzu3fn.xlsx]Bal Sheet - Standardized!R44C21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44" s="3"/>
      </tp>
      <tp>
        <v>43815</v>
        <stp/>
        <stp>##V3_BDHV12</stp>
        <stp>XOM US Equity</stp>
        <stp>TOTAL_EQUITY</stp>
        <stp>FQ2 1997</stp>
        <stp>FQ2 1997</stp>
        <stp>[FA1_ftkzu3fn.xlsx]Bal Sheet - Standardized!R44C32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44" s="3"/>
      </tp>
      <tp>
        <v>2341</v>
        <stp/>
        <stp>##V3_BDHV12</stp>
        <stp>XOM US Equity</stp>
        <stp>NI_INCLUDING_MINORITY_INT_RATIO</stp>
        <stp>FQ1 1991</stp>
        <stp>FQ1 1991</stp>
        <stp>[FA1_ftkzu3fn.xlsx]Income - Adjusted!R18C7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G18" s="2"/>
      </tp>
      <tp>
        <v>51056</v>
        <stp/>
        <stp>##V3_BDHV12</stp>
        <stp>XOM US Equity</stp>
        <stp>OTHER_INS_RES_TO_SHRHLDR_EQY</stp>
        <stp>FQ4 1994</stp>
        <stp>FQ4 1994</stp>
        <stp>[FA1_ftkzu3fn.xlsx]Bal Sheet - Standardized!R41C22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41" s="3"/>
      </tp>
      <tp>
        <v>57937</v>
        <stp/>
        <stp>##V3_BDHV12</stp>
        <stp>XOM US Equity</stp>
        <stp>OTHER_INS_RES_TO_SHRHLDR_EQY</stp>
        <stp>FQ4 1996</stp>
        <stp>FQ4 1996</stp>
        <stp>[FA1_ftkzu3fn.xlsx]Bal Sheet - Standardized!R41C30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41" s="3"/>
      </tp>
      <tp>
        <v>47071</v>
        <stp/>
        <stp>##V3_BDHV12</stp>
        <stp>XOM US Equity</stp>
        <stp>OTHER_INS_RES_TO_SHRHLDR_EQY</stp>
        <stp>FQ4 1992</stp>
        <stp>FQ4 1992</stp>
        <stp>[FA1_ftkzu3fn.xlsx]Bal Sheet - Standardized!R41C14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41" s="3"/>
      </tp>
      <tp>
        <v>48310</v>
        <stp/>
        <stp>##V3_BDHV12</stp>
        <stp>XOM US Equity</stp>
        <stp>OTHER_INS_RES_TO_SHRHLDR_EQY</stp>
        <stp>FQ1 1992</stp>
        <stp>FQ1 1992</stp>
        <stp>[FA1_ftkzu3fn.xlsx]Bal Sheet - Standardized!R41C11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41" s="3"/>
      </tp>
      <tp>
        <v>48596</v>
        <stp/>
        <stp>##V3_BDHV12</stp>
        <stp>XOM US Equity</stp>
        <stp>OTHER_INS_RES_TO_SHRHLDR_EQY</stp>
        <stp>FQ3 1992</stp>
        <stp>FQ3 1992</stp>
        <stp>[FA1_ftkzu3fn.xlsx]Bal Sheet - Standardized!R41C13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41" s="3"/>
      </tp>
      <tp>
        <v>48478</v>
        <stp/>
        <stp>##V3_BDHV12</stp>
        <stp>XOM US Equity</stp>
        <stp>OTHER_INS_RES_TO_SHRHLDR_EQY</stp>
        <stp>FQ2 1992</stp>
        <stp>FQ2 1992</stp>
        <stp>[FA1_ftkzu3fn.xlsx]Bal Sheet - Standardized!R41C12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41" s="3"/>
      </tp>
      <tp>
        <v>101</v>
        <stp/>
        <stp>##V3_BDHV12</stp>
        <stp>XOM US Equity</stp>
        <stp>MIN_NONCONTROL_INTEREST_CREDITS</stp>
        <stp>FQ1 1991</stp>
        <stp>FQ1 1991</stp>
        <stp>[FA1_ftkzu3fn.xlsx]Income - Adjusted!R19C7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G19" s="2"/>
      </tp>
      <tp>
        <v>0.20499999999999999</v>
        <stp/>
        <stp>##V3_BDHV12</stp>
        <stp>XOM US Equity</stp>
        <stp>EQY_DPS</stp>
        <stp>FQ2 1998</stp>
        <stp>FQ2 1998</stp>
        <stp>[FA1_ftkzu3fn.xlsx]Per Share!R20C36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20" s="5"/>
      </tp>
      <tp>
        <v>0.19750000000000001</v>
        <stp/>
        <stp>##V3_BDHV12</stp>
        <stp>XOM US Equity</stp>
        <stp>EQY_DPS</stp>
        <stp>FQ2 1996</stp>
        <stp>FQ2 1996</stp>
        <stp>[FA1_ftkzu3fn.xlsx]Per Share!R20C28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20" s="5"/>
      </tp>
      <tp>
        <v>4922.3999999999996</v>
        <stp/>
        <stp>##V3_BDHV12</stp>
        <stp>XOM US Equity</stp>
        <stp>IS_AVG_NUM_SH_FOR_EPS</stp>
        <stp>FQ4 1997</stp>
        <stp>FQ4 1997</stp>
        <stp>[FA1_ftkzu3fn.xlsx]Income - Adjusted!R27C34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27" s="2"/>
      </tp>
      <tp>
        <v>4966</v>
        <stp/>
        <stp>##V3_BDHV12</stp>
        <stp>XOM US Equity</stp>
        <stp>IS_AVG_NUM_SH_FOR_EPS</stp>
        <stp>FQ4 1995</stp>
        <stp>FQ4 1995</stp>
        <stp>[FA1_ftkzu3fn.xlsx]Income - Adjusted!R27C26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27" s="2"/>
      </tp>
      <tp>
        <v>4966.6958000000004</v>
        <stp/>
        <stp>##V3_BDHV12</stp>
        <stp>XOM US Equity</stp>
        <stp>IS_AVG_NUM_SH_FOR_EPS</stp>
        <stp>FQ1 1992</stp>
        <stp>FQ1 1992</stp>
        <stp>[FA1_ftkzu3fn.xlsx]Income - Adjusted!R27C11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27" s="2"/>
      </tp>
      <tp t="s">
        <v>—</v>
        <stp/>
        <stp>##V3_BDHV12</stp>
        <stp>XOM US Equity</stp>
        <stp>CF_DECR_CAP_STOCK</stp>
        <stp>FQ4 1991</stp>
        <stp>FQ4 1991</stp>
        <stp>[FA1_ftkzu3fn.xlsx]Cash Flow - Standardized!R30C10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30" s="4"/>
      </tp>
      <tp t="s">
        <v>—</v>
        <stp/>
        <stp>##V3_BDHV12</stp>
        <stp>XOM US Equity</stp>
        <stp>CF_DECR_CAP_STOCK</stp>
        <stp>FQ4 1992</stp>
        <stp>FQ4 1992</stp>
        <stp>[FA1_ftkzu3fn.xlsx]Cash Flow - Standardized!R30C14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30" s="4"/>
      </tp>
      <tp t="s">
        <v>—</v>
        <stp/>
        <stp>##V3_BDHV12</stp>
        <stp>XOM US Equity</stp>
        <stp>CF_DECR_CAP_STOCK</stp>
        <stp>FQ4 1993</stp>
        <stp>FQ4 1993</stp>
        <stp>[FA1_ftkzu3fn.xlsx]Cash Flow - Standardized!R30C18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30" s="4"/>
      </tp>
      <tp>
        <v>0.3175</v>
        <stp/>
        <stp>##V3_BDHV12</stp>
        <stp>XOM US Equity</stp>
        <stp>IS_BASIC_EPS_CONT_OPS</stp>
        <stp>FQ4 1992</stp>
        <stp>FQ4 1992</stp>
        <stp>[FA1_ftkzu3fn.xlsx]Per Share!R16C14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16" s="5"/>
      </tp>
      <tp>
        <v>0.5</v>
        <stp/>
        <stp>##V3_BDHV12</stp>
        <stp>XOM US Equity</stp>
        <stp>IS_BASIC_EPS_CONT_OPS</stp>
        <stp>FQ4 1996</stp>
        <stp>FQ4 1996</stp>
        <stp>[FA1_ftkzu3fn.xlsx]Per Share!R16C30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16" s="5"/>
      </tp>
      <tp>
        <v>0.38250000000000001</v>
        <stp/>
        <stp>##V3_BDHV12</stp>
        <stp>XOM US Equity</stp>
        <stp>IS_BASIC_EPS_CONT_OPS</stp>
        <stp>FQ4 1994</stp>
        <stp>FQ4 1994</stp>
        <stp>[FA1_ftkzu3fn.xlsx]Per Share!R16C22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16" s="5"/>
      </tp>
      <tp>
        <v>0.435</v>
        <stp/>
        <stp>##V3_BDHV12</stp>
        <stp>XOM US Equity</stp>
        <stp>IS_BASIC_EPS_CONT_OPS</stp>
        <stp>FQ1 1997</stp>
        <stp>FQ1 1997</stp>
        <stp>[FA1_ftkzu3fn.xlsx]Per Share!R16C31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16" s="5"/>
      </tp>
      <tp t="s">
        <v>—</v>
        <stp/>
        <stp>##V3_BDHV12</stp>
        <stp>XOM US Equity</stp>
        <stp>IS_BASIC_EPS_CONT_OPS</stp>
        <stp>FQ1 1995</stp>
        <stp>FQ1 1995</stp>
        <stp>[FA1_ftkzu3fn.xlsx]Per Share!R16C23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16" s="5"/>
      </tp>
      <tp t="s">
        <v>—</v>
        <stp/>
        <stp>##V3_BDHV12</stp>
        <stp>XOM US Equity</stp>
        <stp>IS_BASIC_EPS_CONT_OPS</stp>
        <stp>FQ1 1993</stp>
        <stp>FQ1 1993</stp>
        <stp>[FA1_ftkzu3fn.xlsx]Per Share!R16C15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16" s="5"/>
      </tp>
      <tp>
        <v>3033</v>
        <stp/>
        <stp>##V3_BDHV12</stp>
        <stp>XOM US Equity</stp>
        <stp>CF_FREE_CASH_FLOW</stp>
        <stp>FQ1 1997</stp>
        <stp>FQ1 1997</stp>
        <stp>[FA1_ftkzu3fn.xlsx]Cash Flow - Standardized!R40C31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40" s="4"/>
      </tp>
      <tp t="s">
        <v>—</v>
        <stp/>
        <stp>##V3_BDHV12</stp>
        <stp>XOM US Equity</stp>
        <stp>CF_FREE_CASH_FLOW</stp>
        <stp>FQ3 1993</stp>
        <stp>FQ3 1993</stp>
        <stp>[FA1_ftkzu3fn.xlsx]Cash Flow - Standardized!R40C17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40" s="4"/>
      </tp>
      <tp t="s">
        <v>—</v>
        <stp/>
        <stp>##V3_BDHV12</stp>
        <stp>XOM US Equity</stp>
        <stp>CF_FREE_CASH_FLOW</stp>
        <stp>FQ3 1992</stp>
        <stp>FQ3 1992</stp>
        <stp>[FA1_ftkzu3fn.xlsx]Cash Flow - Standardized!R40C13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40" s="4"/>
      </tp>
      <tp>
        <v>1365</v>
        <stp/>
        <stp>##V3_BDHV12</stp>
        <stp>XOM US Equity</stp>
        <stp>CF_FREE_CASH_FLOW</stp>
        <stp>FQ1 1998</stp>
        <stp>FQ1 1998</stp>
        <stp>[FA1_ftkzu3fn.xlsx]Cash Flow - Standardized!R40C35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40" s="4"/>
      </tp>
      <tp t="s">
        <v>—</v>
        <stp/>
        <stp>##V3_BDHV12</stp>
        <stp>XOM US Equity</stp>
        <stp>FREE_CASH_FLOW_PER_SH</stp>
        <stp>FQ3 1992</stp>
        <stp>FQ3 1992</stp>
        <stp>[FA1_ftkzu3fn.xlsx]Per Share!R23C13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23" s="5"/>
      </tp>
      <tp>
        <v>0.28189999999999998</v>
        <stp/>
        <stp>##V3_BDHV12</stp>
        <stp>XOM US Equity</stp>
        <stp>FREE_CASH_FLOW_PER_SH</stp>
        <stp>FQ2 1995</stp>
        <stp>FQ2 1995</stp>
        <stp>[FA1_ftkzu3fn.xlsx]Per Share!R23C24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23" s="5"/>
      </tp>
      <tp>
        <v>0.53620000000000001</v>
        <stp/>
        <stp>##V3_BDHV12</stp>
        <stp>XOM US Equity</stp>
        <stp>FREE_CASH_FLOW_PER_SH</stp>
        <stp>FQ1 1996</stp>
        <stp>FQ1 1996</stp>
        <stp>[FA1_ftkzu3fn.xlsx]Per Share!R23C27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23" s="5"/>
      </tp>
      <tp t="s">
        <v>—</v>
        <stp/>
        <stp>##V3_BDHV12</stp>
        <stp>XOM US Equity</stp>
        <stp>FREE_CASH_FLOW_PER_SH</stp>
        <stp>FQ4 1991</stp>
        <stp>FQ4 1991</stp>
        <stp>[FA1_ftkzu3fn.xlsx]Per Share!R23C10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23" s="5"/>
      </tp>
      <tp>
        <v>4980.0962</v>
        <stp/>
        <stp>##V3_BDHV12</stp>
        <stp>XOM US Equity</stp>
        <stp>IS_SH_FOR_DILUTED_EPS</stp>
        <stp>FQ1 1991</stp>
        <stp>FQ1 1991</stp>
        <stp>[FA1_ftkzu3fn.xlsx]Per Share!R7C7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7" s="5"/>
      </tp>
      <tp>
        <v>4987.2002000000002</v>
        <stp/>
        <stp>##V3_BDHV12</stp>
        <stp>XOM US Equity</stp>
        <stp>IS_SH_FOR_DILUTED_EPS</stp>
        <stp>FQ3 1990</stp>
        <stp>FQ3 1990</stp>
        <stp>[FA1_ftkzu3fn.xlsx]Per Share!R7C5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7" s="5"/>
      </tp>
      <tp>
        <v>4991.6318000000001</v>
        <stp/>
        <stp>##V3_BDHV12</stp>
        <stp>XOM US Equity</stp>
        <stp>IS_SH_FOR_DILUTED_EPS</stp>
        <stp>FQ2 1990</stp>
        <stp>FQ2 1990</stp>
        <stp>[FA1_ftkzu3fn.xlsx]Per Share!R7C4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7" s="5"/>
      </tp>
      <tp t="s">
        <v>—</v>
        <stp/>
        <stp>##V3_BDHV12</stp>
        <stp>XOM US Equity</stp>
        <stp>ACQUIS_FXD_&amp;_INTANG_DETAILED</stp>
        <stp>FQ3 1991</stp>
        <stp>FQ3 1991</stp>
        <stp>[FA1_ftkzu3fn.xlsx]Cash Flow - Standardized!R18C9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8" s="4"/>
      </tp>
      <tp t="s">
        <v>—</v>
        <stp/>
        <stp>##V3_BDHV12</stp>
        <stp>XOM US Equity</stp>
        <stp>ACQUIS_FXD_&amp;_INTANG_DETAILED</stp>
        <stp>FQ2 1991</stp>
        <stp>FQ2 1991</stp>
        <stp>[FA1_ftkzu3fn.xlsx]Cash Flow - Standardized!R18C8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8" s="4"/>
      </tp>
      <tp t="s">
        <v>—</v>
        <stp/>
        <stp>##V3_BDHV12</stp>
        <stp>XOM US Equity</stp>
        <stp>ACQUIS_FXD_&amp;_INTANG_DETAILED</stp>
        <stp>FQ2 1990</stp>
        <stp>FQ2 1990</stp>
        <stp>[FA1_ftkzu3fn.xlsx]Cash Flow - Standardized!R18C4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8" s="4"/>
      </tp>
      <tp t="s">
        <v>—</v>
        <stp/>
        <stp>##V3_BDHV12</stp>
        <stp>XOM US Equity</stp>
        <stp>ACQUIS_FXD_&amp;_INTANG_DETAILED</stp>
        <stp>FQ3 1990</stp>
        <stp>FQ3 1990</stp>
        <stp>[FA1_ftkzu3fn.xlsx]Cash Flow - Standardized!R18C5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8" s="4"/>
      </tp>
      <tp t="s">
        <v>—</v>
        <stp/>
        <stp>##V3_BDHV12</stp>
        <stp>XOM US Equity</stp>
        <stp>ACQUIS_FXD_&amp;_INTANG_DETAILED</stp>
        <stp>FQ1 1991</stp>
        <stp>FQ1 1991</stp>
        <stp>[FA1_ftkzu3fn.xlsx]Cash Flow - Standardized!R18C7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8" s="4"/>
      </tp>
      <tp t="s">
        <v>—</v>
        <stp/>
        <stp>##V3_BDHV12</stp>
        <stp>XOM US Equity</stp>
        <stp>ACQUIS_FXD_&amp;_INTANG_DETAILED</stp>
        <stp>FQ4 1990</stp>
        <stp>FQ4 1990</stp>
        <stp>[FA1_ftkzu3fn.xlsx]Cash Flow - Standardized!R18C6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8" s="4"/>
      </tp>
      <tp t="s">
        <v>—</v>
        <stp/>
        <stp>##V3_BDHV12</stp>
        <stp>XOM US Equity</stp>
        <stp>ACQUIS_FXD_&amp;_INTANG_DETAILED</stp>
        <stp>FQ1 1990</stp>
        <stp>FQ1 1990</stp>
        <stp>[FA1_ftkzu3fn.xlsx]Cash Flow - Standardized!R18C3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8" s="4"/>
      </tp>
      <tp>
        <v>4365</v>
        <stp/>
        <stp>##V3_BDHV12</stp>
        <stp>XOM US Equity</stp>
        <stp>BS_ST_BORROW</stp>
        <stp>FQ1 1993</stp>
        <stp>FQ1 1993</stp>
        <stp>[FA1_ftkzu3fn.xlsx]Bal Sheet - Standardized!R29C15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29" s="3"/>
      </tp>
      <tp>
        <v>2647</v>
        <stp/>
        <stp>##V3_BDHV12</stp>
        <stp>XOM US Equity</stp>
        <stp>BS_ST_BORROW</stp>
        <stp>FQ3 1997</stp>
        <stp>FQ3 1997</stp>
        <stp>[FA1_ftkzu3fn.xlsx]Bal Sheet - Standardized!R29C33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29" s="3"/>
      </tp>
      <tp>
        <v>4116</v>
        <stp/>
        <stp>##V3_BDHV12</stp>
        <stp>XOM US Equity</stp>
        <stp>BS_ST_BORROW</stp>
        <stp>FQ2 1994</stp>
        <stp>FQ2 1994</stp>
        <stp>[FA1_ftkzu3fn.xlsx]Bal Sheet - Standardized!R29C20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29" s="3"/>
      </tp>
      <tp>
        <v>43745</v>
        <stp/>
        <stp>##V3_BDHV12</stp>
        <stp>XOM US Equity</stp>
        <stp>TOTAL_EQUITY</stp>
        <stp>FQ1 1998</stp>
        <stp>FQ1 1998</stp>
        <stp>[FA1_ftkzu3fn.xlsx]Bal Sheet - Standardized!R44C35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44" s="3"/>
      </tp>
      <tp>
        <v>3308</v>
        <stp/>
        <stp>##V3_BDHV12</stp>
        <stp>XOM US Equity</stp>
        <stp>BS_ST_BORROW</stp>
        <stp>FQ2 1995</stp>
        <stp>FQ2 1995</stp>
        <stp>[FA1_ftkzu3fn.xlsx]Bal Sheet - Standardized!R29C24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29" s="3"/>
      </tp>
      <tp>
        <v>4053</v>
        <stp/>
        <stp>##V3_BDHV12</stp>
        <stp>XOM US Equity</stp>
        <stp>BS_ST_BORROW</stp>
        <stp>FQ1 1992</stp>
        <stp>FQ1 1992</stp>
        <stp>[FA1_ftkzu3fn.xlsx]Bal Sheet - Standardized!R29C11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29" s="3"/>
      </tp>
      <tp>
        <v>35340</v>
        <stp/>
        <stp>##V3_BDHV12</stp>
        <stp>XOM US Equity</stp>
        <stp>TOTAL_EQUITY</stp>
        <stp>FQ3 1992</stp>
        <stp>FQ3 1992</stp>
        <stp>[FA1_ftkzu3fn.xlsx]Bal Sheet - Standardized!R44C13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44" s="3"/>
      </tp>
      <tp>
        <v>2479</v>
        <stp/>
        <stp>##V3_BDHV12</stp>
        <stp>XOM US Equity</stp>
        <stp>BS_ST_BORROW</stp>
        <stp>FQ2 1996</stp>
        <stp>FQ2 1996</stp>
        <stp>[FA1_ftkzu3fn.xlsx]Bal Sheet - Standardized!R29C28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29" s="3"/>
      </tp>
      <tp>
        <v>3863</v>
        <stp/>
        <stp>##V3_BDHV12</stp>
        <stp>XOM US Equity</stp>
        <stp>BS_ST_BORROW</stp>
        <stp>FQ1 1994</stp>
        <stp>FQ1 1994</stp>
        <stp>[FA1_ftkzu3fn.xlsx]Bal Sheet - Standardized!R29C19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29" s="3"/>
      </tp>
      <tp>
        <v>34648</v>
        <stp/>
        <stp>##V3_BDHV12</stp>
        <stp>XOM US Equity</stp>
        <stp>TOTAL_EQUITY</stp>
        <stp>FQ3 1993</stp>
        <stp>FQ3 1993</stp>
        <stp>[FA1_ftkzu3fn.xlsx]Bal Sheet - Standardized!R44C17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44" s="3"/>
      </tp>
      <tp>
        <v>43670</v>
        <stp/>
        <stp>##V3_BDHV12</stp>
        <stp>XOM US Equity</stp>
        <stp>TOTAL_EQUITY</stp>
        <stp>FQ1 1997</stp>
        <stp>FQ1 1997</stp>
        <stp>[FA1_ftkzu3fn.xlsx]Bal Sheet - Standardized!R44C31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44" s="3"/>
      </tp>
      <tp>
        <v>127</v>
        <stp/>
        <stp>##V3_BDHV12</stp>
        <stp>XOM US Equity</stp>
        <stp>NON_CASH_ITEMS_DETAILED</stp>
        <stp>FQ1 1990</stp>
        <stp>FQ1 1990</stp>
        <stp>[FA1_ftkzu3fn.xlsx]Cash Flow - Standardized!R9C3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9" s="4"/>
      </tp>
      <tp>
        <v>302</v>
        <stp/>
        <stp>##V3_BDHV12</stp>
        <stp>XOM US Equity</stp>
        <stp>NON_CASH_ITEMS_DETAILED</stp>
        <stp>FQ4 1990</stp>
        <stp>FQ4 1990</stp>
        <stp>[FA1_ftkzu3fn.xlsx]Cash Flow - Standardized!R9C6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9" s="4"/>
      </tp>
      <tp>
        <v>54</v>
        <stp/>
        <stp>##V3_BDHV12</stp>
        <stp>XOM US Equity</stp>
        <stp>NON_CASH_ITEMS_DETAILED</stp>
        <stp>FQ2 1990</stp>
        <stp>FQ2 1990</stp>
        <stp>[FA1_ftkzu3fn.xlsx]Cash Flow - Standardized!R9C4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9" s="4"/>
      </tp>
      <tp>
        <v>1098</v>
        <stp/>
        <stp>##V3_BDHV12</stp>
        <stp>XOM US Equity</stp>
        <stp>EARN_FOR_COMMON</stp>
        <stp>FQ3 1991</stp>
        <stp>FQ3 1991</stp>
        <stp>[FA1_ftkzu3fn.xlsx]Income - Adjusted!R22C9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I22" s="2"/>
      </tp>
      <tp>
        <v>1108</v>
        <stp/>
        <stp>##V3_BDHV12</stp>
        <stp>XOM US Equity</stp>
        <stp>EARN_FOR_COMMON</stp>
        <stp>FQ2 1991</stp>
        <stp>FQ2 1991</stp>
        <stp>[FA1_ftkzu3fn.xlsx]Income - Adjusted!R22C8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H22" s="2"/>
      </tp>
      <tp>
        <v>-481</v>
        <stp/>
        <stp>##V3_BDHV12</stp>
        <stp>XOM US Equity</stp>
        <stp>NON_CASH_ITEMS_DETAILED</stp>
        <stp>FQ3 1990</stp>
        <stp>FQ3 1990</stp>
        <stp>[FA1_ftkzu3fn.xlsx]Cash Flow - Standardized!R9C5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9" s="4"/>
      </tp>
      <tp>
        <v>0.20499999999999999</v>
        <stp/>
        <stp>##V3_BDHV12</stp>
        <stp>XOM US Equity</stp>
        <stp>EQY_DPS</stp>
        <stp>FQ1 1998</stp>
        <stp>FQ1 1998</stp>
        <stp>[FA1_ftkzu3fn.xlsx]Per Share!R20C35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20" s="5"/>
      </tp>
      <tp>
        <v>0.18</v>
        <stp/>
        <stp>##V3_BDHV12</stp>
        <stp>XOM US Equity</stp>
        <stp>EQY_DPS</stp>
        <stp>FQ1 1994</stp>
        <stp>FQ1 1994</stp>
        <stp>[FA1_ftkzu3fn.xlsx]Per Share!R20C19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20" s="5"/>
      </tp>
      <tp>
        <v>4967.2002000000002</v>
        <stp/>
        <stp>##V3_BDHV12</stp>
        <stp>XOM US Equity</stp>
        <stp>IS_AVG_NUM_SH_FOR_EPS</stp>
        <stp>FQ3 1995</stp>
        <stp>FQ3 1995</stp>
        <stp>[FA1_ftkzu3fn.xlsx]Income - Adjusted!R27C25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27" s="2"/>
      </tp>
      <tp>
        <v>4965.8959999999997</v>
        <stp/>
        <stp>##V3_BDHV12</stp>
        <stp>XOM US Equity</stp>
        <stp>IS_AVG_NUM_SH_FOR_EPS</stp>
        <stp>FQ2 1992</stp>
        <stp>FQ2 1992</stp>
        <stp>[FA1_ftkzu3fn.xlsx]Income - Adjusted!R27C12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27" s="2"/>
      </tp>
      <tp>
        <v>1883</v>
        <stp/>
        <stp>##V3_BDHV12</stp>
        <stp>XOM US Equity</stp>
        <stp>CF_FREE_CASH_FLOW</stp>
        <stp>FQ1 1995</stp>
        <stp>FQ1 1995</stp>
        <stp>[FA1_ftkzu3fn.xlsx]Cash Flow - Standardized!R40C23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40" s="4"/>
      </tp>
      <tp t="s">
        <v>—</v>
        <stp/>
        <stp>##V3_BDHV12</stp>
        <stp>XOM US Equity</stp>
        <stp>CF_FREE_CASH_FLOW</stp>
        <stp>FQ2 1993</stp>
        <stp>FQ2 1993</stp>
        <stp>[FA1_ftkzu3fn.xlsx]Cash Flow - Standardized!R40C16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40" s="4"/>
      </tp>
      <tp>
        <v>2664</v>
        <stp/>
        <stp>##V3_BDHV12</stp>
        <stp>XOM US Equity</stp>
        <stp>CF_FREE_CASH_FLOW</stp>
        <stp>FQ1 1996</stp>
        <stp>FQ1 1996</stp>
        <stp>[FA1_ftkzu3fn.xlsx]Cash Flow - Standardized!R40C27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40" s="4"/>
      </tp>
      <tp t="s">
        <v>—</v>
        <stp/>
        <stp>##V3_BDHV12</stp>
        <stp>XOM US Equity</stp>
        <stp>CF_FREE_CASH_FLOW</stp>
        <stp>FQ2 1992</stp>
        <stp>FQ2 1992</stp>
        <stp>[FA1_ftkzu3fn.xlsx]Cash Flow - Standardized!R40C12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40" s="4"/>
      </tp>
      <tp>
        <v>0.43590000000000001</v>
        <stp/>
        <stp>##V3_BDHV12</stp>
        <stp>XOM US Equity</stp>
        <stp>FREE_CASH_FLOW_PER_SH</stp>
        <stp>FQ3 1995</stp>
        <stp>FQ3 1995</stp>
        <stp>[FA1_ftkzu3fn.xlsx]Per Share!R23C25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23" s="5"/>
      </tp>
      <tp t="s">
        <v>—</v>
        <stp/>
        <stp>##V3_BDHV12</stp>
        <stp>XOM US Equity</stp>
        <stp>FREE_CASH_FLOW_PER_SH</stp>
        <stp>FQ2 1992</stp>
        <stp>FQ2 1992</stp>
        <stp>[FA1_ftkzu3fn.xlsx]Per Share!R23C12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23" s="5"/>
      </tp>
      <tp>
        <v>1289</v>
        <stp/>
        <stp>##V3_BDHV12</stp>
        <stp>XOM US Equity</stp>
        <stp>CF_DEPR_AMORT</stp>
        <stp>FQ1 1994</stp>
        <stp>FQ1 1994</stp>
        <stp>[FA1_ftkzu3fn.xlsx]Cash Flow - Standardized!R8C19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8" s="4"/>
      </tp>
      <tp>
        <v>1244</v>
        <stp/>
        <stp>##V3_BDHV12</stp>
        <stp>XOM US Equity</stp>
        <stp>CF_DEPR_AMORT</stp>
        <stp>FQ4 1993</stp>
        <stp>FQ4 1993</stp>
        <stp>[FA1_ftkzu3fn.xlsx]Cash Flow - Standardized!R8C18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8" s="4"/>
      </tp>
      <tp>
        <v>1334</v>
        <stp/>
        <stp>##V3_BDHV12</stp>
        <stp>XOM US Equity</stp>
        <stp>EARN_FOR_COMMON</stp>
        <stp>FQ1 1992</stp>
        <stp>FQ1 1992</stp>
        <stp>[FA1_ftkzu3fn.xlsx]Income - Adjusted!R24C11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K24" s="2"/>
      </tp>
      <tp>
        <v>2495.75</v>
        <stp/>
        <stp>##V3_BDHV12</stp>
        <stp>XOM US Equity</stp>
        <stp>EARN_FOR_COMMON</stp>
        <stp>FQ4 1997</stp>
        <stp>FQ4 1997</stp>
        <stp>[FA1_ftkzu3fn.xlsx]Income - Adjusted!R24C34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H24" s="2"/>
      </tp>
      <tp>
        <v>1670.5</v>
        <stp/>
        <stp>##V3_BDHV12</stp>
        <stp>XOM US Equity</stp>
        <stp>EARN_FOR_COMMON</stp>
        <stp>FQ4 1995</stp>
        <stp>FQ4 1995</stp>
        <stp>[FA1_ftkzu3fn.xlsx]Income - Adjusted!R24C26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Z24" s="2"/>
      </tp>
      <tp>
        <v>1444</v>
        <stp/>
        <stp>##V3_BDHV12</stp>
        <stp>XOM US Equity</stp>
        <stp>CF_DEPR_AMORT</stp>
        <stp>FQ4 1992</stp>
        <stp>FQ4 1992</stp>
        <stp>[FA1_ftkzu3fn.xlsx]Cash Flow - Standardized!R8C14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8" s="4"/>
      </tp>
      <tp>
        <v>1302</v>
        <stp/>
        <stp>##V3_BDHV12</stp>
        <stp>XOM US Equity</stp>
        <stp>CF_DEPR_AMORT</stp>
        <stp>FQ1 1992</stp>
        <stp>FQ1 1992</stp>
        <stp>[FA1_ftkzu3fn.xlsx]Cash Flow - Standardized!R8C11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8" s="4"/>
      </tp>
      <tp>
        <v>1035</v>
        <stp/>
        <stp>##V3_BDHV12</stp>
        <stp>XOM US Equity</stp>
        <stp>CF_DEPR_AMORT</stp>
        <stp>FQ3 1992</stp>
        <stp>FQ3 1992</stp>
        <stp>[FA1_ftkzu3fn.xlsx]Cash Flow - Standardized!R8C13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8" s="4"/>
      </tp>
      <tp>
        <v>1223</v>
        <stp/>
        <stp>##V3_BDHV12</stp>
        <stp>XOM US Equity</stp>
        <stp>CF_DEPR_AMORT</stp>
        <stp>FQ2 1992</stp>
        <stp>FQ2 1992</stp>
        <stp>[FA1_ftkzu3fn.xlsx]Cash Flow - Standardized!R8C12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8" s="4"/>
      </tp>
      <tp>
        <v>1237</v>
        <stp/>
        <stp>##V3_BDHV12</stp>
        <stp>XOM US Equity</stp>
        <stp>CF_DEPR_AMORT</stp>
        <stp>FQ4 1991</stp>
        <stp>FQ4 1991</stp>
        <stp>[FA1_ftkzu3fn.xlsx]Cash Flow - Standardized!R8C10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8" s="4"/>
      </tp>
      <tp>
        <v>1194</v>
        <stp/>
        <stp>##V3_BDHV12</stp>
        <stp>XOM US Equity</stp>
        <stp>CF_DEPR_AMORT</stp>
        <stp>FQ1 1993</stp>
        <stp>FQ1 1993</stp>
        <stp>[FA1_ftkzu3fn.xlsx]Cash Flow - Standardized!R8C15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8" s="4"/>
      </tp>
      <tp>
        <v>1236</v>
        <stp/>
        <stp>##V3_BDHV12</stp>
        <stp>XOM US Equity</stp>
        <stp>CF_DEPR_AMORT</stp>
        <stp>FQ2 1993</stp>
        <stp>FQ2 1993</stp>
        <stp>[FA1_ftkzu3fn.xlsx]Cash Flow - Standardized!R8C16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8" s="4"/>
      </tp>
      <tp>
        <v>1210</v>
        <stp/>
        <stp>##V3_BDHV12</stp>
        <stp>XOM US Equity</stp>
        <stp>CF_DEPR_AMORT</stp>
        <stp>FQ3 1993</stp>
        <stp>FQ3 1993</stp>
        <stp>[FA1_ftkzu3fn.xlsx]Cash Flow - Standardized!R8C17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8" s="4"/>
      </tp>
      <tp>
        <v>2643</v>
        <stp/>
        <stp>##V3_BDHV12</stp>
        <stp>XOM US Equity</stp>
        <stp>BS_ST_BORROW</stp>
        <stp>FQ2 1997</stp>
        <stp>FQ2 1997</stp>
        <stp>[FA1_ftkzu3fn.xlsx]Bal Sheet - Standardized!R29C32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29" s="3"/>
      </tp>
      <tp>
        <v>4195</v>
        <stp/>
        <stp>##V3_BDHV12</stp>
        <stp>XOM US Equity</stp>
        <stp>BS_ST_BORROW</stp>
        <stp>FQ3 1994</stp>
        <stp>FQ3 1994</stp>
        <stp>[FA1_ftkzu3fn.xlsx]Bal Sheet - Standardized!R29C21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29" s="3"/>
      </tp>
      <tp>
        <v>2550</v>
        <stp/>
        <stp>##V3_BDHV12</stp>
        <stp>XOM US Equity</stp>
        <stp>BS_ST_BORROW</stp>
        <stp>FQ3 1995</stp>
        <stp>FQ3 1995</stp>
        <stp>[FA1_ftkzu3fn.xlsx]Bal Sheet - Standardized!R29C25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29" s="3"/>
      </tp>
      <tp>
        <v>35276</v>
        <stp/>
        <stp>##V3_BDHV12</stp>
        <stp>XOM US Equity</stp>
        <stp>TOTAL_EQUITY</stp>
        <stp>FQ2 1992</stp>
        <stp>FQ2 1992</stp>
        <stp>[FA1_ftkzu3fn.xlsx]Bal Sheet - Standardized!R44C12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44" s="3"/>
      </tp>
      <tp>
        <v>2466</v>
        <stp/>
        <stp>##V3_BDHV12</stp>
        <stp>XOM US Equity</stp>
        <stp>BS_ST_BORROW</stp>
        <stp>FQ3 1996</stp>
        <stp>FQ3 1996</stp>
        <stp>[FA1_ftkzu3fn.xlsx]Bal Sheet - Standardized!R29C29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29" s="3"/>
      </tp>
      <tp>
        <v>2557</v>
        <stp/>
        <stp>##V3_BDHV12</stp>
        <stp>XOM US Equity</stp>
        <stp>BS_ST_BORROW</stp>
        <stp>FQ2 1998</stp>
        <stp>FQ2 1998</stp>
        <stp>[FA1_ftkzu3fn.xlsx]Bal Sheet - Standardized!R29C36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29" s="3"/>
      </tp>
      <tp>
        <v>41022</v>
        <stp/>
        <stp>##V3_BDHV12</stp>
        <stp>XOM US Equity</stp>
        <stp>TOTAL_EQUITY</stp>
        <stp>FQ1 1996</stp>
        <stp>FQ1 1996</stp>
        <stp>[FA1_ftkzu3fn.xlsx]Bal Sheet - Standardized!R44C27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44" s="3"/>
      </tp>
      <tp>
        <v>34351</v>
        <stp/>
        <stp>##V3_BDHV12</stp>
        <stp>XOM US Equity</stp>
        <stp>TOTAL_EQUITY</stp>
        <stp>FQ2 1993</stp>
        <stp>FQ2 1993</stp>
        <stp>[FA1_ftkzu3fn.xlsx]Bal Sheet - Standardized!R44C16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44" s="3"/>
      </tp>
      <tp>
        <v>39182</v>
        <stp/>
        <stp>##V3_BDHV12</stp>
        <stp>XOM US Equity</stp>
        <stp>TOTAL_EQUITY</stp>
        <stp>FQ1 1995</stp>
        <stp>FQ1 1995</stp>
        <stp>[FA1_ftkzu3fn.xlsx]Bal Sheet - Standardized!R44C23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44" s="3"/>
      </tp>
      <tp t="s">
        <v>—</v>
        <stp/>
        <stp>##V3_BDHV12</stp>
        <stp>XOM US Equity</stp>
        <stp>FREE_CASH_FLOW_PER_SH</stp>
        <stp>FQ3 1991</stp>
        <stp>FQ3 1991</stp>
        <stp>[FA1_ftkzu3fn.xlsx]Cash Flow - Standardized!R43C9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43" s="4"/>
      </tp>
      <tp t="s">
        <v>—</v>
        <stp/>
        <stp>##V3_BDHV12</stp>
        <stp>XOM US Equity</stp>
        <stp>FREE_CASH_FLOW_PER_SH</stp>
        <stp>FQ2 1991</stp>
        <stp>FQ2 1991</stp>
        <stp>[FA1_ftkzu3fn.xlsx]Cash Flow - Standardized!R43C8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43" s="4"/>
      </tp>
      <tp>
        <v>185</v>
        <stp/>
        <stp>##V3_BDHV12</stp>
        <stp>XOM US Equity</stp>
        <stp>NON_CASH_ITEMS_DETAILED</stp>
        <stp>FQ1 1991</stp>
        <stp>FQ1 1991</stp>
        <stp>[FA1_ftkzu3fn.xlsx]Cash Flow - Standardized!R9C7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9" s="4"/>
      </tp>
      <tp>
        <v>55015</v>
        <stp/>
        <stp>##V3_BDHV12</stp>
        <stp>XOM US Equity</stp>
        <stp>OTHER_INS_RES_TO_SHRHLDR_EQY</stp>
        <stp>FQ1 1996</stp>
        <stp>FQ1 1996</stp>
        <stp>[FA1_ftkzu3fn.xlsx]Bal Sheet - Standardized!R41C27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41" s="3"/>
      </tp>
      <tp>
        <v>396</v>
        <stp/>
        <stp>##V3_BDHV12</stp>
        <stp>XOM US Equity</stp>
        <stp>NON_CASH_ITEMS_DETAILED</stp>
        <stp>FQ2 1991</stp>
        <stp>FQ2 1991</stp>
        <stp>[FA1_ftkzu3fn.xlsx]Cash Flow - Standardized!R9C8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9" s="4"/>
      </tp>
      <tp>
        <v>275</v>
        <stp/>
        <stp>##V3_BDHV12</stp>
        <stp>XOM US Equity</stp>
        <stp>NON_CASH_ITEMS_DETAILED</stp>
        <stp>FQ3 1991</stp>
        <stp>FQ3 1991</stp>
        <stp>[FA1_ftkzu3fn.xlsx]Cash Flow - Standardized!R9C9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9" s="4"/>
      </tp>
      <tp>
        <v>4969.2002000000002</v>
        <stp/>
        <stp>##V3_BDHV12</stp>
        <stp>XOM US Equity</stp>
        <stp>IS_AVG_NUM_SH_FOR_EPS</stp>
        <stp>FQ4 1991</stp>
        <stp>FQ4 1991</stp>
        <stp>[FA1_ftkzu3fn.xlsx]Income - Adjusted!R27C10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27" s="2"/>
      </tp>
      <tp>
        <v>4966.1518999999998</v>
        <stp/>
        <stp>##V3_BDHV12</stp>
        <stp>XOM US Equity</stp>
        <stp>IS_AVG_NUM_SH_FOR_EPS</stp>
        <stp>FQ3 1992</stp>
        <stp>FQ3 1992</stp>
        <stp>[FA1_ftkzu3fn.xlsx]Income - Adjusted!R27C13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27" s="2"/>
      </tp>
      <tp>
        <v>4970</v>
        <stp/>
        <stp>##V3_BDHV12</stp>
        <stp>XOM US Equity</stp>
        <stp>IS_AVG_NUM_SH_FOR_EPS</stp>
        <stp>FQ2 1995</stp>
        <stp>FQ2 1995</stp>
        <stp>[FA1_ftkzu3fn.xlsx]Income - Adjusted!R27C24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27" s="2"/>
      </tp>
      <tp>
        <v>4968</v>
        <stp/>
        <stp>##V3_BDHV12</stp>
        <stp>XOM US Equity</stp>
        <stp>IS_AVG_NUM_SH_FOR_EPS</stp>
        <stp>FQ1 1996</stp>
        <stp>FQ1 1996</stp>
        <stp>[FA1_ftkzu3fn.xlsx]Income - Adjusted!R27C27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27" s="2"/>
      </tp>
      <tp t="s">
        <v>—</v>
        <stp/>
        <stp>##V3_BDHV12</stp>
        <stp>XOM US Equity</stp>
        <stp>CF_INCR_CAP_STOCK</stp>
        <stp>FQ1 1993</stp>
        <stp>FQ1 1993</stp>
        <stp>[FA1_ftkzu3fn.xlsx]Cash Flow - Standardized!R29C15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29" s="4"/>
      </tp>
      <tp>
        <v>0</v>
        <stp/>
        <stp>##V3_BDHV12</stp>
        <stp>XOM US Equity</stp>
        <stp>CF_INCR_CAP_STOCK</stp>
        <stp>FQ3 1997</stp>
        <stp>FQ3 1997</stp>
        <stp>[FA1_ftkzu3fn.xlsx]Cash Flow - Standardized!R29C33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29" s="4"/>
      </tp>
      <tp t="s">
        <v>—</v>
        <stp/>
        <stp>##V3_BDHV12</stp>
        <stp>XOM US Equity</stp>
        <stp>CF_INCR_CAP_STOCK</stp>
        <stp>FQ2 1994</stp>
        <stp>FQ2 1994</stp>
        <stp>[FA1_ftkzu3fn.xlsx]Cash Flow - Standardized!R29C20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29" s="4"/>
      </tp>
      <tp t="s">
        <v>—</v>
        <stp/>
        <stp>##V3_BDHV12</stp>
        <stp>XOM US Equity</stp>
        <stp>CF_INCR_CAP_STOCK</stp>
        <stp>FQ2 1995</stp>
        <stp>FQ2 1995</stp>
        <stp>[FA1_ftkzu3fn.xlsx]Cash Flow - Standardized!R29C24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29" s="4"/>
      </tp>
      <tp t="s">
        <v>—</v>
        <stp/>
        <stp>##V3_BDHV12</stp>
        <stp>XOM US Equity</stp>
        <stp>CF_INCR_CAP_STOCK</stp>
        <stp>FQ1 1992</stp>
        <stp>FQ1 1992</stp>
        <stp>[FA1_ftkzu3fn.xlsx]Cash Flow - Standardized!R29C11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29" s="4"/>
      </tp>
      <tp t="s">
        <v>—</v>
        <stp/>
        <stp>##V3_BDHV12</stp>
        <stp>XOM US Equity</stp>
        <stp>CF_INCR_CAP_STOCK</stp>
        <stp>FQ2 1996</stp>
        <stp>FQ2 1996</stp>
        <stp>[FA1_ftkzu3fn.xlsx]Cash Flow - Standardized!R29C28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29" s="4"/>
      </tp>
      <tp t="s">
        <v>—</v>
        <stp/>
        <stp>##V3_BDHV12</stp>
        <stp>XOM US Equity</stp>
        <stp>CF_INCR_CAP_STOCK</stp>
        <stp>FQ1 1994</stp>
        <stp>FQ1 1994</stp>
        <stp>[FA1_ftkzu3fn.xlsx]Cash Flow - Standardized!R29C19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29" s="4"/>
      </tp>
      <tp>
        <v>0.26129999999999998</v>
        <stp/>
        <stp>##V3_BDHV12</stp>
        <stp>XOM US Equity</stp>
        <stp>FREE_CASH_FLOW_PER_SH</stp>
        <stp>FQ3 1996</stp>
        <stp>FQ3 1996</stp>
        <stp>[FA1_ftkzu3fn.xlsx]Per Share!R23C29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23" s="5"/>
      </tp>
      <tp>
        <v>0.2525</v>
        <stp/>
        <stp>##V3_BDHV12</stp>
        <stp>XOM US Equity</stp>
        <stp>IS_DIL_EPS_CONT_OPS</stp>
        <stp>FQ1 1990</stp>
        <stp>FQ1 1990</stp>
        <stp>[FA1_ftkzu3fn.xlsx]Income - Adjusted!R35C3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35" s="2"/>
      </tp>
      <tp>
        <v>0.3075</v>
        <stp/>
        <stp>##V3_BDHV12</stp>
        <stp>XOM US Equity</stp>
        <stp>IS_DIL_EPS_CONT_OPS</stp>
        <stp>FQ4 1990</stp>
        <stp>FQ4 1990</stp>
        <stp>[FA1_ftkzu3fn.xlsx]Income - Adjusted!R35C6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35" s="2"/>
      </tp>
      <tp>
        <v>0.2175</v>
        <stp/>
        <stp>##V3_BDHV12</stp>
        <stp>XOM US Equity</stp>
        <stp>IS_EPS</stp>
        <stp>FQ2 1990</stp>
        <stp>FQ2 1990</stp>
        <stp>[FA1_ftkzu3fn.xlsx]Income - Adjusted!R28C4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D28" s="2"/>
      </tp>
      <tp>
        <v>0.21249999999999999</v>
        <stp/>
        <stp>##V3_BDHV12</stp>
        <stp>XOM US Equity</stp>
        <stp>IS_EPS</stp>
        <stp>FQ3 1990</stp>
        <stp>FQ3 1990</stp>
        <stp>[FA1_ftkzu3fn.xlsx]Income - Adjusted!R28C5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E28" s="2"/>
      </tp>
      <tp>
        <v>0.2525</v>
        <stp/>
        <stp>##V3_BDHV12</stp>
        <stp>XOM US Equity</stp>
        <stp>IS_EPS</stp>
        <stp>FQ1 1990</stp>
        <stp>FQ1 1990</stp>
        <stp>[FA1_ftkzu3fn.xlsx]Income - Adjusted!R28C3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C28" s="2"/>
      </tp>
      <tp>
        <v>0.3075</v>
        <stp/>
        <stp>##V3_BDHV12</stp>
        <stp>XOM US Equity</stp>
        <stp>IS_EPS</stp>
        <stp>FQ4 1990</stp>
        <stp>FQ4 1990</stp>
        <stp>[FA1_ftkzu3fn.xlsx]Income - Adjusted!R28C6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F28" s="2"/>
      </tp>
      <tp>
        <v>30566</v>
        <stp/>
        <stp>##V3_BDHV12</stp>
        <stp>XOM US Equity</stp>
        <stp>NON_CUR_LIAB</stp>
        <stp>FQ4 1996</stp>
        <stp>FQ4 1996</stp>
        <stp>[FA1_ftkzu3fn.xlsx]Bal Sheet - Standardized!R36C30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36" s="3"/>
      </tp>
      <tp>
        <v>30379</v>
        <stp/>
        <stp>##V3_BDHV12</stp>
        <stp>XOM US Equity</stp>
        <stp>NON_CUR_LIAB</stp>
        <stp>FQ4 1997</stp>
        <stp>FQ4 1997</stp>
        <stp>[FA1_ftkzu3fn.xlsx]Bal Sheet - Standardized!R36C34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36" s="3"/>
      </tp>
      <tp>
        <v>48279</v>
        <stp/>
        <stp>##V3_BDHV12</stp>
        <stp>XOM US Equity</stp>
        <stp>OTHER_INS_RES_TO_SHRHLDR_EQY</stp>
        <stp>FQ4 1993</stp>
        <stp>FQ4 1993</stp>
        <stp>[FA1_ftkzu3fn.xlsx]Bal Sheet - Standardized!R41C18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41" s="3"/>
      </tp>
      <tp t="s">
        <v>—</v>
        <stp/>
        <stp>##V3_BDHV12</stp>
        <stp>XOM US Equity</stp>
        <stp>CFF_ACTIVITIES_DETAILED</stp>
        <stp>FQ4 1992</stp>
        <stp>FQ4 1992</stp>
        <stp>[FA1_ftkzu3fn.xlsx]Cash Flow - Standardized!R31C14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31" s="4"/>
      </tp>
      <tp>
        <v>0.20499999999999999</v>
        <stp/>
        <stp>##V3_BDHV12</stp>
        <stp>XOM US Equity</stp>
        <stp>EQY_DPS</stp>
        <stp>FQ4 1997</stp>
        <stp>FQ4 1997</stp>
        <stp>[FA1_ftkzu3fn.xlsx]Per Share!R20C34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20" s="5"/>
      </tp>
      <tp>
        <v>0.1875</v>
        <stp/>
        <stp>##V3_BDHV12</stp>
        <stp>XOM US Equity</stp>
        <stp>EQY_DPS</stp>
        <stp>FQ4 1995</stp>
        <stp>FQ4 1995</stp>
        <stp>[FA1_ftkzu3fn.xlsx]Per Share!R20C26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20" s="5"/>
      </tp>
      <tp t="s">
        <v>—</v>
        <stp/>
        <stp>##V3_BDHV12</stp>
        <stp>XOM US Equity</stp>
        <stp>EQY_DPS</stp>
        <stp>FQ1 1992</stp>
        <stp>FQ1 1992</stp>
        <stp>[FA1_ftkzu3fn.xlsx]Per Share!R20C11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20" s="5"/>
      </tp>
      <tp t="s">
        <v>—</v>
        <stp/>
        <stp>##V3_BDHV12</stp>
        <stp>XOM US Equity</stp>
        <stp>CFF_ACTIVITIES_DETAILED</stp>
        <stp>FQ4 1991</stp>
        <stp>FQ4 1991</stp>
        <stp>[FA1_ftkzu3fn.xlsx]Cash Flow - Standardized!R31C10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31" s="4"/>
      </tp>
      <tp>
        <v>4886</v>
        <stp/>
        <stp>##V3_BDHV12</stp>
        <stp>XOM US Equity</stp>
        <stp>IS_AVG_NUM_SH_FOR_EPS</stp>
        <stp>FQ2 1998</stp>
        <stp>FQ2 1998</stp>
        <stp>[FA1_ftkzu3fn.xlsx]Income - Adjusted!R27C36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27" s="2"/>
      </tp>
      <tp>
        <v>4968.3999000000003</v>
        <stp/>
        <stp>##V3_BDHV12</stp>
        <stp>XOM US Equity</stp>
        <stp>IS_AVG_NUM_SH_FOR_EPS</stp>
        <stp>FQ2 1996</stp>
        <stp>FQ2 1996</stp>
        <stp>[FA1_ftkzu3fn.xlsx]Income - Adjusted!R27C28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27" s="2"/>
      </tp>
      <tp t="s">
        <v>—</v>
        <stp/>
        <stp>##V3_BDHV12</stp>
        <stp>XOM US Equity</stp>
        <stp>CFF_ACTIVITIES_DETAILED</stp>
        <stp>FQ4 1993</stp>
        <stp>FQ4 1993</stp>
        <stp>[FA1_ftkzu3fn.xlsx]Cash Flow - Standardized!R31C18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31" s="4"/>
      </tp>
      <tp>
        <v>0</v>
        <stp/>
        <stp>##V3_BDHV12</stp>
        <stp>XOM US Equity</stp>
        <stp>CF_INCR_CAP_STOCK</stp>
        <stp>FQ2 1997</stp>
        <stp>FQ2 1997</stp>
        <stp>[FA1_ftkzu3fn.xlsx]Cash Flow - Standardized!R29C32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29" s="4"/>
      </tp>
      <tp t="s">
        <v>—</v>
        <stp/>
        <stp>##V3_BDHV12</stp>
        <stp>XOM US Equity</stp>
        <stp>CF_INCR_CAP_STOCK</stp>
        <stp>FQ3 1994</stp>
        <stp>FQ3 1994</stp>
        <stp>[FA1_ftkzu3fn.xlsx]Cash Flow - Standardized!R29C21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29" s="4"/>
      </tp>
      <tp t="s">
        <v>—</v>
        <stp/>
        <stp>##V3_BDHV12</stp>
        <stp>XOM US Equity</stp>
        <stp>CF_INCR_CAP_STOCK</stp>
        <stp>FQ3 1995</stp>
        <stp>FQ3 1995</stp>
        <stp>[FA1_ftkzu3fn.xlsx]Cash Flow - Standardized!R29C25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29" s="4"/>
      </tp>
      <tp t="s">
        <v>—</v>
        <stp/>
        <stp>##V3_BDHV12</stp>
        <stp>XOM US Equity</stp>
        <stp>CF_INCR_CAP_STOCK</stp>
        <stp>FQ3 1996</stp>
        <stp>FQ3 1996</stp>
        <stp>[FA1_ftkzu3fn.xlsx]Cash Flow - Standardized!R29C29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29" s="4"/>
      </tp>
      <tp>
        <v>0</v>
        <stp/>
        <stp>##V3_BDHV12</stp>
        <stp>XOM US Equity</stp>
        <stp>CF_INCR_CAP_STOCK</stp>
        <stp>FQ2 1998</stp>
        <stp>FQ2 1998</stp>
        <stp>[FA1_ftkzu3fn.xlsx]Cash Flow - Standardized!R29C36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29" s="4"/>
      </tp>
      <tp>
        <v>0.18990000000000001</v>
        <stp/>
        <stp>##V3_BDHV12</stp>
        <stp>XOM US Equity</stp>
        <stp>FREE_CASH_FLOW_PER_SH</stp>
        <stp>FQ2 1998</stp>
        <stp>FQ2 1998</stp>
        <stp>[FA1_ftkzu3fn.xlsx]Per Share!R23C36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23" s="5"/>
      </tp>
      <tp>
        <v>0.2288</v>
        <stp/>
        <stp>##V3_BDHV12</stp>
        <stp>XOM US Equity</stp>
        <stp>FREE_CASH_FLOW_PER_SH</stp>
        <stp>FQ2 1996</stp>
        <stp>FQ2 1996</stp>
        <stp>[FA1_ftkzu3fn.xlsx]Per Share!R23C28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23" s="5"/>
      </tp>
      <tp>
        <v>33.726599999999998</v>
        <stp/>
        <stp>##V3_BDHV12</stp>
        <stp>XOM US Equity</stp>
        <stp>NET_DEBT_TO_SHRHLDR_EQTY</stp>
        <stp>FQ2 1991</stp>
        <stp>FQ2 1991</stp>
        <stp>[FA1_ftkzu3fn.xlsx]Bal Sheet - Standardized!R52C8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52" s="3"/>
      </tp>
      <tp>
        <v>2272</v>
        <stp/>
        <stp>##V3_BDHV12</stp>
        <stp>XOM US Equity</stp>
        <stp>BS_NUM_OF_TSY_SH</stp>
        <stp>FQ4 1990</stp>
        <stp>FQ4 1990</stp>
        <stp>[FA1_ftkzu3fn.xlsx]Bal Sheet - Standardized!R50C6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50" s="3"/>
      </tp>
      <tp>
        <v>32.731400000000001</v>
        <stp/>
        <stp>##V3_BDHV12</stp>
        <stp>XOM US Equity</stp>
        <stp>NET_DEBT_TO_SHRHLDR_EQTY</stp>
        <stp>FQ3 1991</stp>
        <stp>FQ3 1991</stp>
        <stp>[FA1_ftkzu3fn.xlsx]Bal Sheet - Standardized!R52C9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52" s="3"/>
      </tp>
      <tp>
        <v>2256</v>
        <stp/>
        <stp>##V3_BDHV12</stp>
        <stp>XOM US Equity</stp>
        <stp>BS_NUM_OF_TSY_SH</stp>
        <stp>FQ1 1990</stp>
        <stp>FQ1 1990</stp>
        <stp>[FA1_ftkzu3fn.xlsx]Bal Sheet - Standardized!R50C3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50" s="3"/>
      </tp>
      <tp>
        <v>0.22500000000000001</v>
        <stp/>
        <stp>##V3_BDHV12</stp>
        <stp>XOM US Equity</stp>
        <stp>IS_EPS</stp>
        <stp>FQ2 1991</stp>
        <stp>FQ2 1991</stp>
        <stp>[FA1_ftkzu3fn.xlsx]Income - Adjusted!R28C8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H28" s="2"/>
      </tp>
      <tp>
        <v>0.22</v>
        <stp/>
        <stp>##V3_BDHV12</stp>
        <stp>XOM US Equity</stp>
        <stp>IS_EPS</stp>
        <stp>FQ3 1991</stp>
        <stp>FQ3 1991</stp>
        <stp>[FA1_ftkzu3fn.xlsx]Income - Adjusted!R28C9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I28" s="2"/>
      </tp>
      <tp>
        <v>0.44500000000000001</v>
        <stp/>
        <stp>##V3_BDHV12</stp>
        <stp>XOM US Equity</stp>
        <stp>IS_EPS</stp>
        <stp>FQ1 1991</stp>
        <stp>FQ1 1991</stp>
        <stp>[FA1_ftkzu3fn.xlsx]Income - Adjusted!R28C7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G28" s="2"/>
      </tp>
      <tp>
        <v>84145</v>
        <stp/>
        <stp>##V3_BDHV12</stp>
        <stp>XOM US Equity</stp>
        <stp>BS_TOT_ASSET</stp>
        <stp>FQ4 1993</stp>
        <stp>FQ4 1993</stp>
        <stp>[FA1_ftkzu3fn.xlsx]Bal Sheet - Standardized!R24C18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24" s="3"/>
      </tp>
      <tp>
        <v>4998.1758</v>
        <stp/>
        <stp>##V3_BDHV12</stp>
        <stp>XOM US Equity</stp>
        <stp>IS_AVG_NUM_SH_FOR_EPS</stp>
        <stp>FQ1 1990</stp>
        <stp>FQ1 1990</stp>
        <stp>[FA1_ftkzu3fn.xlsx]Per Share!R8C3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8" s="5"/>
      </tp>
      <tp>
        <v>18</v>
        <stp/>
        <stp>##V3_BDHV12</stp>
        <stp>XOM US Equity</stp>
        <stp>IS_TOT_CASH_PFD_DVD</stp>
        <stp>FQ1 1991</stp>
        <stp>FQ1 1991</stp>
        <stp>[FA1_ftkzu3fn.xlsx]Income - Adjusted!R21C7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1" s="2"/>
      </tp>
      <tp>
        <v>4983.2002000000002</v>
        <stp/>
        <stp>##V3_BDHV12</stp>
        <stp>XOM US Equity</stp>
        <stp>IS_AVG_NUM_SH_FOR_EPS</stp>
        <stp>FQ4 1990</stp>
        <stp>FQ4 1990</stp>
        <stp>[FA1_ftkzu3fn.xlsx]Per Share!R8C6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8" s="5"/>
      </tp>
      <tp>
        <v>1148.5</v>
        <stp/>
        <stp>##V3_BDHV12</stp>
        <stp>XOM US Equity</stp>
        <stp>EARN_FOR_COMMON</stp>
        <stp>FQ1 1994</stp>
        <stp>FQ1 1994</stp>
        <stp>[FA1_ftkzu3fn.xlsx]Income - Adjusted!R24C19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S24" s="2"/>
      </tp>
      <tp>
        <v>1887.5</v>
        <stp/>
        <stp>##V3_BDHV12</stp>
        <stp>XOM US Equity</stp>
        <stp>EARN_FOR_COMMON</stp>
        <stp>FQ1 1998</stp>
        <stp>FQ1 1998</stp>
        <stp>[FA1_ftkzu3fn.xlsx]Income - Adjusted!R24C35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I24" s="2"/>
      </tp>
      <tp>
        <v>19</v>
        <stp/>
        <stp>##V3_BDHV12</stp>
        <stp>XOM US Equity</stp>
        <stp>IS_TOT_CASH_PFD_DVD</stp>
        <stp>FQ1 1990</stp>
        <stp>FQ1 1990</stp>
        <stp>[FA1_ftkzu3fn.xlsx]Income - Adjusted!R21C3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1" s="2"/>
      </tp>
      <tp>
        <v>87560</v>
        <stp/>
        <stp>##V3_BDHV12</stp>
        <stp>XOM US Equity</stp>
        <stp>BS_TOT_ASSET</stp>
        <stp>FQ4 1991</stp>
        <stp>FQ4 1991</stp>
        <stp>[FA1_ftkzu3fn.xlsx]Bal Sheet - Standardized!R24C10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24" s="3"/>
      </tp>
      <tp>
        <v>85030</v>
        <stp/>
        <stp>##V3_BDHV12</stp>
        <stp>XOM US Equity</stp>
        <stp>BS_TOT_ASSET</stp>
        <stp>FQ4 1992</stp>
        <stp>FQ4 1992</stp>
        <stp>[FA1_ftkzu3fn.xlsx]Bal Sheet - Standardized!R24C14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24" s="3"/>
      </tp>
      <tp>
        <v>28786</v>
        <stp/>
        <stp>##V3_BDHV12</stp>
        <stp>XOM US Equity</stp>
        <stp>NON_CUR_LIAB</stp>
        <stp>FQ4 1994</stp>
        <stp>FQ4 1994</stp>
        <stp>[FA1_ftkzu3fn.xlsx]Bal Sheet - Standardized!R36C22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36" s="3"/>
      </tp>
      <tp>
        <v>29954</v>
        <stp/>
        <stp>##V3_BDHV12</stp>
        <stp>XOM US Equity</stp>
        <stp>NON_CUR_LIAB</stp>
        <stp>FQ4 1995</stp>
        <stp>FQ4 1995</stp>
        <stp>[FA1_ftkzu3fn.xlsx]Bal Sheet - Standardized!R36C26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36" s="3"/>
      </tp>
      <tp>
        <v>1172</v>
        <stp/>
        <stp>##V3_BDHV12</stp>
        <stp>XOM US Equity</stp>
        <stp>NI_INCLUDING_MINORITY_INT_RATIO</stp>
        <stp>FQ2 1991</stp>
        <stp>FQ2 1991</stp>
        <stp>[FA1_ftkzu3fn.xlsx]Income - Adjusted!R18C8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H18" s="2"/>
      </tp>
      <tp>
        <v>1191</v>
        <stp/>
        <stp>##V3_BDHV12</stp>
        <stp>XOM US Equity</stp>
        <stp>NI_INCLUDING_MINORITY_INT_RATIO</stp>
        <stp>FQ3 1991</stp>
        <stp>FQ3 1991</stp>
        <stp>[FA1_ftkzu3fn.xlsx]Income - Adjusted!R18C9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I18" s="2"/>
      </tp>
      <tp>
        <v>76</v>
        <stp/>
        <stp>##V3_BDHV12</stp>
        <stp>XOM US Equity</stp>
        <stp>MIN_NONCONTROL_INTEREST_CREDITS</stp>
        <stp>FQ3 1991</stp>
        <stp>FQ3 1991</stp>
        <stp>[FA1_ftkzu3fn.xlsx]Income - Adjusted!R19C9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I19" s="2"/>
      </tp>
      <tp>
        <v>47</v>
        <stp/>
        <stp>##V3_BDHV12</stp>
        <stp>XOM US Equity</stp>
        <stp>MIN_NONCONTROL_INTEREST_CREDITS</stp>
        <stp>FQ2 1991</stp>
        <stp>FQ2 1991</stp>
        <stp>[FA1_ftkzu3fn.xlsx]Income - Adjusted!R19C8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H19" s="2"/>
      </tp>
      <tp>
        <v>4967.6000999999997</v>
        <stp/>
        <stp>##V3_BDHV12</stp>
        <stp>XOM US Equity</stp>
        <stp>IS_AVG_NUM_SH_FOR_EPS</stp>
        <stp>FQ3 1996</stp>
        <stp>FQ3 1996</stp>
        <stp>[FA1_ftkzu3fn.xlsx]Income - Adjusted!R27C29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27" s="2"/>
      </tp>
      <tp t="s">
        <v>—</v>
        <stp/>
        <stp>##V3_BDHV12</stp>
        <stp>XOM US Equity</stp>
        <stp>CF_INCR_CAP_STOCK</stp>
        <stp>FQ3 1993</stp>
        <stp>FQ3 1993</stp>
        <stp>[FA1_ftkzu3fn.xlsx]Cash Flow - Standardized!R29C17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29" s="4"/>
      </tp>
      <tp>
        <v>0</v>
        <stp/>
        <stp>##V3_BDHV12</stp>
        <stp>XOM US Equity</stp>
        <stp>CF_INCR_CAP_STOCK</stp>
        <stp>FQ1 1997</stp>
        <stp>FQ1 1997</stp>
        <stp>[FA1_ftkzu3fn.xlsx]Cash Flow - Standardized!R29C31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29" s="4"/>
      </tp>
      <tp t="s">
        <v>—</v>
        <stp/>
        <stp>##V3_BDHV12</stp>
        <stp>XOM US Equity</stp>
        <stp>CF_INCR_CAP_STOCK</stp>
        <stp>FQ3 1992</stp>
        <stp>FQ3 1992</stp>
        <stp>[FA1_ftkzu3fn.xlsx]Cash Flow - Standardized!R29C13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29" s="4"/>
      </tp>
      <tp>
        <v>0</v>
        <stp/>
        <stp>##V3_BDHV12</stp>
        <stp>XOM US Equity</stp>
        <stp>CF_INCR_CAP_STOCK</stp>
        <stp>FQ1 1998</stp>
        <stp>FQ1 1998</stp>
        <stp>[FA1_ftkzu3fn.xlsx]Cash Flow - Standardized!R29C35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29" s="4"/>
      </tp>
      <tp>
        <v>0.27850000000000003</v>
        <stp/>
        <stp>##V3_BDHV12</stp>
        <stp>XOM US Equity</stp>
        <stp>FREE_CASH_FLOW_PER_SH</stp>
        <stp>FQ1 1998</stp>
        <stp>FQ1 1998</stp>
        <stp>[FA1_ftkzu3fn.xlsx]Per Share!R23C35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23" s="5"/>
      </tp>
      <tp t="s">
        <v>—</v>
        <stp/>
        <stp>##V3_BDHV12</stp>
        <stp>XOM US Equity</stp>
        <stp>FREE_CASH_FLOW_PER_SH</stp>
        <stp>FQ1 1994</stp>
        <stp>FQ1 1994</stp>
        <stp>[FA1_ftkzu3fn.xlsx]Per Share!R23C19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23" s="5"/>
      </tp>
      <tp>
        <v>4977.0518000000002</v>
        <stp/>
        <stp>##V3_BDHV12</stp>
        <stp>XOM US Equity</stp>
        <stp>IS_SH_FOR_DILUTED_EPS</stp>
        <stp>FQ2 1991</stp>
        <stp>FQ2 1991</stp>
        <stp>[FA1_ftkzu3fn.xlsx]Per Share!R7C8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7" s="5"/>
      </tp>
      <tp>
        <v>4973.2002000000002</v>
        <stp/>
        <stp>##V3_BDHV12</stp>
        <stp>XOM US Equity</stp>
        <stp>IS_SH_FOR_DILUTED_EPS</stp>
        <stp>FQ3 1991</stp>
        <stp>FQ3 1991</stp>
        <stp>[FA1_ftkzu3fn.xlsx]Per Share!R7C9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7" s="5"/>
      </tp>
      <tp>
        <v>19</v>
        <stp/>
        <stp>##V3_BDHV12</stp>
        <stp>XOM US Equity</stp>
        <stp>IS_TOT_CASH_PFD_DVD</stp>
        <stp>FQ2 1990</stp>
        <stp>FQ2 1990</stp>
        <stp>[FA1_ftkzu3fn.xlsx]Income - Adjusted!R21C4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1" s="2"/>
      </tp>
      <tp>
        <v>1563.25</v>
        <stp/>
        <stp>##V3_BDHV12</stp>
        <stp>XOM US Equity</stp>
        <stp>EARN_FOR_COMMON</stp>
        <stp>FQ2 1996</stp>
        <stp>FQ2 1996</stp>
        <stp>[FA1_ftkzu3fn.xlsx]Income - Adjusted!R24C28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B24" s="2"/>
      </tp>
      <tp>
        <v>1617.5</v>
        <stp/>
        <stp>##V3_BDHV12</stp>
        <stp>XOM US Equity</stp>
        <stp>EARN_FOR_COMMON</stp>
        <stp>FQ2 1998</stp>
        <stp>FQ2 1998</stp>
        <stp>[FA1_ftkzu3fn.xlsx]Income - Adjusted!R24C36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J24" s="2"/>
      </tp>
      <tp>
        <v>91296</v>
        <stp/>
        <stp>##V3_BDHV12</stp>
        <stp>XOM US Equity</stp>
        <stp>BS_TOT_ASSET</stp>
        <stp>FQ4 1995</stp>
        <stp>FQ4 1995</stp>
        <stp>[FA1_ftkzu3fn.xlsx]Bal Sheet - Standardized!R24C26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24" s="3"/>
      </tp>
      <tp>
        <v>87862</v>
        <stp/>
        <stp>##V3_BDHV12</stp>
        <stp>XOM US Equity</stp>
        <stp>BS_TOT_ASSET</stp>
        <stp>FQ4 1994</stp>
        <stp>FQ4 1994</stp>
        <stp>[FA1_ftkzu3fn.xlsx]Bal Sheet - Standardized!R24C22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24" s="3"/>
      </tp>
      <tp>
        <v>17</v>
        <stp/>
        <stp>##V3_BDHV12</stp>
        <stp>XOM US Equity</stp>
        <stp>IS_TOT_CASH_PFD_DVD</stp>
        <stp>FQ2 1991</stp>
        <stp>FQ2 1991</stp>
        <stp>[FA1_ftkzu3fn.xlsx]Income - Adjusted!R21C8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1" s="2"/>
      </tp>
      <tp>
        <v>28616</v>
        <stp/>
        <stp>##V3_BDHV12</stp>
        <stp>XOM US Equity</stp>
        <stp>NON_CUR_LIAB</stp>
        <stp>FQ4 1992</stp>
        <stp>FQ4 1992</stp>
        <stp>[FA1_ftkzu3fn.xlsx]Bal Sheet - Standardized!R36C14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36" s="3"/>
      </tp>
      <tp>
        <v>28812</v>
        <stp/>
        <stp>##V3_BDHV12</stp>
        <stp>XOM US Equity</stp>
        <stp>NON_CUR_LIAB</stp>
        <stp>FQ4 1991</stp>
        <stp>FQ4 1991</stp>
        <stp>[FA1_ftkzu3fn.xlsx]Bal Sheet - Standardized!R36C10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36" s="3"/>
      </tp>
      <tp>
        <v>28368</v>
        <stp/>
        <stp>##V3_BDHV12</stp>
        <stp>XOM US Equity</stp>
        <stp>NON_CUR_LIAB</stp>
        <stp>FQ4 1993</stp>
        <stp>FQ4 1993</stp>
        <stp>[FA1_ftkzu3fn.xlsx]Bal Sheet - Standardized!R36C18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36" s="3"/>
      </tp>
      <tp>
        <v>2222</v>
        <stp/>
        <stp>##V3_BDHV12</stp>
        <stp>XOM US Equity</stp>
        <stp>EARN_FOR_COMMON</stp>
        <stp>FQ1 1991</stp>
        <stp>FQ1 1991</stp>
        <stp>[FA1_ftkzu3fn.xlsx]Income - Adjusted!R22C7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G22" s="2"/>
      </tp>
      <tp t="s">
        <v>—</v>
        <stp/>
        <stp>##V3_BDHV12</stp>
        <stp>XOM US Equity</stp>
        <stp>CFF_ACTIVITIES_DETAILED</stp>
        <stp>FQ4 1996</stp>
        <stp>FQ4 1996</stp>
        <stp>[FA1_ftkzu3fn.xlsx]Cash Flow - Standardized!R31C30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31" s="4"/>
      </tp>
      <tp>
        <v>0.16750000000000001</v>
        <stp/>
        <stp>##V3_BDHV12</stp>
        <stp>XOM US Equity</stp>
        <stp>EQY_DPS</stp>
        <stp>FQ4 1991</stp>
        <stp>FQ4 1991</stp>
        <stp>[FA1_ftkzu3fn.xlsx]Per Share!R20C10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20" s="5"/>
      </tp>
      <tp>
        <v>0.1875</v>
        <stp/>
        <stp>##V3_BDHV12</stp>
        <stp>XOM US Equity</stp>
        <stp>EQY_DPS</stp>
        <stp>FQ1 1996</stp>
        <stp>FQ1 1996</stp>
        <stp>[FA1_ftkzu3fn.xlsx]Per Share!R20C27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20" s="5"/>
      </tp>
      <tp t="s">
        <v>—</v>
        <stp/>
        <stp>##V3_BDHV12</stp>
        <stp>XOM US Equity</stp>
        <stp>EQY_DPS</stp>
        <stp>FQ3 1992</stp>
        <stp>FQ3 1992</stp>
        <stp>[FA1_ftkzu3fn.xlsx]Per Share!R20C13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20" s="5"/>
      </tp>
      <tp>
        <v>0.1875</v>
        <stp/>
        <stp>##V3_BDHV12</stp>
        <stp>XOM US Equity</stp>
        <stp>EQY_DPS</stp>
        <stp>FQ2 1995</stp>
        <stp>FQ2 1995</stp>
        <stp>[FA1_ftkzu3fn.xlsx]Per Share!R20C24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20" s="5"/>
      </tp>
      <tp>
        <v>-1805</v>
        <stp/>
        <stp>##V3_BDHV12</stp>
        <stp>XOM US Equity</stp>
        <stp>CFF_ACTIVITIES_DETAILED</stp>
        <stp>FQ4 1997</stp>
        <stp>FQ4 1997</stp>
        <stp>[FA1_ftkzu3fn.xlsx]Cash Flow - Standardized!R31C34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31" s="4"/>
      </tp>
      <tp t="s">
        <v>—</v>
        <stp/>
        <stp>##V3_BDHV12</stp>
        <stp>XOM US Equity</stp>
        <stp>CF_INCR_CAP_STOCK</stp>
        <stp>FQ2 1993</stp>
        <stp>FQ2 1993</stp>
        <stp>[FA1_ftkzu3fn.xlsx]Cash Flow - Standardized!R29C16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29" s="4"/>
      </tp>
      <tp t="s">
        <v>—</v>
        <stp/>
        <stp>##V3_BDHV12</stp>
        <stp>XOM US Equity</stp>
        <stp>CF_INCR_CAP_STOCK</stp>
        <stp>FQ1 1995</stp>
        <stp>FQ1 1995</stp>
        <stp>[FA1_ftkzu3fn.xlsx]Cash Flow - Standardized!R29C23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29" s="4"/>
      </tp>
      <tp t="s">
        <v>—</v>
        <stp/>
        <stp>##V3_BDHV12</stp>
        <stp>XOM US Equity</stp>
        <stp>CF_INCR_CAP_STOCK</stp>
        <stp>FQ2 1992</stp>
        <stp>FQ2 1992</stp>
        <stp>[FA1_ftkzu3fn.xlsx]Cash Flow - Standardized!R29C12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29" s="4"/>
      </tp>
      <tp t="s">
        <v>—</v>
        <stp/>
        <stp>##V3_BDHV12</stp>
        <stp>XOM US Equity</stp>
        <stp>CF_INCR_CAP_STOCK</stp>
        <stp>FQ1 1996</stp>
        <stp>FQ1 1996</stp>
        <stp>[FA1_ftkzu3fn.xlsx]Cash Flow - Standardized!R29C27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29" s="4"/>
      </tp>
      <tp>
        <v>0.3</v>
        <stp/>
        <stp>##V3_BDHV12</stp>
        <stp>XOM US Equity</stp>
        <stp>IS_BASIC_EPS_CONT_OPS</stp>
        <stp>FQ4 1993</stp>
        <stp>FQ4 1993</stp>
        <stp>[FA1_ftkzu3fn.xlsx]Per Share!R16C18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16" s="5"/>
      </tp>
      <tp>
        <v>5000</v>
        <stp/>
        <stp>##V3_BDHV12</stp>
        <stp>XOM US Equity</stp>
        <stp>EQY_SH_OUT</stp>
        <stp>FQ1 1990</stp>
        <stp>FQ1 1990</stp>
        <stp>[FA1_ftkzu3fn.xlsx]Stock Value!R13C3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13" s="6"/>
      </tp>
      <tp>
        <v>19</v>
        <stp/>
        <stp>##V3_BDHV12</stp>
        <stp>XOM US Equity</stp>
        <stp>IS_TOT_CASH_PFD_DVD</stp>
        <stp>FQ3 1990</stp>
        <stp>FQ3 1990</stp>
        <stp>[FA1_ftkzu3fn.xlsx]Income - Adjusted!R21C5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1" s="2"/>
      </tp>
      <tp>
        <v>1553.25</v>
        <stp/>
        <stp>##V3_BDHV12</stp>
        <stp>XOM US Equity</stp>
        <stp>EARN_FOR_COMMON</stp>
        <stp>FQ3 1996</stp>
        <stp>FQ3 1996</stp>
        <stp>[FA1_ftkzu3fn.xlsx]Income - Adjusted!R24C29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C24" s="2"/>
      </tp>
      <tp>
        <v>96064</v>
        <stp/>
        <stp>##V3_BDHV12</stp>
        <stp>XOM US Equity</stp>
        <stp>BS_TOT_ASSET</stp>
        <stp>FQ4 1997</stp>
        <stp>FQ4 1997</stp>
        <stp>[FA1_ftkzu3fn.xlsx]Bal Sheet - Standardized!R24C34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24" s="3"/>
      </tp>
      <tp>
        <v>95527</v>
        <stp/>
        <stp>##V3_BDHV12</stp>
        <stp>XOM US Equity</stp>
        <stp>BS_TOT_ASSET</stp>
        <stp>FQ4 1996</stp>
        <stp>FQ4 1996</stp>
        <stp>[FA1_ftkzu3fn.xlsx]Bal Sheet - Standardized!R24C30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24" s="3"/>
      </tp>
      <tp>
        <v>17</v>
        <stp/>
        <stp>##V3_BDHV12</stp>
        <stp>XOM US Equity</stp>
        <stp>IS_TOT_CASH_PFD_DVD</stp>
        <stp>FQ3 1991</stp>
        <stp>FQ3 1991</stp>
        <stp>[FA1_ftkzu3fn.xlsx]Income - Adjusted!R21C9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1" s="2"/>
      </tp>
      <tp t="s">
        <v>—</v>
        <stp/>
        <stp>##V3_BDHV12</stp>
        <stp>XOM US Equity</stp>
        <stp>FREE_CASH_FLOW_PER_SH</stp>
        <stp>FQ2 1990</stp>
        <stp>FQ2 1990</stp>
        <stp>[FA1_ftkzu3fn.xlsx]Cash Flow - Standardized!R43C4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43" s="4"/>
      </tp>
      <tp t="s">
        <v>—</v>
        <stp/>
        <stp>##V3_BDHV12</stp>
        <stp>XOM US Equity</stp>
        <stp>FREE_CASH_FLOW_PER_SH</stp>
        <stp>FQ3 1990</stp>
        <stp>FQ3 1990</stp>
        <stp>[FA1_ftkzu3fn.xlsx]Cash Flow - Standardized!R43C5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43" s="4"/>
      </tp>
      <tp t="s">
        <v>—</v>
        <stp/>
        <stp>##V3_BDHV12</stp>
        <stp>XOM US Equity</stp>
        <stp>FREE_CASH_FLOW_PER_SH</stp>
        <stp>FQ1 1991</stp>
        <stp>FQ1 1991</stp>
        <stp>[FA1_ftkzu3fn.xlsx]Cash Flow - Standardized!R43C7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43" s="4"/>
      </tp>
      <tp>
        <v>52164</v>
        <stp/>
        <stp>##V3_BDHV12</stp>
        <stp>XOM US Equity</stp>
        <stp>OTHER_INS_RES_TO_SHRHLDR_EQY</stp>
        <stp>FQ2 1998</stp>
        <stp>FQ2 1998</stp>
        <stp>[FA1_ftkzu3fn.xlsx]Bal Sheet - Standardized!R41C36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41" s="3"/>
      </tp>
      <tp>
        <v>51723</v>
        <stp/>
        <stp>##V3_BDHV12</stp>
        <stp>XOM US Equity</stp>
        <stp>OTHER_INS_RES_TO_SHRHLDR_EQY</stp>
        <stp>FQ1 1998</stp>
        <stp>FQ1 1998</stp>
        <stp>[FA1_ftkzu3fn.xlsx]Bal Sheet - Standardized!R41C35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41" s="3"/>
      </tp>
      <tp>
        <v>1056</v>
        <stp/>
        <stp>##V3_BDHV12</stp>
        <stp>XOM US Equity</stp>
        <stp>EARN_FOR_COMMON</stp>
        <stp>FQ3 1990</stp>
        <stp>FQ3 1990</stp>
        <stp>[FA1_ftkzu3fn.xlsx]Income - Adjusted!R22C5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E22" s="2"/>
      </tp>
      <tp>
        <v>1081</v>
        <stp/>
        <stp>##V3_BDHV12</stp>
        <stp>XOM US Equity</stp>
        <stp>EARN_FOR_COMMON</stp>
        <stp>FQ2 1990</stp>
        <stp>FQ2 1990</stp>
        <stp>[FA1_ftkzu3fn.xlsx]Income - Adjusted!R22C4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D22" s="2"/>
      </tp>
      <tp>
        <v>48788</v>
        <stp/>
        <stp>##V3_BDHV12</stp>
        <stp>XOM US Equity</stp>
        <stp>OTHER_INS_RES_TO_SHRHLDR_EQY</stp>
        <stp>FQ1 1994</stp>
        <stp>FQ1 1994</stp>
        <stp>[FA1_ftkzu3fn.xlsx]Bal Sheet - Standardized!R41C19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41" s="3"/>
      </tp>
      <tp>
        <v>55907</v>
        <stp/>
        <stp>##V3_BDHV12</stp>
        <stp>XOM US Equity</stp>
        <stp>OTHER_INS_RES_TO_SHRHLDR_EQY</stp>
        <stp>FQ2 1996</stp>
        <stp>FQ2 1996</stp>
        <stp>[FA1_ftkzu3fn.xlsx]Bal Sheet - Standardized!R41C28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41" s="3"/>
      </tp>
      <tp>
        <v>56053</v>
        <stp/>
        <stp>##V3_BDHV12</stp>
        <stp>XOM US Equity</stp>
        <stp>OTHER_INS_RES_TO_SHRHLDR_EQY</stp>
        <stp>FQ3 1996</stp>
        <stp>FQ3 1996</stp>
        <stp>[FA1_ftkzu3fn.xlsx]Bal Sheet - Standardized!R41C29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41" s="3"/>
      </tp>
      <tp t="s">
        <v>—</v>
        <stp/>
        <stp>##V3_BDHV12</stp>
        <stp>XOM US Equity</stp>
        <stp>CFF_ACTIVITIES_DETAILED</stp>
        <stp>FQ4 1994</stp>
        <stp>FQ4 1994</stp>
        <stp>[FA1_ftkzu3fn.xlsx]Cash Flow - Standardized!R31C22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31" s="4"/>
      </tp>
      <tp>
        <v>0.1875</v>
        <stp/>
        <stp>##V3_BDHV12</stp>
        <stp>XOM US Equity</stp>
        <stp>EQY_DPS</stp>
        <stp>FQ3 1995</stp>
        <stp>FQ3 1995</stp>
        <stp>[FA1_ftkzu3fn.xlsx]Per Share!R20C25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20" s="5"/>
      </tp>
      <tp t="s">
        <v>—</v>
        <stp/>
        <stp>##V3_BDHV12</stp>
        <stp>XOM US Equity</stp>
        <stp>EQY_DPS</stp>
        <stp>FQ2 1992</stp>
        <stp>FQ2 1992</stp>
        <stp>[FA1_ftkzu3fn.xlsx]Per Share!R20C12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20" s="5"/>
      </tp>
      <tp t="s">
        <v>—</v>
        <stp/>
        <stp>##V3_BDHV12</stp>
        <stp>XOM US Equity</stp>
        <stp>CFF_ACTIVITIES_DETAILED</stp>
        <stp>FQ4 1995</stp>
        <stp>FQ4 1995</stp>
        <stp>[FA1_ftkzu3fn.xlsx]Cash Flow - Standardized!R31C26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31" s="4"/>
      </tp>
      <tp>
        <v>4902</v>
        <stp/>
        <stp>##V3_BDHV12</stp>
        <stp>XOM US Equity</stp>
        <stp>IS_AVG_NUM_SH_FOR_EPS</stp>
        <stp>FQ1 1998</stp>
        <stp>FQ1 1998</stp>
        <stp>[FA1_ftkzu3fn.xlsx]Income - Adjusted!R27C35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27" s="2"/>
      </tp>
      <tp>
        <v>4967.6000999999997</v>
        <stp/>
        <stp>##V3_BDHV12</stp>
        <stp>XOM US Equity</stp>
        <stp>IS_AVG_NUM_SH_FOR_EPS</stp>
        <stp>FQ1 1994</stp>
        <stp>FQ1 1994</stp>
        <stp>[FA1_ftkzu3fn.xlsx]Income - Adjusted!R27C19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27" s="2"/>
      </tp>
      <tp>
        <v>4993.7560000000003</v>
        <stp/>
        <stp>##V3_BDHV12</stp>
        <stp>XOM US Equity</stp>
        <stp>EQY_SH_OUT</stp>
        <stp>FQ2 1990</stp>
        <stp>FQ2 1990</stp>
        <stp>[FA1_ftkzu3fn.xlsx]Stock Value!R13C4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13" s="6"/>
      </tp>
      <tp t="s">
        <v>—</v>
        <stp/>
        <stp>##V3_BDHV12</stp>
        <stp>XOM US Equity</stp>
        <stp>FREE_CASH_FLOW_PER_SH</stp>
        <stp>FQ4 1993</stp>
        <stp>FQ4 1993</stp>
        <stp>[FA1_ftkzu3fn.xlsx]Per Share!R23C18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23" s="5"/>
      </tp>
      <tp>
        <v>0.21249999999999999</v>
        <stp/>
        <stp>##V3_BDHV12</stp>
        <stp>XOM US Equity</stp>
        <stp>IS_DIL_EPS_CONT_OPS</stp>
        <stp>FQ3 1990</stp>
        <stp>FQ3 1990</stp>
        <stp>[FA1_ftkzu3fn.xlsx]Income - Adjusted!R35C5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35" s="2"/>
      </tp>
      <tp>
        <v>0.2175</v>
        <stp/>
        <stp>##V3_BDHV12</stp>
        <stp>XOM US Equity</stp>
        <stp>IS_DIL_EPS_CONT_OPS</stp>
        <stp>FQ2 1990</stp>
        <stp>FQ2 1990</stp>
        <stp>[FA1_ftkzu3fn.xlsx]Income - Adjusted!R35C4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35" s="2"/>
      </tp>
      <tp>
        <v>84654</v>
        <stp/>
        <stp>##V3_BDHV12</stp>
        <stp>XOM US Equity</stp>
        <stp>BS_TOT_ASSET</stp>
        <stp>FQ1 1994</stp>
        <stp>FQ1 1994</stp>
        <stp>[FA1_ftkzu3fn.xlsx]Bal Sheet - Standardized!R24C19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24" s="3"/>
      </tp>
      <tp>
        <v>92396</v>
        <stp/>
        <stp>##V3_BDHV12</stp>
        <stp>XOM US Equity</stp>
        <stp>BS_TOT_ASSET</stp>
        <stp>FQ2 1996</stp>
        <stp>FQ2 1996</stp>
        <stp>[FA1_ftkzu3fn.xlsx]Bal Sheet - Standardized!R24C28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24" s="3"/>
      </tp>
      <tp>
        <v>0.3075</v>
        <stp/>
        <stp>##V3_BDHV12</stp>
        <stp>XOM US Equity</stp>
        <stp>IS_DILUTED_EPS</stp>
        <stp>FQ4 1990</stp>
        <stp>FQ4 1990</stp>
        <stp>[FA1_ftkzu3fn.xlsx]Per Share!R17C6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F17" s="5"/>
      </tp>
      <tp>
        <v>0.2175</v>
        <stp/>
        <stp>##V3_BDHV12</stp>
        <stp>XOM US Equity</stp>
        <stp>IS_DILUTED_EPS</stp>
        <stp>FQ2 1990</stp>
        <stp>FQ2 1990</stp>
        <stp>[FA1_ftkzu3fn.xlsx]Per Share!R17C4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D17" s="5"/>
      </tp>
      <tp>
        <v>0.21249999999999999</v>
        <stp/>
        <stp>##V3_BDHV12</stp>
        <stp>XOM US Equity</stp>
        <stp>IS_DILUTED_EPS</stp>
        <stp>FQ3 1990</stp>
        <stp>FQ3 1990</stp>
        <stp>[FA1_ftkzu3fn.xlsx]Per Share!R17C5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E17" s="5"/>
      </tp>
      <tp>
        <v>0.2525</v>
        <stp/>
        <stp>##V3_BDHV12</stp>
        <stp>XOM US Equity</stp>
        <stp>IS_DILUTED_EPS</stp>
        <stp>FQ1 1990</stp>
        <stp>FQ1 1990</stp>
        <stp>[FA1_ftkzu3fn.xlsx]Per Share!R17C3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C17" s="5"/>
      </tp>
      <tp>
        <v>18</v>
        <stp/>
        <stp>##V3_BDHV12</stp>
        <stp>XOM US Equity</stp>
        <stp>IS_TOT_CASH_PFD_DVD</stp>
        <stp>FQ4 1990</stp>
        <stp>FQ4 1990</stp>
        <stp>[FA1_ftkzu3fn.xlsx]Income - Adjusted!R21C6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1" s="2"/>
      </tp>
      <tp>
        <v>97123</v>
        <stp/>
        <stp>##V3_BDHV12</stp>
        <stp>XOM US Equity</stp>
        <stp>BS_TOT_ASSET</stp>
        <stp>FQ3 1997</stp>
        <stp>FQ3 1997</stp>
        <stp>[FA1_ftkzu3fn.xlsx]Bal Sheet - Standardized!R24C33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24" s="3"/>
      </tp>
      <tp>
        <v>84735</v>
        <stp/>
        <stp>##V3_BDHV12</stp>
        <stp>XOM US Equity</stp>
        <stp>BS_TOT_ASSET</stp>
        <stp>FQ1 1993</stp>
        <stp>FQ1 1993</stp>
        <stp>[FA1_ftkzu3fn.xlsx]Bal Sheet - Standardized!R24C15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24" s="3"/>
      </tp>
      <tp>
        <v>86102</v>
        <stp/>
        <stp>##V3_BDHV12</stp>
        <stp>XOM US Equity</stp>
        <stp>BS_TOT_ASSET</stp>
        <stp>FQ2 1994</stp>
        <stp>FQ2 1994</stp>
        <stp>[FA1_ftkzu3fn.xlsx]Bal Sheet - Standardized!R24C20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24" s="3"/>
      </tp>
      <tp>
        <v>91158</v>
        <stp/>
        <stp>##V3_BDHV12</stp>
        <stp>XOM US Equity</stp>
        <stp>BS_TOT_ASSET</stp>
        <stp>FQ2 1995</stp>
        <stp>FQ2 1995</stp>
        <stp>[FA1_ftkzu3fn.xlsx]Bal Sheet - Standardized!R24C24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24" s="3"/>
      </tp>
      <tp>
        <v>84507</v>
        <stp/>
        <stp>##V3_BDHV12</stp>
        <stp>XOM US Equity</stp>
        <stp>BS_TOT_ASSET</stp>
        <stp>FQ1 1992</stp>
        <stp>FQ1 1992</stp>
        <stp>[FA1_ftkzu3fn.xlsx]Bal Sheet - Standardized!R24C11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24" s="3"/>
      </tp>
      <tp>
        <v>32356</v>
        <stp/>
        <stp>##V3_BDHV12</stp>
        <stp>XOM US Equity</stp>
        <stp>NON_CUR_LIAB</stp>
        <stp>FQ1 1996</stp>
        <stp>FQ1 1996</stp>
        <stp>[FA1_ftkzu3fn.xlsx]Bal Sheet - Standardized!R36C27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36" s="3"/>
      </tp>
      <tp>
        <v>31524</v>
        <stp/>
        <stp>##V3_BDHV12</stp>
        <stp>XOM US Equity</stp>
        <stp>NON_CUR_LIAB</stp>
        <stp>FQ2 1992</stp>
        <stp>FQ2 1992</stp>
        <stp>[FA1_ftkzu3fn.xlsx]Bal Sheet - Standardized!R36C12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36" s="3"/>
      </tp>
      <tp>
        <v>31014</v>
        <stp/>
        <stp>##V3_BDHV12</stp>
        <stp>XOM US Equity</stp>
        <stp>NON_CUR_LIAB</stp>
        <stp>FQ2 1993</stp>
        <stp>FQ2 1993</stp>
        <stp>[FA1_ftkzu3fn.xlsx]Bal Sheet - Standardized!R36C16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36" s="3"/>
      </tp>
      <tp>
        <v>32124</v>
        <stp/>
        <stp>##V3_BDHV12</stp>
        <stp>XOM US Equity</stp>
        <stp>NON_CUR_LIAB</stp>
        <stp>FQ1 1995</stp>
        <stp>FQ1 1995</stp>
        <stp>[FA1_ftkzu3fn.xlsx]Bal Sheet - Standardized!R36C23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36" s="3"/>
      </tp>
      <tp t="s">
        <v>—</v>
        <stp/>
        <stp>##V3_BDHV12</stp>
        <stp>XOM US Equity</stp>
        <stp>CFF_ACTIVITIES_DETAILED</stp>
        <stp>FQ3 1995</stp>
        <stp>FQ3 1995</stp>
        <stp>[FA1_ftkzu3fn.xlsx]Cash Flow - Standardized!R31C25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31" s="4"/>
      </tp>
      <tp t="s">
        <v>—</v>
        <stp/>
        <stp>##V3_BDHV12</stp>
        <stp>XOM US Equity</stp>
        <stp>CFF_ACTIVITIES_DETAILED</stp>
        <stp>FQ3 1994</stp>
        <stp>FQ3 1994</stp>
        <stp>[FA1_ftkzu3fn.xlsx]Cash Flow - Standardized!R31C21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31" s="4"/>
      </tp>
      <tp>
        <v>-1988</v>
        <stp/>
        <stp>##V3_BDHV12</stp>
        <stp>XOM US Equity</stp>
        <stp>CFF_ACTIVITIES_DETAILED</stp>
        <stp>FQ2 1997</stp>
        <stp>FQ2 1997</stp>
        <stp>[FA1_ftkzu3fn.xlsx]Cash Flow - Standardized!R31C32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31" s="4"/>
      </tp>
      <tp>
        <v>-2172</v>
        <stp/>
        <stp>##V3_BDHV12</stp>
        <stp>XOM US Equity</stp>
        <stp>CFF_ACTIVITIES_DETAILED</stp>
        <stp>FQ2 1998</stp>
        <stp>FQ2 1998</stp>
        <stp>[FA1_ftkzu3fn.xlsx]Cash Flow - Standardized!R31C36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31" s="4"/>
      </tp>
      <tp t="s">
        <v>—</v>
        <stp/>
        <stp>##V3_BDHV12</stp>
        <stp>XOM US Equity</stp>
        <stp>CFF_ACTIVITIES_DETAILED</stp>
        <stp>FQ3 1996</stp>
        <stp>FQ3 1996</stp>
        <stp>[FA1_ftkzu3fn.xlsx]Cash Flow - Standardized!R31C29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31" s="4"/>
      </tp>
      <tp t="s">
        <v>—</v>
        <stp/>
        <stp>##V3_BDHV12</stp>
        <stp>XOM US Equity</stp>
        <stp>CF_INCR_CAP_STOCK</stp>
        <stp>FQ4 1991</stp>
        <stp>FQ4 1991</stp>
        <stp>[FA1_ftkzu3fn.xlsx]Cash Flow - Standardized!R29C10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29" s="4"/>
      </tp>
      <tp t="s">
        <v>—</v>
        <stp/>
        <stp>##V3_BDHV12</stp>
        <stp>XOM US Equity</stp>
        <stp>CF_INCR_CAP_STOCK</stp>
        <stp>FQ4 1992</stp>
        <stp>FQ4 1992</stp>
        <stp>[FA1_ftkzu3fn.xlsx]Cash Flow - Standardized!R29C14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29" s="4"/>
      </tp>
      <tp t="s">
        <v>—</v>
        <stp/>
        <stp>##V3_BDHV12</stp>
        <stp>XOM US Equity</stp>
        <stp>CF_INCR_CAP_STOCK</stp>
        <stp>FQ4 1993</stp>
        <stp>FQ4 1993</stp>
        <stp>[FA1_ftkzu3fn.xlsx]Cash Flow - Standardized!R29C18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29" s="4"/>
      </tp>
      <tp>
        <v>0.38500000000000001</v>
        <stp/>
        <stp>##V3_BDHV12</stp>
        <stp>XOM US Equity</stp>
        <stp>IS_BASIC_EPS_CONT_OPS</stp>
        <stp>FQ1 1998</stp>
        <stp>FQ1 1998</stp>
        <stp>[FA1_ftkzu3fn.xlsx]Per Share!R16C35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16" s="5"/>
      </tp>
      <tp>
        <v>0.23</v>
        <stp/>
        <stp>##V3_BDHV12</stp>
        <stp>XOM US Equity</stp>
        <stp>IS_BASIC_EPS_CONT_OPS</stp>
        <stp>FQ1 1994</stp>
        <stp>FQ1 1994</stp>
        <stp>[FA1_ftkzu3fn.xlsx]Per Share!R16C19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16" s="5"/>
      </tp>
      <tp>
        <v>4988.2759999999998</v>
        <stp/>
        <stp>##V3_BDHV12</stp>
        <stp>XOM US Equity</stp>
        <stp>EQY_SH_OUT</stp>
        <stp>FQ3 1990</stp>
        <stp>FQ3 1990</stp>
        <stp>[FA1_ftkzu3fn.xlsx]Stock Value!R13C5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13" s="6"/>
      </tp>
      <tp>
        <v>2264</v>
        <stp/>
        <stp>##V3_BDHV12</stp>
        <stp>XOM US Equity</stp>
        <stp>BS_NUM_OF_TSY_SH</stp>
        <stp>FQ2 1990</stp>
        <stp>FQ2 1990</stp>
        <stp>[FA1_ftkzu3fn.xlsx]Bal Sheet - Standardized!R50C4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50" s="3"/>
      </tp>
      <tp>
        <v>2268</v>
        <stp/>
        <stp>##V3_BDHV12</stp>
        <stp>XOM US Equity</stp>
        <stp>BS_NUM_OF_TSY_SH</stp>
        <stp>FQ3 1990</stp>
        <stp>FQ3 1990</stp>
        <stp>[FA1_ftkzu3fn.xlsx]Bal Sheet - Standardized!R50C5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50" s="3"/>
      </tp>
      <tp>
        <v>2272</v>
        <stp/>
        <stp>##V3_BDHV12</stp>
        <stp>XOM US Equity</stp>
        <stp>BS_NUM_OF_TSY_SH</stp>
        <stp>FQ1 1991</stp>
        <stp>FQ1 1991</stp>
        <stp>[FA1_ftkzu3fn.xlsx]Bal Sheet - Standardized!R50C7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50" s="3"/>
      </tp>
      <tp>
        <v>0.44500000000000001</v>
        <stp/>
        <stp>##V3_BDHV12</stp>
        <stp>XOM US Equity</stp>
        <stp>IS_DIL_EPS_CONT_OPS</stp>
        <stp>FQ1 1991</stp>
        <stp>FQ1 1991</stp>
        <stp>[FA1_ftkzu3fn.xlsx]Income - Adjusted!R35C7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35" s="2"/>
      </tp>
      <tp>
        <v>4980.0962</v>
        <stp/>
        <stp>##V3_BDHV12</stp>
        <stp>XOM US Equity</stp>
        <stp>IS_AVG_NUM_SH_FOR_EPS</stp>
        <stp>FQ1 1991</stp>
        <stp>FQ1 1991</stp>
        <stp>[FA1_ftkzu3fn.xlsx]Per Share!R8C7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8" s="5"/>
      </tp>
      <tp>
        <v>4987.2002000000002</v>
        <stp/>
        <stp>##V3_BDHV12</stp>
        <stp>XOM US Equity</stp>
        <stp>IS_AVG_NUM_SH_FOR_EPS</stp>
        <stp>FQ3 1990</stp>
        <stp>FQ3 1990</stp>
        <stp>[FA1_ftkzu3fn.xlsx]Per Share!R8C5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8" s="5"/>
      </tp>
      <tp>
        <v>93468</v>
        <stp/>
        <stp>##V3_BDHV12</stp>
        <stp>XOM US Equity</stp>
        <stp>BS_TOT_ASSET</stp>
        <stp>FQ3 1996</stp>
        <stp>FQ3 1996</stp>
        <stp>[FA1_ftkzu3fn.xlsx]Bal Sheet - Standardized!R24C29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24" s="3"/>
      </tp>
      <tp>
        <v>93216</v>
        <stp/>
        <stp>##V3_BDHV12</stp>
        <stp>XOM US Equity</stp>
        <stp>BS_TOT_ASSET</stp>
        <stp>FQ2 1998</stp>
        <stp>FQ2 1998</stp>
        <stp>[FA1_ftkzu3fn.xlsx]Bal Sheet - Standardized!R24C36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24" s="3"/>
      </tp>
      <tp>
        <v>4991.6318000000001</v>
        <stp/>
        <stp>##V3_BDHV12</stp>
        <stp>XOM US Equity</stp>
        <stp>IS_AVG_NUM_SH_FOR_EPS</stp>
        <stp>FQ2 1990</stp>
        <stp>FQ2 1990</stp>
        <stp>[FA1_ftkzu3fn.xlsx]Per Share!R8C4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8" s="5"/>
      </tp>
      <tp>
        <v>0.22500000000000001</v>
        <stp/>
        <stp>##V3_BDHV12</stp>
        <stp>XOM US Equity</stp>
        <stp>IS_DILUTED_EPS</stp>
        <stp>FQ2 1991</stp>
        <stp>FQ2 1991</stp>
        <stp>[FA1_ftkzu3fn.xlsx]Per Share!R17C8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H17" s="5"/>
      </tp>
      <tp>
        <v>0.22</v>
        <stp/>
        <stp>##V3_BDHV12</stp>
        <stp>XOM US Equity</stp>
        <stp>IS_DILUTED_EPS</stp>
        <stp>FQ3 1991</stp>
        <stp>FQ3 1991</stp>
        <stp>[FA1_ftkzu3fn.xlsx]Per Share!R17C9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I17" s="5"/>
      </tp>
      <tp>
        <v>0.44500000000000001</v>
        <stp/>
        <stp>##V3_BDHV12</stp>
        <stp>XOM US Equity</stp>
        <stp>IS_DILUTED_EPS</stp>
        <stp>FQ1 1991</stp>
        <stp>FQ1 1991</stp>
        <stp>[FA1_ftkzu3fn.xlsx]Per Share!R17C7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G17" s="5"/>
      </tp>
      <tp>
        <v>94920</v>
        <stp/>
        <stp>##V3_BDHV12</stp>
        <stp>XOM US Equity</stp>
        <stp>BS_TOT_ASSET</stp>
        <stp>FQ2 1997</stp>
        <stp>FQ2 1997</stp>
        <stp>[FA1_ftkzu3fn.xlsx]Bal Sheet - Standardized!R24C32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24" s="3"/>
      </tp>
      <tp>
        <v>87790</v>
        <stp/>
        <stp>##V3_BDHV12</stp>
        <stp>XOM US Equity</stp>
        <stp>BS_TOT_ASSET</stp>
        <stp>FQ3 1994</stp>
        <stp>FQ3 1994</stp>
        <stp>[FA1_ftkzu3fn.xlsx]Bal Sheet - Standardized!R24C21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24" s="3"/>
      </tp>
      <tp>
        <v>90706</v>
        <stp/>
        <stp>##V3_BDHV12</stp>
        <stp>XOM US Equity</stp>
        <stp>BS_TOT_ASSET</stp>
        <stp>FQ3 1995</stp>
        <stp>FQ3 1995</stp>
        <stp>[FA1_ftkzu3fn.xlsx]Bal Sheet - Standardized!R24C25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24" s="3"/>
      </tp>
      <tp>
        <v>31901</v>
        <stp/>
        <stp>##V3_BDHV12</stp>
        <stp>XOM US Equity</stp>
        <stp>NON_CUR_LIAB</stp>
        <stp>FQ3 1992</stp>
        <stp>FQ3 1992</stp>
        <stp>[FA1_ftkzu3fn.xlsx]Bal Sheet - Standardized!R36C13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36" s="3"/>
      </tp>
      <tp>
        <v>30873</v>
        <stp/>
        <stp>##V3_BDHV12</stp>
        <stp>XOM US Equity</stp>
        <stp>NON_CUR_LIAB</stp>
        <stp>FQ3 1993</stp>
        <stp>FQ3 1993</stp>
        <stp>[FA1_ftkzu3fn.xlsx]Bal Sheet - Standardized!R36C17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36" s="3"/>
      </tp>
      <tp>
        <v>32848</v>
        <stp/>
        <stp>##V3_BDHV12</stp>
        <stp>XOM US Equity</stp>
        <stp>NON_CUR_LIAB</stp>
        <stp>FQ1 1997</stp>
        <stp>FQ1 1997</stp>
        <stp>[FA1_ftkzu3fn.xlsx]Bal Sheet - Standardized!R36C31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36" s="3"/>
      </tp>
      <tp>
        <v>32632</v>
        <stp/>
        <stp>##V3_BDHV12</stp>
        <stp>XOM US Equity</stp>
        <stp>NON_CUR_LIAB</stp>
        <stp>FQ1 1998</stp>
        <stp>FQ1 1998</stp>
        <stp>[FA1_ftkzu3fn.xlsx]Bal Sheet - Standardized!R36C35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36" s="3"/>
      </tp>
      <tp t="s">
        <v>—</v>
        <stp/>
        <stp>##V3_BDHV12</stp>
        <stp>XOM US Equity</stp>
        <stp>CFF_ACTIVITIES_DETAILED</stp>
        <stp>FQ1 1992</stp>
        <stp>FQ1 1992</stp>
        <stp>[FA1_ftkzu3fn.xlsx]Cash Flow - Standardized!R31C11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31" s="4"/>
      </tp>
      <tp>
        <v>0.17499999999999999</v>
        <stp/>
        <stp>##V3_BDHV12</stp>
        <stp>XOM US Equity</stp>
        <stp>EQY_DPS</stp>
        <stp>FQ4 1992</stp>
        <stp>FQ4 1992</stp>
        <stp>[FA1_ftkzu3fn.xlsx]Per Share!R20C14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20" s="5"/>
      </tp>
      <tp>
        <v>0.19750000000000001</v>
        <stp/>
        <stp>##V3_BDHV12</stp>
        <stp>XOM US Equity</stp>
        <stp>EQY_DPS</stp>
        <stp>FQ4 1996</stp>
        <stp>FQ4 1996</stp>
        <stp>[FA1_ftkzu3fn.xlsx]Per Share!R20C30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20" s="5"/>
      </tp>
      <tp>
        <v>0.1875</v>
        <stp/>
        <stp>##V3_BDHV12</stp>
        <stp>XOM US Equity</stp>
        <stp>EQY_DPS</stp>
        <stp>FQ4 1994</stp>
        <stp>FQ4 1994</stp>
        <stp>[FA1_ftkzu3fn.xlsx]Per Share!R20C22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20" s="5"/>
      </tp>
      <tp t="s">
        <v>—</v>
        <stp/>
        <stp>##V3_BDHV12</stp>
        <stp>XOM US Equity</stp>
        <stp>EQY_DPS</stp>
        <stp>FQ1 1997</stp>
        <stp>FQ1 1997</stp>
        <stp>[FA1_ftkzu3fn.xlsx]Per Share!R20C31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20" s="5"/>
      </tp>
      <tp>
        <v>0.1875</v>
        <stp/>
        <stp>##V3_BDHV12</stp>
        <stp>XOM US Equity</stp>
        <stp>EQY_DPS</stp>
        <stp>FQ1 1995</stp>
        <stp>FQ1 1995</stp>
        <stp>[FA1_ftkzu3fn.xlsx]Per Share!R20C23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20" s="5"/>
      </tp>
      <tp>
        <v>0.18</v>
        <stp/>
        <stp>##V3_BDHV12</stp>
        <stp>XOM US Equity</stp>
        <stp>EQY_DPS</stp>
        <stp>FQ1 1993</stp>
        <stp>FQ1 1993</stp>
        <stp>[FA1_ftkzu3fn.xlsx]Per Share!R20C15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20" s="5"/>
      </tp>
      <tp t="s">
        <v>—</v>
        <stp/>
        <stp>##V3_BDHV12</stp>
        <stp>XOM US Equity</stp>
        <stp>CFF_ACTIVITIES_DETAILED</stp>
        <stp>FQ2 1995</stp>
        <stp>FQ2 1995</stp>
        <stp>[FA1_ftkzu3fn.xlsx]Cash Flow - Standardized!R31C24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31" s="4"/>
      </tp>
      <tp t="s">
        <v>—</v>
        <stp/>
        <stp>##V3_BDHV12</stp>
        <stp>XOM US Equity</stp>
        <stp>CFF_ACTIVITIES_DETAILED</stp>
        <stp>FQ2 1994</stp>
        <stp>FQ2 1994</stp>
        <stp>[FA1_ftkzu3fn.xlsx]Cash Flow - Standardized!R31C20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31" s="4"/>
      </tp>
      <tp>
        <v>-1888</v>
        <stp/>
        <stp>##V3_BDHV12</stp>
        <stp>XOM US Equity</stp>
        <stp>CFF_ACTIVITIES_DETAILED</stp>
        <stp>FQ3 1997</stp>
        <stp>FQ3 1997</stp>
        <stp>[FA1_ftkzu3fn.xlsx]Cash Flow - Standardized!R31C33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31" s="4"/>
      </tp>
      <tp t="s">
        <v>—</v>
        <stp/>
        <stp>##V3_BDHV12</stp>
        <stp>XOM US Equity</stp>
        <stp>CFF_ACTIVITIES_DETAILED</stp>
        <stp>FQ1 1993</stp>
        <stp>FQ1 1993</stp>
        <stp>[FA1_ftkzu3fn.xlsx]Cash Flow - Standardized!R31C15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31" s="4"/>
      </tp>
      <tp>
        <v>1722</v>
        <stp/>
        <stp>##V3_BDHV12</stp>
        <stp>XOM US Equity</stp>
        <stp>IS_OPER_INC</stp>
        <stp>FQ2 1991</stp>
        <stp>FQ2 1991</stp>
        <stp>[FA1_ftkzu3fn.xlsx]Income - Adjusted!R10C8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H10" s="2"/>
      </tp>
      <tp>
        <v>1620</v>
        <stp/>
        <stp>##V3_BDHV12</stp>
        <stp>XOM US Equity</stp>
        <stp>IS_OPER_INC</stp>
        <stp>FQ3 1991</stp>
        <stp>FQ3 1991</stp>
        <stp>[FA1_ftkzu3fn.xlsx]Income - Adjusted!R10C9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I10" s="2"/>
      </tp>
      <tp>
        <v>4966</v>
        <stp/>
        <stp>##V3_BDHV12</stp>
        <stp>XOM US Equity</stp>
        <stp>IS_AVG_NUM_SH_FOR_EPS</stp>
        <stp>FQ4 1993</stp>
        <stp>FQ4 1993</stp>
        <stp>[FA1_ftkzu3fn.xlsx]Income - Adjusted!R27C18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27" s="2"/>
      </tp>
      <tp t="s">
        <v>—</v>
        <stp/>
        <stp>##V3_BDHV12</stp>
        <stp>XOM US Equity</stp>
        <stp>CFF_ACTIVITIES_DETAILED</stp>
        <stp>FQ2 1996</stp>
        <stp>FQ2 1996</stp>
        <stp>[FA1_ftkzu3fn.xlsx]Cash Flow - Standardized!R31C28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31" s="4"/>
      </tp>
      <tp t="s">
        <v>—</v>
        <stp/>
        <stp>##V3_BDHV12</stp>
        <stp>XOM US Equity</stp>
        <stp>CFF_ACTIVITIES_DETAILED</stp>
        <stp>FQ1 1994</stp>
        <stp>FQ1 1994</stp>
        <stp>[FA1_ftkzu3fn.xlsx]Cash Flow - Standardized!R31C19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31" s="4"/>
      </tp>
      <tp t="s">
        <v>—</v>
        <stp/>
        <stp>##V3_BDHV12</stp>
        <stp>XOM US Equity</stp>
        <stp>CF_INCR_CAP_STOCK</stp>
        <stp>FQ4 1995</stp>
        <stp>FQ4 1995</stp>
        <stp>[FA1_ftkzu3fn.xlsx]Cash Flow - Standardized!R29C26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29" s="4"/>
      </tp>
      <tp t="s">
        <v>—</v>
        <stp/>
        <stp>##V3_BDHV12</stp>
        <stp>XOM US Equity</stp>
        <stp>CF_INCR_CAP_STOCK</stp>
        <stp>FQ4 1994</stp>
        <stp>FQ4 1994</stp>
        <stp>[FA1_ftkzu3fn.xlsx]Cash Flow - Standardized!R29C22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29" s="4"/>
      </tp>
      <tp>
        <v>0.33</v>
        <stp/>
        <stp>##V3_BDHV12</stp>
        <stp>XOM US Equity</stp>
        <stp>IS_BASIC_EPS_CONT_OPS</stp>
        <stp>FQ2 1998</stp>
        <stp>FQ2 1998</stp>
        <stp>[FA1_ftkzu3fn.xlsx]Per Share!R16C36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16" s="5"/>
      </tp>
      <tp>
        <v>0.315</v>
        <stp/>
        <stp>##V3_BDHV12</stp>
        <stp>XOM US Equity</stp>
        <stp>IS_BASIC_EPS_CONT_OPS</stp>
        <stp>FQ2 1996</stp>
        <stp>FQ2 1996</stp>
        <stp>[FA1_ftkzu3fn.xlsx]Per Share!R16C28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16" s="5"/>
      </tp>
      <tp>
        <v>4984.74</v>
        <stp/>
        <stp>##V3_BDHV12</stp>
        <stp>XOM US Equity</stp>
        <stp>EQY_SH_OUT</stp>
        <stp>FQ4 1990</stp>
        <stp>FQ4 1990</stp>
        <stp>[FA1_ftkzu3fn.xlsx]Stock Value!R13C6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13" s="6"/>
      </tp>
      <tp>
        <v>94953</v>
        <stp/>
        <stp>##V3_BDHV12</stp>
        <stp>XOM US Equity</stp>
        <stp>BS_TOT_ASSET</stp>
        <stp>FQ1 1998</stp>
        <stp>FQ1 1998</stp>
        <stp>[FA1_ftkzu3fn.xlsx]Bal Sheet - Standardized!R24C35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24" s="3"/>
      </tp>
      <tp>
        <v>95647</v>
        <stp/>
        <stp>##V3_BDHV12</stp>
        <stp>XOM US Equity</stp>
        <stp>BS_TOT_ASSET</stp>
        <stp>FQ1 1997</stp>
        <stp>FQ1 1997</stp>
        <stp>[FA1_ftkzu3fn.xlsx]Bal Sheet - Standardized!R24C31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24" s="3"/>
      </tp>
      <tp>
        <v>84987</v>
        <stp/>
        <stp>##V3_BDHV12</stp>
        <stp>XOM US Equity</stp>
        <stp>BS_TOT_ASSET</stp>
        <stp>FQ3 1993</stp>
        <stp>FQ3 1993</stp>
        <stp>[FA1_ftkzu3fn.xlsx]Bal Sheet - Standardized!R24C17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24" s="3"/>
      </tp>
      <tp>
        <v>87543</v>
        <stp/>
        <stp>##V3_BDHV12</stp>
        <stp>XOM US Equity</stp>
        <stp>BS_TOT_ASSET</stp>
        <stp>FQ3 1992</stp>
        <stp>FQ3 1992</stp>
        <stp>[FA1_ftkzu3fn.xlsx]Bal Sheet - Standardized!R24C13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24" s="3"/>
      </tp>
      <tp>
        <v>32088</v>
        <stp/>
        <stp>##V3_BDHV12</stp>
        <stp>XOM US Equity</stp>
        <stp>NON_CUR_LIAB</stp>
        <stp>FQ3 1995</stp>
        <stp>FQ3 1995</stp>
        <stp>[FA1_ftkzu3fn.xlsx]Bal Sheet - Standardized!R36C25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36" s="3"/>
      </tp>
      <tp>
        <v>32373</v>
        <stp/>
        <stp>##V3_BDHV12</stp>
        <stp>XOM US Equity</stp>
        <stp>NON_CUR_LIAB</stp>
        <stp>FQ2 1997</stp>
        <stp>FQ2 1997</stp>
        <stp>[FA1_ftkzu3fn.xlsx]Bal Sheet - Standardized!R36C32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36" s="3"/>
      </tp>
      <tp>
        <v>32021</v>
        <stp/>
        <stp>##V3_BDHV12</stp>
        <stp>XOM US Equity</stp>
        <stp>NON_CUR_LIAB</stp>
        <stp>FQ3 1994</stp>
        <stp>FQ3 1994</stp>
        <stp>[FA1_ftkzu3fn.xlsx]Bal Sheet - Standardized!R36C21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36" s="3"/>
      </tp>
      <tp>
        <v>31979</v>
        <stp/>
        <stp>##V3_BDHV12</stp>
        <stp>XOM US Equity</stp>
        <stp>NON_CUR_LIAB</stp>
        <stp>FQ3 1996</stp>
        <stp>FQ3 1996</stp>
        <stp>[FA1_ftkzu3fn.xlsx]Bal Sheet - Standardized!R36C29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36" s="3"/>
      </tp>
      <tp>
        <v>32327</v>
        <stp/>
        <stp>##V3_BDHV12</stp>
        <stp>XOM US Equity</stp>
        <stp>NON_CUR_LIAB</stp>
        <stp>FQ2 1998</stp>
        <stp>FQ2 1998</stp>
        <stp>[FA1_ftkzu3fn.xlsx]Bal Sheet - Standardized!R36C36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36" s="3"/>
      </tp>
      <tp t="s">
        <v>—</v>
        <stp/>
        <stp>##V3_BDHV12</stp>
        <stp>XOM US Equity</stp>
        <stp>CFF_ACTIVITIES_DETAILED</stp>
        <stp>FQ2 1992</stp>
        <stp>FQ2 1992</stp>
        <stp>[FA1_ftkzu3fn.xlsx]Cash Flow - Standardized!R31C12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31" s="4"/>
      </tp>
      <tp>
        <v>0.18</v>
        <stp/>
        <stp>##V3_BDHV12</stp>
        <stp>XOM US Equity</stp>
        <stp>EQY_DPS</stp>
        <stp>FQ3 1994</stp>
        <stp>FQ3 1994</stp>
        <stp>[FA1_ftkzu3fn.xlsx]Per Share!R20C21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20" s="5"/>
      </tp>
      <tp t="s">
        <v>—</v>
        <stp/>
        <stp>##V3_BDHV12</stp>
        <stp>XOM US Equity</stp>
        <stp>EQY_DPS</stp>
        <stp>FQ2 1997</stp>
        <stp>FQ2 1997</stp>
        <stp>[FA1_ftkzu3fn.xlsx]Per Share!R20C32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20" s="5"/>
      </tp>
      <tp>
        <v>0.18</v>
        <stp/>
        <stp>##V3_BDHV12</stp>
        <stp>XOM US Equity</stp>
        <stp>EQY_DPS</stp>
        <stp>FQ2 1993</stp>
        <stp>FQ2 1993</stp>
        <stp>[FA1_ftkzu3fn.xlsx]Per Share!R20C16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20" s="5"/>
      </tp>
      <tp t="s">
        <v>—</v>
        <stp/>
        <stp>##V3_BDHV12</stp>
        <stp>XOM US Equity</stp>
        <stp>CFF_ACTIVITIES_DETAILED</stp>
        <stp>FQ1 1996</stp>
        <stp>FQ1 1996</stp>
        <stp>[FA1_ftkzu3fn.xlsx]Cash Flow - Standardized!R31C27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31" s="4"/>
      </tp>
      <tp t="s">
        <v>—</v>
        <stp/>
        <stp>##V3_BDHV12</stp>
        <stp>XOM US Equity</stp>
        <stp>CFF_ACTIVITIES_DETAILED</stp>
        <stp>FQ1 1995</stp>
        <stp>FQ1 1995</stp>
        <stp>[FA1_ftkzu3fn.xlsx]Cash Flow - Standardized!R31C23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31" s="4"/>
      </tp>
      <tp t="s">
        <v>—</v>
        <stp/>
        <stp>##V3_BDHV12</stp>
        <stp>XOM US Equity</stp>
        <stp>CFF_ACTIVITIES_DETAILED</stp>
        <stp>FQ2 1993</stp>
        <stp>FQ2 1993</stp>
        <stp>[FA1_ftkzu3fn.xlsx]Cash Flow - Standardized!R31C16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31" s="4"/>
      </tp>
      <tp>
        <v>340</v>
        <stp/>
        <stp>##V3_BDHV12</stp>
        <stp>XOM US Equity</stp>
        <stp>CF_INCR_CAP_STOCK</stp>
        <stp>FQ4 1997</stp>
        <stp>FQ4 1997</stp>
        <stp>[FA1_ftkzu3fn.xlsx]Cash Flow - Standardized!R29C34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29" s="4"/>
      </tp>
      <tp t="s">
        <v>—</v>
        <stp/>
        <stp>##V3_BDHV12</stp>
        <stp>XOM US Equity</stp>
        <stp>CF_INCR_CAP_STOCK</stp>
        <stp>FQ4 1996</stp>
        <stp>FQ4 1996</stp>
        <stp>[FA1_ftkzu3fn.xlsx]Cash Flow - Standardized!R29C30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29" s="4"/>
      </tp>
      <tp>
        <v>0.31</v>
        <stp/>
        <stp>##V3_BDHV12</stp>
        <stp>XOM US Equity</stp>
        <stp>IS_BASIC_EPS_CONT_OPS</stp>
        <stp>FQ3 1996</stp>
        <stp>FQ3 1996</stp>
        <stp>[FA1_ftkzu3fn.xlsx]Per Share!R16C29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16" s="5"/>
      </tp>
      <tp>
        <v>4980</v>
        <stp/>
        <stp>##V3_BDHV12</stp>
        <stp>XOM US Equity</stp>
        <stp>EQY_SH_OUT</stp>
        <stp>FQ1 1991</stp>
        <stp>FQ1 1991</stp>
        <stp>[FA1_ftkzu3fn.xlsx]Stock Value!R13C7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13" s="6"/>
      </tp>
      <tp>
        <v>1486.5</v>
        <stp/>
        <stp>##V3_BDHV12</stp>
        <stp>XOM US Equity</stp>
        <stp>EARN_FOR_COMMON</stp>
        <stp>FQ4 1993</stp>
        <stp>FQ4 1993</stp>
        <stp>[FA1_ftkzu3fn.xlsx]Income - Adjusted!R24C18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R24" s="2"/>
      </tp>
      <tp>
        <v>91271</v>
        <stp/>
        <stp>##V3_BDHV12</stp>
        <stp>XOM US Equity</stp>
        <stp>BS_TOT_ASSET</stp>
        <stp>FQ1 1995</stp>
        <stp>FQ1 1995</stp>
        <stp>[FA1_ftkzu3fn.xlsx]Bal Sheet - Standardized!R24C23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24" s="3"/>
      </tp>
      <tp>
        <v>84550</v>
        <stp/>
        <stp>##V3_BDHV12</stp>
        <stp>XOM US Equity</stp>
        <stp>BS_TOT_ASSET</stp>
        <stp>FQ2 1993</stp>
        <stp>FQ2 1993</stp>
        <stp>[FA1_ftkzu3fn.xlsx]Bal Sheet - Standardized!R24C16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24" s="3"/>
      </tp>
      <tp>
        <v>87218</v>
        <stp/>
        <stp>##V3_BDHV12</stp>
        <stp>XOM US Equity</stp>
        <stp>BS_TOT_ASSET</stp>
        <stp>FQ2 1992</stp>
        <stp>FQ2 1992</stp>
        <stp>[FA1_ftkzu3fn.xlsx]Bal Sheet - Standardized!R24C12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24" s="3"/>
      </tp>
      <tp>
        <v>92579</v>
        <stp/>
        <stp>##V3_BDHV12</stp>
        <stp>XOM US Equity</stp>
        <stp>BS_TOT_ASSET</stp>
        <stp>FQ1 1996</stp>
        <stp>FQ1 1996</stp>
        <stp>[FA1_ftkzu3fn.xlsx]Bal Sheet - Standardized!R24C27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24" s="3"/>
      </tp>
      <tp>
        <v>31698</v>
        <stp/>
        <stp>##V3_BDHV12</stp>
        <stp>XOM US Equity</stp>
        <stp>NON_CUR_LIAB</stp>
        <stp>FQ2 1995</stp>
        <stp>FQ2 1995</stp>
        <stp>[FA1_ftkzu3fn.xlsx]Bal Sheet - Standardized!R36C24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36" s="3"/>
      </tp>
      <tp>
        <v>31270</v>
        <stp/>
        <stp>##V3_BDHV12</stp>
        <stp>XOM US Equity</stp>
        <stp>NON_CUR_LIAB</stp>
        <stp>FQ1 1992</stp>
        <stp>FQ1 1992</stp>
        <stp>[FA1_ftkzu3fn.xlsx]Bal Sheet - Standardized!R36C11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36" s="3"/>
      </tp>
      <tp>
        <v>31573</v>
        <stp/>
        <stp>##V3_BDHV12</stp>
        <stp>XOM US Equity</stp>
        <stp>NON_CUR_LIAB</stp>
        <stp>FQ1 1993</stp>
        <stp>FQ1 1993</stp>
        <stp>[FA1_ftkzu3fn.xlsx]Bal Sheet - Standardized!R36C15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36" s="3"/>
      </tp>
      <tp>
        <v>33517</v>
        <stp/>
        <stp>##V3_BDHV12</stp>
        <stp>XOM US Equity</stp>
        <stp>NON_CUR_LIAB</stp>
        <stp>FQ3 1997</stp>
        <stp>FQ3 1997</stp>
        <stp>[FA1_ftkzu3fn.xlsx]Bal Sheet - Standardized!R36C33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36" s="3"/>
      </tp>
      <tp>
        <v>31352</v>
        <stp/>
        <stp>##V3_BDHV12</stp>
        <stp>XOM US Equity</stp>
        <stp>NON_CUR_LIAB</stp>
        <stp>FQ2 1994</stp>
        <stp>FQ2 1994</stp>
        <stp>[FA1_ftkzu3fn.xlsx]Bal Sheet - Standardized!R36C20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36" s="3"/>
      </tp>
      <tp>
        <v>30987</v>
        <stp/>
        <stp>##V3_BDHV12</stp>
        <stp>XOM US Equity</stp>
        <stp>NON_CUR_LIAB</stp>
        <stp>FQ1 1994</stp>
        <stp>FQ1 1994</stp>
        <stp>[FA1_ftkzu3fn.xlsx]Bal Sheet - Standardized!R36C19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36" s="3"/>
      </tp>
      <tp>
        <v>32351</v>
        <stp/>
        <stp>##V3_BDHV12</stp>
        <stp>XOM US Equity</stp>
        <stp>NON_CUR_LIAB</stp>
        <stp>FQ2 1996</stp>
        <stp>FQ2 1996</stp>
        <stp>[FA1_ftkzu3fn.xlsx]Bal Sheet - Standardized!R36C28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36" s="3"/>
      </tp>
      <tp t="s">
        <v>—</v>
        <stp/>
        <stp>##V3_BDHV12</stp>
        <stp>XOM US Equity</stp>
        <stp>FREE_CASH_FLOW_PER_SH</stp>
        <stp>FQ1 1990</stp>
        <stp>FQ1 1990</stp>
        <stp>[FA1_ftkzu3fn.xlsx]Cash Flow - Standardized!R43C3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43" s="4"/>
      </tp>
      <tp t="s">
        <v>—</v>
        <stp/>
        <stp>##V3_BDHV12</stp>
        <stp>XOM US Equity</stp>
        <stp>FREE_CASH_FLOW_PER_SH</stp>
        <stp>FQ4 1990</stp>
        <stp>FQ4 1990</stp>
        <stp>[FA1_ftkzu3fn.xlsx]Cash Flow - Standardized!R43C6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43" s="4"/>
      </tp>
      <tp>
        <v>1261</v>
        <stp/>
        <stp>##V3_BDHV12</stp>
        <stp>XOM US Equity</stp>
        <stp>EARN_FOR_COMMON</stp>
        <stp>FQ1 1990</stp>
        <stp>FQ1 1990</stp>
        <stp>[FA1_ftkzu3fn.xlsx]Income - Adjusted!R22C3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C22" s="2"/>
      </tp>
      <tp>
        <v>1537</v>
        <stp/>
        <stp>##V3_BDHV12</stp>
        <stp>XOM US Equity</stp>
        <stp>EARN_FOR_COMMON</stp>
        <stp>FQ4 1990</stp>
        <stp>FQ4 1990</stp>
        <stp>[FA1_ftkzu3fn.xlsx]Income - Adjusted!R22C6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F22" s="2"/>
      </tp>
      <tp t="s">
        <v>—</v>
        <stp/>
        <stp>##V3_BDHV12</stp>
        <stp>XOM US Equity</stp>
        <stp>CFF_ACTIVITIES_DETAILED</stp>
        <stp>FQ3 1992</stp>
        <stp>FQ3 1992</stp>
        <stp>[FA1_ftkzu3fn.xlsx]Cash Flow - Standardized!R31C13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31" s="4"/>
      </tp>
      <tp>
        <v>0.20499999999999999</v>
        <stp/>
        <stp>##V3_BDHV12</stp>
        <stp>XOM US Equity</stp>
        <stp>EQY_DPS</stp>
        <stp>FQ3 1997</stp>
        <stp>FQ3 1997</stp>
        <stp>[FA1_ftkzu3fn.xlsx]Per Share!R20C33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20" s="5"/>
      </tp>
      <tp>
        <v>0.18</v>
        <stp/>
        <stp>##V3_BDHV12</stp>
        <stp>XOM US Equity</stp>
        <stp>EQY_DPS</stp>
        <stp>FQ3 1993</stp>
        <stp>FQ3 1993</stp>
        <stp>[FA1_ftkzu3fn.xlsx]Per Share!R20C17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20" s="5"/>
      </tp>
      <tp>
        <v>0.18</v>
        <stp/>
        <stp>##V3_BDHV12</stp>
        <stp>XOM US Equity</stp>
        <stp>EQY_DPS</stp>
        <stp>FQ2 1994</stp>
        <stp>FQ2 1994</stp>
        <stp>[FA1_ftkzu3fn.xlsx]Per Share!R20C20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20" s="5"/>
      </tp>
      <tp t="s">
        <v>—</v>
        <stp/>
        <stp>##V3_BDHV12</stp>
        <stp>XOM US Equity</stp>
        <stp>INVTRY_FINISHED_GOODS</stp>
        <stp>FQ3 1991</stp>
        <stp>FQ3 1991</stp>
        <stp>[FA1_ftkzu3fn.xlsx]Bal Sheet - Standardized!R14C9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4" s="3"/>
      </tp>
      <tp t="s">
        <v>—</v>
        <stp/>
        <stp>##V3_BDHV12</stp>
        <stp>XOM US Equity</stp>
        <stp>INVTRY_FINISHED_GOODS</stp>
        <stp>FQ2 1991</stp>
        <stp>FQ2 1991</stp>
        <stp>[FA1_ftkzu3fn.xlsx]Bal Sheet - Standardized!R14C8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4" s="3"/>
      </tp>
      <tp>
        <v>-1108</v>
        <stp/>
        <stp>##V3_BDHV12</stp>
        <stp>XOM US Equity</stp>
        <stp>CFF_ACTIVITIES_DETAILED</stp>
        <stp>FQ1 1997</stp>
        <stp>FQ1 1997</stp>
        <stp>[FA1_ftkzu3fn.xlsx]Cash Flow - Standardized!R31C31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31" s="4"/>
      </tp>
      <tp t="s">
        <v>—</v>
        <stp/>
        <stp>##V3_BDHV12</stp>
        <stp>XOM US Equity</stp>
        <stp>CFF_ACTIVITIES_DETAILED</stp>
        <stp>FQ3 1993</stp>
        <stp>FQ3 1993</stp>
        <stp>[FA1_ftkzu3fn.xlsx]Cash Flow - Standardized!R31C17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31" s="4"/>
      </tp>
      <tp t="s">
        <v>—</v>
        <stp/>
        <stp>##V3_BDHV12</stp>
        <stp>XOM US Equity</stp>
        <stp>INVTRY_FINISHED_GOODS</stp>
        <stp>FQ1 1990</stp>
        <stp>FQ1 1990</stp>
        <stp>[FA1_ftkzu3fn.xlsx]Bal Sheet - Standardized!R14C3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4" s="3"/>
      </tp>
      <tp t="s">
        <v>—</v>
        <stp/>
        <stp>##V3_BDHV12</stp>
        <stp>XOM US Equity</stp>
        <stp>INVTRY_FINISHED_GOODS</stp>
        <stp>FQ4 1990</stp>
        <stp>FQ4 1990</stp>
        <stp>[FA1_ftkzu3fn.xlsx]Bal Sheet - Standardized!R14C6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4" s="3"/>
      </tp>
      <tp t="s">
        <v>—</v>
        <stp/>
        <stp>##V3_BDHV12</stp>
        <stp>XOM US Equity</stp>
        <stp>INVTRY_FINISHED_GOODS</stp>
        <stp>FQ1 1991</stp>
        <stp>FQ1 1991</stp>
        <stp>[FA1_ftkzu3fn.xlsx]Bal Sheet - Standardized!R14C7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4" s="3"/>
      </tp>
      <tp t="s">
        <v>—</v>
        <stp/>
        <stp>##V3_BDHV12</stp>
        <stp>XOM US Equity</stp>
        <stp>INVTRY_FINISHED_GOODS</stp>
        <stp>FQ2 1990</stp>
        <stp>FQ2 1990</stp>
        <stp>[FA1_ftkzu3fn.xlsx]Bal Sheet - Standardized!R14C4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4" s="3"/>
      </tp>
      <tp t="s">
        <v>—</v>
        <stp/>
        <stp>##V3_BDHV12</stp>
        <stp>XOM US Equity</stp>
        <stp>INVTRY_FINISHED_GOODS</stp>
        <stp>FQ3 1990</stp>
        <stp>FQ3 1990</stp>
        <stp>[FA1_ftkzu3fn.xlsx]Bal Sheet - Standardized!R14C5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4" s="3"/>
      </tp>
      <tp>
        <v>-2103</v>
        <stp/>
        <stp>##V3_BDHV12</stp>
        <stp>XOM US Equity</stp>
        <stp>CFF_ACTIVITIES_DETAILED</stp>
        <stp>FQ1 1998</stp>
        <stp>FQ1 1998</stp>
        <stp>[FA1_ftkzu3fn.xlsx]Cash Flow - Standardized!R31C35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31" s="4"/>
      </tp>
      <tp>
        <v>3089</v>
        <stp/>
        <stp>##V3_BDHV12</stp>
        <stp>XOM US Equity</stp>
        <stp>EBITDA</stp>
        <stp>FQ3 1992</stp>
        <stp>FQ3 1992</stp>
        <stp>[FA1_ftkzu3fn.xlsx]Cash Flow - Standardized!R38C13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M38" s="4"/>
      </tp>
      <tp>
        <v>2529</v>
        <stp/>
        <stp>##V3_BDHV12</stp>
        <stp>XOM US Equity</stp>
        <stp>EBITDA</stp>
        <stp>FQ2 1992</stp>
        <stp>FQ2 1992</stp>
        <stp>[FA1_ftkzu3fn.xlsx]Cash Flow - Standardized!R38C12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L38" s="4"/>
      </tp>
      <tp>
        <v>3086</v>
        <stp/>
        <stp>##V3_BDHV12</stp>
        <stp>XOM US Equity</stp>
        <stp>EBITDA</stp>
        <stp>FQ1 1992</stp>
        <stp>FQ1 1992</stp>
        <stp>[FA1_ftkzu3fn.xlsx]Cash Flow - Standardized!R38C11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K38" s="4"/>
      </tp>
      <tp>
        <v>6448</v>
        <stp/>
        <stp>##V3_BDHV12</stp>
        <stp>XOM US Equity</stp>
        <stp>EBITDA</stp>
        <stp>FQ4 1992</stp>
        <stp>FQ4 1992</stp>
        <stp>[FA1_ftkzu3fn.xlsx]Cash Flow - Standardized!R38C14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N38" s="4"/>
      </tp>
      <tp>
        <v>9579</v>
        <stp/>
        <stp>##V3_BDHV12</stp>
        <stp>XOM US Equity</stp>
        <stp>EBITDA</stp>
        <stp>FQ4 1996</stp>
        <stp>FQ4 1996</stp>
        <stp>[FA1_ftkzu3fn.xlsx]Cash Flow - Standardized!R38C30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D38" s="4"/>
      </tp>
      <tp>
        <v>7469</v>
        <stp/>
        <stp>##V3_BDHV12</stp>
        <stp>XOM US Equity</stp>
        <stp>EBITDA</stp>
        <stp>FQ4 1994</stp>
        <stp>FQ4 1994</stp>
        <stp>[FA1_ftkzu3fn.xlsx]Cash Flow - Standardized!R38C22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V38" s="4"/>
      </tp>
      <tp t="s">
        <v>—</v>
        <stp/>
        <stp>##V3_BDHV12</stp>
        <stp>XOM US Equity</stp>
        <stp>CF_FREE_CASH_FLOW_FIRM</stp>
        <stp>FQ4 1993</stp>
        <stp>FQ4 1993</stp>
        <stp>[FA1_ftkzu3fn.xlsx]Cash Flow - Standardized!R41C18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R41" s="4"/>
      </tp>
      <tp>
        <v>2661</v>
        <stp/>
        <stp>##V3_BDHV12</stp>
        <stp>XOM US Equity</stp>
        <stp>CF_CASH_FROM_OPER</stp>
        <stp>FQ4 1997</stp>
        <stp>FQ4 1997</stp>
        <stp>[FA1_ftkzu3fn.xlsx]Cash Flow - Standardized!R13C34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13" s="4"/>
      </tp>
      <tp>
        <v>2962</v>
        <stp/>
        <stp>##V3_BDHV12</stp>
        <stp>XOM US Equity</stp>
        <stp>CF_CASH_FROM_OPER</stp>
        <stp>FQ4 1996</stp>
        <stp>FQ4 1996</stp>
        <stp>[FA1_ftkzu3fn.xlsx]Cash Flow - Standardized!R13C30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13" s="4"/>
      </tp>
      <tp>
        <v>0.2525</v>
        <stp/>
        <stp>##V3_BDHV12</stp>
        <stp>XOM US Equity</stp>
        <stp>IS_EARN_BEF_XO_ITEMS_PER_SH</stp>
        <stp>FQ1 1990</stp>
        <stp>FQ1 1990</stp>
        <stp>[FA1_ftkzu3fn.xlsx]Income - Adjusted!R29C3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29" s="2"/>
      </tp>
      <tp>
        <v>0.3075</v>
        <stp/>
        <stp>##V3_BDHV12</stp>
        <stp>XOM US Equity</stp>
        <stp>IS_EARN_BEF_XO_ITEMS_PER_SH</stp>
        <stp>FQ4 1990</stp>
        <stp>FQ4 1990</stp>
        <stp>[FA1_ftkzu3fn.xlsx]Income - Adjusted!R29C6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29" s="2"/>
      </tp>
      <tp>
        <v>0.62709999999999999</v>
        <stp/>
        <stp>##V3_BDHV12</stp>
        <stp>XOM US Equity</stp>
        <stp>CASH_FLOW_PER_SH</stp>
        <stp>FQ1 1998</stp>
        <stp>FQ1 1998</stp>
        <stp>[FA1_ftkzu3fn.xlsx]Per Share!R22C35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22" s="5"/>
      </tp>
      <tp>
        <v>0.47570000000000001</v>
        <stp/>
        <stp>##V3_BDHV12</stp>
        <stp>XOM US Equity</stp>
        <stp>CASH_FLOW_PER_SH</stp>
        <stp>FQ1 1994</stp>
        <stp>FQ1 1994</stp>
        <stp>[FA1_ftkzu3fn.xlsx]Per Share!R22C19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22" s="5"/>
      </tp>
      <tp>
        <v>0.22500000000000001</v>
        <stp/>
        <stp>##V3_BDHV12</stp>
        <stp>XOM US Equity</stp>
        <stp>IS_DILUTED_EPS</stp>
        <stp>FQ2 1991</stp>
        <stp>FQ2 1991</stp>
        <stp>[FA1_ftkzu3fn.xlsx]Income - Adjusted!R33C8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H33" s="2"/>
      </tp>
      <tp>
        <v>0.22</v>
        <stp/>
        <stp>##V3_BDHV12</stp>
        <stp>XOM US Equity</stp>
        <stp>IS_DILUTED_EPS</stp>
        <stp>FQ3 1991</stp>
        <stp>FQ3 1991</stp>
        <stp>[FA1_ftkzu3fn.xlsx]Income - Adjusted!R33C9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I33" s="2"/>
      </tp>
      <tp>
        <v>0.44500000000000001</v>
        <stp/>
        <stp>##V3_BDHV12</stp>
        <stp>XOM US Equity</stp>
        <stp>IS_DILUTED_EPS</stp>
        <stp>FQ1 1991</stp>
        <stp>FQ1 1991</stp>
        <stp>[FA1_ftkzu3fn.xlsx]Income - Adjusted!R33C7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G33" s="2"/>
      </tp>
      <tp>
        <v>2362</v>
        <stp/>
        <stp>##V3_BDHV12</stp>
        <stp>XOM US Equity</stp>
        <stp>OTHER_CURRENT_LIABS_DETAILED</stp>
        <stp>FQ1 1993</stp>
        <stp>FQ1 1993</stp>
        <stp>[FA1_ftkzu3fn.xlsx]Bal Sheet - Standardized!R31C15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31" s="3"/>
      </tp>
      <tp>
        <v>2637</v>
        <stp/>
        <stp>##V3_BDHV12</stp>
        <stp>XOM US Equity</stp>
        <stp>OTHER_CURRENT_LIABS_DETAILED</stp>
        <stp>FQ3 1997</stp>
        <stp>FQ3 1997</stp>
        <stp>[FA1_ftkzu3fn.xlsx]Bal Sheet - Standardized!R31C33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31" s="3"/>
      </tp>
      <tp>
        <v>2044</v>
        <stp/>
        <stp>##V3_BDHV12</stp>
        <stp>XOM US Equity</stp>
        <stp>OTHER_CURRENT_LIABS_DETAILED</stp>
        <stp>FQ2 1994</stp>
        <stp>FQ2 1994</stp>
        <stp>[FA1_ftkzu3fn.xlsx]Bal Sheet - Standardized!R31C20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31" s="3"/>
      </tp>
      <tp>
        <v>2403</v>
        <stp/>
        <stp>##V3_BDHV12</stp>
        <stp>XOM US Equity</stp>
        <stp>OTHER_CURRENT_LIABS_DETAILED</stp>
        <stp>FQ2 1995</stp>
        <stp>FQ2 1995</stp>
        <stp>[FA1_ftkzu3fn.xlsx]Bal Sheet - Standardized!R31C24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31" s="3"/>
      </tp>
      <tp>
        <v>2205</v>
        <stp/>
        <stp>##V3_BDHV12</stp>
        <stp>XOM US Equity</stp>
        <stp>OTHER_CURRENT_LIABS_DETAILED</stp>
        <stp>FQ1 1992</stp>
        <stp>FQ1 1992</stp>
        <stp>[FA1_ftkzu3fn.xlsx]Bal Sheet - Standardized!R31C11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31" s="3"/>
      </tp>
      <tp>
        <v>2225</v>
        <stp/>
        <stp>##V3_BDHV12</stp>
        <stp>XOM US Equity</stp>
        <stp>OTHER_CURRENT_LIABS_DETAILED</stp>
        <stp>FQ1 1994</stp>
        <stp>FQ1 1994</stp>
        <stp>[FA1_ftkzu3fn.xlsx]Bal Sheet - Standardized!R31C19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31" s="3"/>
      </tp>
      <tp>
        <v>2859</v>
        <stp/>
        <stp>##V3_BDHV12</stp>
        <stp>XOM US Equity</stp>
        <stp>OTHER_CURRENT_LIABS_DETAILED</stp>
        <stp>FQ2 1996</stp>
        <stp>FQ2 1996</stp>
        <stp>[FA1_ftkzu3fn.xlsx]Bal Sheet - Standardized!R31C28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31" s="3"/>
      </tp>
      <tp t="s">
        <v>—</v>
        <stp/>
        <stp>##V3_BDHV12</stp>
        <stp>XOM US Equity</stp>
        <stp>FREE_CASH_FLOW_PER_SH</stp>
        <stp>FQ4 1993</stp>
        <stp>FQ4 1993</stp>
        <stp>[FA1_ftkzu3fn.xlsx]Cash Flow - Standardized!R43C18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43" s="4"/>
      </tp>
      <tp>
        <v>0.38500000000000001</v>
        <stp/>
        <stp>##V3_BDHV12</stp>
        <stp>XOM US Equity</stp>
        <stp>IS_BASIC_EPS_CONT_OPS</stp>
        <stp>FQ1 1998</stp>
        <stp>FQ1 1998</stp>
        <stp>[FA1_ftkzu3fn.xlsx]Income - Adjusted!R30C35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30" s="2"/>
      </tp>
      <tp>
        <v>0.23</v>
        <stp/>
        <stp>##V3_BDHV12</stp>
        <stp>XOM US Equity</stp>
        <stp>IS_BASIC_EPS_CONT_OPS</stp>
        <stp>FQ1 1994</stp>
        <stp>FQ1 1994</stp>
        <stp>[FA1_ftkzu3fn.xlsx]Income - Adjusted!R30C19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30" s="2"/>
      </tp>
      <tp>
        <v>3681</v>
        <stp/>
        <stp>##V3_BDHV12</stp>
        <stp>XOM US Equity</stp>
        <stp>EBITDA</stp>
        <stp>FQ2 1995</stp>
        <stp>FQ2 1995</stp>
        <stp>[FA1_ftkzu3fn.xlsx]Cash Flow - Standardized!R38C24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X38" s="4"/>
      </tp>
      <tp>
        <v>3715</v>
        <stp/>
        <stp>##V3_BDHV12</stp>
        <stp>XOM US Equity</stp>
        <stp>EBITDA</stp>
        <stp>FQ3 1995</stp>
        <stp>FQ3 1995</stp>
        <stp>[FA1_ftkzu3fn.xlsx]Cash Flow - Standardized!R38C25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Y38" s="4"/>
      </tp>
      <tp t="s">
        <v>—</v>
        <stp/>
        <stp>##V3_BDHV12</stp>
        <stp>XOM US Equity</stp>
        <stp>EQY_DPS</stp>
        <stp>FQ1 1992</stp>
        <stp>FQ1 1992</stp>
        <stp>[FA1_ftkzu3fn.xlsx]Income - Adjusted!R46C11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46" s="2"/>
      </tp>
      <tp>
        <v>0.20499999999999999</v>
        <stp/>
        <stp>##V3_BDHV12</stp>
        <stp>XOM US Equity</stp>
        <stp>EQY_DPS</stp>
        <stp>FQ4 1997</stp>
        <stp>FQ4 1997</stp>
        <stp>[FA1_ftkzu3fn.xlsx]Income - Adjusted!R46C34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46" s="2"/>
      </tp>
      <tp>
        <v>0.1875</v>
        <stp/>
        <stp>##V3_BDHV12</stp>
        <stp>XOM US Equity</stp>
        <stp>EQY_DPS</stp>
        <stp>FQ4 1995</stp>
        <stp>FQ4 1995</stp>
        <stp>[FA1_ftkzu3fn.xlsx]Income - Adjusted!R46C26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46" s="2"/>
      </tp>
      <tp>
        <v>3573</v>
        <stp/>
        <stp>##V3_BDHV12</stp>
        <stp>XOM US Equity</stp>
        <stp>CF_CASH_FROM_OPER</stp>
        <stp>FQ4 1995</stp>
        <stp>FQ4 1995</stp>
        <stp>[FA1_ftkzu3fn.xlsx]Cash Flow - Standardized!R13C26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13" s="4"/>
      </tp>
      <tp>
        <v>2750</v>
        <stp/>
        <stp>##V3_BDHV12</stp>
        <stp>XOM US Equity</stp>
        <stp>CF_CASH_FROM_OPER</stp>
        <stp>FQ4 1994</stp>
        <stp>FQ4 1994</stp>
        <stp>[FA1_ftkzu3fn.xlsx]Cash Flow - Standardized!R13C22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13" s="4"/>
      </tp>
      <tp t="s">
        <v>—</v>
        <stp/>
        <stp>##V3_BDHV12</stp>
        <stp>XOM US Equity</stp>
        <stp>NUM_OF_EMPLOYEES</stp>
        <stp>FQ3 1990</stp>
        <stp>FQ3 1990</stp>
        <stp>[FA1_ftkzu3fn.xlsx]Bal Sheet - Standardized!R55C5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55" s="3"/>
      </tp>
      <tp t="s">
        <v>—</v>
        <stp/>
        <stp>##V3_BDHV12</stp>
        <stp>XOM US Equity</stp>
        <stp>NUM_OF_EMPLOYEES</stp>
        <stp>FQ2 1990</stp>
        <stp>FQ2 1990</stp>
        <stp>[FA1_ftkzu3fn.xlsx]Bal Sheet - Standardized!R55C4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55" s="3"/>
      </tp>
      <tp t="s">
        <v>—</v>
        <stp/>
        <stp>##V3_BDHV12</stp>
        <stp>XOM US Equity</stp>
        <stp>NUM_OF_EMPLOYEES</stp>
        <stp>FQ1 1991</stp>
        <stp>FQ1 1991</stp>
        <stp>[FA1_ftkzu3fn.xlsx]Bal Sheet - Standardized!R55C7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55" s="3"/>
      </tp>
      <tp>
        <v>0.2175</v>
        <stp/>
        <stp>##V3_BDHV12</stp>
        <stp>XOM US Equity</stp>
        <stp>IS_DILUTED_EPS</stp>
        <stp>FQ2 1990</stp>
        <stp>FQ2 1990</stp>
        <stp>[FA1_ftkzu3fn.xlsx]Income - Adjusted!R33C4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D33" s="2"/>
      </tp>
      <tp>
        <v>0.21249999999999999</v>
        <stp/>
        <stp>##V3_BDHV12</stp>
        <stp>XOM US Equity</stp>
        <stp>IS_DILUTED_EPS</stp>
        <stp>FQ3 1990</stp>
        <stp>FQ3 1990</stp>
        <stp>[FA1_ftkzu3fn.xlsx]Income - Adjusted!R33C5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E33" s="2"/>
      </tp>
      <tp>
        <v>0.2525</v>
        <stp/>
        <stp>##V3_BDHV12</stp>
        <stp>XOM US Equity</stp>
        <stp>IS_DILUTED_EPS</stp>
        <stp>FQ1 1990</stp>
        <stp>FQ1 1990</stp>
        <stp>[FA1_ftkzu3fn.xlsx]Income - Adjusted!R33C3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C33" s="2"/>
      </tp>
      <tp>
        <v>0.3075</v>
        <stp/>
        <stp>##V3_BDHV12</stp>
        <stp>XOM US Equity</stp>
        <stp>IS_DILUTED_EPS</stp>
        <stp>FQ4 1990</stp>
        <stp>FQ4 1990</stp>
        <stp>[FA1_ftkzu3fn.xlsx]Income - Adjusted!R33C6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F33" s="2"/>
      </tp>
      <tp>
        <v>2398</v>
        <stp/>
        <stp>##V3_BDHV12</stp>
        <stp>XOM US Equity</stp>
        <stp>OTHER_CURRENT_LIABS_DETAILED</stp>
        <stp>FQ2 1997</stp>
        <stp>FQ2 1997</stp>
        <stp>[FA1_ftkzu3fn.xlsx]Bal Sheet - Standardized!R31C32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31" s="3"/>
      </tp>
      <tp>
        <v>2226</v>
        <stp/>
        <stp>##V3_BDHV12</stp>
        <stp>XOM US Equity</stp>
        <stp>OTHER_CURRENT_LIABS_DETAILED</stp>
        <stp>FQ3 1994</stp>
        <stp>FQ3 1994</stp>
        <stp>[FA1_ftkzu3fn.xlsx]Bal Sheet - Standardized!R31C21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31" s="3"/>
      </tp>
      <tp>
        <v>2477</v>
        <stp/>
        <stp>##V3_BDHV12</stp>
        <stp>XOM US Equity</stp>
        <stp>OTHER_CURRENT_LIABS_DETAILED</stp>
        <stp>FQ3 1995</stp>
        <stp>FQ3 1995</stp>
        <stp>[FA1_ftkzu3fn.xlsx]Bal Sheet - Standardized!R31C25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31" s="3"/>
      </tp>
      <tp>
        <v>1695</v>
        <stp/>
        <stp>##V3_BDHV12</stp>
        <stp>XOM US Equity</stp>
        <stp>OTHER_CURRENT_LIABS_DETAILED</stp>
        <stp>FQ2 1998</stp>
        <stp>FQ2 1998</stp>
        <stp>[FA1_ftkzu3fn.xlsx]Bal Sheet - Standardized!R31C36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31" s="3"/>
      </tp>
      <tp>
        <v>2959</v>
        <stp/>
        <stp>##V3_BDHV12</stp>
        <stp>XOM US Equity</stp>
        <stp>OTHER_CURRENT_LIABS_DETAILED</stp>
        <stp>FQ3 1996</stp>
        <stp>FQ3 1996</stp>
        <stp>[FA1_ftkzu3fn.xlsx]Bal Sheet - Standardized!R31C29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31" s="3"/>
      </tp>
      <tp>
        <v>6.6436999999999999</v>
        <stp/>
        <stp>##V3_BDHV12</stp>
        <stp>XOM US Equity</stp>
        <stp>BOOK_VAL_PER_SH</stp>
        <stp>FQ4 1992</stp>
        <stp>FQ4 1992</stp>
        <stp>[FA1_ftkzu3fn.xlsx]Per Share!R26C14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26" s="5"/>
      </tp>
      <tp>
        <v>7.4196999999999997</v>
        <stp/>
        <stp>##V3_BDHV12</stp>
        <stp>XOM US Equity</stp>
        <stp>BOOK_VAL_PER_SH</stp>
        <stp>FQ4 1994</stp>
        <stp>FQ4 1994</stp>
        <stp>[FA1_ftkzu3fn.xlsx]Per Share!R26C22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26" s="5"/>
      </tp>
      <tp>
        <v>8.7022999999999993</v>
        <stp/>
        <stp>##V3_BDHV12</stp>
        <stp>XOM US Equity</stp>
        <stp>BOOK_VAL_PER_SH</stp>
        <stp>FQ4 1996</stp>
        <stp>FQ4 1996</stp>
        <stp>[FA1_ftkzu3fn.xlsx]Per Share!R26C30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26" s="5"/>
      </tp>
      <tp>
        <v>7.9043999999999999</v>
        <stp/>
        <stp>##V3_BDHV12</stp>
        <stp>XOM US Equity</stp>
        <stp>BOOK_VAL_PER_SH</stp>
        <stp>FQ1 1995</stp>
        <stp>FQ1 1995</stp>
        <stp>[FA1_ftkzu3fn.xlsx]Per Share!R26C23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26" s="5"/>
      </tp>
      <tp>
        <v>8.7364999999999995</v>
        <stp/>
        <stp>##V3_BDHV12</stp>
        <stp>XOM US Equity</stp>
        <stp>BOOK_VAL_PER_SH</stp>
        <stp>FQ1 1997</stp>
        <stp>FQ1 1997</stp>
        <stp>[FA1_ftkzu3fn.xlsx]Per Share!R26C31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26" s="5"/>
      </tp>
      <tp>
        <v>6.7172000000000001</v>
        <stp/>
        <stp>##V3_BDHV12</stp>
        <stp>XOM US Equity</stp>
        <stp>BOOK_VAL_PER_SH</stp>
        <stp>FQ1 1993</stp>
        <stp>FQ1 1993</stp>
        <stp>[FA1_ftkzu3fn.xlsx]Per Share!R26C15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26" s="5"/>
      </tp>
      <tp t="s">
        <v>—</v>
        <stp/>
        <stp>##V3_BDHV12</stp>
        <stp>XOM US Equity</stp>
        <stp>BS_ACCUM_DEPR</stp>
        <stp>FQ2 1991</stp>
        <stp>FQ2 1991</stp>
        <stp>[FA1_ftkzu3fn.xlsx]Bal Sheet - Standardized!R19C8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9" s="3"/>
      </tp>
      <tp t="s">
        <v>—</v>
        <stp/>
        <stp>##V3_BDHV12</stp>
        <stp>XOM US Equity</stp>
        <stp>BS_ACCUM_DEPR</stp>
        <stp>FQ3 1991</stp>
        <stp>FQ3 1991</stp>
        <stp>[FA1_ftkzu3fn.xlsx]Bal Sheet - Standardized!R19C9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9" s="3"/>
      </tp>
      <tp>
        <v>44911</v>
        <stp/>
        <stp>##V3_BDHV12</stp>
        <stp>XOM US Equity</stp>
        <stp>BS_ACCUM_DEPR</stp>
        <stp>FQ4 1990</stp>
        <stp>FQ4 1990</stp>
        <stp>[FA1_ftkzu3fn.xlsx]Bal Sheet - Standardized!R19C6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9" s="3"/>
      </tp>
      <tp t="s">
        <v>—</v>
        <stp/>
        <stp>##V3_BDHV12</stp>
        <stp>XOM US Equity</stp>
        <stp>BS_ACCUM_DEPR</stp>
        <stp>FQ1 1990</stp>
        <stp>FQ1 1990</stp>
        <stp>[FA1_ftkzu3fn.xlsx]Bal Sheet - Standardized!R19C3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9" s="3"/>
      </tp>
      <tp>
        <v>4966</v>
        <stp/>
        <stp>##V3_BDHV12</stp>
        <stp>XOM US Equity</stp>
        <stp>IS_SH_FOR_DILUTED_EPS</stp>
        <stp>FQ4 1992</stp>
        <stp>FQ4 1992</stp>
        <stp>[FA1_ftkzu3fn.xlsx]Income - Adjusted!R32C14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32" s="2"/>
      </tp>
      <tp>
        <v>4968</v>
        <stp/>
        <stp>##V3_BDHV12</stp>
        <stp>XOM US Equity</stp>
        <stp>IS_SH_FOR_DILUTED_EPS</stp>
        <stp>FQ4 1996</stp>
        <stp>FQ4 1996</stp>
        <stp>[FA1_ftkzu3fn.xlsx]Income - Adjusted!R32C30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32" s="2"/>
      </tp>
      <tp>
        <v>4966.7997999999998</v>
        <stp/>
        <stp>##V3_BDHV12</stp>
        <stp>XOM US Equity</stp>
        <stp>IS_SH_FOR_DILUTED_EPS</stp>
        <stp>FQ4 1994</stp>
        <stp>FQ4 1994</stp>
        <stp>[FA1_ftkzu3fn.xlsx]Income - Adjusted!R32C22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32" s="2"/>
      </tp>
      <tp>
        <v>5034</v>
        <stp/>
        <stp>##V3_BDHV12</stp>
        <stp>XOM US Equity</stp>
        <stp>IS_SH_FOR_DILUTED_EPS</stp>
        <stp>FQ1 1997</stp>
        <stp>FQ1 1997</stp>
        <stp>[FA1_ftkzu3fn.xlsx]Income - Adjusted!R32C31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32" s="2"/>
      </tp>
      <tp>
        <v>4967.6000999999997</v>
        <stp/>
        <stp>##V3_BDHV12</stp>
        <stp>XOM US Equity</stp>
        <stp>IS_SH_FOR_DILUTED_EPS</stp>
        <stp>FQ1 1995</stp>
        <stp>FQ1 1995</stp>
        <stp>[FA1_ftkzu3fn.xlsx]Income - Adjusted!R32C23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32" s="2"/>
      </tp>
      <tp>
        <v>4966.7440999999999</v>
        <stp/>
        <stp>##V3_BDHV12</stp>
        <stp>XOM US Equity</stp>
        <stp>IS_SH_FOR_DILUTED_EPS</stp>
        <stp>FQ1 1993</stp>
        <stp>FQ1 1993</stp>
        <stp>[FA1_ftkzu3fn.xlsx]Income - Adjusted!R32C15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32" s="2"/>
      </tp>
      <tp t="s">
        <v>—</v>
        <stp/>
        <stp>##V3_BDHV12</stp>
        <stp>XOM US Equity</stp>
        <stp>BS_ACCUM_DEPR</stp>
        <stp>FQ3 1990</stp>
        <stp>FQ3 1990</stp>
        <stp>[FA1_ftkzu3fn.xlsx]Bal Sheet - Standardized!R19C5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9" s="3"/>
      </tp>
      <tp t="s">
        <v>—</v>
        <stp/>
        <stp>##V3_BDHV12</stp>
        <stp>XOM US Equity</stp>
        <stp>BS_ACCUM_DEPR</stp>
        <stp>FQ2 1990</stp>
        <stp>FQ2 1990</stp>
        <stp>[FA1_ftkzu3fn.xlsx]Bal Sheet - Standardized!R19C4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9" s="3"/>
      </tp>
      <tp t="s">
        <v>—</v>
        <stp/>
        <stp>##V3_BDHV12</stp>
        <stp>XOM US Equity</stp>
        <stp>BS_ACCUM_DEPR</stp>
        <stp>FQ1 1991</stp>
        <stp>FQ1 1991</stp>
        <stp>[FA1_ftkzu3fn.xlsx]Bal Sheet - Standardized!R19C7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9" s="3"/>
      </tp>
      <tp>
        <v>3697</v>
        <stp/>
        <stp>##V3_BDHV12</stp>
        <stp>XOM US Equity</stp>
        <stp>EBITDA</stp>
        <stp>FQ1 1996</stp>
        <stp>FQ1 1996</stp>
        <stp>[FA1_ftkzu3fn.xlsx]Cash Flow - Standardized!R38C27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A38" s="4"/>
      </tp>
      <tp>
        <v>0.1875</v>
        <stp/>
        <stp>##V3_BDHV12</stp>
        <stp>XOM US Equity</stp>
        <stp>EQY_DPS</stp>
        <stp>FQ3 1995</stp>
        <stp>FQ3 1995</stp>
        <stp>[FA1_ftkzu3fn.xlsx]Income - Adjusted!R46C25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46" s="2"/>
      </tp>
      <tp t="s">
        <v>—</v>
        <stp/>
        <stp>##V3_BDHV12</stp>
        <stp>XOM US Equity</stp>
        <stp>EQY_DPS</stp>
        <stp>FQ2 1992</stp>
        <stp>FQ2 1992</stp>
        <stp>[FA1_ftkzu3fn.xlsx]Income - Adjusted!R46C12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46" s="2"/>
      </tp>
      <tp>
        <v>3026</v>
        <stp/>
        <stp>##V3_BDHV12</stp>
        <stp>XOM US Equity</stp>
        <stp>CF_CASH_FROM_OPER</stp>
        <stp>FQ4 1993</stp>
        <stp>FQ4 1993</stp>
        <stp>[FA1_ftkzu3fn.xlsx]Cash Flow - Standardized!R13C18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13" s="4"/>
      </tp>
      <tp>
        <v>2800</v>
        <stp/>
        <stp>##V3_BDHV12</stp>
        <stp>XOM US Equity</stp>
        <stp>CF_CASH_FROM_OPER</stp>
        <stp>FQ4 1991</stp>
        <stp>FQ4 1991</stp>
        <stp>[FA1_ftkzu3fn.xlsx]Cash Flow - Standardized!R13C10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13" s="4"/>
      </tp>
      <tp>
        <v>2784</v>
        <stp/>
        <stp>##V3_BDHV12</stp>
        <stp>XOM US Equity</stp>
        <stp>CF_CASH_FROM_OPER</stp>
        <stp>FQ4 1992</stp>
        <stp>FQ4 1992</stp>
        <stp>[FA1_ftkzu3fn.xlsx]Cash Flow - Standardized!R13C14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13" s="4"/>
      </tp>
      <tp>
        <v>0.6321</v>
        <stp/>
        <stp>##V3_BDHV12</stp>
        <stp>XOM US Equity</stp>
        <stp>CASH_FLOW_PER_SH</stp>
        <stp>FQ3 1996</stp>
        <stp>FQ3 1996</stp>
        <stp>[FA1_ftkzu3fn.xlsx]Per Share!R22C29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22" s="5"/>
      </tp>
      <tp>
        <v>2451</v>
        <stp/>
        <stp>##V3_BDHV12</stp>
        <stp>XOM US Equity</stp>
        <stp>OTHER_CURRENT_LIABS_DETAILED</stp>
        <stp>FQ3 1993</stp>
        <stp>FQ3 1993</stp>
        <stp>[FA1_ftkzu3fn.xlsx]Bal Sheet - Standardized!R31C17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31" s="3"/>
      </tp>
      <tp>
        <v>2652</v>
        <stp/>
        <stp>##V3_BDHV12</stp>
        <stp>XOM US Equity</stp>
        <stp>OTHER_CURRENT_LIABS_DETAILED</stp>
        <stp>FQ1 1997</stp>
        <stp>FQ1 1997</stp>
        <stp>[FA1_ftkzu3fn.xlsx]Bal Sheet - Standardized!R31C31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31" s="3"/>
      </tp>
      <tp>
        <v>2086</v>
        <stp/>
        <stp>##V3_BDHV12</stp>
        <stp>XOM US Equity</stp>
        <stp>OTHER_CURRENT_LIABS_DETAILED</stp>
        <stp>FQ3 1992</stp>
        <stp>FQ3 1992</stp>
        <stp>[FA1_ftkzu3fn.xlsx]Bal Sheet - Standardized!R31C13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31" s="3"/>
      </tp>
      <tp>
        <v>2250</v>
        <stp/>
        <stp>##V3_BDHV12</stp>
        <stp>XOM US Equity</stp>
        <stp>OTHER_CURRENT_LIABS_DETAILED</stp>
        <stp>FQ1 1998</stp>
        <stp>FQ1 1998</stp>
        <stp>[FA1_ftkzu3fn.xlsx]Bal Sheet - Standardized!R31C35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31" s="3"/>
      </tp>
      <tp>
        <v>993</v>
        <stp/>
        <stp>##V3_BDHV12</stp>
        <stp>XOM US Equity</stp>
        <stp>OTHER_CURRENT_ASSETS_DETAILED</stp>
        <stp>FQ1 1991</stp>
        <stp>FQ1 1991</stp>
        <stp>[FA1_ftkzu3fn.xlsx]Bal Sheet - Standardized!R15C7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5" s="3"/>
      </tp>
      <tp>
        <v>1255</v>
        <stp/>
        <stp>##V3_BDHV12</stp>
        <stp>XOM US Equity</stp>
        <stp>OTHER_CURRENT_ASSETS_DETAILED</stp>
        <stp>FQ3 1990</stp>
        <stp>FQ3 1990</stp>
        <stp>[FA1_ftkzu3fn.xlsx]Bal Sheet - Standardized!R15C5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5" s="3"/>
      </tp>
      <tp>
        <v>1252</v>
        <stp/>
        <stp>##V3_BDHV12</stp>
        <stp>XOM US Equity</stp>
        <stp>OTHER_CURRENT_ASSETS_DETAILED</stp>
        <stp>FQ2 1990</stp>
        <stp>FQ2 1990</stp>
        <stp>[FA1_ftkzu3fn.xlsx]Bal Sheet - Standardized!R15C4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5" s="3"/>
      </tp>
      <tp>
        <v>2526</v>
        <stp/>
        <stp>##V3_BDHV12</stp>
        <stp>XOM US Equity</stp>
        <stp>OTHER_CURRENT_ASSETS_DETAILED</stp>
        <stp>FQ4 1990</stp>
        <stp>FQ4 1990</stp>
        <stp>[FA1_ftkzu3fn.xlsx]Bal Sheet - Standardized!R15C6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5" s="3"/>
      </tp>
      <tp>
        <v>1073</v>
        <stp/>
        <stp>##V3_BDHV12</stp>
        <stp>XOM US Equity</stp>
        <stp>OTHER_CURRENT_ASSETS_DETAILED</stp>
        <stp>FQ1 1990</stp>
        <stp>FQ1 1990</stp>
        <stp>[FA1_ftkzu3fn.xlsx]Bal Sheet - Standardized!R15C3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5" s="3"/>
      </tp>
      <tp>
        <v>989</v>
        <stp/>
        <stp>##V3_BDHV12</stp>
        <stp>XOM US Equity</stp>
        <stp>OTHER_CURRENT_ASSETS_DETAILED</stp>
        <stp>FQ2 1991</stp>
        <stp>FQ2 1991</stp>
        <stp>[FA1_ftkzu3fn.xlsx]Bal Sheet - Standardized!R15C8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5" s="3"/>
      </tp>
      <tp>
        <v>869</v>
        <stp/>
        <stp>##V3_BDHV12</stp>
        <stp>XOM US Equity</stp>
        <stp>OTHER_CURRENT_ASSETS_DETAILED</stp>
        <stp>FQ3 1991</stp>
        <stp>FQ3 1991</stp>
        <stp>[FA1_ftkzu3fn.xlsx]Bal Sheet - Standardized!R15C9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5" s="3"/>
      </tp>
      <tp>
        <v>8.8103999999999996</v>
        <stp/>
        <stp>##V3_BDHV12</stp>
        <stp>XOM US Equity</stp>
        <stp>BOOK_VAL_PER_SH</stp>
        <stp>FQ2 1997</stp>
        <stp>FQ2 1997</stp>
        <stp>[FA1_ftkzu3fn.xlsx]Per Share!R26C32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26" s="5"/>
      </tp>
      <tp>
        <v>6.9138000000000002</v>
        <stp/>
        <stp>##V3_BDHV12</stp>
        <stp>XOM US Equity</stp>
        <stp>BOOK_VAL_PER_SH</stp>
        <stp>FQ2 1993</stp>
        <stp>FQ2 1993</stp>
        <stp>[FA1_ftkzu3fn.xlsx]Per Share!R26C16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26" s="5"/>
      </tp>
      <tp>
        <v>7.2328999999999999</v>
        <stp/>
        <stp>##V3_BDHV12</stp>
        <stp>XOM US Equity</stp>
        <stp>BOOK_VAL_PER_SH</stp>
        <stp>FQ3 1994</stp>
        <stp>FQ3 1994</stp>
        <stp>[FA1_ftkzu3fn.xlsx]Per Share!R26C21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26" s="5"/>
      </tp>
      <tp>
        <v>0.31</v>
        <stp/>
        <stp>##V3_BDHV12</stp>
        <stp>XOM US Equity</stp>
        <stp>IS_BASIC_EPS_CONT_OPS</stp>
        <stp>FQ3 1996</stp>
        <stp>FQ3 1996</stp>
        <stp>[FA1_ftkzu3fn.xlsx]Income - Adjusted!R30C29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30" s="2"/>
      </tp>
      <tp>
        <v>5027.5640000000003</v>
        <stp/>
        <stp>##V3_BDHV12</stp>
        <stp>XOM US Equity</stp>
        <stp>IS_SH_FOR_DILUTED_EPS</stp>
        <stp>FQ2 1997</stp>
        <stp>FQ2 1997</stp>
        <stp>[FA1_ftkzu3fn.xlsx]Income - Adjusted!R32C32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32" s="2"/>
      </tp>
      <tp>
        <v>4967.6000999999997</v>
        <stp/>
        <stp>##V3_BDHV12</stp>
        <stp>XOM US Equity</stp>
        <stp>IS_SH_FOR_DILUTED_EPS</stp>
        <stp>FQ2 1993</stp>
        <stp>FQ2 1993</stp>
        <stp>[FA1_ftkzu3fn.xlsx]Income - Adjusted!R32C16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32" s="2"/>
      </tp>
      <tp>
        <v>4965.6000999999997</v>
        <stp/>
        <stp>##V3_BDHV12</stp>
        <stp>XOM US Equity</stp>
        <stp>IS_SH_FOR_DILUTED_EPS</stp>
        <stp>FQ3 1994</stp>
        <stp>FQ3 1994</stp>
        <stp>[FA1_ftkzu3fn.xlsx]Income - Adjusted!R32C21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32" s="2"/>
      </tp>
      <tp>
        <v>0.1875</v>
        <stp/>
        <stp>##V3_BDHV12</stp>
        <stp>XOM US Equity</stp>
        <stp>EQY_DPS</stp>
        <stp>FQ1 1996</stp>
        <stp>FQ1 1996</stp>
        <stp>[FA1_ftkzu3fn.xlsx]Income - Adjusted!R46C27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46" s="2"/>
      </tp>
      <tp t="s">
        <v>—</v>
        <stp/>
        <stp>##V3_BDHV12</stp>
        <stp>XOM US Equity</stp>
        <stp>EQY_DPS</stp>
        <stp>FQ3 1992</stp>
        <stp>FQ3 1992</stp>
        <stp>[FA1_ftkzu3fn.xlsx]Income - Adjusted!R46C13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46" s="2"/>
      </tp>
      <tp>
        <v>0.1875</v>
        <stp/>
        <stp>##V3_BDHV12</stp>
        <stp>XOM US Equity</stp>
        <stp>EQY_DPS</stp>
        <stp>FQ2 1995</stp>
        <stp>FQ2 1995</stp>
        <stp>[FA1_ftkzu3fn.xlsx]Income - Adjusted!R46C24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46" s="2"/>
      </tp>
      <tp>
        <v>0.16750000000000001</v>
        <stp/>
        <stp>##V3_BDHV12</stp>
        <stp>XOM US Equity</stp>
        <stp>EQY_DPS</stp>
        <stp>FQ4 1991</stp>
        <stp>FQ4 1991</stp>
        <stp>[FA1_ftkzu3fn.xlsx]Income - Adjusted!R46C10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46" s="2"/>
      </tp>
      <tp>
        <v>1412.1996999999999</v>
        <stp/>
        <stp>##V3_BDHV12</stp>
        <stp>XOM US Equity</stp>
        <stp>CF_FREE_CASH_FLOW_FIRM</stp>
        <stp>FQ1 1998</stp>
        <stp>FQ1 1998</stp>
        <stp>[FA1_ftkzu3fn.xlsx]Cash Flow - Standardized!R41C35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I41" s="4"/>
      </tp>
      <tp>
        <v>974.74559999999997</v>
        <stp/>
        <stp>##V3_BDHV12</stp>
        <stp>XOM US Equity</stp>
        <stp>CF_FREE_CASH_FLOW_FIRM</stp>
        <stp>FQ2 1998</stp>
        <stp>FQ2 1998</stp>
        <stp>[FA1_ftkzu3fn.xlsx]Cash Flow - Standardized!R41C36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J41" s="4"/>
      </tp>
      <tp t="s">
        <v>—</v>
        <stp/>
        <stp>##V3_BDHV12</stp>
        <stp>XOM US Equity</stp>
        <stp>CF_FREE_CASH_FLOW_FIRM</stp>
        <stp>FQ1 1994</stp>
        <stp>FQ1 1994</stp>
        <stp>[FA1_ftkzu3fn.xlsx]Cash Flow - Standardized!R41C19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S41" s="4"/>
      </tp>
      <tp>
        <v>1358.4444000000001</v>
        <stp/>
        <stp>##V3_BDHV12</stp>
        <stp>XOM US Equity</stp>
        <stp>CF_FREE_CASH_FLOW_FIRM</stp>
        <stp>FQ3 1996</stp>
        <stp>FQ3 1996</stp>
        <stp>[FA1_ftkzu3fn.xlsx]Cash Flow - Standardized!R41C29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C41" s="4"/>
      </tp>
      <tp>
        <v>1219.1376</v>
        <stp/>
        <stp>##V3_BDHV12</stp>
        <stp>XOM US Equity</stp>
        <stp>CF_FREE_CASH_FLOW_FIRM</stp>
        <stp>FQ2 1996</stp>
        <stp>FQ2 1996</stp>
        <stp>[FA1_ftkzu3fn.xlsx]Cash Flow - Standardized!R41C28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B41" s="4"/>
      </tp>
      <tp>
        <v>0.60640000000000005</v>
        <stp/>
        <stp>##V3_BDHV12</stp>
        <stp>XOM US Equity</stp>
        <stp>CASH_FLOW_PER_SH</stp>
        <stp>FQ2 1998</stp>
        <stp>FQ2 1998</stp>
        <stp>[FA1_ftkzu3fn.xlsx]Per Share!R22C36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22" s="5"/>
      </tp>
      <tp>
        <v>0.60040000000000004</v>
        <stp/>
        <stp>##V3_BDHV12</stp>
        <stp>XOM US Equity</stp>
        <stp>CASH_FLOW_PER_SH</stp>
        <stp>FQ2 1996</stp>
        <stp>FQ2 1996</stp>
        <stp>[FA1_ftkzu3fn.xlsx]Per Share!R22C28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22" s="5"/>
      </tp>
      <tp>
        <v>2027</v>
        <stp/>
        <stp>##V3_BDHV12</stp>
        <stp>XOM US Equity</stp>
        <stp>OTHER_CURRENT_LIABS_DETAILED</stp>
        <stp>FQ2 1993</stp>
        <stp>FQ2 1993</stp>
        <stp>[FA1_ftkzu3fn.xlsx]Bal Sheet - Standardized!R31C16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31" s="3"/>
      </tp>
      <tp>
        <v>2459</v>
        <stp/>
        <stp>##V3_BDHV12</stp>
        <stp>XOM US Equity</stp>
        <stp>OTHER_CURRENT_LIABS_DETAILED</stp>
        <stp>FQ1 1995</stp>
        <stp>FQ1 1995</stp>
        <stp>[FA1_ftkzu3fn.xlsx]Bal Sheet - Standardized!R31C23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31" s="3"/>
      </tp>
      <tp>
        <v>1918</v>
        <stp/>
        <stp>##V3_BDHV12</stp>
        <stp>XOM US Equity</stp>
        <stp>OTHER_CURRENT_LIABS_DETAILED</stp>
        <stp>FQ2 1992</stp>
        <stp>FQ2 1992</stp>
        <stp>[FA1_ftkzu3fn.xlsx]Bal Sheet - Standardized!R31C12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31" s="3"/>
      </tp>
      <tp>
        <v>3012</v>
        <stp/>
        <stp>##V3_BDHV12</stp>
        <stp>XOM US Equity</stp>
        <stp>OTHER_CURRENT_LIABS_DETAILED</stp>
        <stp>FQ1 1996</stp>
        <stp>FQ1 1996</stp>
        <stp>[FA1_ftkzu3fn.xlsx]Bal Sheet - Standardized!R31C27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31" s="3"/>
      </tp>
      <tp t="s">
        <v>—</v>
        <stp/>
        <stp>##V3_BDHV12</stp>
        <stp>XOM US Equity</stp>
        <stp>FREE_CASH_FLOW_PER_SH</stp>
        <stp>FQ1 1994</stp>
        <stp>FQ1 1994</stp>
        <stp>[FA1_ftkzu3fn.xlsx]Cash Flow - Standardized!R43C19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43" s="4"/>
      </tp>
      <tp>
        <v>0.2288</v>
        <stp/>
        <stp>##V3_BDHV12</stp>
        <stp>XOM US Equity</stp>
        <stp>FREE_CASH_FLOW_PER_SH</stp>
        <stp>FQ2 1996</stp>
        <stp>FQ2 1996</stp>
        <stp>[FA1_ftkzu3fn.xlsx]Cash Flow - Standardized!R43C28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43" s="4"/>
      </tp>
      <tp>
        <v>0.26129999999999998</v>
        <stp/>
        <stp>##V3_BDHV12</stp>
        <stp>XOM US Equity</stp>
        <stp>FREE_CASH_FLOW_PER_SH</stp>
        <stp>FQ3 1996</stp>
        <stp>FQ3 1996</stp>
        <stp>[FA1_ftkzu3fn.xlsx]Cash Flow - Standardized!R43C29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43" s="4"/>
      </tp>
      <tp>
        <v>0.18990000000000001</v>
        <stp/>
        <stp>##V3_BDHV12</stp>
        <stp>XOM US Equity</stp>
        <stp>FREE_CASH_FLOW_PER_SH</stp>
        <stp>FQ2 1998</stp>
        <stp>FQ2 1998</stp>
        <stp>[FA1_ftkzu3fn.xlsx]Cash Flow - Standardized!R43C36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43" s="4"/>
      </tp>
      <tp>
        <v>0.27850000000000003</v>
        <stp/>
        <stp>##V3_BDHV12</stp>
        <stp>XOM US Equity</stp>
        <stp>FREE_CASH_FLOW_PER_SH</stp>
        <stp>FQ1 1998</stp>
        <stp>FQ1 1998</stp>
        <stp>[FA1_ftkzu3fn.xlsx]Cash Flow - Standardized!R43C35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43" s="4"/>
      </tp>
      <tp>
        <v>7.0986000000000002</v>
        <stp/>
        <stp>##V3_BDHV12</stp>
        <stp>XOM US Equity</stp>
        <stp>BOOK_VAL_PER_SH</stp>
        <stp>FQ2 1994</stp>
        <stp>FQ2 1994</stp>
        <stp>[FA1_ftkzu3fn.xlsx]Per Share!R26C20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26" s="5"/>
      </tp>
      <tp>
        <v>8.7490000000000006</v>
        <stp/>
        <stp>##V3_BDHV12</stp>
        <stp>XOM US Equity</stp>
        <stp>BOOK_VAL_PER_SH</stp>
        <stp>FQ3 1997</stp>
        <stp>FQ3 1997</stp>
        <stp>[FA1_ftkzu3fn.xlsx]Per Share!R26C33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26" s="5"/>
      </tp>
      <tp>
        <v>6.8345000000000002</v>
        <stp/>
        <stp>##V3_BDHV12</stp>
        <stp>XOM US Equity</stp>
        <stp>BOOK_VAL_PER_SH</stp>
        <stp>FQ3 1993</stp>
        <stp>FQ3 1993</stp>
        <stp>[FA1_ftkzu3fn.xlsx]Per Share!R26C17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26" s="5"/>
      </tp>
      <tp>
        <v>0.33</v>
        <stp/>
        <stp>##V3_BDHV12</stp>
        <stp>XOM US Equity</stp>
        <stp>IS_BASIC_EPS_CONT_OPS</stp>
        <stp>FQ2 1998</stp>
        <stp>FQ2 1998</stp>
        <stp>[FA1_ftkzu3fn.xlsx]Income - Adjusted!R30C36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30" s="2"/>
      </tp>
      <tp>
        <v>0.315</v>
        <stp/>
        <stp>##V3_BDHV12</stp>
        <stp>XOM US Equity</stp>
        <stp>IS_BASIC_EPS_CONT_OPS</stp>
        <stp>FQ2 1996</stp>
        <stp>FQ2 1996</stp>
        <stp>[FA1_ftkzu3fn.xlsx]Income - Adjusted!R30C28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30" s="2"/>
      </tp>
      <tp>
        <v>4966.3999000000003</v>
        <stp/>
        <stp>##V3_BDHV12</stp>
        <stp>XOM US Equity</stp>
        <stp>IS_SH_FOR_DILUTED_EPS</stp>
        <stp>FQ2 1994</stp>
        <stp>FQ2 1994</stp>
        <stp>[FA1_ftkzu3fn.xlsx]Income - Adjusted!R32C20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32" s="2"/>
      </tp>
      <tp>
        <v>5012</v>
        <stp/>
        <stp>##V3_BDHV12</stp>
        <stp>XOM US Equity</stp>
        <stp>IS_SH_FOR_DILUTED_EPS</stp>
        <stp>FQ3 1997</stp>
        <stp>FQ3 1997</stp>
        <stp>[FA1_ftkzu3fn.xlsx]Income - Adjusted!R32C33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32" s="2"/>
      </tp>
      <tp>
        <v>4966.3999000000003</v>
        <stp/>
        <stp>##V3_BDHV12</stp>
        <stp>XOM US Equity</stp>
        <stp>IS_SH_FOR_DILUTED_EPS</stp>
        <stp>FQ3 1993</stp>
        <stp>FQ3 1993</stp>
        <stp>[FA1_ftkzu3fn.xlsx]Income - Adjusted!R32C17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32" s="2"/>
      </tp>
      <tp>
        <v>2598</v>
        <stp/>
        <stp>##V3_BDHV12</stp>
        <stp>XOM US Equity</stp>
        <stp>EBITDA</stp>
        <stp>FQ2 1994</stp>
        <stp>FQ2 1994</stp>
        <stp>[FA1_ftkzu3fn.xlsx]Cash Flow - Standardized!R38C20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T38" s="4"/>
      </tp>
      <tp>
        <v>3024</v>
        <stp/>
        <stp>##V3_BDHV12</stp>
        <stp>XOM US Equity</stp>
        <stp>EBITDA</stp>
        <stp>FQ3 1994</stp>
        <stp>FQ3 1994</stp>
        <stp>[FA1_ftkzu3fn.xlsx]Cash Flow - Standardized!R38C21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U38" s="4"/>
      </tp>
      <tp t="s">
        <v>—</v>
        <stp/>
        <stp>##V3_BDHV12</stp>
        <stp>XOM US Equity</stp>
        <stp>EQY_DPS</stp>
        <stp>FQ1 1997</stp>
        <stp>FQ1 1997</stp>
        <stp>[FA1_ftkzu3fn.xlsx]Income - Adjusted!R46C31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46" s="2"/>
      </tp>
      <tp>
        <v>0.1875</v>
        <stp/>
        <stp>##V3_BDHV12</stp>
        <stp>XOM US Equity</stp>
        <stp>EQY_DPS</stp>
        <stp>FQ1 1995</stp>
        <stp>FQ1 1995</stp>
        <stp>[FA1_ftkzu3fn.xlsx]Income - Adjusted!R46C23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46" s="2"/>
      </tp>
      <tp>
        <v>0.18</v>
        <stp/>
        <stp>##V3_BDHV12</stp>
        <stp>XOM US Equity</stp>
        <stp>EQY_DPS</stp>
        <stp>FQ1 1993</stp>
        <stp>FQ1 1993</stp>
        <stp>[FA1_ftkzu3fn.xlsx]Income - Adjusted!R46C15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46" s="2"/>
      </tp>
      <tp>
        <v>0.17499999999999999</v>
        <stp/>
        <stp>##V3_BDHV12</stp>
        <stp>XOM US Equity</stp>
        <stp>EQY_DPS</stp>
        <stp>FQ4 1992</stp>
        <stp>FQ4 1992</stp>
        <stp>[FA1_ftkzu3fn.xlsx]Income - Adjusted!R46C14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46" s="2"/>
      </tp>
      <tp>
        <v>0.19750000000000001</v>
        <stp/>
        <stp>##V3_BDHV12</stp>
        <stp>XOM US Equity</stp>
        <stp>EQY_DPS</stp>
        <stp>FQ4 1996</stp>
        <stp>FQ4 1996</stp>
        <stp>[FA1_ftkzu3fn.xlsx]Income - Adjusted!R46C30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46" s="2"/>
      </tp>
      <tp>
        <v>0.1875</v>
        <stp/>
        <stp>##V3_BDHV12</stp>
        <stp>XOM US Equity</stp>
        <stp>EQY_DPS</stp>
        <stp>FQ4 1994</stp>
        <stp>FQ4 1994</stp>
        <stp>[FA1_ftkzu3fn.xlsx]Income - Adjusted!R46C22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46" s="2"/>
      </tp>
      <tp>
        <v>2688</v>
        <stp/>
        <stp>##V3_BDHV12</stp>
        <stp>XOM US Equity</stp>
        <stp>CF_CASH_FROM_OPER</stp>
        <stp>FQ2 1993</stp>
        <stp>FQ2 1993</stp>
        <stp>[FA1_ftkzu3fn.xlsx]Cash Flow - Standardized!R13C16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13" s="4"/>
      </tp>
      <tp>
        <v>3282</v>
        <stp/>
        <stp>##V3_BDHV12</stp>
        <stp>XOM US Equity</stp>
        <stp>CF_CASH_FROM_OPER</stp>
        <stp>FQ1 1995</stp>
        <stp>FQ1 1995</stp>
        <stp>[FA1_ftkzu3fn.xlsx]Cash Flow - Standardized!R13C23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13" s="4"/>
      </tp>
      <tp>
        <v>4077</v>
        <stp/>
        <stp>##V3_BDHV12</stp>
        <stp>XOM US Equity</stp>
        <stp>CF_CASH_FROM_OPER</stp>
        <stp>FQ1 1996</stp>
        <stp>FQ1 1996</stp>
        <stp>[FA1_ftkzu3fn.xlsx]Cash Flow - Standardized!R13C27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13" s="4"/>
      </tp>
      <tp>
        <v>1756</v>
        <stp/>
        <stp>##V3_BDHV12</stp>
        <stp>XOM US Equity</stp>
        <stp>CF_CASH_FROM_OPER</stp>
        <stp>FQ2 1992</stp>
        <stp>FQ2 1992</stp>
        <stp>[FA1_ftkzu3fn.xlsx]Cash Flow - Standardized!R13C12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13" s="4"/>
      </tp>
      <tp>
        <v>0.21249999999999999</v>
        <stp/>
        <stp>##V3_BDHV12</stp>
        <stp>XOM US Equity</stp>
        <stp>IS_EARN_BEF_XO_ITEMS_PER_SH</stp>
        <stp>FQ3 1990</stp>
        <stp>FQ3 1990</stp>
        <stp>[FA1_ftkzu3fn.xlsx]Income - Adjusted!R29C5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29" s="2"/>
      </tp>
      <tp>
        <v>0.2175</v>
        <stp/>
        <stp>##V3_BDHV12</stp>
        <stp>XOM US Equity</stp>
        <stp>IS_EARN_BEF_XO_ITEMS_PER_SH</stp>
        <stp>FQ2 1990</stp>
        <stp>FQ2 1990</stp>
        <stp>[FA1_ftkzu3fn.xlsx]Income - Adjusted!R29C4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29" s="2"/>
      </tp>
      <tp>
        <v>0.3075</v>
        <stp/>
        <stp>##V3_BDHV12</stp>
        <stp>XOM US Equity</stp>
        <stp>IS_EPS</stp>
        <stp>FQ4 1990</stp>
        <stp>FQ4 1990</stp>
        <stp>[FA1_ftkzu3fn.xlsx]Per Share!R14C6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F14" s="5"/>
      </tp>
      <tp>
        <v>0.2175</v>
        <stp/>
        <stp>##V3_BDHV12</stp>
        <stp>XOM US Equity</stp>
        <stp>IS_EPS</stp>
        <stp>FQ2 1990</stp>
        <stp>FQ2 1990</stp>
        <stp>[FA1_ftkzu3fn.xlsx]Per Share!R14C4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D14" s="5"/>
      </tp>
      <tp>
        <v>0.21249999999999999</v>
        <stp/>
        <stp>##V3_BDHV12</stp>
        <stp>XOM US Equity</stp>
        <stp>IS_EPS</stp>
        <stp>FQ3 1990</stp>
        <stp>FQ3 1990</stp>
        <stp>[FA1_ftkzu3fn.xlsx]Per Share!R14C5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E14" s="5"/>
      </tp>
      <tp>
        <v>0.2525</v>
        <stp/>
        <stp>##V3_BDHV12</stp>
        <stp>XOM US Equity</stp>
        <stp>IS_EPS</stp>
        <stp>FQ1 1990</stp>
        <stp>FQ1 1990</stp>
        <stp>[FA1_ftkzu3fn.xlsx]Per Share!R14C3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C14" s="5"/>
      </tp>
      <tp t="s">
        <v>—</v>
        <stp/>
        <stp>##V3_BDHV12</stp>
        <stp>XOM US Equity</stp>
        <stp>PROC_FR_REPAYMNTS_BOR_DETAILED</stp>
        <stp>FQ4 1990</stp>
        <stp>FQ4 1990</stp>
        <stp>[FA1_ftkzu3fn.xlsx]Cash Flow - Standardized!R27C6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7" s="4"/>
      </tp>
      <tp t="s">
        <v>—</v>
        <stp/>
        <stp>##V3_BDHV12</stp>
        <stp>XOM US Equity</stp>
        <stp>PROC_FR_REPAYMNTS_BOR_DETAILED</stp>
        <stp>FQ1 1990</stp>
        <stp>FQ1 1990</stp>
        <stp>[FA1_ftkzu3fn.xlsx]Cash Flow - Standardized!R27C3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7" s="4"/>
      </tp>
      <tp t="s">
        <v>—</v>
        <stp/>
        <stp>##V3_BDHV12</stp>
        <stp>XOM US Equity</stp>
        <stp>PROC_FR_REPAYMNTS_BOR_DETAILED</stp>
        <stp>FQ1 1991</stp>
        <stp>FQ1 1991</stp>
        <stp>[FA1_ftkzu3fn.xlsx]Cash Flow - Standardized!R27C7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7" s="4"/>
      </tp>
      <tp t="s">
        <v>—</v>
        <stp/>
        <stp>##V3_BDHV12</stp>
        <stp>XOM US Equity</stp>
        <stp>PROC_FR_REPAYMNTS_BOR_DETAILED</stp>
        <stp>FQ3 1990</stp>
        <stp>FQ3 1990</stp>
        <stp>[FA1_ftkzu3fn.xlsx]Cash Flow - Standardized!R27C5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7" s="4"/>
      </tp>
      <tp t="s">
        <v>—</v>
        <stp/>
        <stp>##V3_BDHV12</stp>
        <stp>XOM US Equity</stp>
        <stp>PROC_FR_REPAYMNTS_BOR_DETAILED</stp>
        <stp>FQ2 1990</stp>
        <stp>FQ2 1990</stp>
        <stp>[FA1_ftkzu3fn.xlsx]Cash Flow - Standardized!R27C4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7" s="4"/>
      </tp>
      <tp t="s">
        <v>—</v>
        <stp/>
        <stp>##V3_BDHV12</stp>
        <stp>XOM US Equity</stp>
        <stp>PROC_FR_REPAYMNTS_BOR_DETAILED</stp>
        <stp>FQ2 1991</stp>
        <stp>FQ2 1991</stp>
        <stp>[FA1_ftkzu3fn.xlsx]Cash Flow - Standardized!R27C8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7" s="4"/>
      </tp>
      <tp t="s">
        <v>—</v>
        <stp/>
        <stp>##V3_BDHV12</stp>
        <stp>XOM US Equity</stp>
        <stp>PROC_FR_REPAYMNTS_BOR_DETAILED</stp>
        <stp>FQ3 1991</stp>
        <stp>FQ3 1991</stp>
        <stp>[FA1_ftkzu3fn.xlsx]Cash Flow - Standardized!R27C9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7" s="4"/>
      </tp>
      <tp>
        <v>8.0471000000000004</v>
        <stp/>
        <stp>##V3_BDHV12</stp>
        <stp>XOM US Equity</stp>
        <stp>BOOK_VAL_PER_SH</stp>
        <stp>FQ4 1995</stp>
        <stp>FQ4 1995</stp>
        <stp>[FA1_ftkzu3fn.xlsx]Per Share!R26C26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26" s="5"/>
      </tp>
      <tp>
        <v>8.8461999999999996</v>
        <stp/>
        <stp>##V3_BDHV12</stp>
        <stp>XOM US Equity</stp>
        <stp>BOOK_VAL_PER_SH</stp>
        <stp>FQ4 1997</stp>
        <stp>FQ4 1997</stp>
        <stp>[FA1_ftkzu3fn.xlsx]Per Share!R26C34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26" s="5"/>
      </tp>
      <tp>
        <v>6.91</v>
        <stp/>
        <stp>##V3_BDHV12</stp>
        <stp>XOM US Equity</stp>
        <stp>BOOK_VAL_PER_SH</stp>
        <stp>FQ1 1992</stp>
        <stp>FQ1 1992</stp>
        <stp>[FA1_ftkzu3fn.xlsx]Per Share!R26C11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26" s="5"/>
      </tp>
      <tp>
        <v>4922.3999999999996</v>
        <stp/>
        <stp>##V3_BDHV12</stp>
        <stp>XOM US Equity</stp>
        <stp>IS_SH_FOR_DILUTED_EPS</stp>
        <stp>FQ4 1997</stp>
        <stp>FQ4 1997</stp>
        <stp>[FA1_ftkzu3fn.xlsx]Income - Adjusted!R32C34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32" s="2"/>
      </tp>
      <tp>
        <v>4966</v>
        <stp/>
        <stp>##V3_BDHV12</stp>
        <stp>XOM US Equity</stp>
        <stp>IS_SH_FOR_DILUTED_EPS</stp>
        <stp>FQ4 1995</stp>
        <stp>FQ4 1995</stp>
        <stp>[FA1_ftkzu3fn.xlsx]Income - Adjusted!R32C26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32" s="2"/>
      </tp>
      <tp>
        <v>4966.6958000000004</v>
        <stp/>
        <stp>##V3_BDHV12</stp>
        <stp>XOM US Equity</stp>
        <stp>IS_SH_FOR_DILUTED_EPS</stp>
        <stp>FQ1 1992</stp>
        <stp>FQ1 1992</stp>
        <stp>[FA1_ftkzu3fn.xlsx]Income - Adjusted!R32C11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32" s="2"/>
      </tp>
      <tp>
        <v>2964</v>
        <stp/>
        <stp>##V3_BDHV12</stp>
        <stp>XOM US Equity</stp>
        <stp>EBITDA</stp>
        <stp>FQ3 1993</stp>
        <stp>FQ3 1993</stp>
        <stp>[FA1_ftkzu3fn.xlsx]Cash Flow - Standardized!R38C17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Q38" s="4"/>
      </tp>
      <tp>
        <v>2900</v>
        <stp/>
        <stp>##V3_BDHV12</stp>
        <stp>XOM US Equity</stp>
        <stp>EBITDA</stp>
        <stp>FQ2 1993</stp>
        <stp>FQ2 1993</stp>
        <stp>[FA1_ftkzu3fn.xlsx]Cash Flow - Standardized!R38C16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P38" s="4"/>
      </tp>
      <tp>
        <v>2915</v>
        <stp/>
        <stp>##V3_BDHV12</stp>
        <stp>XOM US Equity</stp>
        <stp>EBITDA</stp>
        <stp>FQ1 1993</stp>
        <stp>FQ1 1993</stp>
        <stp>[FA1_ftkzu3fn.xlsx]Cash Flow - Standardized!R38C15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O38" s="4"/>
      </tp>
      <tp>
        <v>4569</v>
        <stp/>
        <stp>##V3_BDHV12</stp>
        <stp>XOM US Equity</stp>
        <stp>EBITDA</stp>
        <stp>FQ1 1997</stp>
        <stp>FQ1 1997</stp>
        <stp>[FA1_ftkzu3fn.xlsx]Cash Flow - Standardized!R38C31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E38" s="4"/>
      </tp>
      <tp>
        <v>3962</v>
        <stp/>
        <stp>##V3_BDHV12</stp>
        <stp>XOM US Equity</stp>
        <stp>EBITDA</stp>
        <stp>FQ3 1997</stp>
        <stp>FQ3 1997</stp>
        <stp>[FA1_ftkzu3fn.xlsx]Cash Flow - Standardized!R38C33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G38" s="4"/>
      </tp>
      <tp>
        <v>4171</v>
        <stp/>
        <stp>##V3_BDHV12</stp>
        <stp>XOM US Equity</stp>
        <stp>EBITDA</stp>
        <stp>FQ2 1997</stp>
        <stp>FQ2 1997</stp>
        <stp>[FA1_ftkzu3fn.xlsx]Cash Flow - Standardized!R38C32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F38" s="4"/>
      </tp>
      <tp>
        <v>7176</v>
        <stp/>
        <stp>##V3_BDHV12</stp>
        <stp>XOM US Equity</stp>
        <stp>EBITDA</stp>
        <stp>FQ4 1997</stp>
        <stp>FQ4 1997</stp>
        <stp>[FA1_ftkzu3fn.xlsx]Cash Flow - Standardized!R38C34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H38" s="4"/>
      </tp>
      <tp>
        <v>3482</v>
        <stp/>
        <stp>##V3_BDHV12</stp>
        <stp>XOM US Equity</stp>
        <stp>EBITDA</stp>
        <stp>FQ1 1995</stp>
        <stp>FQ1 1995</stp>
        <stp>[FA1_ftkzu3fn.xlsx]Cash Flow - Standardized!R38C23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W38" s="4"/>
      </tp>
      <tp>
        <v>6477</v>
        <stp/>
        <stp>##V3_BDHV12</stp>
        <stp>XOM US Equity</stp>
        <stp>EBITDA</stp>
        <stp>FQ4 1995</stp>
        <stp>FQ4 1995</stp>
        <stp>[FA1_ftkzu3fn.xlsx]Cash Flow - Standardized!R38C26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Z38" s="4"/>
      </tp>
      <tp>
        <v>3074</v>
        <stp/>
        <stp>##V3_BDHV12</stp>
        <stp>XOM US Equity</stp>
        <stp>CF_CASH_FROM_OPER</stp>
        <stp>FQ1 1998</stp>
        <stp>FQ1 1998</stp>
        <stp>[FA1_ftkzu3fn.xlsx]Cash Flow - Standardized!R13C35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13" s="4"/>
      </tp>
      <tp>
        <v>3177</v>
        <stp/>
        <stp>##V3_BDHV12</stp>
        <stp>XOM US Equity</stp>
        <stp>CF_CASH_FROM_OPER</stp>
        <stp>FQ3 1993</stp>
        <stp>FQ3 1993</stp>
        <stp>[FA1_ftkzu3fn.xlsx]Cash Flow - Standardized!R13C17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13" s="4"/>
      </tp>
      <tp>
        <v>4514</v>
        <stp/>
        <stp>##V3_BDHV12</stp>
        <stp>XOM US Equity</stp>
        <stp>CF_CASH_FROM_OPER</stp>
        <stp>FQ1 1997</stp>
        <stp>FQ1 1997</stp>
        <stp>[FA1_ftkzu3fn.xlsx]Cash Flow - Standardized!R13C31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13" s="4"/>
      </tp>
      <tp>
        <v>2591</v>
        <stp/>
        <stp>##V3_BDHV12</stp>
        <stp>XOM US Equity</stp>
        <stp>CF_CASH_FROM_OPER</stp>
        <stp>FQ3 1992</stp>
        <stp>FQ3 1992</stp>
        <stp>[FA1_ftkzu3fn.xlsx]Cash Flow - Standardized!R13C13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13" s="4"/>
      </tp>
      <tp>
        <v>16.234300000000001</v>
        <stp/>
        <stp>##V3_BDHV12</stp>
        <stp>XOM US Equity</stp>
        <stp>PX_TO_FREE_CASH_FLOW</stp>
        <stp>FQ3 1996</stp>
        <stp>FQ3 1996</stp>
        <stp>[FA1_ftkzu3fn.xlsx]Cash Flow - Standardized!R44C29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44" s="4"/>
      </tp>
      <tp>
        <v>14.9109</v>
        <stp/>
        <stp>##V3_BDHV12</stp>
        <stp>XOM US Equity</stp>
        <stp>PX_TO_FREE_CASH_FLOW</stp>
        <stp>FQ2 1996</stp>
        <stp>FQ2 1996</stp>
        <stp>[FA1_ftkzu3fn.xlsx]Cash Flow - Standardized!R44C28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44" s="4"/>
      </tp>
      <tp t="s">
        <v>—</v>
        <stp/>
        <stp>##V3_BDHV12</stp>
        <stp>XOM US Equity</stp>
        <stp>PX_TO_FREE_CASH_FLOW</stp>
        <stp>FQ1 1994</stp>
        <stp>FQ1 1994</stp>
        <stp>[FA1_ftkzu3fn.xlsx]Cash Flow - Standardized!R44C19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44" s="4"/>
      </tp>
      <tp>
        <v>0.44500000000000001</v>
        <stp/>
        <stp>##V3_BDHV12</stp>
        <stp>XOM US Equity</stp>
        <stp>IS_EARN_BEF_XO_ITEMS_PER_SH</stp>
        <stp>FQ1 1991</stp>
        <stp>FQ1 1991</stp>
        <stp>[FA1_ftkzu3fn.xlsx]Income - Adjusted!R29C7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29" s="2"/>
      </tp>
      <tp>
        <v>29.2425</v>
        <stp/>
        <stp>##V3_BDHV12</stp>
        <stp>XOM US Equity</stp>
        <stp>PX_TO_FREE_CASH_FLOW</stp>
        <stp>FQ1 1998</stp>
        <stp>FQ1 1998</stp>
        <stp>[FA1_ftkzu3fn.xlsx]Cash Flow - Standardized!R44C35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44" s="4"/>
      </tp>
      <tp>
        <v>35.447899999999997</v>
        <stp/>
        <stp>##V3_BDHV12</stp>
        <stp>XOM US Equity</stp>
        <stp>PX_TO_FREE_CASH_FLOW</stp>
        <stp>FQ2 1998</stp>
        <stp>FQ2 1998</stp>
        <stp>[FA1_ftkzu3fn.xlsx]Cash Flow - Standardized!R44C36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44" s="4"/>
      </tp>
      <tp t="s">
        <v>—</v>
        <stp/>
        <stp>##V3_BDHV12</stp>
        <stp>XOM US Equity</stp>
        <stp>NUM_OF_EMPLOYEES</stp>
        <stp>FQ1 1990</stp>
        <stp>FQ1 1990</stp>
        <stp>[FA1_ftkzu3fn.xlsx]Bal Sheet - Standardized!R55C3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55" s="3"/>
      </tp>
      <tp>
        <v>104000</v>
        <stp/>
        <stp>##V3_BDHV12</stp>
        <stp>XOM US Equity</stp>
        <stp>NUM_OF_EMPLOYEES</stp>
        <stp>FQ4 1990</stp>
        <stp>FQ4 1990</stp>
        <stp>[FA1_ftkzu3fn.xlsx]Bal Sheet - Standardized!R55C6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55" s="3"/>
      </tp>
      <tp>
        <v>8620</v>
        <stp/>
        <stp>##V3_BDHV12</stp>
        <stp>XOM US Equity</stp>
        <stp>OTHER_CURRENT_LIABS_DETAILED</stp>
        <stp>FQ4 1991</stp>
        <stp>FQ4 1991</stp>
        <stp>[FA1_ftkzu3fn.xlsx]Bal Sheet - Standardized!R31C10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31" s="3"/>
      </tp>
      <tp>
        <v>7776</v>
        <stp/>
        <stp>##V3_BDHV12</stp>
        <stp>XOM US Equity</stp>
        <stp>OTHER_CURRENT_LIABS_DETAILED</stp>
        <stp>FQ4 1992</stp>
        <stp>FQ4 1992</stp>
        <stp>[FA1_ftkzu3fn.xlsx]Bal Sheet - Standardized!R31C14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31" s="3"/>
      </tp>
      <tp>
        <v>7571</v>
        <stp/>
        <stp>##V3_BDHV12</stp>
        <stp>XOM US Equity</stp>
        <stp>OTHER_CURRENT_LIABS_DETAILED</stp>
        <stp>FQ4 1993</stp>
        <stp>FQ4 1993</stp>
        <stp>[FA1_ftkzu3fn.xlsx]Bal Sheet - Standardized!R31C18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31" s="3"/>
      </tp>
      <tp>
        <v>0.22500000000000001</v>
        <stp/>
        <stp>##V3_BDHV12</stp>
        <stp>XOM US Equity</stp>
        <stp>IS_EPS</stp>
        <stp>FQ2 1991</stp>
        <stp>FQ2 1991</stp>
        <stp>[FA1_ftkzu3fn.xlsx]Per Share!R14C8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H14" s="5"/>
      </tp>
      <tp>
        <v>0.22</v>
        <stp/>
        <stp>##V3_BDHV12</stp>
        <stp>XOM US Equity</stp>
        <stp>IS_EPS</stp>
        <stp>FQ3 1991</stp>
        <stp>FQ3 1991</stp>
        <stp>[FA1_ftkzu3fn.xlsx]Per Share!R14C9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I14" s="5"/>
      </tp>
      <tp>
        <v>0.44500000000000001</v>
        <stp/>
        <stp>##V3_BDHV12</stp>
        <stp>XOM US Equity</stp>
        <stp>IS_EPS</stp>
        <stp>FQ1 1991</stp>
        <stp>FQ1 1991</stp>
        <stp>[FA1_ftkzu3fn.xlsx]Per Share!R14C7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G14" s="5"/>
      </tp>
      <tp>
        <v>6.5914999999999999</v>
        <stp/>
        <stp>##V3_BDHV12</stp>
        <stp>XOM US Equity</stp>
        <stp>BOOK_VAL_PER_SH</stp>
        <stp>FQ2 1991</stp>
        <stp>FQ2 1991</stp>
        <stp>[FA1_ftkzu3fn.xlsx]Per Share!R26C8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26" s="5"/>
      </tp>
      <tp>
        <v>6.6230000000000002</v>
        <stp/>
        <stp>##V3_BDHV12</stp>
        <stp>XOM US Equity</stp>
        <stp>BOOK_VAL_PER_SH</stp>
        <stp>FQ3 1991</stp>
        <stp>FQ3 1991</stp>
        <stp>[FA1_ftkzu3fn.xlsx]Per Share!R26C9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26" s="5"/>
      </tp>
      <tp>
        <v>0.20499999999999999</v>
        <stp/>
        <stp>##V3_BDHV12</stp>
        <stp>XOM US Equity</stp>
        <stp>EQY_DPS</stp>
        <stp>FQ3 1997</stp>
        <stp>FQ3 1997</stp>
        <stp>[FA1_ftkzu3fn.xlsx]Income - Adjusted!R46C33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46" s="2"/>
      </tp>
      <tp>
        <v>0.18</v>
        <stp/>
        <stp>##V3_BDHV12</stp>
        <stp>XOM US Equity</stp>
        <stp>EQY_DPS</stp>
        <stp>FQ3 1993</stp>
        <stp>FQ3 1993</stp>
        <stp>[FA1_ftkzu3fn.xlsx]Income - Adjusted!R46C17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46" s="2"/>
      </tp>
      <tp>
        <v>0.18</v>
        <stp/>
        <stp>##V3_BDHV12</stp>
        <stp>XOM US Equity</stp>
        <stp>EQY_DPS</stp>
        <stp>FQ2 1994</stp>
        <stp>FQ2 1994</stp>
        <stp>[FA1_ftkzu3fn.xlsx]Income - Adjusted!R46C20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46" s="2"/>
      </tp>
      <tp>
        <v>3140</v>
        <stp/>
        <stp>##V3_BDHV12</stp>
        <stp>XOM US Equity</stp>
        <stp>CF_CASH_FROM_OPER</stp>
        <stp>FQ3 1996</stp>
        <stp>FQ3 1996</stp>
        <stp>[FA1_ftkzu3fn.xlsx]Cash Flow - Standardized!R13C29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13" s="4"/>
      </tp>
      <tp>
        <v>2963</v>
        <stp/>
        <stp>##V3_BDHV12</stp>
        <stp>XOM US Equity</stp>
        <stp>CF_CASH_FROM_OPER</stp>
        <stp>FQ2 1998</stp>
        <stp>FQ2 1998</stp>
        <stp>[FA1_ftkzu3fn.xlsx]Cash Flow - Standardized!R13C36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13" s="4"/>
      </tp>
      <tp>
        <v>2683</v>
        <stp/>
        <stp>##V3_BDHV12</stp>
        <stp>XOM US Equity</stp>
        <stp>CF_CASH_FROM_OPER</stp>
        <stp>FQ3 1994</stp>
        <stp>FQ3 1994</stp>
        <stp>[FA1_ftkzu3fn.xlsx]Cash Flow - Standardized!R13C21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13" s="4"/>
      </tp>
      <tp>
        <v>3413</v>
        <stp/>
        <stp>##V3_BDHV12</stp>
        <stp>XOM US Equity</stp>
        <stp>CF_CASH_FROM_OPER</stp>
        <stp>FQ2 1997</stp>
        <stp>FQ2 1997</stp>
        <stp>[FA1_ftkzu3fn.xlsx]Cash Flow - Standardized!R13C32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13" s="4"/>
      </tp>
      <tp>
        <v>3944</v>
        <stp/>
        <stp>##V3_BDHV12</stp>
        <stp>XOM US Equity</stp>
        <stp>CF_CASH_FROM_OPER</stp>
        <stp>FQ3 1995</stp>
        <stp>FQ3 1995</stp>
        <stp>[FA1_ftkzu3fn.xlsx]Cash Flow - Standardized!R13C25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13" s="4"/>
      </tp>
      <tp t="s">
        <v>—</v>
        <stp/>
        <stp>##V3_BDHV12</stp>
        <stp>XOM US Equity</stp>
        <stp>PX_TO_FREE_CASH_FLOW</stp>
        <stp>FQ4 1993</stp>
        <stp>FQ4 1993</stp>
        <stp>[FA1_ftkzu3fn.xlsx]Cash Flow - Standardized!R44C18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44" s="4"/>
      </tp>
      <tp>
        <v>0.60929999999999995</v>
        <stp/>
        <stp>##V3_BDHV12</stp>
        <stp>XOM US Equity</stp>
        <stp>CASH_FLOW_PER_SH</stp>
        <stp>FQ4 1993</stp>
        <stp>FQ4 1993</stp>
        <stp>[FA1_ftkzu3fn.xlsx]Per Share!R22C18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22" s="5"/>
      </tp>
      <tp>
        <v>8019</v>
        <stp/>
        <stp>##V3_BDHV12</stp>
        <stp>XOM US Equity</stp>
        <stp>OTHER_CURRENT_LIABS_DETAILED</stp>
        <stp>FQ4 1995</stp>
        <stp>FQ4 1995</stp>
        <stp>[FA1_ftkzu3fn.xlsx]Bal Sheet - Standardized!R31C26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31" s="3"/>
      </tp>
      <tp>
        <v>8169</v>
        <stp/>
        <stp>##V3_BDHV12</stp>
        <stp>XOM US Equity</stp>
        <stp>OTHER_CURRENT_LIABS_DETAILED</stp>
        <stp>FQ4 1994</stp>
        <stp>FQ4 1994</stp>
        <stp>[FA1_ftkzu3fn.xlsx]Bal Sheet - Standardized!R31C22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31" s="3"/>
      </tp>
      <tp>
        <v>6.8559000000000001</v>
        <stp/>
        <stp>##V3_BDHV12</stp>
        <stp>XOM US Equity</stp>
        <stp>BOOK_VAL_PER_SH</stp>
        <stp>FQ4 1991</stp>
        <stp>FQ4 1991</stp>
        <stp>[FA1_ftkzu3fn.xlsx]Per Share!R26C10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26" s="5"/>
      </tp>
      <tp>
        <v>8.17</v>
        <stp/>
        <stp>##V3_BDHV12</stp>
        <stp>XOM US Equity</stp>
        <stp>BOOK_VAL_PER_SH</stp>
        <stp>FQ1 1996</stp>
        <stp>FQ1 1996</stp>
        <stp>[FA1_ftkzu3fn.xlsx]Per Share!R26C27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26" s="5"/>
      </tp>
      <tp>
        <v>8.0512999999999995</v>
        <stp/>
        <stp>##V3_BDHV12</stp>
        <stp>XOM US Equity</stp>
        <stp>BOOK_VAL_PER_SH</stp>
        <stp>FQ2 1995</stp>
        <stp>FQ2 1995</stp>
        <stp>[FA1_ftkzu3fn.xlsx]Per Share!R26C24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26" s="5"/>
      </tp>
      <tp>
        <v>6.9562999999999997</v>
        <stp/>
        <stp>##V3_BDHV12</stp>
        <stp>XOM US Equity</stp>
        <stp>BOOK_VAL_PER_SH</stp>
        <stp>FQ3 1992</stp>
        <stp>FQ3 1992</stp>
        <stp>[FA1_ftkzu3fn.xlsx]Per Share!R26C13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26" s="5"/>
      </tp>
      <tp>
        <v>0.3</v>
        <stp/>
        <stp>##V3_BDHV12</stp>
        <stp>XOM US Equity</stp>
        <stp>IS_BASIC_EPS_CONT_OPS</stp>
        <stp>FQ4 1993</stp>
        <stp>FQ4 1993</stp>
        <stp>[FA1_ftkzu3fn.xlsx]Income - Adjusted!R30C18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30" s="2"/>
      </tp>
      <tp>
        <v>4969.2002000000002</v>
        <stp/>
        <stp>##V3_BDHV12</stp>
        <stp>XOM US Equity</stp>
        <stp>IS_SH_FOR_DILUTED_EPS</stp>
        <stp>FQ4 1991</stp>
        <stp>FQ4 1991</stp>
        <stp>[FA1_ftkzu3fn.xlsx]Income - Adjusted!R32C10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32" s="2"/>
      </tp>
      <tp>
        <v>5024</v>
        <stp/>
        <stp>##V3_BDHV12</stp>
        <stp>XOM US Equity</stp>
        <stp>IS_SH_FOR_DILUTED_EPS</stp>
        <stp>FQ1 1996</stp>
        <stp>FQ1 1996</stp>
        <stp>[FA1_ftkzu3fn.xlsx]Income - Adjusted!R32C27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32" s="2"/>
      </tp>
      <tp>
        <v>4970</v>
        <stp/>
        <stp>##V3_BDHV12</stp>
        <stp>XOM US Equity</stp>
        <stp>IS_SH_FOR_DILUTED_EPS</stp>
        <stp>FQ2 1995</stp>
        <stp>FQ2 1995</stp>
        <stp>[FA1_ftkzu3fn.xlsx]Income - Adjusted!R32C24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32" s="2"/>
      </tp>
      <tp>
        <v>4966.1518999999998</v>
        <stp/>
        <stp>##V3_BDHV12</stp>
        <stp>XOM US Equity</stp>
        <stp>IS_SH_FOR_DILUTED_EPS</stp>
        <stp>FQ3 1992</stp>
        <stp>FQ3 1992</stp>
        <stp>[FA1_ftkzu3fn.xlsx]Income - Adjusted!R32C13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32" s="2"/>
      </tp>
      <tp>
        <v>6587</v>
        <stp/>
        <stp>##V3_BDHV12</stp>
        <stp>XOM US Equity</stp>
        <stp>EBITDA</stp>
        <stp>FQ4 1991</stp>
        <stp>FQ4 1991</stp>
        <stp>[FA1_ftkzu3fn.xlsx]Cash Flow - Standardized!R38C10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J38" s="4"/>
      </tp>
      <tp>
        <v>0.18</v>
        <stp/>
        <stp>##V3_BDHV12</stp>
        <stp>XOM US Equity</stp>
        <stp>EQY_DPS</stp>
        <stp>FQ3 1994</stp>
        <stp>FQ3 1994</stp>
        <stp>[FA1_ftkzu3fn.xlsx]Income - Adjusted!R46C21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46" s="2"/>
      </tp>
      <tp t="s">
        <v>—</v>
        <stp/>
        <stp>##V3_BDHV12</stp>
        <stp>XOM US Equity</stp>
        <stp>EQY_DPS</stp>
        <stp>FQ2 1997</stp>
        <stp>FQ2 1997</stp>
        <stp>[FA1_ftkzu3fn.xlsx]Income - Adjusted!R46C32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46" s="2"/>
      </tp>
      <tp>
        <v>0.18</v>
        <stp/>
        <stp>##V3_BDHV12</stp>
        <stp>XOM US Equity</stp>
        <stp>EQY_DPS</stp>
        <stp>FQ2 1993</stp>
        <stp>FQ2 1993</stp>
        <stp>[FA1_ftkzu3fn.xlsx]Income - Adjusted!R46C16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46" s="2"/>
      </tp>
      <tp>
        <v>2983</v>
        <stp/>
        <stp>##V3_BDHV12</stp>
        <stp>XOM US Equity</stp>
        <stp>CF_CASH_FROM_OPER</stp>
        <stp>FQ2 1996</stp>
        <stp>FQ2 1996</stp>
        <stp>[FA1_ftkzu3fn.xlsx]Cash Flow - Standardized!R13C28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13" s="4"/>
      </tp>
      <tp>
        <v>2363</v>
        <stp/>
        <stp>##V3_BDHV12</stp>
        <stp>XOM US Equity</stp>
        <stp>CF_CASH_FROM_OPER</stp>
        <stp>FQ1 1994</stp>
        <stp>FQ1 1994</stp>
        <stp>[FA1_ftkzu3fn.xlsx]Cash Flow - Standardized!R13C19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13" s="4"/>
      </tp>
      <tp>
        <v>2055</v>
        <stp/>
        <stp>##V3_BDHV12</stp>
        <stp>XOM US Equity</stp>
        <stp>CF_CASH_FROM_OPER</stp>
        <stp>FQ2 1994</stp>
        <stp>FQ2 1994</stp>
        <stp>[FA1_ftkzu3fn.xlsx]Cash Flow - Standardized!R13C20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13" s="4"/>
      </tp>
      <tp>
        <v>2612</v>
        <stp/>
        <stp>##V3_BDHV12</stp>
        <stp>XOM US Equity</stp>
        <stp>CF_CASH_FROM_OPER</stp>
        <stp>FQ1 1993</stp>
        <stp>FQ1 1993</stp>
        <stp>[FA1_ftkzu3fn.xlsx]Cash Flow - Standardized!R13C15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13" s="4"/>
      </tp>
      <tp>
        <v>4088</v>
        <stp/>
        <stp>##V3_BDHV12</stp>
        <stp>XOM US Equity</stp>
        <stp>CF_CASH_FROM_OPER</stp>
        <stp>FQ3 1997</stp>
        <stp>FQ3 1997</stp>
        <stp>[FA1_ftkzu3fn.xlsx]Cash Flow - Standardized!R13C33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13" s="4"/>
      </tp>
      <tp>
        <v>2480</v>
        <stp/>
        <stp>##V3_BDHV12</stp>
        <stp>XOM US Equity</stp>
        <stp>CF_CASH_FROM_OPER</stp>
        <stp>FQ1 1992</stp>
        <stp>FQ1 1992</stp>
        <stp>[FA1_ftkzu3fn.xlsx]Cash Flow - Standardized!R13C11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13" s="4"/>
      </tp>
      <tp>
        <v>3048</v>
        <stp/>
        <stp>##V3_BDHV12</stp>
        <stp>XOM US Equity</stp>
        <stp>CF_CASH_FROM_OPER</stp>
        <stp>FQ2 1995</stp>
        <stp>FQ2 1995</stp>
        <stp>[FA1_ftkzu3fn.xlsx]Cash Flow - Standardized!R13C24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13" s="4"/>
      </tp>
      <tp>
        <v>8506</v>
        <stp/>
        <stp>##V3_BDHV12</stp>
        <stp>XOM US Equity</stp>
        <stp>OTHER_CURRENT_LIABS_DETAILED</stp>
        <stp>FQ4 1997</stp>
        <stp>FQ4 1997</stp>
        <stp>[FA1_ftkzu3fn.xlsx]Bal Sheet - Standardized!R31C34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31" s="3"/>
      </tp>
      <tp>
        <v>8652</v>
        <stp/>
        <stp>##V3_BDHV12</stp>
        <stp>XOM US Equity</stp>
        <stp>OTHER_CURRENT_LIABS_DETAILED</stp>
        <stp>FQ4 1996</stp>
        <stp>FQ4 1996</stp>
        <stp>[FA1_ftkzu3fn.xlsx]Bal Sheet - Standardized!R31C30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31" s="3"/>
      </tp>
      <tp t="s">
        <v>—</v>
        <stp/>
        <stp>##V3_BDHV12</stp>
        <stp>XOM US Equity</stp>
        <stp>CF_INCR_INVEST</stp>
        <stp>FQ2 1990</stp>
        <stp>FQ2 1990</stp>
        <stp>[FA1_ftkzu3fn.xlsx]Cash Flow - Standardized!R21C4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1" s="4"/>
      </tp>
      <tp t="s">
        <v>—</v>
        <stp/>
        <stp>##V3_BDHV12</stp>
        <stp>XOM US Equity</stp>
        <stp>CF_INCR_INVEST</stp>
        <stp>FQ3 1990</stp>
        <stp>FQ3 1990</stp>
        <stp>[FA1_ftkzu3fn.xlsx]Cash Flow - Standardized!R21C5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1" s="4"/>
      </tp>
      <tp t="s">
        <v>—</v>
        <stp/>
        <stp>##V3_BDHV12</stp>
        <stp>XOM US Equity</stp>
        <stp>CF_INCR_INVEST</stp>
        <stp>FQ1 1991</stp>
        <stp>FQ1 1991</stp>
        <stp>[FA1_ftkzu3fn.xlsx]Cash Flow - Standardized!R21C7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1" s="4"/>
      </tp>
      <tp t="s">
        <v>—</v>
        <stp/>
        <stp>##V3_BDHV12</stp>
        <stp>XOM US Equity</stp>
        <stp>CF_INCR_INVEST</stp>
        <stp>FQ1 1990</stp>
        <stp>FQ1 1990</stp>
        <stp>[FA1_ftkzu3fn.xlsx]Cash Flow - Standardized!R21C3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1" s="4"/>
      </tp>
      <tp t="s">
        <v>—</v>
        <stp/>
        <stp>##V3_BDHV12</stp>
        <stp>XOM US Equity</stp>
        <stp>CF_INCR_INVEST</stp>
        <stp>FQ4 1990</stp>
        <stp>FQ4 1990</stp>
        <stp>[FA1_ftkzu3fn.xlsx]Cash Flow - Standardized!R21C6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1" s="4"/>
      </tp>
      <tp t="s">
        <v>—</v>
        <stp/>
        <stp>##V3_BDHV12</stp>
        <stp>XOM US Equity</stp>
        <stp>CF_INCR_INVEST</stp>
        <stp>FQ3 1991</stp>
        <stp>FQ3 1991</stp>
        <stp>[FA1_ftkzu3fn.xlsx]Cash Flow - Standardized!R21C9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1" s="4"/>
      </tp>
      <tp t="s">
        <v>—</v>
        <stp/>
        <stp>##V3_BDHV12</stp>
        <stp>XOM US Equity</stp>
        <stp>CF_INCR_INVEST</stp>
        <stp>FQ2 1991</stp>
        <stp>FQ2 1991</stp>
        <stp>[FA1_ftkzu3fn.xlsx]Cash Flow - Standardized!R21C8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1" s="4"/>
      </tp>
      <tp>
        <v>6.9386000000000001</v>
        <stp/>
        <stp>##V3_BDHV12</stp>
        <stp>XOM US Equity</stp>
        <stp>BOOK_VAL_PER_SH</stp>
        <stp>FQ2 1992</stp>
        <stp>FQ2 1992</stp>
        <stp>[FA1_ftkzu3fn.xlsx]Per Share!R26C12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26" s="5"/>
      </tp>
      <tp>
        <v>7.9635999999999996</v>
        <stp/>
        <stp>##V3_BDHV12</stp>
        <stp>XOM US Equity</stp>
        <stp>BOOK_VAL_PER_SH</stp>
        <stp>FQ3 1995</stp>
        <stp>FQ3 1995</stp>
        <stp>[FA1_ftkzu3fn.xlsx]Per Share!R26C25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26" s="5"/>
      </tp>
      <tp>
        <v>0.16750000000000001</v>
        <stp/>
        <stp>##V3_BDHV12</stp>
        <stp>XOM US Equity</stp>
        <stp>EQY_DPS</stp>
        <stp>FQ3 1991</stp>
        <stp>FQ3 1991</stp>
        <stp>[FA1_ftkzu3fn.xlsx]Per Share!R20C9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20" s="5"/>
      </tp>
      <tp>
        <v>0.16750000000000001</v>
        <stp/>
        <stp>##V3_BDHV12</stp>
        <stp>XOM US Equity</stp>
        <stp>EQY_DPS</stp>
        <stp>FQ2 1991</stp>
        <stp>FQ2 1991</stp>
        <stp>[FA1_ftkzu3fn.xlsx]Per Share!R20C8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20" s="5"/>
      </tp>
      <tp>
        <v>4965.8959999999997</v>
        <stp/>
        <stp>##V3_BDHV12</stp>
        <stp>XOM US Equity</stp>
        <stp>IS_SH_FOR_DILUTED_EPS</stp>
        <stp>FQ2 1992</stp>
        <stp>FQ2 1992</stp>
        <stp>[FA1_ftkzu3fn.xlsx]Income - Adjusted!R32C12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32" s="2"/>
      </tp>
      <tp>
        <v>4967.2002000000002</v>
        <stp/>
        <stp>##V3_BDHV12</stp>
        <stp>XOM US Equity</stp>
        <stp>IS_SH_FOR_DILUTED_EPS</stp>
        <stp>FQ3 1995</stp>
        <stp>FQ3 1995</stp>
        <stp>[FA1_ftkzu3fn.xlsx]Income - Adjusted!R32C25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32" s="2"/>
      </tp>
      <tp t="s">
        <v>—</v>
        <stp/>
        <stp>##V3_BDHV12</stp>
        <stp>XOM US Equity</stp>
        <stp>CF_FREE_CASH_FLOW_FIRM</stp>
        <stp>FQ2 1993</stp>
        <stp>FQ2 1993</stp>
        <stp>[FA1_ftkzu3fn.xlsx]Cash Flow - Standardized!R41C16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P41" s="4"/>
      </tp>
      <tp t="s">
        <v>—</v>
        <stp/>
        <stp>##V3_BDHV12</stp>
        <stp>XOM US Equity</stp>
        <stp>CF_FREE_CASH_FLOW_FIRM</stp>
        <stp>FQ3 1993</stp>
        <stp>FQ3 1993</stp>
        <stp>[FA1_ftkzu3fn.xlsx]Cash Flow - Standardized!R41C17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Q41" s="4"/>
      </tp>
      <tp t="s">
        <v>—</v>
        <stp/>
        <stp>##V3_BDHV12</stp>
        <stp>XOM US Equity</stp>
        <stp>CF_FREE_CASH_FLOW_FIRM</stp>
        <stp>FQ1 1993</stp>
        <stp>FQ1 1993</stp>
        <stp>[FA1_ftkzu3fn.xlsx]Cash Flow - Standardized!R41C15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O41" s="4"/>
      </tp>
      <tp>
        <v>1306.9182000000001</v>
        <stp/>
        <stp>##V3_BDHV12</stp>
        <stp>XOM US Equity</stp>
        <stp>CF_FREE_CASH_FLOW_FIRM</stp>
        <stp>FQ4 1995</stp>
        <stp>FQ4 1995</stp>
        <stp>[FA1_ftkzu3fn.xlsx]Cash Flow - Standardized!R41C26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Z41" s="4"/>
      </tp>
      <tp>
        <v>1978.9233999999999</v>
        <stp/>
        <stp>##V3_BDHV12</stp>
        <stp>XOM US Equity</stp>
        <stp>CF_FREE_CASH_FLOW_FIRM</stp>
        <stp>FQ1 1995</stp>
        <stp>FQ1 1995</stp>
        <stp>[FA1_ftkzu3fn.xlsx]Cash Flow - Standardized!R41C23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W41" s="4"/>
      </tp>
      <tp>
        <v>682.25310000000002</v>
        <stp/>
        <stp>##V3_BDHV12</stp>
        <stp>XOM US Equity</stp>
        <stp>CF_FREE_CASH_FLOW_FIRM</stp>
        <stp>FQ4 1997</stp>
        <stp>FQ4 1997</stp>
        <stp>[FA1_ftkzu3fn.xlsx]Cash Flow - Standardized!R41C34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H41" s="4"/>
      </tp>
      <tp>
        <v>3078.2662</v>
        <stp/>
        <stp>##V3_BDHV12</stp>
        <stp>XOM US Equity</stp>
        <stp>CF_FREE_CASH_FLOW_FIRM</stp>
        <stp>FQ1 1997</stp>
        <stp>FQ1 1997</stp>
        <stp>[FA1_ftkzu3fn.xlsx]Cash Flow - Standardized!R41C31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E41" s="4"/>
      </tp>
      <tp>
        <v>1628.8539000000001</v>
        <stp/>
        <stp>##V3_BDHV12</stp>
        <stp>XOM US Equity</stp>
        <stp>CF_FREE_CASH_FLOW_FIRM</stp>
        <stp>FQ2 1997</stp>
        <stp>FQ2 1997</stp>
        <stp>[FA1_ftkzu3fn.xlsx]Cash Flow - Standardized!R41C32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F41" s="4"/>
      </tp>
      <tp>
        <v>2190.6324</v>
        <stp/>
        <stp>##V3_BDHV12</stp>
        <stp>XOM US Equity</stp>
        <stp>CF_FREE_CASH_FLOW_FIRM</stp>
        <stp>FQ3 1997</stp>
        <stp>FQ3 1997</stp>
        <stp>[FA1_ftkzu3fn.xlsx]Cash Flow - Standardized!R41C33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G41" s="4"/>
      </tp>
      <tp>
        <v>0.5403</v>
        <stp/>
        <stp>##V3_BDHV12</stp>
        <stp>XOM US Equity</stp>
        <stp>CASH_FLOW_PER_SH</stp>
        <stp>FQ3 1994</stp>
        <stp>FQ3 1994</stp>
        <stp>[FA1_ftkzu3fn.xlsx]Per Share!R22C21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22" s="5"/>
      </tp>
      <tp>
        <v>0.6885</v>
        <stp/>
        <stp>##V3_BDHV12</stp>
        <stp>XOM US Equity</stp>
        <stp>CASH_FLOW_PER_SH</stp>
        <stp>FQ2 1997</stp>
        <stp>FQ2 1997</stp>
        <stp>[FA1_ftkzu3fn.xlsx]Per Share!R22C32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22" s="5"/>
      </tp>
      <tp>
        <v>0.54110000000000003</v>
        <stp/>
        <stp>##V3_BDHV12</stp>
        <stp>XOM US Equity</stp>
        <stp>CASH_FLOW_PER_SH</stp>
        <stp>FQ2 1993</stp>
        <stp>FQ2 1993</stp>
        <stp>[FA1_ftkzu3fn.xlsx]Per Share!R22C16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22" s="5"/>
      </tp>
      <tp t="s">
        <v>—</v>
        <stp/>
        <stp>##V3_BDHV12</stp>
        <stp>XOM US Equity</stp>
        <stp>INVTRY_RAW_MATERIALS</stp>
        <stp>FQ4 1996</stp>
        <stp>FQ4 1996</stp>
        <stp>[FA1_ftkzu3fn.xlsx]Bal Sheet - Standardized!R12C30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12" s="3"/>
      </tp>
      <tp t="s">
        <v>—</v>
        <stp/>
        <stp>##V3_BDHV12</stp>
        <stp>XOM US Equity</stp>
        <stp>INVTRY_RAW_MATERIALS</stp>
        <stp>FQ4 1997</stp>
        <stp>FQ4 1997</stp>
        <stp>[FA1_ftkzu3fn.xlsx]Bal Sheet - Standardized!R12C34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12" s="3"/>
      </tp>
      <tp>
        <v>0</v>
        <stp/>
        <stp>##V3_BDHV12</stp>
        <stp>XOM US Equity</stp>
        <stp>BS_LT_INVEST</stp>
        <stp>FQ1 1996</stp>
        <stp>FQ1 1996</stp>
        <stp>[FA1_ftkzu3fn.xlsx]Bal Sheet - Standardized!R20C27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20" s="3"/>
      </tp>
      <tp>
        <v>8936</v>
        <stp/>
        <stp>##V3_BDHV12</stp>
        <stp>XOM US Equity</stp>
        <stp>BS_LT_BORROW</stp>
        <stp>FQ3 1994</stp>
        <stp>FQ3 1994</stp>
        <stp>[FA1_ftkzu3fn.xlsx]Bal Sheet - Standardized!R33C21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33" s="3"/>
      </tp>
      <tp>
        <v>74126</v>
        <stp/>
        <stp>##V3_BDHV12</stp>
        <stp>XOM US Equity</stp>
        <stp>BS_TOT_NON_CUR_ASSET</stp>
        <stp>FQ2 1997</stp>
        <stp>FQ2 1997</stp>
        <stp>[FA1_ftkzu3fn.xlsx]Bal Sheet - Standardized!R23C32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23" s="3"/>
      </tp>
      <tp>
        <v>7041</v>
        <stp/>
        <stp>##V3_BDHV12</stp>
        <stp>XOM US Equity</stp>
        <stp>BS_LT_BORROW</stp>
        <stp>FQ2 1997</stp>
        <stp>FQ2 1997</stp>
        <stp>[FA1_ftkzu3fn.xlsx]Bal Sheet - Standardized!R33C32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33" s="3"/>
      </tp>
      <tp>
        <v>71340</v>
        <stp/>
        <stp>##V3_BDHV12</stp>
        <stp>XOM US Equity</stp>
        <stp>BS_TOT_NON_CUR_ASSET</stp>
        <stp>FQ3 1994</stp>
        <stp>FQ3 1994</stp>
        <stp>[FA1_ftkzu3fn.xlsx]Bal Sheet - Standardized!R23C21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23" s="3"/>
      </tp>
      <tp t="s">
        <v>—</v>
        <stp/>
        <stp>##V3_BDHV12</stp>
        <stp>XOM US Equity</stp>
        <stp>BS_LT_INVEST</stp>
        <stp>FQ2 1992</stp>
        <stp>FQ2 1992</stp>
        <stp>[FA1_ftkzu3fn.xlsx]Bal Sheet - Standardized!R20C12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20" s="3"/>
      </tp>
      <tp t="s">
        <v>—</v>
        <stp/>
        <stp>##V3_BDHV12</stp>
        <stp>XOM US Equity</stp>
        <stp>BS_LT_INVEST</stp>
        <stp>FQ1 1995</stp>
        <stp>FQ1 1995</stp>
        <stp>[FA1_ftkzu3fn.xlsx]Bal Sheet - Standardized!R20C23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20" s="3"/>
      </tp>
      <tp>
        <v>73208</v>
        <stp/>
        <stp>##V3_BDHV12</stp>
        <stp>XOM US Equity</stp>
        <stp>BS_TOT_NON_CUR_ASSET</stp>
        <stp>FQ3 1995</stp>
        <stp>FQ3 1995</stp>
        <stp>[FA1_ftkzu3fn.xlsx]Bal Sheet - Standardized!R23C25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23" s="3"/>
      </tp>
      <tp>
        <v>0</v>
        <stp/>
        <stp>##V3_BDHV12</stp>
        <stp>XOM US Equity</stp>
        <stp>BS_LT_INVEST</stp>
        <stp>FQ2 1993</stp>
        <stp>FQ2 1993</stp>
        <stp>[FA1_ftkzu3fn.xlsx]Bal Sheet - Standardized!R20C16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20" s="3"/>
      </tp>
      <tp>
        <v>8362</v>
        <stp/>
        <stp>##V3_BDHV12</stp>
        <stp>XOM US Equity</stp>
        <stp>BS_LT_BORROW</stp>
        <stp>FQ3 1995</stp>
        <stp>FQ3 1995</stp>
        <stp>[FA1_ftkzu3fn.xlsx]Bal Sheet - Standardized!R33C25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33" s="3"/>
      </tp>
      <tp>
        <v>6927</v>
        <stp/>
        <stp>##V3_BDHV12</stp>
        <stp>XOM US Equity</stp>
        <stp>BS_LT_BORROW</stp>
        <stp>FQ2 1998</stp>
        <stp>FQ2 1998</stp>
        <stp>[FA1_ftkzu3fn.xlsx]Bal Sheet - Standardized!R33C36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33" s="3"/>
      </tp>
      <tp>
        <v>7224</v>
        <stp/>
        <stp>##V3_BDHV12</stp>
        <stp>XOM US Equity</stp>
        <stp>BS_LT_BORROW</stp>
        <stp>FQ3 1996</stp>
        <stp>FQ3 1996</stp>
        <stp>[FA1_ftkzu3fn.xlsx]Bal Sheet - Standardized!R33C29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33" s="3"/>
      </tp>
      <tp>
        <v>74936</v>
        <stp/>
        <stp>##V3_BDHV12</stp>
        <stp>XOM US Equity</stp>
        <stp>BS_TOT_NON_CUR_ASSET</stp>
        <stp>FQ2 1998</stp>
        <stp>FQ2 1998</stp>
        <stp>[FA1_ftkzu3fn.xlsx]Bal Sheet - Standardized!R23C36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23" s="3"/>
      </tp>
      <tp>
        <v>74890</v>
        <stp/>
        <stp>##V3_BDHV12</stp>
        <stp>XOM US Equity</stp>
        <stp>BS_TOT_NON_CUR_ASSET</stp>
        <stp>FQ3 1996</stp>
        <stp>FQ3 1996</stp>
        <stp>[FA1_ftkzu3fn.xlsx]Bal Sheet - Standardized!R23C29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23" s="3"/>
      </tp>
      <tp t="s">
        <v>—</v>
        <stp/>
        <stp>##V3_BDHV12</stp>
        <stp>XOM US Equity</stp>
        <stp>FREE_CASH_FLOW_PER_SH</stp>
        <stp>FQ1 1993</stp>
        <stp>FQ1 1993</stp>
        <stp>[FA1_ftkzu3fn.xlsx]Cash Flow - Standardized!R43C15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43" s="4"/>
      </tp>
      <tp t="s">
        <v>—</v>
        <stp/>
        <stp>##V3_BDHV12</stp>
        <stp>XOM US Equity</stp>
        <stp>FREE_CASH_FLOW_PER_SH</stp>
        <stp>FQ3 1993</stp>
        <stp>FQ3 1993</stp>
        <stp>[FA1_ftkzu3fn.xlsx]Cash Flow - Standardized!R43C17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43" s="4"/>
      </tp>
      <tp t="s">
        <v>—</v>
        <stp/>
        <stp>##V3_BDHV12</stp>
        <stp>XOM US Equity</stp>
        <stp>FREE_CASH_FLOW_PER_SH</stp>
        <stp>FQ2 1993</stp>
        <stp>FQ2 1993</stp>
        <stp>[FA1_ftkzu3fn.xlsx]Cash Flow - Standardized!R43C16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43" s="4"/>
      </tp>
      <tp>
        <v>0.25569999999999998</v>
        <stp/>
        <stp>##V3_BDHV12</stp>
        <stp>XOM US Equity</stp>
        <stp>FREE_CASH_FLOW_PER_SH</stp>
        <stp>FQ4 1995</stp>
        <stp>FQ4 1995</stp>
        <stp>[FA1_ftkzu3fn.xlsx]Cash Flow - Standardized!R43C26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43" s="4"/>
      </tp>
      <tp>
        <v>0.37909999999999999</v>
        <stp/>
        <stp>##V3_BDHV12</stp>
        <stp>XOM US Equity</stp>
        <stp>FREE_CASH_FLOW_PER_SH</stp>
        <stp>FQ1 1995</stp>
        <stp>FQ1 1995</stp>
        <stp>[FA1_ftkzu3fn.xlsx]Cash Flow - Standardized!R43C23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43" s="4"/>
      </tp>
      <tp>
        <v>0.1154</v>
        <stp/>
        <stp>##V3_BDHV12</stp>
        <stp>XOM US Equity</stp>
        <stp>FREE_CASH_FLOW_PER_SH</stp>
        <stp>FQ4 1997</stp>
        <stp>FQ4 1997</stp>
        <stp>[FA1_ftkzu3fn.xlsx]Cash Flow - Standardized!R43C34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43" s="4"/>
      </tp>
      <tp>
        <v>0.4289</v>
        <stp/>
        <stp>##V3_BDHV12</stp>
        <stp>XOM US Equity</stp>
        <stp>FREE_CASH_FLOW_PER_SH</stp>
        <stp>FQ3 1997</stp>
        <stp>FQ3 1997</stp>
        <stp>[FA1_ftkzu3fn.xlsx]Cash Flow - Standardized!R43C33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43" s="4"/>
      </tp>
      <tp>
        <v>0.31530000000000002</v>
        <stp/>
        <stp>##V3_BDHV12</stp>
        <stp>XOM US Equity</stp>
        <stp>FREE_CASH_FLOW_PER_SH</stp>
        <stp>FQ2 1997</stp>
        <stp>FQ2 1997</stp>
        <stp>[FA1_ftkzu3fn.xlsx]Cash Flow - Standardized!R43C32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43" s="4"/>
      </tp>
      <tp>
        <v>0.61050000000000004</v>
        <stp/>
        <stp>##V3_BDHV12</stp>
        <stp>XOM US Equity</stp>
        <stp>FREE_CASH_FLOW_PER_SH</stp>
        <stp>FQ1 1997</stp>
        <stp>FQ1 1997</stp>
        <stp>[FA1_ftkzu3fn.xlsx]Cash Flow - Standardized!R43C31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43" s="4"/>
      </tp>
      <tp>
        <v>6.2495000000000003</v>
        <stp/>
        <stp>##V3_BDHV12</stp>
        <stp>XOM US Equity</stp>
        <stp>BOOK_VAL_PER_SH</stp>
        <stp>FQ2 1990</stp>
        <stp>FQ2 1990</stp>
        <stp>[FA1_ftkzu3fn.xlsx]Per Share!R26C4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26" s="5"/>
      </tp>
      <tp>
        <v>6.4619</v>
        <stp/>
        <stp>##V3_BDHV12</stp>
        <stp>XOM US Equity</stp>
        <stp>BOOK_VAL_PER_SH</stp>
        <stp>FQ3 1990</stp>
        <stp>FQ3 1990</stp>
        <stp>[FA1_ftkzu3fn.xlsx]Per Share!R26C5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26" s="5"/>
      </tp>
      <tp>
        <v>8.3487000000000009</v>
        <stp/>
        <stp>##V3_BDHV12</stp>
        <stp>XOM US Equity</stp>
        <stp>BOOK_VAL_PER_SH</stp>
        <stp>FQ3 1996</stp>
        <stp>FQ3 1996</stp>
        <stp>[FA1_ftkzu3fn.xlsx]Per Share!R26C29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26" s="5"/>
      </tp>
      <tp>
        <v>0.23</v>
        <stp/>
        <stp>##V3_BDHV12</stp>
        <stp>XOM US Equity</stp>
        <stp>IS_BASIC_EPS_CONT_OPS</stp>
        <stp>FQ3 1994</stp>
        <stp>FQ3 1994</stp>
        <stp>[FA1_ftkzu3fn.xlsx]Income - Adjusted!R30C21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30" s="2"/>
      </tp>
      <tp>
        <v>0.39500000000000002</v>
        <stp/>
        <stp>##V3_BDHV12</stp>
        <stp>XOM US Equity</stp>
        <stp>IS_BASIC_EPS_CONT_OPS</stp>
        <stp>FQ2 1997</stp>
        <stp>FQ2 1997</stp>
        <stp>[FA1_ftkzu3fn.xlsx]Income - Adjusted!R30C32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30" s="2"/>
      </tp>
      <tp t="s">
        <v>—</v>
        <stp/>
        <stp>##V3_BDHV12</stp>
        <stp>XOM US Equity</stp>
        <stp>IS_BASIC_EPS_CONT_OPS</stp>
        <stp>FQ2 1993</stp>
        <stp>FQ2 1993</stp>
        <stp>[FA1_ftkzu3fn.xlsx]Income - Adjusted!R30C16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30" s="2"/>
      </tp>
      <tp>
        <v>5024</v>
        <stp/>
        <stp>##V3_BDHV12</stp>
        <stp>XOM US Equity</stp>
        <stp>IS_SH_FOR_DILUTED_EPS</stp>
        <stp>FQ3 1996</stp>
        <stp>FQ3 1996</stp>
        <stp>[FA1_ftkzu3fn.xlsx]Income - Adjusted!R32C29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32" s="2"/>
      </tp>
      <tp>
        <v>0.18</v>
        <stp/>
        <stp>##V3_BDHV12</stp>
        <stp>XOM US Equity</stp>
        <stp>EQY_DPS</stp>
        <stp>FQ4 1993</stp>
        <stp>FQ4 1993</stp>
        <stp>[FA1_ftkzu3fn.xlsx]Income - Adjusted!R46C18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46" s="2"/>
      </tp>
      <tp>
        <v>-27</v>
        <stp/>
        <stp>##V3_BDHV12</stp>
        <stp>XOM US Equity</stp>
        <stp>CF_CHNG_NON_CASH_WORK_CAP</stp>
        <stp>FQ4 1993</stp>
        <stp>FQ4 1993</stp>
        <stp>[FA1_ftkzu3fn.xlsx]Cash Flow - Standardized!R11C18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11" s="4"/>
      </tp>
      <tp>
        <v>-83</v>
        <stp/>
        <stp>##V3_BDHV12</stp>
        <stp>XOM US Equity</stp>
        <stp>CF_CHNG_NON_CASH_WORK_CAP</stp>
        <stp>FQ4 1992</stp>
        <stp>FQ4 1992</stp>
        <stp>[FA1_ftkzu3fn.xlsx]Cash Flow - Standardized!R11C14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11" s="4"/>
      </tp>
      <tp t="s">
        <v>—</v>
        <stp/>
        <stp>##V3_BDHV12</stp>
        <stp>XOM US Equity</stp>
        <stp>CF_FREE_CASH_FLOW_FIRM</stp>
        <stp>FQ3 1994</stp>
        <stp>FQ3 1994</stp>
        <stp>[FA1_ftkzu3fn.xlsx]Cash Flow - Standardized!R41C21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U41" s="4"/>
      </tp>
      <tp t="s">
        <v>—</v>
        <stp/>
        <stp>##V3_BDHV12</stp>
        <stp>XOM US Equity</stp>
        <stp>CF_FREE_CASH_FLOW_FIRM</stp>
        <stp>FQ2 1994</stp>
        <stp>FQ2 1994</stp>
        <stp>[FA1_ftkzu3fn.xlsx]Cash Flow - Standardized!R41C20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T41" s="4"/>
      </tp>
      <tp>
        <v>646</v>
        <stp/>
        <stp>##V3_BDHV12</stp>
        <stp>XOM US Equity</stp>
        <stp>CF_CHNG_NON_CASH_WORK_CAP</stp>
        <stp>FQ4 1991</stp>
        <stp>FQ4 1991</stp>
        <stp>[FA1_ftkzu3fn.xlsx]Cash Flow - Standardized!R11C10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11" s="4"/>
      </tp>
      <tp>
        <v>0.22500000000000001</v>
        <stp/>
        <stp>##V3_BDHV12</stp>
        <stp>XOM US Equity</stp>
        <stp>IS_EPS</stp>
        <stp>FQ3 1992</stp>
        <stp>FQ3 1992</stp>
        <stp>[FA1_ftkzu3fn.xlsx]Income - Adjusted!R28C13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M28" s="2"/>
      </tp>
      <tp>
        <v>0.27250000000000002</v>
        <stp/>
        <stp>##V3_BDHV12</stp>
        <stp>XOM US Equity</stp>
        <stp>IS_EPS</stp>
        <stp>FQ3 1993</stp>
        <stp>FQ3 1993</stp>
        <stp>[FA1_ftkzu3fn.xlsx]Income - Adjusted!R28C17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Q28" s="2"/>
      </tp>
      <tp>
        <v>0.3</v>
        <stp/>
        <stp>##V3_BDHV12</stp>
        <stp>XOM US Equity</stp>
        <stp>IS_EPS</stp>
        <stp>FQ3 1995</stp>
        <stp>FQ3 1995</stp>
        <stp>[FA1_ftkzu3fn.xlsx]Income - Adjusted!R28C25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Y28" s="2"/>
      </tp>
      <tp>
        <v>0.23</v>
        <stp/>
        <stp>##V3_BDHV12</stp>
        <stp>XOM US Equity</stp>
        <stp>IS_EPS</stp>
        <stp>FQ3 1994</stp>
        <stp>FQ3 1994</stp>
        <stp>[FA1_ftkzu3fn.xlsx]Income - Adjusted!R28C21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U28" s="2"/>
      </tp>
      <tp>
        <v>0.31</v>
        <stp/>
        <stp>##V3_BDHV12</stp>
        <stp>XOM US Equity</stp>
        <stp>IS_EPS</stp>
        <stp>FQ3 1996</stp>
        <stp>FQ3 1996</stp>
        <stp>[FA1_ftkzu3fn.xlsx]Income - Adjusted!R28C29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C28" s="2"/>
      </tp>
      <tp>
        <v>0.37</v>
        <stp/>
        <stp>##V3_BDHV12</stp>
        <stp>XOM US Equity</stp>
        <stp>IS_EPS</stp>
        <stp>FQ3 1997</stp>
        <stp>FQ3 1997</stp>
        <stp>[FA1_ftkzu3fn.xlsx]Income - Adjusted!R28C33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G28" s="2"/>
      </tp>
      <tp>
        <v>0.33</v>
        <stp/>
        <stp>##V3_BDHV12</stp>
        <stp>XOM US Equity</stp>
        <stp>IS_EPS</stp>
        <stp>FQ2 1998</stp>
        <stp>FQ2 1998</stp>
        <stp>[FA1_ftkzu3fn.xlsx]Income - Adjusted!R28C36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J28" s="2"/>
      </tp>
      <tp>
        <v>0.245</v>
        <stp/>
        <stp>##V3_BDHV12</stp>
        <stp>XOM US Equity</stp>
        <stp>IS_EPS</stp>
        <stp>FQ2 1993</stp>
        <stp>FQ2 1993</stp>
        <stp>[FA1_ftkzu3fn.xlsx]Income - Adjusted!R28C16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P28" s="2"/>
      </tp>
      <tp>
        <v>0.19</v>
        <stp/>
        <stp>##V3_BDHV12</stp>
        <stp>XOM US Equity</stp>
        <stp>IS_EPS</stp>
        <stp>FQ2 1992</stp>
        <stp>FQ2 1992</stp>
        <stp>[FA1_ftkzu3fn.xlsx]Income - Adjusted!R28C12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L28" s="2"/>
      </tp>
      <tp>
        <v>0.17499999999999999</v>
        <stp/>
        <stp>##V3_BDHV12</stp>
        <stp>XOM US Equity</stp>
        <stp>IS_EPS</stp>
        <stp>FQ2 1994</stp>
        <stp>FQ2 1994</stp>
        <stp>[FA1_ftkzu3fn.xlsx]Income - Adjusted!R28C20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T28" s="2"/>
      </tp>
      <tp>
        <v>0.32500000000000001</v>
        <stp/>
        <stp>##V3_BDHV12</stp>
        <stp>XOM US Equity</stp>
        <stp>IS_EPS</stp>
        <stp>FQ2 1995</stp>
        <stp>FQ2 1995</stp>
        <stp>[FA1_ftkzu3fn.xlsx]Income - Adjusted!R28C24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X28" s="2"/>
      </tp>
      <tp>
        <v>0.315</v>
        <stp/>
        <stp>##V3_BDHV12</stp>
        <stp>XOM US Equity</stp>
        <stp>IS_EPS</stp>
        <stp>FQ2 1996</stp>
        <stp>FQ2 1996</stp>
        <stp>[FA1_ftkzu3fn.xlsx]Income - Adjusted!R28C28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B28" s="2"/>
      </tp>
      <tp>
        <v>0.39500000000000002</v>
        <stp/>
        <stp>##V3_BDHV12</stp>
        <stp>XOM US Equity</stp>
        <stp>IS_EPS</stp>
        <stp>FQ2 1997</stp>
        <stp>FQ2 1997</stp>
        <stp>[FA1_ftkzu3fn.xlsx]Income - Adjusted!R28C32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F28" s="2"/>
      </tp>
      <tp>
        <v>13.4968</v>
        <stp/>
        <stp>##V3_BDHV12</stp>
        <stp>XOM US Equity</stp>
        <stp>PX_TO_FREE_CASH_FLOW</stp>
        <stp>FQ1 1996</stp>
        <stp>FQ1 1996</stp>
        <stp>[FA1_ftkzu3fn.xlsx]Cash Flow - Standardized!R44C27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44" s="4"/>
      </tp>
      <tp>
        <v>0.38500000000000001</v>
        <stp/>
        <stp>##V3_BDHV12</stp>
        <stp>XOM US Equity</stp>
        <stp>IS_EPS</stp>
        <stp>FQ1 1998</stp>
        <stp>FQ1 1998</stp>
        <stp>[FA1_ftkzu3fn.xlsx]Income - Adjusted!R28C35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I28" s="2"/>
      </tp>
      <tp>
        <v>0.26750000000000002</v>
        <stp/>
        <stp>##V3_BDHV12</stp>
        <stp>XOM US Equity</stp>
        <stp>IS_EPS</stp>
        <stp>FQ1 1992</stp>
        <stp>FQ1 1992</stp>
        <stp>[FA1_ftkzu3fn.xlsx]Income - Adjusted!R28C11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K28" s="2"/>
      </tp>
      <tp>
        <v>0.23499999999999999</v>
        <stp/>
        <stp>##V3_BDHV12</stp>
        <stp>XOM US Equity</stp>
        <stp>IS_EPS</stp>
        <stp>FQ1 1993</stp>
        <stp>FQ1 1993</stp>
        <stp>[FA1_ftkzu3fn.xlsx]Income - Adjusted!R28C15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O28" s="2"/>
      </tp>
      <tp>
        <v>0.23</v>
        <stp/>
        <stp>##V3_BDHV12</stp>
        <stp>XOM US Equity</stp>
        <stp>IS_EPS</stp>
        <stp>FQ1 1994</stp>
        <stp>FQ1 1994</stp>
        <stp>[FA1_ftkzu3fn.xlsx]Income - Adjusted!R28C19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S28" s="2"/>
      </tp>
      <tp>
        <v>0.38</v>
        <stp/>
        <stp>##V3_BDHV12</stp>
        <stp>XOM US Equity</stp>
        <stp>IS_EPS</stp>
        <stp>FQ1 1996</stp>
        <stp>FQ1 1996</stp>
        <stp>[FA1_ftkzu3fn.xlsx]Income - Adjusted!R28C27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A28" s="2"/>
      </tp>
      <tp>
        <v>0.435</v>
        <stp/>
        <stp>##V3_BDHV12</stp>
        <stp>XOM US Equity</stp>
        <stp>IS_EPS</stp>
        <stp>FQ1 1997</stp>
        <stp>FQ1 1997</stp>
        <stp>[FA1_ftkzu3fn.xlsx]Income - Adjusted!R28C31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E28" s="2"/>
      </tp>
      <tp>
        <v>0.33250000000000002</v>
        <stp/>
        <stp>##V3_BDHV12</stp>
        <stp>XOM US Equity</stp>
        <stp>IS_EPS</stp>
        <stp>FQ1 1995</stp>
        <stp>FQ1 1995</stp>
        <stp>[FA1_ftkzu3fn.xlsx]Income - Adjusted!R28C23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W28" s="2"/>
      </tp>
      <tp>
        <v>0.505</v>
        <stp/>
        <stp>##V3_BDHV12</stp>
        <stp>XOM US Equity</stp>
        <stp>IS_EPS</stp>
        <stp>FQ4 1997</stp>
        <stp>FQ4 1997</stp>
        <stp>[FA1_ftkzu3fn.xlsx]Income - Adjusted!R28C34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H28" s="2"/>
      </tp>
      <tp>
        <v>0.5</v>
        <stp/>
        <stp>##V3_BDHV12</stp>
        <stp>XOM US Equity</stp>
        <stp>IS_EPS</stp>
        <stp>FQ4 1996</stp>
        <stp>FQ4 1996</stp>
        <stp>[FA1_ftkzu3fn.xlsx]Income - Adjusted!R28C30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D28" s="2"/>
      </tp>
      <tp>
        <v>0.38250000000000001</v>
        <stp/>
        <stp>##V3_BDHV12</stp>
        <stp>XOM US Equity</stp>
        <stp>IS_EPS</stp>
        <stp>FQ4 1994</stp>
        <stp>FQ4 1994</stp>
        <stp>[FA1_ftkzu3fn.xlsx]Income - Adjusted!R28C22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V28" s="2"/>
      </tp>
      <tp>
        <v>0.33750000000000002</v>
        <stp/>
        <stp>##V3_BDHV12</stp>
        <stp>XOM US Equity</stp>
        <stp>IS_EPS</stp>
        <stp>FQ4 1995</stp>
        <stp>FQ4 1995</stp>
        <stp>[FA1_ftkzu3fn.xlsx]Income - Adjusted!R28C26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Z28" s="2"/>
      </tp>
      <tp>
        <v>0.2225</v>
        <stp/>
        <stp>##V3_BDHV12</stp>
        <stp>XOM US Equity</stp>
        <stp>IS_EPS</stp>
        <stp>FQ4 1991</stp>
        <stp>FQ4 1991</stp>
        <stp>[FA1_ftkzu3fn.xlsx]Income - Adjusted!R28C10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J28" s="2"/>
      </tp>
      <tp>
        <v>0.3</v>
        <stp/>
        <stp>##V3_BDHV12</stp>
        <stp>XOM US Equity</stp>
        <stp>IS_EPS</stp>
        <stp>FQ4 1993</stp>
        <stp>FQ4 1993</stp>
        <stp>[FA1_ftkzu3fn.xlsx]Income - Adjusted!R28C18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R28" s="2"/>
      </tp>
      <tp>
        <v>0.31</v>
        <stp/>
        <stp>##V3_BDHV12</stp>
        <stp>XOM US Equity</stp>
        <stp>IS_EPS</stp>
        <stp>FQ4 1992</stp>
        <stp>FQ4 1992</stp>
        <stp>[FA1_ftkzu3fn.xlsx]Income - Adjusted!R28C14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N28" s="2"/>
      </tp>
      <tp>
        <v>0.22</v>
        <stp/>
        <stp>##V3_BDHV12</stp>
        <stp>XOM US Equity</stp>
        <stp>IS_EARN_BEF_XO_ITEMS_PER_SH</stp>
        <stp>FQ3 1991</stp>
        <stp>FQ3 1991</stp>
        <stp>[FA1_ftkzu3fn.xlsx]Income - Adjusted!R29C9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29" s="2"/>
      </tp>
      <tp>
        <v>0.22500000000000001</v>
        <stp/>
        <stp>##V3_BDHV12</stp>
        <stp>XOM US Equity</stp>
        <stp>IS_EARN_BEF_XO_ITEMS_PER_SH</stp>
        <stp>FQ2 1991</stp>
        <stp>FQ2 1991</stp>
        <stp>[FA1_ftkzu3fn.xlsx]Income - Adjusted!R29C8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29" s="2"/>
      </tp>
      <tp>
        <v>0.82740000000000002</v>
        <stp/>
        <stp>##V3_BDHV12</stp>
        <stp>XOM US Equity</stp>
        <stp>CASH_FLOW_PER_SH</stp>
        <stp>FQ3 1997</stp>
        <stp>FQ3 1997</stp>
        <stp>[FA1_ftkzu3fn.xlsx]Per Share!R22C33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22" s="5"/>
      </tp>
      <tp>
        <v>0.63970000000000005</v>
        <stp/>
        <stp>##V3_BDHV12</stp>
        <stp>XOM US Equity</stp>
        <stp>CASH_FLOW_PER_SH</stp>
        <stp>FQ3 1993</stp>
        <stp>FQ3 1993</stp>
        <stp>[FA1_ftkzu3fn.xlsx]Per Share!R22C17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22" s="5"/>
      </tp>
      <tp>
        <v>0.4138</v>
        <stp/>
        <stp>##V3_BDHV12</stp>
        <stp>XOM US Equity</stp>
        <stp>CASH_FLOW_PER_SH</stp>
        <stp>FQ2 1994</stp>
        <stp>FQ2 1994</stp>
        <stp>[FA1_ftkzu3fn.xlsx]Per Share!R22C20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22" s="5"/>
      </tp>
      <tp t="s">
        <v>—</v>
        <stp/>
        <stp>##V3_BDHV12</stp>
        <stp>XOM US Equity</stp>
        <stp>INVTRY_RAW_MATERIALS</stp>
        <stp>FQ4 1994</stp>
        <stp>FQ4 1994</stp>
        <stp>[FA1_ftkzu3fn.xlsx]Bal Sheet - Standardized!R12C22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12" s="3"/>
      </tp>
      <tp t="s">
        <v>—</v>
        <stp/>
        <stp>##V3_BDHV12</stp>
        <stp>XOM US Equity</stp>
        <stp>INVTRY_RAW_MATERIALS</stp>
        <stp>FQ4 1995</stp>
        <stp>FQ4 1995</stp>
        <stp>[FA1_ftkzu3fn.xlsx]Bal Sheet - Standardized!R12C26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12" s="3"/>
      </tp>
      <tp>
        <v>8754</v>
        <stp/>
        <stp>##V3_BDHV12</stp>
        <stp>XOM US Equity</stp>
        <stp>BS_LT_BORROW</stp>
        <stp>FQ2 1994</stp>
        <stp>FQ2 1994</stp>
        <stp>[FA1_ftkzu3fn.xlsx]Bal Sheet - Standardized!R33C20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33" s="3"/>
      </tp>
      <tp>
        <v>75437</v>
        <stp/>
        <stp>##V3_BDHV12</stp>
        <stp>XOM US Equity</stp>
        <stp>BS_TOT_NON_CUR_ASSET</stp>
        <stp>FQ3 1997</stp>
        <stp>FQ3 1997</stp>
        <stp>[FA1_ftkzu3fn.xlsx]Bal Sheet - Standardized!R23C33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23" s="3"/>
      </tp>
      <tp>
        <v>68557</v>
        <stp/>
        <stp>##V3_BDHV12</stp>
        <stp>XOM US Equity</stp>
        <stp>BS_TOT_NON_CUR_ASSET</stp>
        <stp>FQ1 1993</stp>
        <stp>FQ1 1993</stp>
        <stp>[FA1_ftkzu3fn.xlsx]Bal Sheet - Standardized!R23C15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23" s="3"/>
      </tp>
      <tp>
        <v>8855</v>
        <stp/>
        <stp>##V3_BDHV12</stp>
        <stp>XOM US Equity</stp>
        <stp>BS_LT_BORROW</stp>
        <stp>FQ1 1993</stp>
        <stp>FQ1 1993</stp>
        <stp>[FA1_ftkzu3fn.xlsx]Bal Sheet - Standardized!R33C15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33" s="3"/>
      </tp>
      <tp>
        <v>7281</v>
        <stp/>
        <stp>##V3_BDHV12</stp>
        <stp>XOM US Equity</stp>
        <stp>BS_LT_BORROW</stp>
        <stp>FQ3 1997</stp>
        <stp>FQ3 1997</stp>
        <stp>[FA1_ftkzu3fn.xlsx]Bal Sheet - Standardized!R33C33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33" s="3"/>
      </tp>
      <tp>
        <v>70116</v>
        <stp/>
        <stp>##V3_BDHV12</stp>
        <stp>XOM US Equity</stp>
        <stp>BS_TOT_NON_CUR_ASSET</stp>
        <stp>FQ2 1994</stp>
        <stp>FQ2 1994</stp>
        <stp>[FA1_ftkzu3fn.xlsx]Bal Sheet - Standardized!R23C20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23" s="3"/>
      </tp>
      <tp t="s">
        <v>—</v>
        <stp/>
        <stp>##V3_BDHV12</stp>
        <stp>XOM US Equity</stp>
        <stp>BS_LT_INVEST</stp>
        <stp>FQ3 1992</stp>
        <stp>FQ3 1992</stp>
        <stp>[FA1_ftkzu3fn.xlsx]Bal Sheet - Standardized!R20C13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20" s="3"/>
      </tp>
      <tp>
        <v>8508</v>
        <stp/>
        <stp>##V3_BDHV12</stp>
        <stp>XOM US Equity</stp>
        <stp>BS_LT_BORROW</stp>
        <stp>FQ1 1992</stp>
        <stp>FQ1 1992</stp>
        <stp>[FA1_ftkzu3fn.xlsx]Bal Sheet - Standardized!R33C11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33" s="3"/>
      </tp>
      <tp>
        <v>0</v>
        <stp/>
        <stp>##V3_BDHV12</stp>
        <stp>XOM US Equity</stp>
        <stp>BS_LT_INVEST</stp>
        <stp>FQ1 1997</stp>
        <stp>FQ1 1997</stp>
        <stp>[FA1_ftkzu3fn.xlsx]Bal Sheet - Standardized!R20C31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20" s="3"/>
      </tp>
      <tp>
        <v>73172</v>
        <stp/>
        <stp>##V3_BDHV12</stp>
        <stp>XOM US Equity</stp>
        <stp>BS_TOT_NON_CUR_ASSET</stp>
        <stp>FQ2 1995</stp>
        <stp>FQ2 1995</stp>
        <stp>[FA1_ftkzu3fn.xlsx]Bal Sheet - Standardized!R23C24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23" s="3"/>
      </tp>
      <tp>
        <v>0</v>
        <stp/>
        <stp>##V3_BDHV12</stp>
        <stp>XOM US Equity</stp>
        <stp>BS_LT_INVEST</stp>
        <stp>FQ3 1993</stp>
        <stp>FQ3 1993</stp>
        <stp>[FA1_ftkzu3fn.xlsx]Bal Sheet - Standardized!R20C17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20" s="3"/>
      </tp>
      <tp>
        <v>8550</v>
        <stp/>
        <stp>##V3_BDHV12</stp>
        <stp>XOM US Equity</stp>
        <stp>BS_LT_BORROW</stp>
        <stp>FQ2 1995</stp>
        <stp>FQ2 1995</stp>
        <stp>[FA1_ftkzu3fn.xlsx]Bal Sheet - Standardized!R33C24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33" s="3"/>
      </tp>
      <tp>
        <v>68837</v>
        <stp/>
        <stp>##V3_BDHV12</stp>
        <stp>XOM US Equity</stp>
        <stp>BS_TOT_NON_CUR_ASSET</stp>
        <stp>FQ1 1992</stp>
        <stp>FQ1 1992</stp>
        <stp>[FA1_ftkzu3fn.xlsx]Bal Sheet - Standardized!R23C11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23" s="3"/>
      </tp>
      <tp>
        <v>8712</v>
        <stp/>
        <stp>##V3_BDHV12</stp>
        <stp>XOM US Equity</stp>
        <stp>BS_LT_BORROW</stp>
        <stp>FQ1 1994</stp>
        <stp>FQ1 1994</stp>
        <stp>[FA1_ftkzu3fn.xlsx]Bal Sheet - Standardized!R33C19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33" s="3"/>
      </tp>
      <tp>
        <v>7566</v>
        <stp/>
        <stp>##V3_BDHV12</stp>
        <stp>XOM US Equity</stp>
        <stp>BS_LT_BORROW</stp>
        <stp>FQ2 1996</stp>
        <stp>FQ2 1996</stp>
        <stp>[FA1_ftkzu3fn.xlsx]Bal Sheet - Standardized!R33C28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33" s="3"/>
      </tp>
      <tp>
        <v>73995</v>
        <stp/>
        <stp>##V3_BDHV12</stp>
        <stp>XOM US Equity</stp>
        <stp>BS_TOT_NON_CUR_ASSET</stp>
        <stp>FQ2 1996</stp>
        <stp>FQ2 1996</stp>
        <stp>[FA1_ftkzu3fn.xlsx]Bal Sheet - Standardized!R23C28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23" s="3"/>
      </tp>
      <tp>
        <v>69166</v>
        <stp/>
        <stp>##V3_BDHV12</stp>
        <stp>XOM US Equity</stp>
        <stp>BS_TOT_NON_CUR_ASSET</stp>
        <stp>FQ1 1994</stp>
        <stp>FQ1 1994</stp>
        <stp>[FA1_ftkzu3fn.xlsx]Bal Sheet - Standardized!R23C19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23" s="3"/>
      </tp>
      <tp t="s">
        <v>—</v>
        <stp/>
        <stp>##V3_BDHV12</stp>
        <stp>XOM US Equity</stp>
        <stp>BS_LT_INVEST</stp>
        <stp>FQ1 1998</stp>
        <stp>FQ1 1998</stp>
        <stp>[FA1_ftkzu3fn.xlsx]Bal Sheet - Standardized!R20C35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20" s="3"/>
      </tp>
      <tp t="s">
        <v>—</v>
        <stp/>
        <stp>##V3_BDHV12</stp>
        <stp>XOM US Equity</stp>
        <stp>FREE_CASH_FLOW_PER_SH</stp>
        <stp>FQ2 1994</stp>
        <stp>FQ2 1994</stp>
        <stp>[FA1_ftkzu3fn.xlsx]Cash Flow - Standardized!R43C20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43" s="4"/>
      </tp>
      <tp t="s">
        <v>—</v>
        <stp/>
        <stp>##V3_BDHV12</stp>
        <stp>XOM US Equity</stp>
        <stp>FREE_CASH_FLOW_PER_SH</stp>
        <stp>FQ3 1994</stp>
        <stp>FQ3 1994</stp>
        <stp>[FA1_ftkzu3fn.xlsx]Cash Flow - Standardized!R43C21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43" s="4"/>
      </tp>
      <tp>
        <v>6.4465000000000003</v>
        <stp/>
        <stp>##V3_BDHV12</stp>
        <stp>XOM US Equity</stp>
        <stp>BOOK_VAL_PER_SH</stp>
        <stp>FQ1 1991</stp>
        <stp>FQ1 1991</stp>
        <stp>[FA1_ftkzu3fn.xlsx]Per Share!R26C7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26" s="5"/>
      </tp>
      <tp>
        <v>8.8629999999999995</v>
        <stp/>
        <stp>##V3_BDHV12</stp>
        <stp>XOM US Equity</stp>
        <stp>BOOK_VAL_PER_SH</stp>
        <stp>FQ2 1998</stp>
        <stp>FQ2 1998</stp>
        <stp>[FA1_ftkzu3fn.xlsx]Per Share!R26C36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26" s="5"/>
      </tp>
      <tp>
        <v>8.3299000000000003</v>
        <stp/>
        <stp>##V3_BDHV12</stp>
        <stp>XOM US Equity</stp>
        <stp>BOOK_VAL_PER_SH</stp>
        <stp>FQ2 1996</stp>
        <stp>FQ2 1996</stp>
        <stp>[FA1_ftkzu3fn.xlsx]Per Share!R26C28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26" s="5"/>
      </tp>
      <tp>
        <v>0.37</v>
        <stp/>
        <stp>##V3_BDHV12</stp>
        <stp>XOM US Equity</stp>
        <stp>IS_BASIC_EPS_CONT_OPS</stp>
        <stp>FQ3 1997</stp>
        <stp>FQ3 1997</stp>
        <stp>[FA1_ftkzu3fn.xlsx]Income - Adjusted!R30C33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30" s="2"/>
      </tp>
      <tp>
        <v>0.27250000000000002</v>
        <stp/>
        <stp>##V3_BDHV12</stp>
        <stp>XOM US Equity</stp>
        <stp>IS_BASIC_EPS_CONT_OPS</stp>
        <stp>FQ3 1993</stp>
        <stp>FQ3 1993</stp>
        <stp>[FA1_ftkzu3fn.xlsx]Income - Adjusted!R30C17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30" s="2"/>
      </tp>
      <tp>
        <v>0.17499999999999999</v>
        <stp/>
        <stp>##V3_BDHV12</stp>
        <stp>XOM US Equity</stp>
        <stp>IS_BASIC_EPS_CONT_OPS</stp>
        <stp>FQ2 1994</stp>
        <stp>FQ2 1994</stp>
        <stp>[FA1_ftkzu3fn.xlsx]Income - Adjusted!R30C20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30" s="2"/>
      </tp>
      <tp t="s">
        <v>—</v>
        <stp/>
        <stp>##V3_BDHV12</stp>
        <stp>XOM US Equity</stp>
        <stp>DISP_FXD_&amp;_INTANGIBLES_DETAILED</stp>
        <stp>FQ4 1993</stp>
        <stp>FQ4 1993</stp>
        <stp>[FA1_ftkzu3fn.xlsx]Cash Flow - Standardized!R17C18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17" s="4"/>
      </tp>
      <tp t="s">
        <v>—</v>
        <stp/>
        <stp>##V3_BDHV12</stp>
        <stp>XOM US Equity</stp>
        <stp>DISP_FXD_&amp;_INTANGIBLES_DETAILED</stp>
        <stp>FQ4 1992</stp>
        <stp>FQ4 1992</stp>
        <stp>[FA1_ftkzu3fn.xlsx]Cash Flow - Standardized!R17C14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17" s="4"/>
      </tp>
      <tp>
        <v>4950</v>
        <stp/>
        <stp>##V3_BDHV12</stp>
        <stp>XOM US Equity</stp>
        <stp>IS_SH_FOR_DILUTED_EPS</stp>
        <stp>FQ2 1998</stp>
        <stp>FQ2 1998</stp>
        <stp>[FA1_ftkzu3fn.xlsx]Income - Adjusted!R32C36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32" s="2"/>
      </tp>
      <tp>
        <v>5024</v>
        <stp/>
        <stp>##V3_BDHV12</stp>
        <stp>XOM US Equity</stp>
        <stp>IS_SH_FOR_DILUTED_EPS</stp>
        <stp>FQ2 1996</stp>
        <stp>FQ2 1996</stp>
        <stp>[FA1_ftkzu3fn.xlsx]Income - Adjusted!R32C28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32" s="2"/>
      </tp>
      <tp t="s">
        <v>—</v>
        <stp/>
        <stp>##V3_BDHV12</stp>
        <stp>XOM US Equity</stp>
        <stp>DISP_FXD_&amp;_INTANGIBLES_DETAILED</stp>
        <stp>FQ4 1991</stp>
        <stp>FQ4 1991</stp>
        <stp>[FA1_ftkzu3fn.xlsx]Cash Flow - Standardized!R17C10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17" s="4"/>
      </tp>
      <tp>
        <v>0.5968</v>
        <stp/>
        <stp>##V3_BDHV12</stp>
        <stp>XOM US Equity</stp>
        <stp>EBITDA_PER_SH</stp>
        <stp>FQ3 1993</stp>
        <stp>FQ3 1993</stp>
        <stp>[FA1_ftkzu3fn.xlsx]Per Share!R12C17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Q12" s="5"/>
      </tp>
      <tp>
        <v>0.622</v>
        <stp/>
        <stp>##V3_BDHV12</stp>
        <stp>XOM US Equity</stp>
        <stp>EBITDA_PER_SH</stp>
        <stp>FQ3 1992</stp>
        <stp>FQ3 1992</stp>
        <stp>[FA1_ftkzu3fn.xlsx]Per Share!R12C13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M12" s="5"/>
      </tp>
      <tp>
        <v>0.60899999999999999</v>
        <stp/>
        <stp>##V3_BDHV12</stp>
        <stp>XOM US Equity</stp>
        <stp>EBITDA_PER_SH</stp>
        <stp>FQ3 1994</stp>
        <stp>FQ3 1994</stp>
        <stp>[FA1_ftkzu3fn.xlsx]Per Share!R12C21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U12" s="5"/>
      </tp>
      <tp>
        <v>0.74790000000000001</v>
        <stp/>
        <stp>##V3_BDHV12</stp>
        <stp>XOM US Equity</stp>
        <stp>EBITDA_PER_SH</stp>
        <stp>FQ3 1995</stp>
        <stp>FQ3 1995</stp>
        <stp>[FA1_ftkzu3fn.xlsx]Per Share!R12C25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Y12" s="5"/>
      </tp>
      <tp>
        <v>0.80189999999999995</v>
        <stp/>
        <stp>##V3_BDHV12</stp>
        <stp>XOM US Equity</stp>
        <stp>EBITDA_PER_SH</stp>
        <stp>FQ3 1997</stp>
        <stp>FQ3 1997</stp>
        <stp>[FA1_ftkzu3fn.xlsx]Per Share!R12C33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G12" s="5"/>
      </tp>
      <tp>
        <v>0.73270000000000002</v>
        <stp/>
        <stp>##V3_BDHV12</stp>
        <stp>XOM US Equity</stp>
        <stp>EBITDA_PER_SH</stp>
        <stp>FQ3 1996</stp>
        <stp>FQ3 1996</stp>
        <stp>[FA1_ftkzu3fn.xlsx]Per Share!R12C29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C12" s="5"/>
      </tp>
      <tp>
        <v>0.67620000000000002</v>
        <stp/>
        <stp>##V3_BDHV12</stp>
        <stp>XOM US Equity</stp>
        <stp>EBITDA_PER_SH</stp>
        <stp>FQ2 1998</stp>
        <stp>FQ2 1998</stp>
        <stp>[FA1_ftkzu3fn.xlsx]Per Share!R12C36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J12" s="5"/>
      </tp>
      <tp>
        <v>0.50929999999999997</v>
        <stp/>
        <stp>##V3_BDHV12</stp>
        <stp>XOM US Equity</stp>
        <stp>EBITDA_PER_SH</stp>
        <stp>FQ2 1992</stp>
        <stp>FQ2 1992</stp>
        <stp>[FA1_ftkzu3fn.xlsx]Per Share!R12C12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L12" s="5"/>
      </tp>
      <tp>
        <v>0.58379999999999999</v>
        <stp/>
        <stp>##V3_BDHV12</stp>
        <stp>XOM US Equity</stp>
        <stp>EBITDA_PER_SH</stp>
        <stp>FQ2 1993</stp>
        <stp>FQ2 1993</stp>
        <stp>[FA1_ftkzu3fn.xlsx]Per Share!R12C16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P12" s="5"/>
      </tp>
      <tp>
        <v>0.74060000000000004</v>
        <stp/>
        <stp>##V3_BDHV12</stp>
        <stp>XOM US Equity</stp>
        <stp>EBITDA_PER_SH</stp>
        <stp>FQ2 1995</stp>
        <stp>FQ2 1995</stp>
        <stp>[FA1_ftkzu3fn.xlsx]Per Share!R12C24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X12" s="5"/>
      </tp>
      <tp>
        <v>0.52310000000000001</v>
        <stp/>
        <stp>##V3_BDHV12</stp>
        <stp>XOM US Equity</stp>
        <stp>EBITDA_PER_SH</stp>
        <stp>FQ2 1994</stp>
        <stp>FQ2 1994</stp>
        <stp>[FA1_ftkzu3fn.xlsx]Per Share!R12C20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T12" s="5"/>
      </tp>
      <tp>
        <v>0.84140000000000004</v>
        <stp/>
        <stp>##V3_BDHV12</stp>
        <stp>XOM US Equity</stp>
        <stp>EBITDA_PER_SH</stp>
        <stp>FQ2 1997</stp>
        <stp>FQ2 1997</stp>
        <stp>[FA1_ftkzu3fn.xlsx]Per Share!R12C32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F12" s="5"/>
      </tp>
      <tp>
        <v>0.72219999999999995</v>
        <stp/>
        <stp>##V3_BDHV12</stp>
        <stp>XOM US Equity</stp>
        <stp>EBITDA_PER_SH</stp>
        <stp>FQ2 1996</stp>
        <stp>FQ2 1996</stp>
        <stp>[FA1_ftkzu3fn.xlsx]Per Share!R12C28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B12" s="5"/>
      </tp>
      <tp>
        <v>0.75970000000000004</v>
        <stp/>
        <stp>##V3_BDHV12</stp>
        <stp>XOM US Equity</stp>
        <stp>EBITDA_PER_SH</stp>
        <stp>FQ1 1998</stp>
        <stp>FQ1 1998</stp>
        <stp>[FA1_ftkzu3fn.xlsx]Per Share!R12C35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I12" s="5"/>
      </tp>
      <tp>
        <v>0.58689999999999998</v>
        <stp/>
        <stp>##V3_BDHV12</stp>
        <stp>XOM US Equity</stp>
        <stp>EBITDA_PER_SH</stp>
        <stp>FQ1 1993</stp>
        <stp>FQ1 1993</stp>
        <stp>[FA1_ftkzu3fn.xlsx]Per Share!R12C15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O12" s="5"/>
      </tp>
      <tp>
        <v>0.62129999999999996</v>
        <stp/>
        <stp>##V3_BDHV12</stp>
        <stp>XOM US Equity</stp>
        <stp>EBITDA_PER_SH</stp>
        <stp>FQ1 1992</stp>
        <stp>FQ1 1992</stp>
        <stp>[FA1_ftkzu3fn.xlsx]Per Share!R12C11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K12" s="5"/>
      </tp>
      <tp>
        <v>0.74419999999999997</v>
        <stp/>
        <stp>##V3_BDHV12</stp>
        <stp>XOM US Equity</stp>
        <stp>EBITDA_PER_SH</stp>
        <stp>FQ1 1996</stp>
        <stp>FQ1 1996</stp>
        <stp>[FA1_ftkzu3fn.xlsx]Per Share!R12C27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A12" s="5"/>
      </tp>
      <tp>
        <v>0.91969999999999996</v>
        <stp/>
        <stp>##V3_BDHV12</stp>
        <stp>XOM US Equity</stp>
        <stp>EBITDA_PER_SH</stp>
        <stp>FQ1 1997</stp>
        <stp>FQ1 1997</stp>
        <stp>[FA1_ftkzu3fn.xlsx]Per Share!R12C31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E12" s="5"/>
      </tp>
      <tp>
        <v>0.60629999999999995</v>
        <stp/>
        <stp>##V3_BDHV12</stp>
        <stp>XOM US Equity</stp>
        <stp>EBITDA_PER_SH</stp>
        <stp>FQ1 1994</stp>
        <stp>FQ1 1994</stp>
        <stp>[FA1_ftkzu3fn.xlsx]Per Share!R12C19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S12" s="5"/>
      </tp>
      <tp>
        <v>0.70089999999999997</v>
        <stp/>
        <stp>##V3_BDHV12</stp>
        <stp>XOM US Equity</stp>
        <stp>EBITDA_PER_SH</stp>
        <stp>FQ1 1995</stp>
        <stp>FQ1 1995</stp>
        <stp>[FA1_ftkzu3fn.xlsx]Per Share!R12C23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W12" s="5"/>
      </tp>
      <tp>
        <v>1.9281000000000001</v>
        <stp/>
        <stp>##V3_BDHV12</stp>
        <stp>XOM US Equity</stp>
        <stp>EBITDA_PER_SH</stp>
        <stp>FQ4 1996</stp>
        <stp>FQ4 1996</stp>
        <stp>[FA1_ftkzu3fn.xlsx]Per Share!R12C30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D12" s="5"/>
      </tp>
      <tp>
        <v>1.4578</v>
        <stp/>
        <stp>##V3_BDHV12</stp>
        <stp>XOM US Equity</stp>
        <stp>EBITDA_PER_SH</stp>
        <stp>FQ4 1997</stp>
        <stp>FQ4 1997</stp>
        <stp>[FA1_ftkzu3fn.xlsx]Per Share!R12C34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H12" s="5"/>
      </tp>
      <tp>
        <v>1.3043</v>
        <stp/>
        <stp>##V3_BDHV12</stp>
        <stp>XOM US Equity</stp>
        <stp>EBITDA_PER_SH</stp>
        <stp>FQ4 1995</stp>
        <stp>FQ4 1995</stp>
        <stp>[FA1_ftkzu3fn.xlsx]Per Share!R12C26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Z12" s="5"/>
      </tp>
      <tp>
        <v>1.5038</v>
        <stp/>
        <stp>##V3_BDHV12</stp>
        <stp>XOM US Equity</stp>
        <stp>EBITDA_PER_SH</stp>
        <stp>FQ4 1994</stp>
        <stp>FQ4 1994</stp>
        <stp>[FA1_ftkzu3fn.xlsx]Per Share!R12C22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V12" s="5"/>
      </tp>
      <tp>
        <v>1.3256000000000001</v>
        <stp/>
        <stp>##V3_BDHV12</stp>
        <stp>XOM US Equity</stp>
        <stp>EBITDA_PER_SH</stp>
        <stp>FQ4 1991</stp>
        <stp>FQ4 1991</stp>
        <stp>[FA1_ftkzu3fn.xlsx]Per Share!R12C10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J12" s="5"/>
      </tp>
      <tp>
        <v>1.2984</v>
        <stp/>
        <stp>##V3_BDHV12</stp>
        <stp>XOM US Equity</stp>
        <stp>EBITDA_PER_SH</stp>
        <stp>FQ4 1992</stp>
        <stp>FQ4 1992</stp>
        <stp>[FA1_ftkzu3fn.xlsx]Per Share!R12C14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N12" s="5"/>
      </tp>
      <tp>
        <v>1.3538000000000001</v>
        <stp/>
        <stp>##V3_BDHV12</stp>
        <stp>XOM US Equity</stp>
        <stp>EBITDA_PER_SH</stp>
        <stp>FQ4 1993</stp>
        <stp>FQ4 1993</stp>
        <stp>[FA1_ftkzu3fn.xlsx]Per Share!R12C18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R12" s="5"/>
      </tp>
      <tp>
        <v>23</v>
        <stp/>
        <stp>##V3_BDHV12</stp>
        <stp>XOM US Equity</stp>
        <stp>CF_CHNG_NON_CASH_WORK_CAP</stp>
        <stp>FQ4 1994</stp>
        <stp>FQ4 1994</stp>
        <stp>[FA1_ftkzu3fn.xlsx]Cash Flow - Standardized!R11C22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11" s="4"/>
      </tp>
      <tp t="s">
        <v>—</v>
        <stp/>
        <stp>##V3_BDHV12</stp>
        <stp>XOM US Equity</stp>
        <stp>CF_FREE_CASH_FLOW_FIRM</stp>
        <stp>FQ4 1991</stp>
        <stp>FQ4 1991</stp>
        <stp>[FA1_ftkzu3fn.xlsx]Cash Flow - Standardized!R41C10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J41" s="4"/>
      </tp>
      <tp>
        <v>-119</v>
        <stp/>
        <stp>##V3_BDHV12</stp>
        <stp>XOM US Equity</stp>
        <stp>CF_CHNG_NON_CASH_WORK_CAP</stp>
        <stp>FQ4 1995</stp>
        <stp>FQ4 1995</stp>
        <stp>[FA1_ftkzu3fn.xlsx]Cash Flow - Standardized!R11C26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11" s="4"/>
      </tp>
      <tp t="s">
        <v>—</v>
        <stp/>
        <stp>##V3_BDHV12</stp>
        <stp>XOM US Equity</stp>
        <stp>PX_TO_FREE_CASH_FLOW</stp>
        <stp>FQ3 1995</stp>
        <stp>FQ3 1995</stp>
        <stp>[FA1_ftkzu3fn.xlsx]Cash Flow - Standardized!R44C25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44" s="4"/>
      </tp>
      <tp t="s">
        <v>—</v>
        <stp/>
        <stp>##V3_BDHV12</stp>
        <stp>XOM US Equity</stp>
        <stp>PX_TO_FREE_CASH_FLOW</stp>
        <stp>FQ2 1995</stp>
        <stp>FQ2 1995</stp>
        <stp>[FA1_ftkzu3fn.xlsx]Cash Flow - Standardized!R44C24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44" s="4"/>
      </tp>
      <tp t="s">
        <v>—</v>
        <stp/>
        <stp>##V3_BDHV12</stp>
        <stp>XOM US Equity</stp>
        <stp>CF_CASH_FROM_INV_ACT</stp>
        <stp>FQ3 1991</stp>
        <stp>FQ3 1991</stp>
        <stp>[FA1_ftkzu3fn.xlsx]Cash Flow - Standardized!R23C9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3" s="4"/>
      </tp>
      <tp t="s">
        <v>—</v>
        <stp/>
        <stp>##V3_BDHV12</stp>
        <stp>XOM US Equity</stp>
        <stp>CF_CASH_FROM_INV_ACT</stp>
        <stp>FQ2 1991</stp>
        <stp>FQ2 1991</stp>
        <stp>[FA1_ftkzu3fn.xlsx]Cash Flow - Standardized!R23C8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3" s="4"/>
      </tp>
      <tp t="s">
        <v>—</v>
        <stp/>
        <stp>##V3_BDHV12</stp>
        <stp>XOM US Equity</stp>
        <stp>CF_CASH_FROM_INV_ACT</stp>
        <stp>FQ2 1990</stp>
        <stp>FQ2 1990</stp>
        <stp>[FA1_ftkzu3fn.xlsx]Cash Flow - Standardized!R23C4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3" s="4"/>
      </tp>
      <tp t="s">
        <v>—</v>
        <stp/>
        <stp>##V3_BDHV12</stp>
        <stp>XOM US Equity</stp>
        <stp>CF_CASH_FROM_INV_ACT</stp>
        <stp>FQ3 1990</stp>
        <stp>FQ3 1990</stp>
        <stp>[FA1_ftkzu3fn.xlsx]Cash Flow - Standardized!R23C5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3" s="4"/>
      </tp>
      <tp t="s">
        <v>—</v>
        <stp/>
        <stp>##V3_BDHV12</stp>
        <stp>XOM US Equity</stp>
        <stp>CF_CASH_FROM_INV_ACT</stp>
        <stp>FQ1 1991</stp>
        <stp>FQ1 1991</stp>
        <stp>[FA1_ftkzu3fn.xlsx]Cash Flow - Standardized!R23C7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3" s="4"/>
      </tp>
      <tp t="s">
        <v>—</v>
        <stp/>
        <stp>##V3_BDHV12</stp>
        <stp>XOM US Equity</stp>
        <stp>CF_CASH_FROM_INV_ACT</stp>
        <stp>FQ1 1990</stp>
        <stp>FQ1 1990</stp>
        <stp>[FA1_ftkzu3fn.xlsx]Cash Flow - Standardized!R23C3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3" s="4"/>
      </tp>
      <tp t="s">
        <v>—</v>
        <stp/>
        <stp>##V3_BDHV12</stp>
        <stp>XOM US Equity</stp>
        <stp>CF_CASH_FROM_INV_ACT</stp>
        <stp>FQ4 1990</stp>
        <stp>FQ4 1990</stp>
        <stp>[FA1_ftkzu3fn.xlsx]Cash Flow - Standardized!R23C6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3" s="4"/>
      </tp>
      <tp t="s">
        <v>—</v>
        <stp/>
        <stp>##V3_BDHV12</stp>
        <stp>XOM US Equity</stp>
        <stp>INVTRY_RAW_MATERIALS</stp>
        <stp>FQ4 1992</stp>
        <stp>FQ4 1992</stp>
        <stp>[FA1_ftkzu3fn.xlsx]Bal Sheet - Standardized!R12C14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12" s="3"/>
      </tp>
      <tp t="s">
        <v>—</v>
        <stp/>
        <stp>##V3_BDHV12</stp>
        <stp>XOM US Equity</stp>
        <stp>INVTRY_RAW_MATERIALS</stp>
        <stp>FQ4 1991</stp>
        <stp>FQ4 1991</stp>
        <stp>[FA1_ftkzu3fn.xlsx]Bal Sheet - Standardized!R12C10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12" s="3"/>
      </tp>
      <tp t="s">
        <v>—</v>
        <stp/>
        <stp>##V3_BDHV12</stp>
        <stp>XOM US Equity</stp>
        <stp>INVTRY_RAW_MATERIALS</stp>
        <stp>FQ4 1993</stp>
        <stp>FQ4 1993</stp>
        <stp>[FA1_ftkzu3fn.xlsx]Bal Sheet - Standardized!R12C18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12" s="3"/>
      </tp>
      <tp t="s">
        <v>—</v>
        <stp/>
        <stp>##V3_BDHV12</stp>
        <stp>XOM US Equity</stp>
        <stp>BS_LT_INVEST</stp>
        <stp>FQ3 1995</stp>
        <stp>FQ3 1995</stp>
        <stp>[FA1_ftkzu3fn.xlsx]Bal Sheet - Standardized!R20C25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20" s="3"/>
      </tp>
      <tp>
        <v>72819</v>
        <stp/>
        <stp>##V3_BDHV12</stp>
        <stp>XOM US Equity</stp>
        <stp>BS_TOT_NON_CUR_ASSET</stp>
        <stp>FQ1 1995</stp>
        <stp>FQ1 1995</stp>
        <stp>[FA1_ftkzu3fn.xlsx]Bal Sheet - Standardized!R23C23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23" s="3"/>
      </tp>
      <tp>
        <v>68294</v>
        <stp/>
        <stp>##V3_BDHV12</stp>
        <stp>XOM US Equity</stp>
        <stp>BS_TOT_NON_CUR_ASSET</stp>
        <stp>FQ2 1993</stp>
        <stp>FQ2 1993</stp>
        <stp>[FA1_ftkzu3fn.xlsx]Bal Sheet - Standardized!R23C16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23" s="3"/>
      </tp>
      <tp>
        <v>8692</v>
        <stp/>
        <stp>##V3_BDHV12</stp>
        <stp>XOM US Equity</stp>
        <stp>BS_LT_BORROW</stp>
        <stp>FQ2 1993</stp>
        <stp>FQ2 1993</stp>
        <stp>[FA1_ftkzu3fn.xlsx]Bal Sheet - Standardized!R33C16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33" s="3"/>
      </tp>
      <tp>
        <v>9178</v>
        <stp/>
        <stp>##V3_BDHV12</stp>
        <stp>XOM US Equity</stp>
        <stp>BS_LT_BORROW</stp>
        <stp>FQ1 1995</stp>
        <stp>FQ1 1995</stp>
        <stp>[FA1_ftkzu3fn.xlsx]Bal Sheet - Standardized!R33C23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33" s="3"/>
      </tp>
      <tp>
        <v>7679</v>
        <stp/>
        <stp>##V3_BDHV12</stp>
        <stp>XOM US Equity</stp>
        <stp>BS_LT_BORROW</stp>
        <stp>FQ1 1996</stp>
        <stp>FQ1 1996</stp>
        <stp>[FA1_ftkzu3fn.xlsx]Bal Sheet - Standardized!R33C27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33" s="3"/>
      </tp>
      <tp>
        <v>73615</v>
        <stp/>
        <stp>##V3_BDHV12</stp>
        <stp>XOM US Equity</stp>
        <stp>BS_TOT_NON_CUR_ASSET</stp>
        <stp>FQ1 1996</stp>
        <stp>FQ1 1996</stp>
        <stp>[FA1_ftkzu3fn.xlsx]Bal Sheet - Standardized!R23C27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23" s="3"/>
      </tp>
      <tp>
        <v>8485</v>
        <stp/>
        <stp>##V3_BDHV12</stp>
        <stp>XOM US Equity</stp>
        <stp>BS_LT_BORROW</stp>
        <stp>FQ2 1992</stp>
        <stp>FQ2 1992</stp>
        <stp>[FA1_ftkzu3fn.xlsx]Bal Sheet - Standardized!R33C12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33" s="3"/>
      </tp>
      <tp>
        <v>0</v>
        <stp/>
        <stp>##V3_BDHV12</stp>
        <stp>XOM US Equity</stp>
        <stp>BS_LT_INVEST</stp>
        <stp>FQ2 1997</stp>
        <stp>FQ2 1997</stp>
        <stp>[FA1_ftkzu3fn.xlsx]Bal Sheet - Standardized!R20C32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20" s="3"/>
      </tp>
      <tp t="s">
        <v>—</v>
        <stp/>
        <stp>##V3_BDHV12</stp>
        <stp>XOM US Equity</stp>
        <stp>BS_LT_INVEST</stp>
        <stp>FQ3 1994</stp>
        <stp>FQ3 1994</stp>
        <stp>[FA1_ftkzu3fn.xlsx]Bal Sheet - Standardized!R20C21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20" s="3"/>
      </tp>
      <tp>
        <v>70560</v>
        <stp/>
        <stp>##V3_BDHV12</stp>
        <stp>XOM US Equity</stp>
        <stp>BS_TOT_NON_CUR_ASSET</stp>
        <stp>FQ2 1992</stp>
        <stp>FQ2 1992</stp>
        <stp>[FA1_ftkzu3fn.xlsx]Bal Sheet - Standardized!R23C12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23" s="3"/>
      </tp>
      <tp>
        <v>8184</v>
        <stp/>
        <stp>##V3_BDHV12</stp>
        <stp>XOM US Equity</stp>
        <stp>BS_LT_INVEST</stp>
        <stp>FQ2 1998</stp>
        <stp>FQ2 1998</stp>
        <stp>[FA1_ftkzu3fn.xlsx]Bal Sheet - Standardized!R20C36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20" s="3"/>
      </tp>
      <tp t="s">
        <v>—</v>
        <stp/>
        <stp>##V3_BDHV12</stp>
        <stp>XOM US Equity</stp>
        <stp>BS_LT_INVEST</stp>
        <stp>FQ3 1996</stp>
        <stp>FQ3 1996</stp>
        <stp>[FA1_ftkzu3fn.xlsx]Bal Sheet - Standardized!R20C29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20" s="3"/>
      </tp>
      <tp t="s">
        <v>—</v>
        <stp/>
        <stp>##V3_BDHV12</stp>
        <stp>XOM US Equity</stp>
        <stp>FREE_CASH_FLOW_PER_SH</stp>
        <stp>FQ4 1991</stp>
        <stp>FQ4 1991</stp>
        <stp>[FA1_ftkzu3fn.xlsx]Cash Flow - Standardized!R43C10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43" s="4"/>
      </tp>
      <tp>
        <v>8.9037000000000006</v>
        <stp/>
        <stp>##V3_BDHV12</stp>
        <stp>XOM US Equity</stp>
        <stp>BOOK_VAL_PER_SH</stp>
        <stp>FQ1 1998</stp>
        <stp>FQ1 1998</stp>
        <stp>[FA1_ftkzu3fn.xlsx]Per Share!R26C35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26" s="5"/>
      </tp>
      <tp>
        <v>6.9669999999999996</v>
        <stp/>
        <stp>##V3_BDHV12</stp>
        <stp>XOM US Equity</stp>
        <stp>BOOK_VAL_PER_SH</stp>
        <stp>FQ1 1994</stp>
        <stp>FQ1 1994</stp>
        <stp>[FA1_ftkzu3fn.xlsx]Per Share!R26C19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26" s="5"/>
      </tp>
      <tp>
        <v>0.15</v>
        <stp/>
        <stp>##V3_BDHV12</stp>
        <stp>XOM US Equity</stp>
        <stp>EQY_DPS</stp>
        <stp>FQ3 1990</stp>
        <stp>FQ3 1990</stp>
        <stp>[FA1_ftkzu3fn.xlsx]Per Share!R20C5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20" s="5"/>
      </tp>
      <tp>
        <v>0.15</v>
        <stp/>
        <stp>##V3_BDHV12</stp>
        <stp>XOM US Equity</stp>
        <stp>EQY_DPS</stp>
        <stp>FQ2 1990</stp>
        <stp>FQ2 1990</stp>
        <stp>[FA1_ftkzu3fn.xlsx]Per Share!R20C4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20" s="5"/>
      </tp>
      <tp t="s">
        <v>—</v>
        <stp/>
        <stp>##V3_BDHV12</stp>
        <stp>XOM US Equity</stp>
        <stp>DISP_FXD_&amp;_INTANGIBLES_DETAILED</stp>
        <stp>FQ4 1994</stp>
        <stp>FQ4 1994</stp>
        <stp>[FA1_ftkzu3fn.xlsx]Cash Flow - Standardized!R17C22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17" s="4"/>
      </tp>
      <tp>
        <v>4966</v>
        <stp/>
        <stp>##V3_BDHV12</stp>
        <stp>XOM US Equity</stp>
        <stp>IS_SH_FOR_DILUTED_EPS</stp>
        <stp>FQ1 1998</stp>
        <stp>FQ1 1998</stp>
        <stp>[FA1_ftkzu3fn.xlsx]Income - Adjusted!R32C35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32" s="2"/>
      </tp>
      <tp>
        <v>4967.6000999999997</v>
        <stp/>
        <stp>##V3_BDHV12</stp>
        <stp>XOM US Equity</stp>
        <stp>IS_SH_FOR_DILUTED_EPS</stp>
        <stp>FQ1 1994</stp>
        <stp>FQ1 1994</stp>
        <stp>[FA1_ftkzu3fn.xlsx]Income - Adjusted!R32C19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32" s="2"/>
      </tp>
      <tp t="s">
        <v>—</v>
        <stp/>
        <stp>##V3_BDHV12</stp>
        <stp>XOM US Equity</stp>
        <stp>DISP_FXD_&amp;_INTANGIBLES_DETAILED</stp>
        <stp>FQ4 1995</stp>
        <stp>FQ4 1995</stp>
        <stp>[FA1_ftkzu3fn.xlsx]Cash Flow - Standardized!R17C26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17" s="4"/>
      </tp>
      <tp>
        <v>-2055</v>
        <stp/>
        <stp>##V3_BDHV12</stp>
        <stp>XOM US Equity</stp>
        <stp>CF_CHNG_NON_CASH_WORK_CAP</stp>
        <stp>FQ4 1996</stp>
        <stp>FQ4 1996</stp>
        <stp>[FA1_ftkzu3fn.xlsx]Cash Flow - Standardized!R11C30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11" s="4"/>
      </tp>
      <tp>
        <v>-1200</v>
        <stp/>
        <stp>##V3_BDHV12</stp>
        <stp>XOM US Equity</stp>
        <stp>CF_CHNG_NON_CASH_WORK_CAP</stp>
        <stp>FQ4 1997</stp>
        <stp>FQ4 1997</stp>
        <stp>[FA1_ftkzu3fn.xlsx]Cash Flow - Standardized!R11C34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11" s="4"/>
      </tp>
      <tp>
        <v>20.446100000000001</v>
        <stp/>
        <stp>##V3_BDHV12</stp>
        <stp>XOM US Equity</stp>
        <stp>PX_TO_FREE_CASH_FLOW</stp>
        <stp>FQ4 1996</stp>
        <stp>FQ4 1996</stp>
        <stp>[FA1_ftkzu3fn.xlsx]Cash Flow - Standardized!R44C30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44" s="4"/>
      </tp>
      <tp t="s">
        <v>—</v>
        <stp/>
        <stp>##V3_BDHV12</stp>
        <stp>XOM US Equity</stp>
        <stp>PX_TO_FREE_CASH_FLOW</stp>
        <stp>FQ4 1994</stp>
        <stp>FQ4 1994</stp>
        <stp>[FA1_ftkzu3fn.xlsx]Cash Flow - Standardized!R44C22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44" s="4"/>
      </tp>
      <tp t="s">
        <v>—</v>
        <stp/>
        <stp>##V3_BDHV12</stp>
        <stp>XOM US Equity</stp>
        <stp>PX_TO_FREE_CASH_FLOW</stp>
        <stp>FQ4 1992</stp>
        <stp>FQ4 1992</stp>
        <stp>[FA1_ftkzu3fn.xlsx]Cash Flow - Standardized!R44C14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44" s="4"/>
      </tp>
      <tp t="s">
        <v>—</v>
        <stp/>
        <stp>##V3_BDHV12</stp>
        <stp>XOM US Equity</stp>
        <stp>PX_TO_FREE_CASH_FLOW</stp>
        <stp>FQ2 1992</stp>
        <stp>FQ2 1992</stp>
        <stp>[FA1_ftkzu3fn.xlsx]Cash Flow - Standardized!R44C12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44" s="4"/>
      </tp>
      <tp t="s">
        <v>—</v>
        <stp/>
        <stp>##V3_BDHV12</stp>
        <stp>XOM US Equity</stp>
        <stp>PX_TO_FREE_CASH_FLOW</stp>
        <stp>FQ3 1992</stp>
        <stp>FQ3 1992</stp>
        <stp>[FA1_ftkzu3fn.xlsx]Cash Flow - Standardized!R44C13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44" s="4"/>
      </tp>
      <tp t="s">
        <v>—</v>
        <stp/>
        <stp>##V3_BDHV12</stp>
        <stp>XOM US Equity</stp>
        <stp>PX_TO_FREE_CASH_FLOW</stp>
        <stp>FQ1 1992</stp>
        <stp>FQ1 1992</stp>
        <stp>[FA1_ftkzu3fn.xlsx]Cash Flow - Standardized!R44C11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44" s="4"/>
      </tp>
      <tp>
        <v>0.90859999999999996</v>
        <stp/>
        <stp>##V3_BDHV12</stp>
        <stp>XOM US Equity</stp>
        <stp>CASH_FLOW_PER_SH</stp>
        <stp>FQ1 1997</stp>
        <stp>FQ1 1997</stp>
        <stp>[FA1_ftkzu3fn.xlsx]Per Share!R22C31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22" s="5"/>
      </tp>
      <tp>
        <v>0.66069999999999995</v>
        <stp/>
        <stp>##V3_BDHV12</stp>
        <stp>XOM US Equity</stp>
        <stp>CASH_FLOW_PER_SH</stp>
        <stp>FQ1 1995</stp>
        <stp>FQ1 1995</stp>
        <stp>[FA1_ftkzu3fn.xlsx]Per Share!R22C23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22" s="5"/>
      </tp>
      <tp>
        <v>0.52590000000000003</v>
        <stp/>
        <stp>##V3_BDHV12</stp>
        <stp>XOM US Equity</stp>
        <stp>CASH_FLOW_PER_SH</stp>
        <stp>FQ1 1993</stp>
        <stp>FQ1 1993</stp>
        <stp>[FA1_ftkzu3fn.xlsx]Per Share!R22C15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22" s="5"/>
      </tp>
      <tp>
        <v>0.56059999999999999</v>
        <stp/>
        <stp>##V3_BDHV12</stp>
        <stp>XOM US Equity</stp>
        <stp>CASH_FLOW_PER_SH</stp>
        <stp>FQ4 1992</stp>
        <stp>FQ4 1992</stp>
        <stp>[FA1_ftkzu3fn.xlsx]Per Share!R22C14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22" s="5"/>
      </tp>
      <tp>
        <v>0.59619999999999995</v>
        <stp/>
        <stp>##V3_BDHV12</stp>
        <stp>XOM US Equity</stp>
        <stp>CASH_FLOW_PER_SH</stp>
        <stp>FQ4 1996</stp>
        <stp>FQ4 1996</stp>
        <stp>[FA1_ftkzu3fn.xlsx]Per Share!R22C30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22" s="5"/>
      </tp>
      <tp>
        <v>0.55369999999999997</v>
        <stp/>
        <stp>##V3_BDHV12</stp>
        <stp>XOM US Equity</stp>
        <stp>CASH_FLOW_PER_SH</stp>
        <stp>FQ4 1994</stp>
        <stp>FQ4 1994</stp>
        <stp>[FA1_ftkzu3fn.xlsx]Per Share!R22C22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22" s="5"/>
      </tp>
      <tp t="s">
        <v>—</v>
        <stp/>
        <stp>##V3_BDHV12</stp>
        <stp>XOM US Equity</stp>
        <stp>BS_LT_INVEST</stp>
        <stp>FQ2 1995</stp>
        <stp>FQ2 1995</stp>
        <stp>[FA1_ftkzu3fn.xlsx]Bal Sheet - Standardized!R20C24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20" s="3"/>
      </tp>
      <tp>
        <v>73879</v>
        <stp/>
        <stp>##V3_BDHV12</stp>
        <stp>XOM US Equity</stp>
        <stp>BS_TOT_NON_CUR_ASSET</stp>
        <stp>FQ1 1997</stp>
        <stp>FQ1 1997</stp>
        <stp>[FA1_ftkzu3fn.xlsx]Bal Sheet - Standardized!R23C31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23" s="3"/>
      </tp>
      <tp>
        <v>68759</v>
        <stp/>
        <stp>##V3_BDHV12</stp>
        <stp>XOM US Equity</stp>
        <stp>BS_TOT_NON_CUR_ASSET</stp>
        <stp>FQ3 1993</stp>
        <stp>FQ3 1993</stp>
        <stp>[FA1_ftkzu3fn.xlsx]Bal Sheet - Standardized!R23C17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23" s="3"/>
      </tp>
      <tp>
        <v>8781</v>
        <stp/>
        <stp>##V3_BDHV12</stp>
        <stp>XOM US Equity</stp>
        <stp>BS_LT_BORROW</stp>
        <stp>FQ3 1993</stp>
        <stp>FQ3 1993</stp>
        <stp>[FA1_ftkzu3fn.xlsx]Bal Sheet - Standardized!R33C17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33" s="3"/>
      </tp>
      <tp>
        <v>7223</v>
        <stp/>
        <stp>##V3_BDHV12</stp>
        <stp>XOM US Equity</stp>
        <stp>BS_LT_BORROW</stp>
        <stp>FQ1 1997</stp>
        <stp>FQ1 1997</stp>
        <stp>[FA1_ftkzu3fn.xlsx]Bal Sheet - Standardized!R33C31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33" s="3"/>
      </tp>
      <tp t="s">
        <v>—</v>
        <stp/>
        <stp>##V3_BDHV12</stp>
        <stp>XOM US Equity</stp>
        <stp>BS_LT_INVEST</stp>
        <stp>FQ1 1992</stp>
        <stp>FQ1 1992</stp>
        <stp>[FA1_ftkzu3fn.xlsx]Bal Sheet - Standardized!R20C11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20" s="3"/>
      </tp>
      <tp>
        <v>8879</v>
        <stp/>
        <stp>##V3_BDHV12</stp>
        <stp>XOM US Equity</stp>
        <stp>BS_LT_BORROW</stp>
        <stp>FQ3 1992</stp>
        <stp>FQ3 1992</stp>
        <stp>[FA1_ftkzu3fn.xlsx]Bal Sheet - Standardized!R33C13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33" s="3"/>
      </tp>
      <tp>
        <v>0</v>
        <stp/>
        <stp>##V3_BDHV12</stp>
        <stp>XOM US Equity</stp>
        <stp>BS_LT_INVEST</stp>
        <stp>FQ3 1997</stp>
        <stp>FQ3 1997</stp>
        <stp>[FA1_ftkzu3fn.xlsx]Bal Sheet - Standardized!R20C33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20" s="3"/>
      </tp>
      <tp t="s">
        <v>—</v>
        <stp/>
        <stp>##V3_BDHV12</stp>
        <stp>XOM US Equity</stp>
        <stp>BS_LT_INVEST</stp>
        <stp>FQ1 1993</stp>
        <stp>FQ1 1993</stp>
        <stp>[FA1_ftkzu3fn.xlsx]Bal Sheet - Standardized!R20C15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20" s="3"/>
      </tp>
      <tp t="s">
        <v>—</v>
        <stp/>
        <stp>##V3_BDHV12</stp>
        <stp>XOM US Equity</stp>
        <stp>BS_LT_INVEST</stp>
        <stp>FQ2 1994</stp>
        <stp>FQ2 1994</stp>
        <stp>[FA1_ftkzu3fn.xlsx]Bal Sheet - Standardized!R20C20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20" s="3"/>
      </tp>
      <tp>
        <v>70407</v>
        <stp/>
        <stp>##V3_BDHV12</stp>
        <stp>XOM US Equity</stp>
        <stp>BS_TOT_NON_CUR_ASSET</stp>
        <stp>FQ3 1992</stp>
        <stp>FQ3 1992</stp>
        <stp>[FA1_ftkzu3fn.xlsx]Bal Sheet - Standardized!R23C13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23" s="3"/>
      </tp>
      <tp>
        <v>7077</v>
        <stp/>
        <stp>##V3_BDHV12</stp>
        <stp>XOM US Equity</stp>
        <stp>BS_LT_BORROW</stp>
        <stp>FQ1 1998</stp>
        <stp>FQ1 1998</stp>
        <stp>[FA1_ftkzu3fn.xlsx]Bal Sheet - Standardized!R33C35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33" s="3"/>
      </tp>
      <tp>
        <v>74912</v>
        <stp/>
        <stp>##V3_BDHV12</stp>
        <stp>XOM US Equity</stp>
        <stp>BS_TOT_NON_CUR_ASSET</stp>
        <stp>FQ1 1998</stp>
        <stp>FQ1 1998</stp>
        <stp>[FA1_ftkzu3fn.xlsx]Bal Sheet - Standardized!R23C35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23" s="3"/>
      </tp>
      <tp t="s">
        <v>—</v>
        <stp/>
        <stp>##V3_BDHV12</stp>
        <stp>XOM US Equity</stp>
        <stp>BS_LT_INVEST</stp>
        <stp>FQ1 1994</stp>
        <stp>FQ1 1994</stp>
        <stp>[FA1_ftkzu3fn.xlsx]Bal Sheet - Standardized!R20C19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20" s="3"/>
      </tp>
      <tp t="s">
        <v>—</v>
        <stp/>
        <stp>##V3_BDHV12</stp>
        <stp>XOM US Equity</stp>
        <stp>BS_LT_INVEST</stp>
        <stp>FQ2 1996</stp>
        <stp>FQ2 1996</stp>
        <stp>[FA1_ftkzu3fn.xlsx]Bal Sheet - Standardized!R20C28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20" s="3"/>
      </tp>
      <tp>
        <v>0.435</v>
        <stp/>
        <stp>##V3_BDHV12</stp>
        <stp>XOM US Equity</stp>
        <stp>IS_BASIC_EPS_CONT_OPS</stp>
        <stp>FQ1 1997</stp>
        <stp>FQ1 1997</stp>
        <stp>[FA1_ftkzu3fn.xlsx]Income - Adjusted!R30C31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30" s="2"/>
      </tp>
      <tp t="s">
        <v>—</v>
        <stp/>
        <stp>##V3_BDHV12</stp>
        <stp>XOM US Equity</stp>
        <stp>IS_BASIC_EPS_CONT_OPS</stp>
        <stp>FQ1 1995</stp>
        <stp>FQ1 1995</stp>
        <stp>[FA1_ftkzu3fn.xlsx]Income - Adjusted!R30C23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30" s="2"/>
      </tp>
      <tp t="s">
        <v>—</v>
        <stp/>
        <stp>##V3_BDHV12</stp>
        <stp>XOM US Equity</stp>
        <stp>IS_BASIC_EPS_CONT_OPS</stp>
        <stp>FQ1 1993</stp>
        <stp>FQ1 1993</stp>
        <stp>[FA1_ftkzu3fn.xlsx]Income - Adjusted!R30C15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30" s="2"/>
      </tp>
      <tp>
        <v>0.3175</v>
        <stp/>
        <stp>##V3_BDHV12</stp>
        <stp>XOM US Equity</stp>
        <stp>IS_BASIC_EPS_CONT_OPS</stp>
        <stp>FQ4 1992</stp>
        <stp>FQ4 1992</stp>
        <stp>[FA1_ftkzu3fn.xlsx]Income - Adjusted!R30C14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30" s="2"/>
      </tp>
      <tp>
        <v>0.5</v>
        <stp/>
        <stp>##V3_BDHV12</stp>
        <stp>XOM US Equity</stp>
        <stp>IS_BASIC_EPS_CONT_OPS</stp>
        <stp>FQ4 1996</stp>
        <stp>FQ4 1996</stp>
        <stp>[FA1_ftkzu3fn.xlsx]Income - Adjusted!R30C30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30" s="2"/>
      </tp>
      <tp>
        <v>0.38250000000000001</v>
        <stp/>
        <stp>##V3_BDHV12</stp>
        <stp>XOM US Equity</stp>
        <stp>IS_BASIC_EPS_CONT_OPS</stp>
        <stp>FQ4 1994</stp>
        <stp>FQ4 1994</stp>
        <stp>[FA1_ftkzu3fn.xlsx]Income - Adjusted!R30C22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30" s="2"/>
      </tp>
      <tp>
        <v>0.16750000000000001</v>
        <stp/>
        <stp>##V3_BDHV12</stp>
        <stp>XOM US Equity</stp>
        <stp>EQY_DPS</stp>
        <stp>FQ1 1991</stp>
        <stp>FQ1 1991</stp>
        <stp>[FA1_ftkzu3fn.xlsx]Per Share!R20C7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20" s="5"/>
      </tp>
      <tp t="s">
        <v>—</v>
        <stp/>
        <stp>##V3_BDHV12</stp>
        <stp>XOM US Equity</stp>
        <stp>DISP_FXD_&amp;_INTANGIBLES_DETAILED</stp>
        <stp>FQ4 1996</stp>
        <stp>FQ4 1996</stp>
        <stp>[FA1_ftkzu3fn.xlsx]Cash Flow - Standardized!R17C30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17" s="4"/>
      </tp>
      <tp>
        <v>0</v>
        <stp/>
        <stp>##V3_BDHV12</stp>
        <stp>XOM US Equity</stp>
        <stp>DISP_FXD_&amp;_INTANGIBLES_DETAILED</stp>
        <stp>FQ4 1997</stp>
        <stp>FQ4 1997</stp>
        <stp>[FA1_ftkzu3fn.xlsx]Cash Flow - Standardized!R17C34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17" s="4"/>
      </tp>
      <tp>
        <v>1205</v>
        <stp/>
        <stp>##V3_BDHV12</stp>
        <stp>XOM US Equity</stp>
        <stp>CF_DEPR_AMORT</stp>
        <stp>FQ1 1991</stp>
        <stp>FQ1 1991</stp>
        <stp>[FA1_ftkzu3fn.xlsx]Cash Flow - Standardized!R8C7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8" s="4"/>
      </tp>
      <tp>
        <v>1188</v>
        <stp/>
        <stp>##V3_BDHV12</stp>
        <stp>XOM US Equity</stp>
        <stp>CF_DEPR_AMORT</stp>
        <stp>FQ2 1991</stp>
        <stp>FQ2 1991</stp>
        <stp>[FA1_ftkzu3fn.xlsx]Cash Flow - Standardized!R8C8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8" s="4"/>
      </tp>
      <tp>
        <v>1194</v>
        <stp/>
        <stp>##V3_BDHV12</stp>
        <stp>XOM US Equity</stp>
        <stp>CF_DEPR_AMORT</stp>
        <stp>FQ3 1991</stp>
        <stp>FQ3 1991</stp>
        <stp>[FA1_ftkzu3fn.xlsx]Cash Flow - Standardized!R8C9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8" s="4"/>
      </tp>
      <tp>
        <v>0.20499999999999999</v>
        <stp/>
        <stp>##V3_BDHV12</stp>
        <stp>XOM US Equity</stp>
        <stp>EQY_DPS</stp>
        <stp>FQ2 1998</stp>
        <stp>FQ2 1998</stp>
        <stp>[FA1_ftkzu3fn.xlsx]Income - Adjusted!R46C36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46" s="2"/>
      </tp>
      <tp>
        <v>0.19750000000000001</v>
        <stp/>
        <stp>##V3_BDHV12</stp>
        <stp>XOM US Equity</stp>
        <stp>EQY_DPS</stp>
        <stp>FQ2 1996</stp>
        <stp>FQ2 1996</stp>
        <stp>[FA1_ftkzu3fn.xlsx]Income - Adjusted!R46C28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46" s="2"/>
      </tp>
      <tp>
        <v>-145</v>
        <stp/>
        <stp>##V3_BDHV12</stp>
        <stp>XOM US Equity</stp>
        <stp>CF_CHNG_NON_CASH_WORK_CAP</stp>
        <stp>FQ1 1994</stp>
        <stp>FQ1 1994</stp>
        <stp>[FA1_ftkzu3fn.xlsx]Cash Flow - Standardized!R11C19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11" s="4"/>
      </tp>
      <tp>
        <v>-365</v>
        <stp/>
        <stp>##V3_BDHV12</stp>
        <stp>XOM US Equity</stp>
        <stp>CF_CHNG_NON_CASH_WORK_CAP</stp>
        <stp>FQ2 1996</stp>
        <stp>FQ2 1996</stp>
        <stp>[FA1_ftkzu3fn.xlsx]Cash Flow - Standardized!R11C28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11" s="4"/>
      </tp>
      <tp>
        <v>-44</v>
        <stp/>
        <stp>##V3_BDHV12</stp>
        <stp>XOM US Equity</stp>
        <stp>CF_CHNG_NON_CASH_WORK_CAP</stp>
        <stp>FQ1 1992</stp>
        <stp>FQ1 1992</stp>
        <stp>[FA1_ftkzu3fn.xlsx]Cash Flow - Standardized!R11C11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11" s="4"/>
      </tp>
      <tp>
        <v>-220</v>
        <stp/>
        <stp>##V3_BDHV12</stp>
        <stp>XOM US Equity</stp>
        <stp>CF_CHNG_NON_CASH_WORK_CAP</stp>
        <stp>FQ2 1995</stp>
        <stp>FQ2 1995</stp>
        <stp>[FA1_ftkzu3fn.xlsx]Cash Flow - Standardized!R11C24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11" s="4"/>
      </tp>
      <tp>
        <v>81</v>
        <stp/>
        <stp>##V3_BDHV12</stp>
        <stp>XOM US Equity</stp>
        <stp>CF_CHNG_NON_CASH_WORK_CAP</stp>
        <stp>FQ2 1994</stp>
        <stp>FQ2 1994</stp>
        <stp>[FA1_ftkzu3fn.xlsx]Cash Flow - Standardized!R11C20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11" s="4"/>
      </tp>
      <tp>
        <v>2283.1080000000002</v>
        <stp/>
        <stp>##V3_BDHV12</stp>
        <stp>XOM US Equity</stp>
        <stp>CF_FREE_CASH_FLOW_FIRM</stp>
        <stp>FQ3 1995</stp>
        <stp>FQ3 1995</stp>
        <stp>[FA1_ftkzu3fn.xlsx]Cash Flow - Standardized!R41C25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Y41" s="4"/>
      </tp>
      <tp>
        <v>1510.4260999999999</v>
        <stp/>
        <stp>##V3_BDHV12</stp>
        <stp>XOM US Equity</stp>
        <stp>CF_FREE_CASH_FLOW_FIRM</stp>
        <stp>FQ2 1995</stp>
        <stp>FQ2 1995</stp>
        <stp>[FA1_ftkzu3fn.xlsx]Cash Flow - Standardized!R41C24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X41" s="4"/>
      </tp>
      <tp>
        <v>268</v>
        <stp/>
        <stp>##V3_BDHV12</stp>
        <stp>XOM US Equity</stp>
        <stp>CF_CHNG_NON_CASH_WORK_CAP</stp>
        <stp>FQ1 1993</stp>
        <stp>FQ1 1993</stp>
        <stp>[FA1_ftkzu3fn.xlsx]Cash Flow - Standardized!R11C15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11" s="4"/>
      </tp>
      <tp>
        <v>473</v>
        <stp/>
        <stp>##V3_BDHV12</stp>
        <stp>XOM US Equity</stp>
        <stp>CF_CHNG_NON_CASH_WORK_CAP</stp>
        <stp>FQ3 1997</stp>
        <stp>FQ3 1997</stp>
        <stp>[FA1_ftkzu3fn.xlsx]Cash Flow - Standardized!R11C33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11" s="4"/>
      </tp>
      <tp t="s">
        <v>—</v>
        <stp/>
        <stp>##V3_BDHV12</stp>
        <stp>XOM US Equity</stp>
        <stp>PX_TO_FREE_CASH_FLOW</stp>
        <stp>FQ4 1991</stp>
        <stp>FQ4 1991</stp>
        <stp>[FA1_ftkzu3fn.xlsx]Cash Flow - Standardized!R44C10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44" s="4"/>
      </tp>
      <tp>
        <v>0.52170000000000005</v>
        <stp/>
        <stp>##V3_BDHV12</stp>
        <stp>XOM US Equity</stp>
        <stp>CASH_FLOW_PER_SH</stp>
        <stp>FQ3 1992</stp>
        <stp>FQ3 1992</stp>
        <stp>[FA1_ftkzu3fn.xlsx]Per Share!R22C13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22" s="5"/>
      </tp>
      <tp>
        <v>0.61329999999999996</v>
        <stp/>
        <stp>##V3_BDHV12</stp>
        <stp>XOM US Equity</stp>
        <stp>CASH_FLOW_PER_SH</stp>
        <stp>FQ2 1995</stp>
        <stp>FQ2 1995</stp>
        <stp>[FA1_ftkzu3fn.xlsx]Per Share!R22C24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22" s="5"/>
      </tp>
      <tp>
        <v>0.82069999999999999</v>
        <stp/>
        <stp>##V3_BDHV12</stp>
        <stp>XOM US Equity</stp>
        <stp>CASH_FLOW_PER_SH</stp>
        <stp>FQ1 1996</stp>
        <stp>FQ1 1996</stp>
        <stp>[FA1_ftkzu3fn.xlsx]Per Share!R22C27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22" s="5"/>
      </tp>
      <tp>
        <v>0.5635</v>
        <stp/>
        <stp>##V3_BDHV12</stp>
        <stp>XOM US Equity</stp>
        <stp>CASH_FLOW_PER_SH</stp>
        <stp>FQ4 1991</stp>
        <stp>FQ4 1991</stp>
        <stp>[FA1_ftkzu3fn.xlsx]Per Share!R22C10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22" s="5"/>
      </tp>
      <tp t="s">
        <v>—</v>
        <stp/>
        <stp>##V3_BDHV12</stp>
        <stp>XOM US Equity</stp>
        <stp>INVTRY_RAW_MATERIALS</stp>
        <stp>FQ1 1996</stp>
        <stp>FQ1 1996</stp>
        <stp>[FA1_ftkzu3fn.xlsx]Bal Sheet - Standardized!R12C27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12" s="3"/>
      </tp>
      <tp t="s">
        <v>—</v>
        <stp/>
        <stp>##V3_BDHV12</stp>
        <stp>XOM US Equity</stp>
        <stp>INVTRY_RAW_MATERIALS</stp>
        <stp>FQ2 1992</stp>
        <stp>FQ2 1992</stp>
        <stp>[FA1_ftkzu3fn.xlsx]Bal Sheet - Standardized!R12C12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12" s="3"/>
      </tp>
      <tp t="s">
        <v>—</v>
        <stp/>
        <stp>##V3_BDHV12</stp>
        <stp>XOM US Equity</stp>
        <stp>INVTRY_RAW_MATERIALS</stp>
        <stp>FQ2 1993</stp>
        <stp>FQ2 1993</stp>
        <stp>[FA1_ftkzu3fn.xlsx]Bal Sheet - Standardized!R12C16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12" s="3"/>
      </tp>
      <tp t="s">
        <v>—</v>
        <stp/>
        <stp>##V3_BDHV12</stp>
        <stp>XOM US Equity</stp>
        <stp>INVTRY_RAW_MATERIALS</stp>
        <stp>FQ1 1995</stp>
        <stp>FQ1 1995</stp>
        <stp>[FA1_ftkzu3fn.xlsx]Bal Sheet - Standardized!R12C23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12" s="3"/>
      </tp>
      <tp>
        <v>5.2305999999999999</v>
        <stp/>
        <stp>##V3_BDHV12</stp>
        <stp>XOM US Equity</stp>
        <stp>REVENUE_PER_SH</stp>
        <stp>FQ3 1990</stp>
        <stp>FQ3 1990</stp>
        <stp>[FA1_ftkzu3fn.xlsx]Per Share!R11C5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E11" s="5"/>
      </tp>
      <tp>
        <v>4.6966999999999999</v>
        <stp/>
        <stp>##V3_BDHV12</stp>
        <stp>XOM US Equity</stp>
        <stp>REVENUE_PER_SH</stp>
        <stp>FQ2 1990</stp>
        <stp>FQ2 1990</stp>
        <stp>[FA1_ftkzu3fn.xlsx]Per Share!R11C4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D11" s="5"/>
      </tp>
      <tp>
        <v>4.8272000000000004</v>
        <stp/>
        <stp>##V3_BDHV12</stp>
        <stp>XOM US Equity</stp>
        <stp>REVENUE_PER_SH</stp>
        <stp>FQ1 1990</stp>
        <stp>FQ1 1990</stp>
        <stp>[FA1_ftkzu3fn.xlsx]Per Share!R11C3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C11" s="5"/>
      </tp>
      <tp>
        <v>7.0480999999999998</v>
        <stp/>
        <stp>##V3_BDHV12</stp>
        <stp>XOM US Equity</stp>
        <stp>REVENUE_PER_SH</stp>
        <stp>FQ4 1990</stp>
        <stp>FQ4 1990</stp>
        <stp>[FA1_ftkzu3fn.xlsx]Per Share!R11C6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F11" s="5"/>
      </tp>
      <tp>
        <v>70548</v>
        <stp/>
        <stp>##V3_BDHV12</stp>
        <stp>XOM US Equity</stp>
        <stp>BS_TOT_NON_CUR_ASSET</stp>
        <stp>FQ4 1991</stp>
        <stp>FQ4 1991</stp>
        <stp>[FA1_ftkzu3fn.xlsx]Bal Sheet - Standardized!R23C10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23" s="3"/>
      </tp>
      <tp>
        <v>8582</v>
        <stp/>
        <stp>##V3_BDHV12</stp>
        <stp>XOM US Equity</stp>
        <stp>BS_LT_BORROW</stp>
        <stp>FQ4 1991</stp>
        <stp>FQ4 1991</stp>
        <stp>[FA1_ftkzu3fn.xlsx]Bal Sheet - Standardized!R33C10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33" s="3"/>
      </tp>
      <tp t="s">
        <v>—</v>
        <stp/>
        <stp>##V3_BDHV12</stp>
        <stp>XOM US Equity</stp>
        <stp>CF_DECR_INVEST</stp>
        <stp>FQ2 1990</stp>
        <stp>FQ2 1990</stp>
        <stp>[FA1_ftkzu3fn.xlsx]Cash Flow - Standardized!R20C4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0" s="4"/>
      </tp>
      <tp t="s">
        <v>—</v>
        <stp/>
        <stp>##V3_BDHV12</stp>
        <stp>XOM US Equity</stp>
        <stp>CF_DECR_INVEST</stp>
        <stp>FQ3 1990</stp>
        <stp>FQ3 1990</stp>
        <stp>[FA1_ftkzu3fn.xlsx]Cash Flow - Standardized!R20C5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0" s="4"/>
      </tp>
      <tp t="s">
        <v>—</v>
        <stp/>
        <stp>##V3_BDHV12</stp>
        <stp>XOM US Equity</stp>
        <stp>CF_DECR_INVEST</stp>
        <stp>FQ1 1991</stp>
        <stp>FQ1 1991</stp>
        <stp>[FA1_ftkzu3fn.xlsx]Cash Flow - Standardized!R20C7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0" s="4"/>
      </tp>
      <tp>
        <v>0</v>
        <stp/>
        <stp>##V3_BDHV12</stp>
        <stp>XOM US Equity</stp>
        <stp>BS_LT_INVEST</stp>
        <stp>FQ4 1996</stp>
        <stp>FQ4 1996</stp>
        <stp>[FA1_ftkzu3fn.xlsx]Bal Sheet - Standardized!R20C30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20" s="3"/>
      </tp>
      <tp>
        <v>8637</v>
        <stp/>
        <stp>##V3_BDHV12</stp>
        <stp>XOM US Equity</stp>
        <stp>BS_LT_BORROW</stp>
        <stp>FQ4 1992</stp>
        <stp>FQ4 1992</stp>
        <stp>[FA1_ftkzu3fn.xlsx]Bal Sheet - Standardized!R33C14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33" s="3"/>
      </tp>
      <tp>
        <v>0</v>
        <stp/>
        <stp>##V3_BDHV12</stp>
        <stp>XOM US Equity</stp>
        <stp>BS_LT_INVEST</stp>
        <stp>FQ4 1997</stp>
        <stp>FQ4 1997</stp>
        <stp>[FA1_ftkzu3fn.xlsx]Bal Sheet - Standardized!R20C34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20" s="3"/>
      </tp>
      <tp t="s">
        <v>—</v>
        <stp/>
        <stp>##V3_BDHV12</stp>
        <stp>XOM US Equity</stp>
        <stp>CF_DECR_INVEST</stp>
        <stp>FQ1 1990</stp>
        <stp>FQ1 1990</stp>
        <stp>[FA1_ftkzu3fn.xlsx]Cash Flow - Standardized!R20C3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0" s="4"/>
      </tp>
      <tp t="s">
        <v>—</v>
        <stp/>
        <stp>##V3_BDHV12</stp>
        <stp>XOM US Equity</stp>
        <stp>CF_DECR_INVEST</stp>
        <stp>FQ4 1990</stp>
        <stp>FQ4 1990</stp>
        <stp>[FA1_ftkzu3fn.xlsx]Cash Flow - Standardized!R20C6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0" s="4"/>
      </tp>
      <tp>
        <v>68606</v>
        <stp/>
        <stp>##V3_BDHV12</stp>
        <stp>XOM US Equity</stp>
        <stp>BS_TOT_NON_CUR_ASSET</stp>
        <stp>FQ4 1992</stp>
        <stp>FQ4 1992</stp>
        <stp>[FA1_ftkzu3fn.xlsx]Bal Sheet - Standardized!R23C14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23" s="3"/>
      </tp>
      <tp>
        <v>69286</v>
        <stp/>
        <stp>##V3_BDHV12</stp>
        <stp>XOM US Equity</stp>
        <stp>BS_TOT_NON_CUR_ASSET</stp>
        <stp>FQ4 1993</stp>
        <stp>FQ4 1993</stp>
        <stp>[FA1_ftkzu3fn.xlsx]Bal Sheet - Standardized!R23C18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23" s="3"/>
      </tp>
      <tp>
        <v>8506</v>
        <stp/>
        <stp>##V3_BDHV12</stp>
        <stp>XOM US Equity</stp>
        <stp>BS_LT_BORROW</stp>
        <stp>FQ4 1993</stp>
        <stp>FQ4 1993</stp>
        <stp>[FA1_ftkzu3fn.xlsx]Bal Sheet - Standardized!R33C18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33" s="3"/>
      </tp>
      <tp t="s">
        <v>—</v>
        <stp/>
        <stp>##V3_BDHV12</stp>
        <stp>XOM US Equity</stp>
        <stp>CF_DECR_INVEST</stp>
        <stp>FQ3 1991</stp>
        <stp>FQ3 1991</stp>
        <stp>[FA1_ftkzu3fn.xlsx]Cash Flow - Standardized!R20C9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0" s="4"/>
      </tp>
      <tp t="s">
        <v>—</v>
        <stp/>
        <stp>##V3_BDHV12</stp>
        <stp>XOM US Equity</stp>
        <stp>CF_DECR_INVEST</stp>
        <stp>FQ2 1991</stp>
        <stp>FQ2 1991</stp>
        <stp>[FA1_ftkzu3fn.xlsx]Cash Flow - Standardized!R20C8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0" s="4"/>
      </tp>
      <tp>
        <v>0.28189999999999998</v>
        <stp/>
        <stp>##V3_BDHV12</stp>
        <stp>XOM US Equity</stp>
        <stp>FREE_CASH_FLOW_PER_SH</stp>
        <stp>FQ2 1995</stp>
        <stp>FQ2 1995</stp>
        <stp>[FA1_ftkzu3fn.xlsx]Cash Flow - Standardized!R43C24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43" s="4"/>
      </tp>
      <tp>
        <v>0.43590000000000001</v>
        <stp/>
        <stp>##V3_BDHV12</stp>
        <stp>XOM US Equity</stp>
        <stp>FREE_CASH_FLOW_PER_SH</stp>
        <stp>FQ3 1995</stp>
        <stp>FQ3 1995</stp>
        <stp>[FA1_ftkzu3fn.xlsx]Cash Flow - Standardized!R43C25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43" s="4"/>
      </tp>
      <tp>
        <v>6.6315</v>
        <stp/>
        <stp>##V3_BDHV12</stp>
        <stp>XOM US Equity</stp>
        <stp>BOOK_VAL_PER_SH</stp>
        <stp>FQ4 1990</stp>
        <stp>FQ4 1990</stp>
        <stp>[FA1_ftkzu3fn.xlsx]Per Share!R26C6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26" s="5"/>
      </tp>
      <tp>
        <v>6.1142000000000003</v>
        <stp/>
        <stp>##V3_BDHV12</stp>
        <stp>XOM US Equity</stp>
        <stp>BOOK_VAL_PER_SH</stp>
        <stp>FQ1 1990</stp>
        <stp>FQ1 1990</stp>
        <stp>[FA1_ftkzu3fn.xlsx]Per Share!R26C3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26" s="5"/>
      </tp>
      <tp>
        <v>6.8688000000000002</v>
        <stp/>
        <stp>##V3_BDHV12</stp>
        <stp>XOM US Equity</stp>
        <stp>BOOK_VAL_PER_SH</stp>
        <stp>FQ4 1993</stp>
        <stp>FQ4 1993</stp>
        <stp>[FA1_ftkzu3fn.xlsx]Per Share!R26C18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26" s="5"/>
      </tp>
      <tp>
        <v>1627</v>
        <stp/>
        <stp>##V3_BDHV12</stp>
        <stp>XOM US Equity</stp>
        <stp>BS_CASH_NEAR_CASH_ITEM</stp>
        <stp>FQ1 1992</stp>
        <stp>FQ1 1992</stp>
        <stp>[FA1_ftkzu3fn.xlsx]Bal Sheet - Standardized!R8C11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8" s="3"/>
      </tp>
      <tp>
        <v>994</v>
        <stp/>
        <stp>##V3_BDHV12</stp>
        <stp>XOM US Equity</stp>
        <stp>BS_CASH_NEAR_CASH_ITEM</stp>
        <stp>FQ3 1992</stp>
        <stp>FQ3 1992</stp>
        <stp>[FA1_ftkzu3fn.xlsx]Bal Sheet - Standardized!R8C13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8" s="3"/>
      </tp>
      <tp>
        <v>1320</v>
        <stp/>
        <stp>##V3_BDHV12</stp>
        <stp>XOM US Equity</stp>
        <stp>BS_CASH_NEAR_CASH_ITEM</stp>
        <stp>FQ2 1992</stp>
        <stp>FQ2 1992</stp>
        <stp>[FA1_ftkzu3fn.xlsx]Bal Sheet - Standardized!R8C12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8" s="3"/>
      </tp>
      <tp>
        <v>898</v>
        <stp/>
        <stp>##V3_BDHV12</stp>
        <stp>XOM US Equity</stp>
        <stp>BS_CASH_NEAR_CASH_ITEM</stp>
        <stp>FQ4 1992</stp>
        <stp>FQ4 1992</stp>
        <stp>[FA1_ftkzu3fn.xlsx]Bal Sheet - Standardized!R8C14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8" s="3"/>
      </tp>
      <tp t="s">
        <v>—</v>
        <stp/>
        <stp>##V3_BDHV12</stp>
        <stp>XOM US Equity</stp>
        <stp>IS_BASIC_EPS_CONT_OPS</stp>
        <stp>FQ3 1992</stp>
        <stp>FQ3 1992</stp>
        <stp>[FA1_ftkzu3fn.xlsx]Income - Adjusted!R30C13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30" s="2"/>
      </tp>
      <tp t="s">
        <v>—</v>
        <stp/>
        <stp>##V3_BDHV12</stp>
        <stp>XOM US Equity</stp>
        <stp>IS_BASIC_EPS_CONT_OPS</stp>
        <stp>FQ2 1995</stp>
        <stp>FQ2 1995</stp>
        <stp>[FA1_ftkzu3fn.xlsx]Income - Adjusted!R30C24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30" s="2"/>
      </tp>
      <tp>
        <v>0.35249999999999998</v>
        <stp/>
        <stp>##V3_BDHV12</stp>
        <stp>XOM US Equity</stp>
        <stp>IS_BASIC_EPS_CONT_OPS</stp>
        <stp>FQ1 1996</stp>
        <stp>FQ1 1996</stp>
        <stp>[FA1_ftkzu3fn.xlsx]Income - Adjusted!R30C27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30" s="2"/>
      </tp>
      <tp>
        <v>0.2225</v>
        <stp/>
        <stp>##V3_BDHV12</stp>
        <stp>XOM US Equity</stp>
        <stp>IS_BASIC_EPS_CONT_OPS</stp>
        <stp>FQ4 1991</stp>
        <stp>FQ4 1991</stp>
        <stp>[FA1_ftkzu3fn.xlsx]Income - Adjusted!R30C10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30" s="2"/>
      </tp>
      <tp t="s">
        <v>—</v>
        <stp/>
        <stp>##V3_BDHV12</stp>
        <stp>XOM US Equity</stp>
        <stp>DISP_FXD_&amp;_INTANGIBLES_DETAILED</stp>
        <stp>FQ1 1994</stp>
        <stp>FQ1 1994</stp>
        <stp>[FA1_ftkzu3fn.xlsx]Cash Flow - Standardized!R17C19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17" s="4"/>
      </tp>
      <tp t="s">
        <v>—</v>
        <stp/>
        <stp>##V3_BDHV12</stp>
        <stp>XOM US Equity</stp>
        <stp>DISP_FXD_&amp;_INTANGIBLES_DETAILED</stp>
        <stp>FQ2 1996</stp>
        <stp>FQ2 1996</stp>
        <stp>[FA1_ftkzu3fn.xlsx]Cash Flow - Standardized!R17C28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17" s="4"/>
      </tp>
      <tp>
        <v>1109</v>
        <stp/>
        <stp>##V3_BDHV12</stp>
        <stp>XOM US Equity</stp>
        <stp>BS_CASH_NEAR_CASH_ITEM</stp>
        <stp>FQ1 1993</stp>
        <stp>FQ1 1993</stp>
        <stp>[FA1_ftkzu3fn.xlsx]Bal Sheet - Standardized!R8C15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8" s="3"/>
      </tp>
      <tp>
        <v>1387</v>
        <stp/>
        <stp>##V3_BDHV12</stp>
        <stp>XOM US Equity</stp>
        <stp>BS_CASH_NEAR_CASH_ITEM</stp>
        <stp>FQ2 1993</stp>
        <stp>FQ2 1993</stp>
        <stp>[FA1_ftkzu3fn.xlsx]Bal Sheet - Standardized!R8C16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8" s="3"/>
      </tp>
      <tp>
        <v>1552</v>
        <stp/>
        <stp>##V3_BDHV12</stp>
        <stp>XOM US Equity</stp>
        <stp>BS_CASH_NEAR_CASH_ITEM</stp>
        <stp>FQ3 1993</stp>
        <stp>FQ3 1993</stp>
        <stp>[FA1_ftkzu3fn.xlsx]Bal Sheet - Standardized!R8C17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8" s="3"/>
      </tp>
      <tp>
        <v>1496</v>
        <stp/>
        <stp>##V3_BDHV12</stp>
        <stp>XOM US Equity</stp>
        <stp>BS_CASH_NEAR_CASH_ITEM</stp>
        <stp>FQ4 1991</stp>
        <stp>FQ4 1991</stp>
        <stp>[FA1_ftkzu3fn.xlsx]Bal Sheet - Standardized!R8C10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8" s="3"/>
      </tp>
      <tp>
        <v>1648</v>
        <stp/>
        <stp>##V3_BDHV12</stp>
        <stp>XOM US Equity</stp>
        <stp>BS_CASH_NEAR_CASH_ITEM</stp>
        <stp>FQ1 1994</stp>
        <stp>FQ1 1994</stp>
        <stp>[FA1_ftkzu3fn.xlsx]Bal Sheet - Standardized!R8C19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8" s="3"/>
      </tp>
      <tp t="s">
        <v>—</v>
        <stp/>
        <stp>##V3_BDHV12</stp>
        <stp>XOM US Equity</stp>
        <stp>DISP_FXD_&amp;_INTANGIBLES_DETAILED</stp>
        <stp>FQ1 1992</stp>
        <stp>FQ1 1992</stp>
        <stp>[FA1_ftkzu3fn.xlsx]Cash Flow - Standardized!R17C11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17" s="4"/>
      </tp>
      <tp t="s">
        <v>—</v>
        <stp/>
        <stp>##V3_BDHV12</stp>
        <stp>XOM US Equity</stp>
        <stp>DISP_FXD_&amp;_INTANGIBLES_DETAILED</stp>
        <stp>FQ2 1995</stp>
        <stp>FQ2 1995</stp>
        <stp>[FA1_ftkzu3fn.xlsx]Cash Flow - Standardized!R17C24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17" s="4"/>
      </tp>
      <tp>
        <v>4966</v>
        <stp/>
        <stp>##V3_BDHV12</stp>
        <stp>XOM US Equity</stp>
        <stp>IS_SH_FOR_DILUTED_EPS</stp>
        <stp>FQ4 1993</stp>
        <stp>FQ4 1993</stp>
        <stp>[FA1_ftkzu3fn.xlsx]Income - Adjusted!R32C18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32" s="2"/>
      </tp>
      <tp>
        <v>983</v>
        <stp/>
        <stp>##V3_BDHV12</stp>
        <stp>XOM US Equity</stp>
        <stp>BS_CASH_NEAR_CASH_ITEM</stp>
        <stp>FQ4 1993</stp>
        <stp>FQ4 1993</stp>
        <stp>[FA1_ftkzu3fn.xlsx]Bal Sheet - Standardized!R8C18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8" s="3"/>
      </tp>
      <tp t="s">
        <v>—</v>
        <stp/>
        <stp>##V3_BDHV12</stp>
        <stp>XOM US Equity</stp>
        <stp>DISP_FXD_&amp;_INTANGIBLES_DETAILED</stp>
        <stp>FQ2 1994</stp>
        <stp>FQ2 1994</stp>
        <stp>[FA1_ftkzu3fn.xlsx]Cash Flow - Standardized!R17C20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17" s="4"/>
      </tp>
      <tp t="s">
        <v>—</v>
        <stp/>
        <stp>##V3_BDHV12</stp>
        <stp>XOM US Equity</stp>
        <stp>DISP_FXD_&amp;_INTANGIBLES_DETAILED</stp>
        <stp>FQ1 1993</stp>
        <stp>FQ1 1993</stp>
        <stp>[FA1_ftkzu3fn.xlsx]Cash Flow - Standardized!R17C15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17" s="4"/>
      </tp>
      <tp>
        <v>0</v>
        <stp/>
        <stp>##V3_BDHV12</stp>
        <stp>XOM US Equity</stp>
        <stp>DISP_FXD_&amp;_INTANGIBLES_DETAILED</stp>
        <stp>FQ3 1997</stp>
        <stp>FQ3 1997</stp>
        <stp>[FA1_ftkzu3fn.xlsx]Cash Flow - Standardized!R17C33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17" s="4"/>
      </tp>
      <tp>
        <v>6723</v>
        <stp/>
        <stp>##V3_BDHV12</stp>
        <stp>XOM US Equity</stp>
        <stp>EBITDA</stp>
        <stp>FQ4 1993</stp>
        <stp>FQ4 1993</stp>
        <stp>[FA1_ftkzu3fn.xlsx]Cash Flow - Standardized!R38C18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R38" s="4"/>
      </tp>
      <tp>
        <v>1286</v>
        <stp/>
        <stp>##V3_BDHV12</stp>
        <stp>XOM US Equity</stp>
        <stp>CF_DEPR_AMORT</stp>
        <stp>FQ1 1990</stp>
        <stp>FQ1 1990</stp>
        <stp>[FA1_ftkzu3fn.xlsx]Cash Flow - Standardized!R8C3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8" s="4"/>
      </tp>
      <tp>
        <v>1751</v>
        <stp/>
        <stp>##V3_BDHV12</stp>
        <stp>XOM US Equity</stp>
        <stp>CF_DEPR_AMORT</stp>
        <stp>FQ4 1990</stp>
        <stp>FQ4 1990</stp>
        <stp>[FA1_ftkzu3fn.xlsx]Cash Flow - Standardized!R8C6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8" s="4"/>
      </tp>
      <tp>
        <v>1323</v>
        <stp/>
        <stp>##V3_BDHV12</stp>
        <stp>XOM US Equity</stp>
        <stp>CF_DEPR_AMORT</stp>
        <stp>FQ2 1990</stp>
        <stp>FQ2 1990</stp>
        <stp>[FA1_ftkzu3fn.xlsx]Cash Flow - Standardized!R8C4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8" s="4"/>
      </tp>
      <tp>
        <v>1185</v>
        <stp/>
        <stp>##V3_BDHV12</stp>
        <stp>XOM US Equity</stp>
        <stp>CF_DEPR_AMORT</stp>
        <stp>FQ3 1990</stp>
        <stp>FQ3 1990</stp>
        <stp>[FA1_ftkzu3fn.xlsx]Cash Flow - Standardized!R8C5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8" s="4"/>
      </tp>
      <tp>
        <v>0.19750000000000001</v>
        <stp/>
        <stp>##V3_BDHV12</stp>
        <stp>XOM US Equity</stp>
        <stp>EQY_DPS</stp>
        <stp>FQ3 1996</stp>
        <stp>FQ3 1996</stp>
        <stp>[FA1_ftkzu3fn.xlsx]Income - Adjusted!R46C29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46" s="2"/>
      </tp>
      <tp>
        <v>471</v>
        <stp/>
        <stp>##V3_BDHV12</stp>
        <stp>XOM US Equity</stp>
        <stp>CF_CHNG_NON_CASH_WORK_CAP</stp>
        <stp>FQ3 1996</stp>
        <stp>FQ3 1996</stp>
        <stp>[FA1_ftkzu3fn.xlsx]Cash Flow - Standardized!R11C29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11" s="4"/>
      </tp>
      <tp>
        <v>40</v>
        <stp/>
        <stp>##V3_BDHV12</stp>
        <stp>XOM US Equity</stp>
        <stp>CF_CHNG_NON_CASH_WORK_CAP</stp>
        <stp>FQ2 1998</stp>
        <stp>FQ2 1998</stp>
        <stp>[FA1_ftkzu3fn.xlsx]Cash Flow - Standardized!R11C36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11" s="4"/>
      </tp>
      <tp>
        <v>117</v>
        <stp/>
        <stp>##V3_BDHV12</stp>
        <stp>XOM US Equity</stp>
        <stp>CF_CHNG_NON_CASH_WORK_CAP</stp>
        <stp>FQ3 1995</stp>
        <stp>FQ3 1995</stp>
        <stp>[FA1_ftkzu3fn.xlsx]Cash Flow - Standardized!R11C25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11" s="4"/>
      </tp>
      <tp t="s">
        <v>—</v>
        <stp/>
        <stp>##V3_BDHV12</stp>
        <stp>XOM US Equity</stp>
        <stp>CF_FREE_CASH_FLOW_FIRM</stp>
        <stp>FQ4 1992</stp>
        <stp>FQ4 1992</stp>
        <stp>[FA1_ftkzu3fn.xlsx]Cash Flow - Standardized!R41C14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N41" s="4"/>
      </tp>
      <tp t="s">
        <v>—</v>
        <stp/>
        <stp>##V3_BDHV12</stp>
        <stp>XOM US Equity</stp>
        <stp>CF_FREE_CASH_FLOW_FIRM</stp>
        <stp>FQ2 1992</stp>
        <stp>FQ2 1992</stp>
        <stp>[FA1_ftkzu3fn.xlsx]Cash Flow - Standardized!R41C12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L41" s="4"/>
      </tp>
      <tp t="s">
        <v>—</v>
        <stp/>
        <stp>##V3_BDHV12</stp>
        <stp>XOM US Equity</stp>
        <stp>CF_FREE_CASH_FLOW_FIRM</stp>
        <stp>FQ3 1992</stp>
        <stp>FQ3 1992</stp>
        <stp>[FA1_ftkzu3fn.xlsx]Cash Flow - Standardized!R41C13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M41" s="4"/>
      </tp>
      <tp t="s">
        <v>—</v>
        <stp/>
        <stp>##V3_BDHV12</stp>
        <stp>XOM US Equity</stp>
        <stp>CF_FREE_CASH_FLOW_FIRM</stp>
        <stp>FQ1 1992</stp>
        <stp>FQ1 1992</stp>
        <stp>[FA1_ftkzu3fn.xlsx]Cash Flow - Standardized!R41C11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K41" s="4"/>
      </tp>
      <tp>
        <v>-248</v>
        <stp/>
        <stp>##V3_BDHV12</stp>
        <stp>XOM US Equity</stp>
        <stp>CF_CHNG_NON_CASH_WORK_CAP</stp>
        <stp>FQ3 1994</stp>
        <stp>FQ3 1994</stp>
        <stp>[FA1_ftkzu3fn.xlsx]Cash Flow - Standardized!R11C21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11" s="4"/>
      </tp>
      <tp>
        <v>-117</v>
        <stp/>
        <stp>##V3_BDHV12</stp>
        <stp>XOM US Equity</stp>
        <stp>CF_CHNG_NON_CASH_WORK_CAP</stp>
        <stp>FQ2 1997</stp>
        <stp>FQ2 1997</stp>
        <stp>[FA1_ftkzu3fn.xlsx]Cash Flow - Standardized!R11C32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11" s="4"/>
      </tp>
      <tp t="s">
        <v>—</v>
        <stp/>
        <stp>##V3_BDHV12</stp>
        <stp>XOM US Equity</stp>
        <stp>CF_FREE_CASH_FLOW_FIRM</stp>
        <stp>FQ4 1994</stp>
        <stp>FQ4 1994</stp>
        <stp>[FA1_ftkzu3fn.xlsx]Cash Flow - Standardized!R41C22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V41" s="4"/>
      </tp>
      <tp>
        <v>957.02440000000001</v>
        <stp/>
        <stp>##V3_BDHV12</stp>
        <stp>XOM US Equity</stp>
        <stp>CF_FREE_CASH_FLOW_FIRM</stp>
        <stp>FQ4 1996</stp>
        <stp>FQ4 1996</stp>
        <stp>[FA1_ftkzu3fn.xlsx]Cash Flow - Standardized!R41C30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D41" s="4"/>
      </tp>
      <tp>
        <v>0.79400000000000004</v>
        <stp/>
        <stp>##V3_BDHV12</stp>
        <stp>XOM US Equity</stp>
        <stp>CASH_FLOW_PER_SH</stp>
        <stp>FQ3 1995</stp>
        <stp>FQ3 1995</stp>
        <stp>[FA1_ftkzu3fn.xlsx]Per Share!R22C25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22" s="5"/>
      </tp>
      <tp>
        <v>0.35360000000000003</v>
        <stp/>
        <stp>##V3_BDHV12</stp>
        <stp>XOM US Equity</stp>
        <stp>CASH_FLOW_PER_SH</stp>
        <stp>FQ2 1992</stp>
        <stp>FQ2 1992</stp>
        <stp>[FA1_ftkzu3fn.xlsx]Per Share!R22C12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22" s="5"/>
      </tp>
      <tp t="s">
        <v>—</v>
        <stp/>
        <stp>##V3_BDHV12</stp>
        <stp>XOM US Equity</stp>
        <stp>NUM_OF_EMPLOYEES</stp>
        <stp>FQ2 1991</stp>
        <stp>FQ2 1991</stp>
        <stp>[FA1_ftkzu3fn.xlsx]Bal Sheet - Standardized!R55C8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55" s="3"/>
      </tp>
      <tp t="s">
        <v>—</v>
        <stp/>
        <stp>##V3_BDHV12</stp>
        <stp>XOM US Equity</stp>
        <stp>NUM_OF_EMPLOYEES</stp>
        <stp>FQ3 1991</stp>
        <stp>FQ3 1991</stp>
        <stp>[FA1_ftkzu3fn.xlsx]Bal Sheet - Standardized!R55C9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55" s="3"/>
      </tp>
      <tp t="s">
        <v>—</v>
        <stp/>
        <stp>##V3_BDHV12</stp>
        <stp>XOM US Equity</stp>
        <stp>INVTRY_RAW_MATERIALS</stp>
        <stp>FQ3 1992</stp>
        <stp>FQ3 1992</stp>
        <stp>[FA1_ftkzu3fn.xlsx]Bal Sheet - Standardized!R12C13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12" s="3"/>
      </tp>
      <tp t="s">
        <v>—</v>
        <stp/>
        <stp>##V3_BDHV12</stp>
        <stp>XOM US Equity</stp>
        <stp>INVTRY_RAW_MATERIALS</stp>
        <stp>FQ3 1993</stp>
        <stp>FQ3 1993</stp>
        <stp>[FA1_ftkzu3fn.xlsx]Bal Sheet - Standardized!R12C17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12" s="3"/>
      </tp>
      <tp t="s">
        <v>—</v>
        <stp/>
        <stp>##V3_BDHV12</stp>
        <stp>XOM US Equity</stp>
        <stp>INVTRY_RAW_MATERIALS</stp>
        <stp>FQ1 1997</stp>
        <stp>FQ1 1997</stp>
        <stp>[FA1_ftkzu3fn.xlsx]Bal Sheet - Standardized!R12C31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12" s="3"/>
      </tp>
      <tp t="s">
        <v>—</v>
        <stp/>
        <stp>##V3_BDHV12</stp>
        <stp>XOM US Equity</stp>
        <stp>INVTRY_RAW_MATERIALS</stp>
        <stp>FQ1 1998</stp>
        <stp>FQ1 1998</stp>
        <stp>[FA1_ftkzu3fn.xlsx]Bal Sheet - Standardized!R12C35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12" s="3"/>
      </tp>
      <tp>
        <v>4.8737000000000004</v>
        <stp/>
        <stp>##V3_BDHV12</stp>
        <stp>XOM US Equity</stp>
        <stp>REVENUE_PER_SH</stp>
        <stp>FQ3 1991</stp>
        <stp>FQ3 1991</stp>
        <stp>[FA1_ftkzu3fn.xlsx]Per Share!R11C9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I11" s="5"/>
      </tp>
      <tp>
        <v>4.8726000000000003</v>
        <stp/>
        <stp>##V3_BDHV12</stp>
        <stp>XOM US Equity</stp>
        <stp>REVENUE_PER_SH</stp>
        <stp>FQ2 1991</stp>
        <stp>FQ2 1991</stp>
        <stp>[FA1_ftkzu3fn.xlsx]Per Share!R11C8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H11" s="5"/>
      </tp>
      <tp>
        <v>5.4691999999999998</v>
        <stp/>
        <stp>##V3_BDHV12</stp>
        <stp>XOM US Equity</stp>
        <stp>REVENUE_PER_SH</stp>
        <stp>FQ1 1991</stp>
        <stp>FQ1 1991</stp>
        <stp>[FA1_ftkzu3fn.xlsx]Per Share!R11C7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G11" s="5"/>
      </tp>
      <tp>
        <v>1323</v>
        <stp/>
        <stp>##V3_BDHV12</stp>
        <stp>XOM US Equity</stp>
        <stp>BS_LT_INVEST</stp>
        <stp>FQ4 1994</stp>
        <stp>FQ4 1994</stp>
        <stp>[FA1_ftkzu3fn.xlsx]Bal Sheet - Standardized!R20C22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20" s="3"/>
      </tp>
      <tp>
        <v>1345</v>
        <stp/>
        <stp>##V3_BDHV12</stp>
        <stp>XOM US Equity</stp>
        <stp>BS_LT_INVEST</stp>
        <stp>FQ4 1995</stp>
        <stp>FQ4 1995</stp>
        <stp>[FA1_ftkzu3fn.xlsx]Bal Sheet - Standardized!R20C26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20" s="3"/>
      </tp>
      <tp t="s">
        <v>—</v>
        <stp/>
        <stp>##V3_BDHV12</stp>
        <stp>XOM US Equity</stp>
        <stp>FREE_CASH_FLOW_PER_SH</stp>
        <stp>FQ4 1992</stp>
        <stp>FQ4 1992</stp>
        <stp>[FA1_ftkzu3fn.xlsx]Cash Flow - Standardized!R43C14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43" s="4"/>
      </tp>
      <tp t="s">
        <v>—</v>
        <stp/>
        <stp>##V3_BDHV12</stp>
        <stp>XOM US Equity</stp>
        <stp>FREE_CASH_FLOW_PER_SH</stp>
        <stp>FQ1 1992</stp>
        <stp>FQ1 1992</stp>
        <stp>[FA1_ftkzu3fn.xlsx]Cash Flow - Standardized!R43C11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43" s="4"/>
      </tp>
      <tp t="s">
        <v>—</v>
        <stp/>
        <stp>##V3_BDHV12</stp>
        <stp>XOM US Equity</stp>
        <stp>FREE_CASH_FLOW_PER_SH</stp>
        <stp>FQ3 1992</stp>
        <stp>FQ3 1992</stp>
        <stp>[FA1_ftkzu3fn.xlsx]Cash Flow - Standardized!R43C13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43" s="4"/>
      </tp>
      <tp t="s">
        <v>—</v>
        <stp/>
        <stp>##V3_BDHV12</stp>
        <stp>XOM US Equity</stp>
        <stp>FREE_CASH_FLOW_PER_SH</stp>
        <stp>FQ2 1992</stp>
        <stp>FQ2 1992</stp>
        <stp>[FA1_ftkzu3fn.xlsx]Cash Flow - Standardized!R43C12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43" s="4"/>
      </tp>
      <tp t="s">
        <v>—</v>
        <stp/>
        <stp>##V3_BDHV12</stp>
        <stp>XOM US Equity</stp>
        <stp>FREE_CASH_FLOW_PER_SH</stp>
        <stp>FQ4 1994</stp>
        <stp>FQ4 1994</stp>
        <stp>[FA1_ftkzu3fn.xlsx]Cash Flow - Standardized!R43C22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43" s="4"/>
      </tp>
      <tp>
        <v>0.1719</v>
        <stp/>
        <stp>##V3_BDHV12</stp>
        <stp>XOM US Equity</stp>
        <stp>FREE_CASH_FLOW_PER_SH</stp>
        <stp>FQ4 1996</stp>
        <stp>FQ4 1996</stp>
        <stp>[FA1_ftkzu3fn.xlsx]Cash Flow - Standardized!R43C30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43" s="4"/>
      </tp>
      <tp>
        <v>0.3</v>
        <stp/>
        <stp>##V3_BDHV12</stp>
        <stp>XOM US Equity</stp>
        <stp>IS_BASIC_EPS_CONT_OPS</stp>
        <stp>FQ3 1995</stp>
        <stp>FQ3 1995</stp>
        <stp>[FA1_ftkzu3fn.xlsx]Income - Adjusted!R30C25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30" s="2"/>
      </tp>
      <tp t="s">
        <v>—</v>
        <stp/>
        <stp>##V3_BDHV12</stp>
        <stp>XOM US Equity</stp>
        <stp>IS_BASIC_EPS_CONT_OPS</stp>
        <stp>FQ2 1992</stp>
        <stp>FQ2 1992</stp>
        <stp>[FA1_ftkzu3fn.xlsx]Income - Adjusted!R30C12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30" s="2"/>
      </tp>
      <tp t="s">
        <v>—</v>
        <stp/>
        <stp>##V3_BDHV12</stp>
        <stp>XOM US Equity</stp>
        <stp>DISP_FXD_&amp;_INTANGIBLES_DETAILED</stp>
        <stp>FQ3 1996</stp>
        <stp>FQ3 1996</stp>
        <stp>[FA1_ftkzu3fn.xlsx]Cash Flow - Standardized!R17C29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17" s="4"/>
      </tp>
      <tp>
        <v>136</v>
        <stp/>
        <stp>##V3_BDHV12</stp>
        <stp>XOM US Equity</stp>
        <stp>DISP_FXD_&amp;_INTANGIBLES_DETAILED</stp>
        <stp>FQ2 1998</stp>
        <stp>FQ2 1998</stp>
        <stp>[FA1_ftkzu3fn.xlsx]Cash Flow - Standardized!R17C36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17" s="4"/>
      </tp>
      <tp t="s">
        <v>—</v>
        <stp/>
        <stp>##V3_BDHV12</stp>
        <stp>XOM US Equity</stp>
        <stp>DISP_FXD_&amp;_INTANGIBLES_DETAILED</stp>
        <stp>FQ3 1995</stp>
        <stp>FQ3 1995</stp>
        <stp>[FA1_ftkzu3fn.xlsx]Cash Flow - Standardized!R17C25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17" s="4"/>
      </tp>
      <tp t="s">
        <v>—</v>
        <stp/>
        <stp>##V3_BDHV12</stp>
        <stp>XOM US Equity</stp>
        <stp>DISP_FXD_&amp;_INTANGIBLES_DETAILED</stp>
        <stp>FQ3 1994</stp>
        <stp>FQ3 1994</stp>
        <stp>[FA1_ftkzu3fn.xlsx]Cash Flow - Standardized!R17C21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17" s="4"/>
      </tp>
      <tp>
        <v>0</v>
        <stp/>
        <stp>##V3_BDHV12</stp>
        <stp>XOM US Equity</stp>
        <stp>DISP_FXD_&amp;_INTANGIBLES_DETAILED</stp>
        <stp>FQ2 1997</stp>
        <stp>FQ2 1997</stp>
        <stp>[FA1_ftkzu3fn.xlsx]Cash Flow - Standardized!R17C32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17" s="4"/>
      </tp>
      <tp t="s">
        <v>—</v>
        <stp/>
        <stp>##V3_BDHV12</stp>
        <stp>XOM US Equity</stp>
        <stp>CFF_ACTIVITIES_DETAILED</stp>
        <stp>FQ2 1991</stp>
        <stp>FQ2 1991</stp>
        <stp>[FA1_ftkzu3fn.xlsx]Cash Flow - Standardized!R31C8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31" s="4"/>
      </tp>
      <tp t="s">
        <v>—</v>
        <stp/>
        <stp>##V3_BDHV12</stp>
        <stp>XOM US Equity</stp>
        <stp>CFF_ACTIVITIES_DETAILED</stp>
        <stp>FQ3 1991</stp>
        <stp>FQ3 1991</stp>
        <stp>[FA1_ftkzu3fn.xlsx]Cash Flow - Standardized!R31C9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31" s="4"/>
      </tp>
      <tp>
        <v>3588</v>
        <stp/>
        <stp>##V3_BDHV12</stp>
        <stp>XOM US Equity</stp>
        <stp>EBITDA</stp>
        <stp>FQ2 1996</stp>
        <stp>FQ2 1996</stp>
        <stp>[FA1_ftkzu3fn.xlsx]Cash Flow - Standardized!R38C28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B38" s="4"/>
      </tp>
      <tp>
        <v>3640</v>
        <stp/>
        <stp>##V3_BDHV12</stp>
        <stp>XOM US Equity</stp>
        <stp>EBITDA</stp>
        <stp>FQ3 1996</stp>
        <stp>FQ3 1996</stp>
        <stp>[FA1_ftkzu3fn.xlsx]Cash Flow - Standardized!R38C29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C38" s="4"/>
      </tp>
      <tp>
        <v>3012</v>
        <stp/>
        <stp>##V3_BDHV12</stp>
        <stp>XOM US Equity</stp>
        <stp>EBITDA</stp>
        <stp>FQ1 1994</stp>
        <stp>FQ1 1994</stp>
        <stp>[FA1_ftkzu3fn.xlsx]Cash Flow - Standardized!R38C19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S38" s="4"/>
      </tp>
      <tp t="s">
        <v>—</v>
        <stp/>
        <stp>##V3_BDHV12</stp>
        <stp>XOM US Equity</stp>
        <stp>CFF_ACTIVITIES_DETAILED</stp>
        <stp>FQ1 1990</stp>
        <stp>FQ1 1990</stp>
        <stp>[FA1_ftkzu3fn.xlsx]Cash Flow - Standardized!R31C3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31" s="4"/>
      </tp>
      <tp t="s">
        <v>—</v>
        <stp/>
        <stp>##V3_BDHV12</stp>
        <stp>XOM US Equity</stp>
        <stp>CFF_ACTIVITIES_DETAILED</stp>
        <stp>FQ4 1990</stp>
        <stp>FQ4 1990</stp>
        <stp>[FA1_ftkzu3fn.xlsx]Cash Flow - Standardized!R31C6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31" s="4"/>
      </tp>
      <tp>
        <v>3724</v>
        <stp/>
        <stp>##V3_BDHV12</stp>
        <stp>XOM US Equity</stp>
        <stp>EBITDA</stp>
        <stp>FQ1 1998</stp>
        <stp>FQ1 1998</stp>
        <stp>[FA1_ftkzu3fn.xlsx]Cash Flow - Standardized!R38C35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I38" s="4"/>
      </tp>
      <tp>
        <v>3304</v>
        <stp/>
        <stp>##V3_BDHV12</stp>
        <stp>XOM US Equity</stp>
        <stp>EBITDA</stp>
        <stp>FQ2 1998</stp>
        <stp>FQ2 1998</stp>
        <stp>[FA1_ftkzu3fn.xlsx]Cash Flow - Standardized!R38C36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J38" s="4"/>
      </tp>
      <tp t="s">
        <v>—</v>
        <stp/>
        <stp>##V3_BDHV12</stp>
        <stp>XOM US Equity</stp>
        <stp>CFF_ACTIVITIES_DETAILED</stp>
        <stp>FQ3 1990</stp>
        <stp>FQ3 1990</stp>
        <stp>[FA1_ftkzu3fn.xlsx]Cash Flow - Standardized!R31C5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31" s="4"/>
      </tp>
      <tp t="s">
        <v>—</v>
        <stp/>
        <stp>##V3_BDHV12</stp>
        <stp>XOM US Equity</stp>
        <stp>CFF_ACTIVITIES_DETAILED</stp>
        <stp>FQ2 1990</stp>
        <stp>FQ2 1990</stp>
        <stp>[FA1_ftkzu3fn.xlsx]Cash Flow - Standardized!R31C4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31" s="4"/>
      </tp>
      <tp t="s">
        <v>—</v>
        <stp/>
        <stp>##V3_BDHV12</stp>
        <stp>XOM US Equity</stp>
        <stp>CFF_ACTIVITIES_DETAILED</stp>
        <stp>FQ1 1991</stp>
        <stp>FQ1 1991</stp>
        <stp>[FA1_ftkzu3fn.xlsx]Cash Flow - Standardized!R31C7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31" s="4"/>
      </tp>
      <tp>
        <v>-45</v>
        <stp/>
        <stp>##V3_BDHV12</stp>
        <stp>XOM US Equity</stp>
        <stp>CF_CHNG_NON_CASH_WORK_CAP</stp>
        <stp>FQ1 1998</stp>
        <stp>FQ1 1998</stp>
        <stp>[FA1_ftkzu3fn.xlsx]Cash Flow - Standardized!R11C35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11" s="4"/>
      </tp>
      <tp>
        <v>164</v>
        <stp/>
        <stp>##V3_BDHV12</stp>
        <stp>XOM US Equity</stp>
        <stp>CF_CHNG_NON_CASH_WORK_CAP</stp>
        <stp>FQ3 1992</stp>
        <stp>FQ3 1992</stp>
        <stp>[FA1_ftkzu3fn.xlsx]Cash Flow - Standardized!R11C13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11" s="4"/>
      </tp>
      <tp>
        <v>906</v>
        <stp/>
        <stp>##V3_BDHV12</stp>
        <stp>XOM US Equity</stp>
        <stp>CF_CHNG_NON_CASH_WORK_CAP</stp>
        <stp>FQ3 1993</stp>
        <stp>FQ3 1993</stp>
        <stp>[FA1_ftkzu3fn.xlsx]Cash Flow - Standardized!R11C17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11" s="4"/>
      </tp>
      <tp>
        <v>-127</v>
        <stp/>
        <stp>##V3_BDHV12</stp>
        <stp>XOM US Equity</stp>
        <stp>CF_CHNG_NON_CASH_WORK_CAP</stp>
        <stp>FQ1 1997</stp>
        <stp>FQ1 1997</stp>
        <stp>[FA1_ftkzu3fn.xlsx]Cash Flow - Standardized!R11C31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11" s="4"/>
      </tp>
      <tp>
        <v>20.442399999999999</v>
        <stp/>
        <stp>##V3_BDHV12</stp>
        <stp>XOM US Equity</stp>
        <stp>PX_TO_FREE_CASH_FLOW</stp>
        <stp>FQ4 1997</stp>
        <stp>FQ4 1997</stp>
        <stp>[FA1_ftkzu3fn.xlsx]Cash Flow - Standardized!R44C34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44" s="4"/>
      </tp>
      <tp>
        <v>21.168199999999999</v>
        <stp/>
        <stp>##V3_BDHV12</stp>
        <stp>XOM US Equity</stp>
        <stp>PX_TO_FREE_CASH_FLOW</stp>
        <stp>FQ1 1997</stp>
        <stp>FQ1 1997</stp>
        <stp>[FA1_ftkzu3fn.xlsx]Cash Flow - Standardized!R44C31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44" s="4"/>
      </tp>
      <tp>
        <v>22.398700000000002</v>
        <stp/>
        <stp>##V3_BDHV12</stp>
        <stp>XOM US Equity</stp>
        <stp>PX_TO_FREE_CASH_FLOW</stp>
        <stp>FQ2 1997</stp>
        <stp>FQ2 1997</stp>
        <stp>[FA1_ftkzu3fn.xlsx]Cash Flow - Standardized!R44C32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44" s="4"/>
      </tp>
      <tp>
        <v>20.624199999999998</v>
        <stp/>
        <stp>##V3_BDHV12</stp>
        <stp>XOM US Equity</stp>
        <stp>PX_TO_FREE_CASH_FLOW</stp>
        <stp>FQ3 1997</stp>
        <stp>FQ3 1997</stp>
        <stp>[FA1_ftkzu3fn.xlsx]Cash Flow - Standardized!R44C33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44" s="4"/>
      </tp>
      <tp>
        <v>14.879300000000001</v>
        <stp/>
        <stp>##V3_BDHV12</stp>
        <stp>XOM US Equity</stp>
        <stp>PX_TO_FREE_CASH_FLOW</stp>
        <stp>FQ4 1995</stp>
        <stp>FQ4 1995</stp>
        <stp>[FA1_ftkzu3fn.xlsx]Cash Flow - Standardized!R44C26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44" s="4"/>
      </tp>
      <tp t="s">
        <v>—</v>
        <stp/>
        <stp>##V3_BDHV12</stp>
        <stp>XOM US Equity</stp>
        <stp>PX_TO_FREE_CASH_FLOW</stp>
        <stp>FQ1 1995</stp>
        <stp>FQ1 1995</stp>
        <stp>[FA1_ftkzu3fn.xlsx]Cash Flow - Standardized!R44C23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44" s="4"/>
      </tp>
      <tp t="s">
        <v>—</v>
        <stp/>
        <stp>##V3_BDHV12</stp>
        <stp>XOM US Equity</stp>
        <stp>PX_TO_FREE_CASH_FLOW</stp>
        <stp>FQ2 1993</stp>
        <stp>FQ2 1993</stp>
        <stp>[FA1_ftkzu3fn.xlsx]Cash Flow - Standardized!R44C16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44" s="4"/>
      </tp>
      <tp t="s">
        <v>—</v>
        <stp/>
        <stp>##V3_BDHV12</stp>
        <stp>XOM US Equity</stp>
        <stp>PX_TO_FREE_CASH_FLOW</stp>
        <stp>FQ3 1993</stp>
        <stp>FQ3 1993</stp>
        <stp>[FA1_ftkzu3fn.xlsx]Cash Flow - Standardized!R44C17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44" s="4"/>
      </tp>
      <tp t="s">
        <v>—</v>
        <stp/>
        <stp>##V3_BDHV12</stp>
        <stp>XOM US Equity</stp>
        <stp>PX_TO_FREE_CASH_FLOW</stp>
        <stp>FQ1 1993</stp>
        <stp>FQ1 1993</stp>
        <stp>[FA1_ftkzu3fn.xlsx]Cash Flow - Standardized!R44C15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44" s="4"/>
      </tp>
      <tp>
        <v>0.22500000000000001</v>
        <stp/>
        <stp>##V3_BDHV12</stp>
        <stp>XOM US Equity</stp>
        <stp>IS_DILUTED_EPS</stp>
        <stp>FQ3 1992</stp>
        <stp>FQ3 1992</stp>
        <stp>[FA1_ftkzu3fn.xlsx]Income - Adjusted!R33C13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M33" s="2"/>
      </tp>
      <tp>
        <v>0.27250000000000002</v>
        <stp/>
        <stp>##V3_BDHV12</stp>
        <stp>XOM US Equity</stp>
        <stp>IS_DILUTED_EPS</stp>
        <stp>FQ3 1993</stp>
        <stp>FQ3 1993</stp>
        <stp>[FA1_ftkzu3fn.xlsx]Income - Adjusted!R33C17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Q33" s="2"/>
      </tp>
      <tp>
        <v>0.36499999999999999</v>
        <stp/>
        <stp>##V3_BDHV12</stp>
        <stp>XOM US Equity</stp>
        <stp>IS_DILUTED_EPS</stp>
        <stp>FQ3 1997</stp>
        <stp>FQ3 1997</stp>
        <stp>[FA1_ftkzu3fn.xlsx]Income - Adjusted!R33C33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G33" s="2"/>
      </tp>
      <tp>
        <v>0.31</v>
        <stp/>
        <stp>##V3_BDHV12</stp>
        <stp>XOM US Equity</stp>
        <stp>IS_DILUTED_EPS</stp>
        <stp>FQ3 1996</stp>
        <stp>FQ3 1996</stp>
        <stp>[FA1_ftkzu3fn.xlsx]Income - Adjusted!R33C29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C33" s="2"/>
      </tp>
      <tp>
        <v>0.3</v>
        <stp/>
        <stp>##V3_BDHV12</stp>
        <stp>XOM US Equity</stp>
        <stp>IS_DILUTED_EPS</stp>
        <stp>FQ3 1995</stp>
        <stp>FQ3 1995</stp>
        <stp>[FA1_ftkzu3fn.xlsx]Income - Adjusted!R33C25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Y33" s="2"/>
      </tp>
      <tp>
        <v>0.23</v>
        <stp/>
        <stp>##V3_BDHV12</stp>
        <stp>XOM US Equity</stp>
        <stp>IS_DILUTED_EPS</stp>
        <stp>FQ3 1994</stp>
        <stp>FQ3 1994</stp>
        <stp>[FA1_ftkzu3fn.xlsx]Income - Adjusted!R33C21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U33" s="2"/>
      </tp>
      <tp>
        <v>0.245</v>
        <stp/>
        <stp>##V3_BDHV12</stp>
        <stp>XOM US Equity</stp>
        <stp>IS_DILUTED_EPS</stp>
        <stp>FQ2 1993</stp>
        <stp>FQ2 1993</stp>
        <stp>[FA1_ftkzu3fn.xlsx]Income - Adjusted!R33C16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P33" s="2"/>
      </tp>
      <tp>
        <v>0.19</v>
        <stp/>
        <stp>##V3_BDHV12</stp>
        <stp>XOM US Equity</stp>
        <stp>IS_DILUTED_EPS</stp>
        <stp>FQ2 1992</stp>
        <stp>FQ2 1992</stp>
        <stp>[FA1_ftkzu3fn.xlsx]Income - Adjusted!R33C12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L33" s="2"/>
      </tp>
      <tp>
        <v>0.39</v>
        <stp/>
        <stp>##V3_BDHV12</stp>
        <stp>XOM US Equity</stp>
        <stp>IS_DILUTED_EPS</stp>
        <stp>FQ2 1997</stp>
        <stp>FQ2 1997</stp>
        <stp>[FA1_ftkzu3fn.xlsx]Income - Adjusted!R33C32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F33" s="2"/>
      </tp>
      <tp>
        <v>0.31</v>
        <stp/>
        <stp>##V3_BDHV12</stp>
        <stp>XOM US Equity</stp>
        <stp>IS_DILUTED_EPS</stp>
        <stp>FQ2 1996</stp>
        <stp>FQ2 1996</stp>
        <stp>[FA1_ftkzu3fn.xlsx]Income - Adjusted!R33C28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B33" s="2"/>
      </tp>
      <tp>
        <v>0.17499999999999999</v>
        <stp/>
        <stp>##V3_BDHV12</stp>
        <stp>XOM US Equity</stp>
        <stp>IS_DILUTED_EPS</stp>
        <stp>FQ2 1994</stp>
        <stp>FQ2 1994</stp>
        <stp>[FA1_ftkzu3fn.xlsx]Income - Adjusted!R33C20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T33" s="2"/>
      </tp>
      <tp>
        <v>0.32500000000000001</v>
        <stp/>
        <stp>##V3_BDHV12</stp>
        <stp>XOM US Equity</stp>
        <stp>IS_DILUTED_EPS</stp>
        <stp>FQ2 1995</stp>
        <stp>FQ2 1995</stp>
        <stp>[FA1_ftkzu3fn.xlsx]Income - Adjusted!R33C24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X33" s="2"/>
      </tp>
      <tp>
        <v>0.32500000000000001</v>
        <stp/>
        <stp>##V3_BDHV12</stp>
        <stp>XOM US Equity</stp>
        <stp>IS_DILUTED_EPS</stp>
        <stp>FQ2 1998</stp>
        <stp>FQ2 1998</stp>
        <stp>[FA1_ftkzu3fn.xlsx]Income - Adjusted!R33C36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J33" s="2"/>
      </tp>
      <tp>
        <v>0.26750000000000002</v>
        <stp/>
        <stp>##V3_BDHV12</stp>
        <stp>XOM US Equity</stp>
        <stp>IS_DILUTED_EPS</stp>
        <stp>FQ1 1992</stp>
        <stp>FQ1 1992</stp>
        <stp>[FA1_ftkzu3fn.xlsx]Income - Adjusted!R33C11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K33" s="2"/>
      </tp>
      <tp>
        <v>0.23499999999999999</v>
        <stp/>
        <stp>##V3_BDHV12</stp>
        <stp>XOM US Equity</stp>
        <stp>IS_DILUTED_EPS</stp>
        <stp>FQ1 1993</stp>
        <stp>FQ1 1993</stp>
        <stp>[FA1_ftkzu3fn.xlsx]Income - Adjusted!R33C15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O33" s="2"/>
      </tp>
      <tp>
        <v>0.33250000000000002</v>
        <stp/>
        <stp>##V3_BDHV12</stp>
        <stp>XOM US Equity</stp>
        <stp>IS_DILUTED_EPS</stp>
        <stp>FQ1 1995</stp>
        <stp>FQ1 1995</stp>
        <stp>[FA1_ftkzu3fn.xlsx]Income - Adjusted!R33C23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W33" s="2"/>
      </tp>
      <tp>
        <v>0.23</v>
        <stp/>
        <stp>##V3_BDHV12</stp>
        <stp>XOM US Equity</stp>
        <stp>IS_DILUTED_EPS</stp>
        <stp>FQ1 1994</stp>
        <stp>FQ1 1994</stp>
        <stp>[FA1_ftkzu3fn.xlsx]Income - Adjusted!R33C19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S33" s="2"/>
      </tp>
      <tp>
        <v>0.375</v>
        <stp/>
        <stp>##V3_BDHV12</stp>
        <stp>XOM US Equity</stp>
        <stp>IS_DILUTED_EPS</stp>
        <stp>FQ1 1996</stp>
        <stp>FQ1 1996</stp>
        <stp>[FA1_ftkzu3fn.xlsx]Income - Adjusted!R33C27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A33" s="2"/>
      </tp>
      <tp>
        <v>0.43</v>
        <stp/>
        <stp>##V3_BDHV12</stp>
        <stp>XOM US Equity</stp>
        <stp>IS_DILUTED_EPS</stp>
        <stp>FQ1 1997</stp>
        <stp>FQ1 1997</stp>
        <stp>[FA1_ftkzu3fn.xlsx]Income - Adjusted!R33C31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E33" s="2"/>
      </tp>
      <tp>
        <v>0.38</v>
        <stp/>
        <stp>##V3_BDHV12</stp>
        <stp>XOM US Equity</stp>
        <stp>IS_DILUTED_EPS</stp>
        <stp>FQ1 1998</stp>
        <stp>FQ1 1998</stp>
        <stp>[FA1_ftkzu3fn.xlsx]Income - Adjusted!R33C35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I33" s="2"/>
      </tp>
      <tp>
        <v>0.38250000000000001</v>
        <stp/>
        <stp>##V3_BDHV12</stp>
        <stp>XOM US Equity</stp>
        <stp>IS_DILUTED_EPS</stp>
        <stp>FQ4 1994</stp>
        <stp>FQ4 1994</stp>
        <stp>[FA1_ftkzu3fn.xlsx]Income - Adjusted!R33C22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V33" s="2"/>
      </tp>
      <tp>
        <v>0.33750000000000002</v>
        <stp/>
        <stp>##V3_BDHV12</stp>
        <stp>XOM US Equity</stp>
        <stp>IS_DILUTED_EPS</stp>
        <stp>FQ4 1995</stp>
        <stp>FQ4 1995</stp>
        <stp>[FA1_ftkzu3fn.xlsx]Income - Adjusted!R33C26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Z33" s="2"/>
      </tp>
      <tp>
        <v>0.5</v>
        <stp/>
        <stp>##V3_BDHV12</stp>
        <stp>XOM US Equity</stp>
        <stp>IS_DILUTED_EPS</stp>
        <stp>FQ4 1997</stp>
        <stp>FQ4 1997</stp>
        <stp>[FA1_ftkzu3fn.xlsx]Income - Adjusted!R33C34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H33" s="2"/>
      </tp>
      <tp>
        <v>0.5</v>
        <stp/>
        <stp>##V3_BDHV12</stp>
        <stp>XOM US Equity</stp>
        <stp>IS_DILUTED_EPS</stp>
        <stp>FQ4 1996</stp>
        <stp>FQ4 1996</stp>
        <stp>[FA1_ftkzu3fn.xlsx]Income - Adjusted!R33C30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D33" s="2"/>
      </tp>
      <tp>
        <v>0.3</v>
        <stp/>
        <stp>##V3_BDHV12</stp>
        <stp>XOM US Equity</stp>
        <stp>IS_DILUTED_EPS</stp>
        <stp>FQ4 1993</stp>
        <stp>FQ4 1993</stp>
        <stp>[FA1_ftkzu3fn.xlsx]Income - Adjusted!R33C18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R33" s="2"/>
      </tp>
      <tp>
        <v>0.31</v>
        <stp/>
        <stp>##V3_BDHV12</stp>
        <stp>XOM US Equity</stp>
        <stp>IS_DILUTED_EPS</stp>
        <stp>FQ4 1992</stp>
        <stp>FQ4 1992</stp>
        <stp>[FA1_ftkzu3fn.xlsx]Income - Adjusted!R33C14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N33" s="2"/>
      </tp>
      <tp>
        <v>0.2225</v>
        <stp/>
        <stp>##V3_BDHV12</stp>
        <stp>XOM US Equity</stp>
        <stp>IS_DILUTED_EPS</stp>
        <stp>FQ4 1991</stp>
        <stp>FQ4 1991</stp>
        <stp>[FA1_ftkzu3fn.xlsx]Income - Adjusted!R33C10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J33" s="2"/>
      </tp>
      <tp>
        <v>0.49930000000000002</v>
        <stp/>
        <stp>##V3_BDHV12</stp>
        <stp>XOM US Equity</stp>
        <stp>CASH_FLOW_PER_SH</stp>
        <stp>FQ1 1992</stp>
        <stp>FQ1 1992</stp>
        <stp>[FA1_ftkzu3fn.xlsx]Per Share!R22C11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22" s="5"/>
      </tp>
      <tp>
        <v>0.54059999999999997</v>
        <stp/>
        <stp>##V3_BDHV12</stp>
        <stp>XOM US Equity</stp>
        <stp>CASH_FLOW_PER_SH</stp>
        <stp>FQ4 1997</stp>
        <stp>FQ4 1997</stp>
        <stp>[FA1_ftkzu3fn.xlsx]Per Share!R22C34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22" s="5"/>
      </tp>
      <tp>
        <v>0.71950000000000003</v>
        <stp/>
        <stp>##V3_BDHV12</stp>
        <stp>XOM US Equity</stp>
        <stp>CASH_FLOW_PER_SH</stp>
        <stp>FQ4 1995</stp>
        <stp>FQ4 1995</stp>
        <stp>[FA1_ftkzu3fn.xlsx]Per Share!R22C26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22" s="5"/>
      </tp>
      <tp t="s">
        <v>—</v>
        <stp/>
        <stp>##V3_BDHV12</stp>
        <stp>XOM US Equity</stp>
        <stp>INVTRY_RAW_MATERIALS</stp>
        <stp>FQ3 1995</stp>
        <stp>FQ3 1995</stp>
        <stp>[FA1_ftkzu3fn.xlsx]Bal Sheet - Standardized!R12C25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12" s="3"/>
      </tp>
      <tp t="s">
        <v>—</v>
        <stp/>
        <stp>##V3_BDHV12</stp>
        <stp>XOM US Equity</stp>
        <stp>INVTRY_RAW_MATERIALS</stp>
        <stp>FQ3 1994</stp>
        <stp>FQ3 1994</stp>
        <stp>[FA1_ftkzu3fn.xlsx]Bal Sheet - Standardized!R12C21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12" s="3"/>
      </tp>
      <tp t="s">
        <v>—</v>
        <stp/>
        <stp>##V3_BDHV12</stp>
        <stp>XOM US Equity</stp>
        <stp>INVTRY_RAW_MATERIALS</stp>
        <stp>FQ2 1997</stp>
        <stp>FQ2 1997</stp>
        <stp>[FA1_ftkzu3fn.xlsx]Bal Sheet - Standardized!R12C32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12" s="3"/>
      </tp>
      <tp t="s">
        <v>—</v>
        <stp/>
        <stp>##V3_BDHV12</stp>
        <stp>XOM US Equity</stp>
        <stp>INVTRY_RAW_MATERIALS</stp>
        <stp>FQ3 1996</stp>
        <stp>FQ3 1996</stp>
        <stp>[FA1_ftkzu3fn.xlsx]Bal Sheet - Standardized!R12C29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12" s="3"/>
      </tp>
      <tp>
        <v>736</v>
        <stp/>
        <stp>##V3_BDHV12</stp>
        <stp>XOM US Equity</stp>
        <stp>INVTRY_RAW_MATERIALS</stp>
        <stp>FQ2 1998</stp>
        <stp>FQ2 1998</stp>
        <stp>[FA1_ftkzu3fn.xlsx]Bal Sheet - Standardized!R12C36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12" s="3"/>
      </tp>
      <tp>
        <v>74872</v>
        <stp/>
        <stp>##V3_BDHV12</stp>
        <stp>XOM US Equity</stp>
        <stp>BS_TOT_NON_CUR_ASSET</stp>
        <stp>FQ4 1997</stp>
        <stp>FQ4 1997</stp>
        <stp>[FA1_ftkzu3fn.xlsx]Bal Sheet - Standardized!R23C34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23" s="3"/>
      </tp>
      <tp>
        <v>7050</v>
        <stp/>
        <stp>##V3_BDHV12</stp>
        <stp>XOM US Equity</stp>
        <stp>BS_LT_BORROW</stp>
        <stp>FQ4 1997</stp>
        <stp>FQ4 1997</stp>
        <stp>[FA1_ftkzu3fn.xlsx]Bal Sheet - Standardized!R33C34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33" s="3"/>
      </tp>
      <tp>
        <v>1114</v>
        <stp/>
        <stp>##V3_BDHV12</stp>
        <stp>XOM US Equity</stp>
        <stp>BS_LT_INVEST</stp>
        <stp>FQ4 1992</stp>
        <stp>FQ4 1992</stp>
        <stp>[FA1_ftkzu3fn.xlsx]Bal Sheet - Standardized!R20C14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20" s="3"/>
      </tp>
      <tp>
        <v>1148</v>
        <stp/>
        <stp>##V3_BDHV12</stp>
        <stp>XOM US Equity</stp>
        <stp>BS_LT_INVEST</stp>
        <stp>FQ4 1991</stp>
        <stp>FQ4 1991</stp>
        <stp>[FA1_ftkzu3fn.xlsx]Bal Sheet - Standardized!R20C10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20" s="3"/>
      </tp>
      <tp>
        <v>7236</v>
        <stp/>
        <stp>##V3_BDHV12</stp>
        <stp>XOM US Equity</stp>
        <stp>BS_LT_BORROW</stp>
        <stp>FQ4 1996</stp>
        <stp>FQ4 1996</stp>
        <stp>[FA1_ftkzu3fn.xlsx]Bal Sheet - Standardized!R33C30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33" s="3"/>
      </tp>
      <tp>
        <v>75617</v>
        <stp/>
        <stp>##V3_BDHV12</stp>
        <stp>XOM US Equity</stp>
        <stp>BS_TOT_NON_CUR_ASSET</stp>
        <stp>FQ4 1996</stp>
        <stp>FQ4 1996</stp>
        <stp>[FA1_ftkzu3fn.xlsx]Bal Sheet - Standardized!R23C30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23" s="3"/>
      </tp>
      <tp>
        <v>1177</v>
        <stp/>
        <stp>##V3_BDHV12</stp>
        <stp>XOM US Equity</stp>
        <stp>BS_LT_INVEST</stp>
        <stp>FQ4 1993</stp>
        <stp>FQ4 1993</stp>
        <stp>[FA1_ftkzu3fn.xlsx]Bal Sheet - Standardized!R20C18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20" s="3"/>
      </tp>
      <tp>
        <v>4047</v>
        <stp/>
        <stp>##V3_BDHV12</stp>
        <stp>XOM US Equity</stp>
        <stp>BS_CASH_NEAR_CASH_ITEM</stp>
        <stp>FQ4 1997</stp>
        <stp>FQ4 1997</stp>
        <stp>[FA1_ftkzu3fn.xlsx]Bal Sheet - Standardized!R8C34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8" s="3"/>
      </tp>
      <tp>
        <v>5263</v>
        <stp/>
        <stp>##V3_BDHV12</stp>
        <stp>XOM US Equity</stp>
        <stp>BS_CASH_NEAR_CASH_ITEM</stp>
        <stp>FQ1 1997</stp>
        <stp>FQ1 1997</stp>
        <stp>[FA1_ftkzu3fn.xlsx]Bal Sheet - Standardized!R8C31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8" s="3"/>
      </tp>
      <tp>
        <v>4720</v>
        <stp/>
        <stp>##V3_BDHV12</stp>
        <stp>XOM US Equity</stp>
        <stp>BS_CASH_NEAR_CASH_ITEM</stp>
        <stp>FQ2 1997</stp>
        <stp>FQ2 1997</stp>
        <stp>[FA1_ftkzu3fn.xlsx]Bal Sheet - Standardized!R8C32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8" s="3"/>
      </tp>
      <tp>
        <v>4781</v>
        <stp/>
        <stp>##V3_BDHV12</stp>
        <stp>XOM US Equity</stp>
        <stp>BS_CASH_NEAR_CASH_ITEM</stp>
        <stp>FQ3 1997</stp>
        <stp>FQ3 1997</stp>
        <stp>[FA1_ftkzu3fn.xlsx]Bal Sheet - Standardized!R8C33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8" s="3"/>
      </tp>
      <tp t="s">
        <v>—</v>
        <stp/>
        <stp>##V3_BDHV12</stp>
        <stp>XOM US Equity</stp>
        <stp>IS_BASIC_EPS_CONT_OPS</stp>
        <stp>FQ1 1992</stp>
        <stp>FQ1 1992</stp>
        <stp>[FA1_ftkzu3fn.xlsx]Income - Adjusted!R30C11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30" s="2"/>
      </tp>
      <tp>
        <v>0.44500000000000001</v>
        <stp/>
        <stp>##V3_BDHV12</stp>
        <stp>XOM US Equity</stp>
        <stp>IS_BASIC_EPS_CONT_OPS</stp>
        <stp>FQ4 1997</stp>
        <stp>FQ4 1997</stp>
        <stp>[FA1_ftkzu3fn.xlsx]Income - Adjusted!R30C34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30" s="2"/>
      </tp>
      <tp>
        <v>0.33750000000000002</v>
        <stp/>
        <stp>##V3_BDHV12</stp>
        <stp>XOM US Equity</stp>
        <stp>IS_BASIC_EPS_CONT_OPS</stp>
        <stp>FQ4 1995</stp>
        <stp>FQ4 1995</stp>
        <stp>[FA1_ftkzu3fn.xlsx]Income - Adjusted!R30C26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30" s="2"/>
      </tp>
      <tp>
        <v>125</v>
        <stp/>
        <stp>##V3_BDHV12</stp>
        <stp>XOM US Equity</stp>
        <stp>DISP_FXD_&amp;_INTANGIBLES_DETAILED</stp>
        <stp>FQ1 1998</stp>
        <stp>FQ1 1998</stp>
        <stp>[FA1_ftkzu3fn.xlsx]Cash Flow - Standardized!R17C35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17" s="4"/>
      </tp>
      <tp>
        <v>2689</v>
        <stp/>
        <stp>##V3_BDHV12</stp>
        <stp>XOM US Equity</stp>
        <stp>BS_CASH_NEAR_CASH_ITEM</stp>
        <stp>FQ2 1998</stp>
        <stp>FQ2 1998</stp>
        <stp>[FA1_ftkzu3fn.xlsx]Bal Sheet - Standardized!R8C36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8" s="3"/>
      </tp>
      <tp>
        <v>3841</v>
        <stp/>
        <stp>##V3_BDHV12</stp>
        <stp>XOM US Equity</stp>
        <stp>BS_CASH_NEAR_CASH_ITEM</stp>
        <stp>FQ1 1998</stp>
        <stp>FQ1 1998</stp>
        <stp>[FA1_ftkzu3fn.xlsx]Bal Sheet - Standardized!R8C35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8" s="3"/>
      </tp>
      <tp>
        <v>2951</v>
        <stp/>
        <stp>##V3_BDHV12</stp>
        <stp>XOM US Equity</stp>
        <stp>BS_CASH_NEAR_CASH_ITEM</stp>
        <stp>FQ4 1996</stp>
        <stp>FQ4 1996</stp>
        <stp>[FA1_ftkzu3fn.xlsx]Bal Sheet - Standardized!R8C30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8" s="3"/>
      </tp>
      <tp>
        <v>0.16750000000000001</v>
        <stp/>
        <stp>##V3_BDHV12</stp>
        <stp>XOM US Equity</stp>
        <stp>EQY_DPS</stp>
        <stp>FQ4 1990</stp>
        <stp>FQ4 1990</stp>
        <stp>[FA1_ftkzu3fn.xlsx]Per Share!R20C6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20" s="5"/>
      </tp>
      <tp>
        <v>0.15</v>
        <stp/>
        <stp>##V3_BDHV12</stp>
        <stp>XOM US Equity</stp>
        <stp>EQY_DPS</stp>
        <stp>FQ1 1990</stp>
        <stp>FQ1 1990</stp>
        <stp>[FA1_ftkzu3fn.xlsx]Per Share!R20C3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20" s="5"/>
      </tp>
      <tp t="s">
        <v>—</v>
        <stp/>
        <stp>##V3_BDHV12</stp>
        <stp>XOM US Equity</stp>
        <stp>DISP_FXD_&amp;_INTANGIBLES_DETAILED</stp>
        <stp>FQ3 1992</stp>
        <stp>FQ3 1992</stp>
        <stp>[FA1_ftkzu3fn.xlsx]Cash Flow - Standardized!R17C13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17" s="4"/>
      </tp>
      <tp t="s">
        <v>—</v>
        <stp/>
        <stp>##V3_BDHV12</stp>
        <stp>XOM US Equity</stp>
        <stp>DISP_FXD_&amp;_INTANGIBLES_DETAILED</stp>
        <stp>FQ3 1993</stp>
        <stp>FQ3 1993</stp>
        <stp>[FA1_ftkzu3fn.xlsx]Cash Flow - Standardized!R17C17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17" s="4"/>
      </tp>
      <tp>
        <v>0</v>
        <stp/>
        <stp>##V3_BDHV12</stp>
        <stp>XOM US Equity</stp>
        <stp>DISP_FXD_&amp;_INTANGIBLES_DETAILED</stp>
        <stp>FQ1 1997</stp>
        <stp>FQ1 1997</stp>
        <stp>[FA1_ftkzu3fn.xlsx]Cash Flow - Standardized!R17C31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17" s="4"/>
      </tp>
      <tp>
        <v>0.20499999999999999</v>
        <stp/>
        <stp>##V3_BDHV12</stp>
        <stp>XOM US Equity</stp>
        <stp>EQY_DPS</stp>
        <stp>FQ1 1998</stp>
        <stp>FQ1 1998</stp>
        <stp>[FA1_ftkzu3fn.xlsx]Income - Adjusted!R46C35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46" s="2"/>
      </tp>
      <tp>
        <v>0.18</v>
        <stp/>
        <stp>##V3_BDHV12</stp>
        <stp>XOM US Equity</stp>
        <stp>EQY_DPS</stp>
        <stp>FQ1 1994</stp>
        <stp>FQ1 1994</stp>
        <stp>[FA1_ftkzu3fn.xlsx]Income - Adjusted!R46C19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46" s="2"/>
      </tp>
      <tp>
        <v>-360</v>
        <stp/>
        <stp>##V3_BDHV12</stp>
        <stp>XOM US Equity</stp>
        <stp>CF_CHNG_NON_CASH_WORK_CAP</stp>
        <stp>FQ2 1992</stp>
        <stp>FQ2 1992</stp>
        <stp>[FA1_ftkzu3fn.xlsx]Cash Flow - Standardized!R11C12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11" s="4"/>
      </tp>
      <tp>
        <v>528</v>
        <stp/>
        <stp>##V3_BDHV12</stp>
        <stp>XOM US Equity</stp>
        <stp>CF_CHNG_NON_CASH_WORK_CAP</stp>
        <stp>FQ1 1996</stp>
        <stp>FQ1 1996</stp>
        <stp>[FA1_ftkzu3fn.xlsx]Cash Flow - Standardized!R11C27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11" s="4"/>
      </tp>
      <tp>
        <v>-123</v>
        <stp/>
        <stp>##V3_BDHV12</stp>
        <stp>XOM US Equity</stp>
        <stp>CF_CHNG_NON_CASH_WORK_CAP</stp>
        <stp>FQ2 1993</stp>
        <stp>FQ2 1993</stp>
        <stp>[FA1_ftkzu3fn.xlsx]Cash Flow - Standardized!R11C16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11" s="4"/>
      </tp>
      <tp>
        <v>212</v>
        <stp/>
        <stp>##V3_BDHV12</stp>
        <stp>XOM US Equity</stp>
        <stp>CF_CHNG_NON_CASH_WORK_CAP</stp>
        <stp>FQ1 1995</stp>
        <stp>FQ1 1995</stp>
        <stp>[FA1_ftkzu3fn.xlsx]Cash Flow - Standardized!R11C23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11" s="4"/>
      </tp>
      <tp>
        <v>2715.6188000000002</v>
        <stp/>
        <stp>##V3_BDHV12</stp>
        <stp>XOM US Equity</stp>
        <stp>CF_FREE_CASH_FLOW_FIRM</stp>
        <stp>FQ1 1996</stp>
        <stp>FQ1 1996</stp>
        <stp>[FA1_ftkzu3fn.xlsx]Cash Flow - Standardized!R41C27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A41" s="4"/>
      </tp>
      <tp t="s">
        <v>—</v>
        <stp/>
        <stp>##V3_BDHV12</stp>
        <stp>XOM US Equity</stp>
        <stp>PX_TO_FREE_CASH_FLOW</stp>
        <stp>FQ3 1994</stp>
        <stp>FQ3 1994</stp>
        <stp>[FA1_ftkzu3fn.xlsx]Cash Flow - Standardized!R44C21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44" s="4"/>
      </tp>
      <tp t="s">
        <v>—</v>
        <stp/>
        <stp>##V3_BDHV12</stp>
        <stp>XOM US Equity</stp>
        <stp>PX_TO_FREE_CASH_FLOW</stp>
        <stp>FQ2 1994</stp>
        <stp>FQ2 1994</stp>
        <stp>[FA1_ftkzu3fn.xlsx]Cash Flow - Standardized!R44C20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44" s="4"/>
      </tp>
      <tp t="s">
        <v>—</v>
        <stp/>
        <stp>##V3_BDHV12</stp>
        <stp>XOM US Equity</stp>
        <stp>OTHER_INVESTING_ACT_DETAILED</stp>
        <stp>FQ3 1991</stp>
        <stp>FQ3 1991</stp>
        <stp>[FA1_ftkzu3fn.xlsx]Cash Flow - Standardized!R22C9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2" s="4"/>
      </tp>
      <tp t="s">
        <v>—</v>
        <stp/>
        <stp>##V3_BDHV12</stp>
        <stp>XOM US Equity</stp>
        <stp>OTHER_INVESTING_ACT_DETAILED</stp>
        <stp>FQ2 1991</stp>
        <stp>FQ2 1991</stp>
        <stp>[FA1_ftkzu3fn.xlsx]Cash Flow - Standardized!R22C8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2" s="4"/>
      </tp>
      <tp t="s">
        <v>—</v>
        <stp/>
        <stp>##V3_BDHV12</stp>
        <stp>XOM US Equity</stp>
        <stp>OTHER_INVESTING_ACT_DETAILED</stp>
        <stp>FQ1 1991</stp>
        <stp>FQ1 1991</stp>
        <stp>[FA1_ftkzu3fn.xlsx]Cash Flow - Standardized!R22C7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2" s="4"/>
      </tp>
      <tp t="s">
        <v>—</v>
        <stp/>
        <stp>##V3_BDHV12</stp>
        <stp>XOM US Equity</stp>
        <stp>OTHER_INVESTING_ACT_DETAILED</stp>
        <stp>FQ2 1990</stp>
        <stp>FQ2 1990</stp>
        <stp>[FA1_ftkzu3fn.xlsx]Cash Flow - Standardized!R22C4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2" s="4"/>
      </tp>
      <tp t="s">
        <v>—</v>
        <stp/>
        <stp>##V3_BDHV12</stp>
        <stp>XOM US Equity</stp>
        <stp>OTHER_INVESTING_ACT_DETAILED</stp>
        <stp>FQ3 1990</stp>
        <stp>FQ3 1990</stp>
        <stp>[FA1_ftkzu3fn.xlsx]Cash Flow - Standardized!R22C5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2" s="4"/>
      </tp>
      <tp t="s">
        <v>—</v>
        <stp/>
        <stp>##V3_BDHV12</stp>
        <stp>XOM US Equity</stp>
        <stp>OTHER_INVESTING_ACT_DETAILED</stp>
        <stp>FQ1 1990</stp>
        <stp>FQ1 1990</stp>
        <stp>[FA1_ftkzu3fn.xlsx]Cash Flow - Standardized!R22C3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2" s="4"/>
      </tp>
      <tp t="s">
        <v>—</v>
        <stp/>
        <stp>##V3_BDHV12</stp>
        <stp>XOM US Equity</stp>
        <stp>OTHER_INVESTING_ACT_DETAILED</stp>
        <stp>FQ4 1990</stp>
        <stp>FQ4 1990</stp>
        <stp>[FA1_ftkzu3fn.xlsx]Cash Flow - Standardized!R22C6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2" s="4"/>
      </tp>
      <tp t="s">
        <v>—</v>
        <stp/>
        <stp>##V3_BDHV12</stp>
        <stp>XOM US Equity</stp>
        <stp>INVTRY_RAW_MATERIALS</stp>
        <stp>FQ1 1992</stp>
        <stp>FQ1 1992</stp>
        <stp>[FA1_ftkzu3fn.xlsx]Bal Sheet - Standardized!R12C11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12" s="3"/>
      </tp>
      <tp t="s">
        <v>—</v>
        <stp/>
        <stp>##V3_BDHV12</stp>
        <stp>XOM US Equity</stp>
        <stp>INVTRY_RAW_MATERIALS</stp>
        <stp>FQ2 1995</stp>
        <stp>FQ2 1995</stp>
        <stp>[FA1_ftkzu3fn.xlsx]Bal Sheet - Standardized!R12C24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12" s="3"/>
      </tp>
      <tp t="s">
        <v>—</v>
        <stp/>
        <stp>##V3_BDHV12</stp>
        <stp>XOM US Equity</stp>
        <stp>INVTRY_RAW_MATERIALS</stp>
        <stp>FQ2 1994</stp>
        <stp>FQ2 1994</stp>
        <stp>[FA1_ftkzu3fn.xlsx]Bal Sheet - Standardized!R12C20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12" s="3"/>
      </tp>
      <tp t="s">
        <v>—</v>
        <stp/>
        <stp>##V3_BDHV12</stp>
        <stp>XOM US Equity</stp>
        <stp>INVTRY_RAW_MATERIALS</stp>
        <stp>FQ1 1993</stp>
        <stp>FQ1 1993</stp>
        <stp>[FA1_ftkzu3fn.xlsx]Bal Sheet - Standardized!R12C15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12" s="3"/>
      </tp>
      <tp t="s">
        <v>—</v>
        <stp/>
        <stp>##V3_BDHV12</stp>
        <stp>XOM US Equity</stp>
        <stp>INVTRY_RAW_MATERIALS</stp>
        <stp>FQ3 1997</stp>
        <stp>FQ3 1997</stp>
        <stp>[FA1_ftkzu3fn.xlsx]Bal Sheet - Standardized!R12C33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12" s="3"/>
      </tp>
      <tp t="s">
        <v>—</v>
        <stp/>
        <stp>##V3_BDHV12</stp>
        <stp>XOM US Equity</stp>
        <stp>INVTRY_RAW_MATERIALS</stp>
        <stp>FQ2 1996</stp>
        <stp>FQ2 1996</stp>
        <stp>[FA1_ftkzu3fn.xlsx]Bal Sheet - Standardized!R12C28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12" s="3"/>
      </tp>
      <tp t="s">
        <v>—</v>
        <stp/>
        <stp>##V3_BDHV12</stp>
        <stp>XOM US Equity</stp>
        <stp>INVTRY_RAW_MATERIALS</stp>
        <stp>FQ1 1994</stp>
        <stp>FQ1 1994</stp>
        <stp>[FA1_ftkzu3fn.xlsx]Bal Sheet - Standardized!R12C19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12" s="3"/>
      </tp>
      <tp>
        <v>73978</v>
        <stp/>
        <stp>##V3_BDHV12</stp>
        <stp>XOM US Equity</stp>
        <stp>BS_TOT_NON_CUR_ASSET</stp>
        <stp>FQ4 1995</stp>
        <stp>FQ4 1995</stp>
        <stp>[FA1_ftkzu3fn.xlsx]Bal Sheet - Standardized!R23C26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23" s="3"/>
      </tp>
      <tp>
        <v>7778</v>
        <stp/>
        <stp>##V3_BDHV12</stp>
        <stp>XOM US Equity</stp>
        <stp>BS_LT_BORROW</stp>
        <stp>FQ4 1995</stp>
        <stp>FQ4 1995</stp>
        <stp>[FA1_ftkzu3fn.xlsx]Bal Sheet - Standardized!R33C26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33" s="3"/>
      </tp>
      <tp>
        <v>8831</v>
        <stp/>
        <stp>##V3_BDHV12</stp>
        <stp>XOM US Equity</stp>
        <stp>BS_LT_BORROW</stp>
        <stp>FQ4 1994</stp>
        <stp>FQ4 1994</stp>
        <stp>[FA1_ftkzu3fn.xlsx]Bal Sheet - Standardized!R33C22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33" s="3"/>
      </tp>
      <tp>
        <v>71402</v>
        <stp/>
        <stp>##V3_BDHV12</stp>
        <stp>XOM US Equity</stp>
        <stp>BS_TOT_NON_CUR_ASSET</stp>
        <stp>FQ4 1994</stp>
        <stp>FQ4 1994</stp>
        <stp>[FA1_ftkzu3fn.xlsx]Bal Sheet - Standardized!R23C22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23" s="3"/>
      </tp>
      <tp>
        <v>0.53620000000000001</v>
        <stp/>
        <stp>##V3_BDHV12</stp>
        <stp>XOM US Equity</stp>
        <stp>FREE_CASH_FLOW_PER_SH</stp>
        <stp>FQ1 1996</stp>
        <stp>FQ1 1996</stp>
        <stp>[FA1_ftkzu3fn.xlsx]Cash Flow - Standardized!R43C27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43" s="4"/>
      </tp>
      <tp>
        <v>1508</v>
        <stp/>
        <stp>##V3_BDHV12</stp>
        <stp>XOM US Equity</stp>
        <stp>BS_CASH_NEAR_CASH_ITEM</stp>
        <stp>FQ4 1995</stp>
        <stp>FQ4 1995</stp>
        <stp>[FA1_ftkzu3fn.xlsx]Bal Sheet - Standardized!R8C26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8" s="3"/>
      </tp>
      <tp>
        <v>1700</v>
        <stp/>
        <stp>##V3_BDHV12</stp>
        <stp>XOM US Equity</stp>
        <stp>BS_CASH_NEAR_CASH_ITEM</stp>
        <stp>FQ3 1994</stp>
        <stp>FQ3 1994</stp>
        <stp>[FA1_ftkzu3fn.xlsx]Bal Sheet - Standardized!R8C21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8" s="3"/>
      </tp>
      <tp>
        <v>1879</v>
        <stp/>
        <stp>##V3_BDHV12</stp>
        <stp>XOM US Equity</stp>
        <stp>BS_CASH_NEAR_CASH_ITEM</stp>
        <stp>FQ2 1994</stp>
        <stp>FQ2 1994</stp>
        <stp>[FA1_ftkzu3fn.xlsx]Bal Sheet - Standardized!R8C20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8" s="3"/>
      </tp>
      <tp>
        <v>2770</v>
        <stp/>
        <stp>##V3_BDHV12</stp>
        <stp>XOM US Equity</stp>
        <stp>BS_CASH_NEAR_CASH_ITEM</stp>
        <stp>FQ1 1995</stp>
        <stp>FQ1 1995</stp>
        <stp>[FA1_ftkzu3fn.xlsx]Bal Sheet - Standardized!R8C23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8" s="3"/>
      </tp>
      <tp>
        <v>1157</v>
        <stp/>
        <stp>##V3_BDHV12</stp>
        <stp>XOM US Equity</stp>
        <stp>BS_CASH_NEAR_CASH_ITEM</stp>
        <stp>FQ4 1994</stp>
        <stp>FQ4 1994</stp>
        <stp>[FA1_ftkzu3fn.xlsx]Bal Sheet - Standardized!R8C22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8" s="3"/>
      </tp>
      <tp>
        <v>3523</v>
        <stp/>
        <stp>##V3_BDHV12</stp>
        <stp>XOM US Equity</stp>
        <stp>BS_CASH_NEAR_CASH_ITEM</stp>
        <stp>FQ1 1996</stp>
        <stp>FQ1 1996</stp>
        <stp>[FA1_ftkzu3fn.xlsx]Bal Sheet - Standardized!R8C27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8" s="3"/>
      </tp>
      <tp>
        <v>2577</v>
        <stp/>
        <stp>##V3_BDHV12</stp>
        <stp>XOM US Equity</stp>
        <stp>BS_CASH_NEAR_CASH_ITEM</stp>
        <stp>FQ2 1995</stp>
        <stp>FQ2 1995</stp>
        <stp>[FA1_ftkzu3fn.xlsx]Bal Sheet - Standardized!R8C24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8" s="3"/>
      </tp>
      <tp>
        <v>2200</v>
        <stp/>
        <stp>##V3_BDHV12</stp>
        <stp>XOM US Equity</stp>
        <stp>BS_CASH_NEAR_CASH_ITEM</stp>
        <stp>FQ3 1995</stp>
        <stp>FQ3 1995</stp>
        <stp>[FA1_ftkzu3fn.xlsx]Bal Sheet - Standardized!R8C25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8" s="3"/>
      </tp>
      <tp t="s">
        <v>—</v>
        <stp/>
        <stp>##V3_BDHV12</stp>
        <stp>XOM US Equity</stp>
        <stp>DISP_FXD_&amp;_INTANGIBLES_DETAILED</stp>
        <stp>FQ1 1996</stp>
        <stp>FQ1 1996</stp>
        <stp>[FA1_ftkzu3fn.xlsx]Cash Flow - Standardized!R17C27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17" s="4"/>
      </tp>
      <tp t="s">
        <v>—</v>
        <stp/>
        <stp>##V3_BDHV12</stp>
        <stp>XOM US Equity</stp>
        <stp>DISP_FXD_&amp;_INTANGIBLES_DETAILED</stp>
        <stp>FQ2 1992</stp>
        <stp>FQ2 1992</stp>
        <stp>[FA1_ftkzu3fn.xlsx]Cash Flow - Standardized!R17C12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17" s="4"/>
      </tp>
      <tp>
        <v>2910</v>
        <stp/>
        <stp>##V3_BDHV12</stp>
        <stp>XOM US Equity</stp>
        <stp>BS_CASH_NEAR_CASH_ITEM</stp>
        <stp>FQ3 1996</stp>
        <stp>FQ3 1996</stp>
        <stp>[FA1_ftkzu3fn.xlsx]Bal Sheet - Standardized!R8C29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8" s="3"/>
      </tp>
      <tp>
        <v>3222</v>
        <stp/>
        <stp>##V3_BDHV12</stp>
        <stp>XOM US Equity</stp>
        <stp>BS_CASH_NEAR_CASH_ITEM</stp>
        <stp>FQ2 1996</stp>
        <stp>FQ2 1996</stp>
        <stp>[FA1_ftkzu3fn.xlsx]Bal Sheet - Standardized!R8C28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8" s="3"/>
      </tp>
      <tp t="s">
        <v>—</v>
        <stp/>
        <stp>##V3_BDHV12</stp>
        <stp>XOM US Equity</stp>
        <stp>DISP_FXD_&amp;_INTANGIBLES_DETAILED</stp>
        <stp>FQ2 1993</stp>
        <stp>FQ2 1993</stp>
        <stp>[FA1_ftkzu3fn.xlsx]Cash Flow - Standardized!R17C16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17" s="4"/>
      </tp>
      <tp t="s">
        <v>—</v>
        <stp/>
        <stp>##V3_BDHV12</stp>
        <stp>XOM US Equity</stp>
        <stp>DISP_FXD_&amp;_INTANGIBLES_DETAILED</stp>
        <stp>FQ1 1995</stp>
        <stp>FQ1 1995</stp>
        <stp>[FA1_ftkzu3fn.xlsx]Cash Flow - Standardized!R17C23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17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8"/>
  <sheetViews>
    <sheetView tabSelected="1" workbookViewId="0"/>
  </sheetViews>
  <sheetFormatPr defaultRowHeight="15" x14ac:dyDescent="0.25"/>
  <cols>
    <col min="1" max="1" width="35.140625" customWidth="1"/>
    <col min="2" max="2" width="0" hidden="1" customWidth="1"/>
    <col min="3" max="36" width="11.85546875" customWidth="1"/>
  </cols>
  <sheetData>
    <row r="1" spans="1:3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20.25" x14ac:dyDescent="0.25">
      <c r="A2" s="8" t="s">
        <v>5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</row>
    <row r="3" spans="1:36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25">
      <c r="A4" s="3" t="s">
        <v>6</v>
      </c>
      <c r="B4" s="3"/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23</v>
      </c>
      <c r="T4" s="4" t="s">
        <v>24</v>
      </c>
      <c r="U4" s="4" t="s">
        <v>25</v>
      </c>
      <c r="V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31</v>
      </c>
      <c r="AB4" s="4" t="s">
        <v>32</v>
      </c>
      <c r="AC4" s="4" t="s">
        <v>33</v>
      </c>
      <c r="AD4" s="4" t="s">
        <v>34</v>
      </c>
      <c r="AE4" s="4" t="s">
        <v>35</v>
      </c>
      <c r="AF4" s="4" t="s">
        <v>36</v>
      </c>
      <c r="AG4" s="4" t="s">
        <v>37</v>
      </c>
      <c r="AH4" s="4" t="s">
        <v>38</v>
      </c>
      <c r="AI4" s="4" t="s">
        <v>39</v>
      </c>
      <c r="AJ4" s="4" t="s">
        <v>40</v>
      </c>
    </row>
    <row r="5" spans="1:36" x14ac:dyDescent="0.25">
      <c r="A5" s="9" t="s">
        <v>41</v>
      </c>
      <c r="B5" s="9"/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  <c r="L5" s="5" t="s">
        <v>51</v>
      </c>
      <c r="M5" s="5" t="s">
        <v>52</v>
      </c>
      <c r="N5" s="5" t="s">
        <v>53</v>
      </c>
      <c r="O5" s="5" t="s">
        <v>54</v>
      </c>
      <c r="P5" s="5" t="s">
        <v>55</v>
      </c>
      <c r="Q5" s="5" t="s">
        <v>56</v>
      </c>
      <c r="R5" s="5" t="s">
        <v>57</v>
      </c>
      <c r="S5" s="5" t="s">
        <v>58</v>
      </c>
      <c r="T5" s="5" t="s">
        <v>59</v>
      </c>
      <c r="U5" s="5" t="s">
        <v>60</v>
      </c>
      <c r="V5" s="5" t="s">
        <v>61</v>
      </c>
      <c r="W5" s="5" t="s">
        <v>62</v>
      </c>
      <c r="X5" s="5" t="s">
        <v>63</v>
      </c>
      <c r="Y5" s="5" t="s">
        <v>64</v>
      </c>
      <c r="Z5" s="5" t="s">
        <v>65</v>
      </c>
      <c r="AA5" s="5" t="s">
        <v>66</v>
      </c>
      <c r="AB5" s="5" t="s">
        <v>67</v>
      </c>
      <c r="AC5" s="5" t="s">
        <v>68</v>
      </c>
      <c r="AD5" s="5" t="s">
        <v>69</v>
      </c>
      <c r="AE5" s="5" t="s">
        <v>70</v>
      </c>
      <c r="AF5" s="5" t="s">
        <v>71</v>
      </c>
      <c r="AG5" s="5" t="s">
        <v>72</v>
      </c>
      <c r="AH5" s="5" t="s">
        <v>73</v>
      </c>
      <c r="AI5" s="5" t="s">
        <v>74</v>
      </c>
      <c r="AJ5" s="5" t="s">
        <v>75</v>
      </c>
    </row>
    <row r="6" spans="1:36" x14ac:dyDescent="0.25">
      <c r="A6" s="6" t="s">
        <v>0</v>
      </c>
      <c r="B6" s="6" t="s">
        <v>76</v>
      </c>
      <c r="C6" s="16">
        <f>_xll.BDH("XOM US Equity","SALES_REV_TURN","FQ1 1990","FQ1 1990","Currency=USD","Period=FQ","BEST_FPERIOD_OVERRIDE=FQ","FILING_STATUS=OR","SCALING_FORMAT=MLN","FA_ADJUSTED=Adjusted","Sort=A","Dates=H","DateFormat=P","Fill=—","Direction=H","UseDPDF=Y")</f>
        <v>24127</v>
      </c>
      <c r="D6" s="16">
        <f>_xll.BDH("XOM US Equity","SALES_REV_TURN","FQ2 1990","FQ2 1990","Currency=USD","Period=FQ","BEST_FPERIOD_OVERRIDE=FQ","FILING_STATUS=OR","SCALING_FORMAT=MLN","FA_ADJUSTED=Adjusted","Sort=A","Dates=H","DateFormat=P","Fill=—","Direction=H","UseDPDF=Y")</f>
        <v>23444</v>
      </c>
      <c r="E6" s="16">
        <f>_xll.BDH("XOM US Equity","SALES_REV_TURN","FQ3 1990","FQ3 1990","Currency=USD","Period=FQ","BEST_FPERIOD_OVERRIDE=FQ","FILING_STATUS=OR","SCALING_FORMAT=MLN","FA_ADJUSTED=Adjusted","Sort=A","Dates=H","DateFormat=P","Fill=—","Direction=H","UseDPDF=Y")</f>
        <v>26086</v>
      </c>
      <c r="F6" s="16">
        <f>_xll.BDH("XOM US Equity","SALES_REV_TURN","FQ4 1990","FQ4 1990","Currency=USD","Period=FQ","BEST_FPERIOD_OVERRIDE=FQ","FILING_STATUS=OR","SCALING_FORMAT=MLN","FA_ADJUSTED=Adjusted","Sort=A","Dates=H","DateFormat=P","Fill=—","Direction=H","UseDPDF=Y")</f>
        <v>35122</v>
      </c>
      <c r="G6" s="16">
        <f>_xll.BDH("XOM US Equity","SALES_REV_TURN","FQ1 1991","FQ1 1991","Currency=USD","Period=FQ","BEST_FPERIOD_OVERRIDE=FQ","FILING_STATUS=OR","SCALING_FORMAT=MLN","FA_ADJUSTED=Adjusted","Sort=A","Dates=H","DateFormat=P","Fill=—","Direction=H","UseDPDF=Y")</f>
        <v>27237</v>
      </c>
      <c r="H6" s="16">
        <f>_xll.BDH("XOM US Equity","SALES_REV_TURN","FQ2 1991","FQ2 1991","Currency=USD","Period=FQ","BEST_FPERIOD_OVERRIDE=FQ","FILING_STATUS=OR","SCALING_FORMAT=MLN","FA_ADJUSTED=Adjusted","Sort=A","Dates=H","DateFormat=P","Fill=—","Direction=H","UseDPDF=Y")</f>
        <v>24251</v>
      </c>
      <c r="I6" s="16">
        <f>_xll.BDH("XOM US Equity","SALES_REV_TURN","FQ3 1991","FQ3 1991","Currency=USD","Period=FQ","BEST_FPERIOD_OVERRIDE=FQ","FILING_STATUS=OR","SCALING_FORMAT=MLN","FA_ADJUSTED=Adjusted","Sort=A","Dates=H","DateFormat=P","Fill=—","Direction=H","UseDPDF=Y")</f>
        <v>24238</v>
      </c>
      <c r="J6" s="16">
        <f>_xll.BDH("XOM US Equity","SALES_REV_TURN","FQ4 1991","FQ4 1991","Currency=USD","Period=FQ","BEST_FPERIOD_OVERRIDE=FQ","FILING_STATUS=OR","SCALING_FORMAT=MLN","FA_ADJUSTED=Adjusted","Sort=A","Dates=H","DateFormat=P","Fill=—","Direction=H","UseDPDF=Y")</f>
        <v>31020</v>
      </c>
      <c r="K6" s="16">
        <f>_xll.BDH("XOM US Equity","SALES_REV_TURN","FQ1 1992","FQ1 1992","Currency=USD","Period=FQ","BEST_FPERIOD_OVERRIDE=FQ","FILING_STATUS=OR","SCALING_FORMAT=MLN","FA_ADJUSTED=Adjusted","Sort=A","Dates=H","DateFormat=P","Fill=—","Direction=H","UseDPDF=Y")</f>
        <v>24475</v>
      </c>
      <c r="L6" s="16">
        <f>_xll.BDH("XOM US Equity","SALES_REV_TURN","FQ2 1992","FQ2 1992","Currency=USD","Period=FQ","BEST_FPERIOD_OVERRIDE=FQ","FILING_STATUS=OR","SCALING_FORMAT=MLN","FA_ADJUSTED=Adjusted","Sort=A","Dates=H","DateFormat=P","Fill=—","Direction=H","UseDPDF=Y")</f>
        <v>24547</v>
      </c>
      <c r="M6" s="16">
        <f>_xll.BDH("XOM US Equity","SALES_REV_TURN","FQ3 1992","FQ3 1992","Currency=USD","Period=FQ","BEST_FPERIOD_OVERRIDE=FQ","FILING_STATUS=OR","SCALING_FORMAT=MLN","FA_ADJUSTED=Adjusted","Sort=A","Dates=H","DateFormat=P","Fill=—","Direction=H","UseDPDF=Y")</f>
        <v>27241</v>
      </c>
      <c r="N6" s="16">
        <f>_xll.BDH("XOM US Equity","SALES_REV_TURN","FQ4 1992","FQ4 1992","Currency=USD","Period=FQ","BEST_FPERIOD_OVERRIDE=FQ","FILING_STATUS=OR","SCALING_FORMAT=MLN","FA_ADJUSTED=Adjusted","Sort=A","Dates=H","DateFormat=P","Fill=—","Direction=H","UseDPDF=Y")</f>
        <v>30161</v>
      </c>
      <c r="O6" s="16">
        <f>_xll.BDH("XOM US Equity","SALES_REV_TURN","FQ1 1993","FQ1 1993","Currency=USD","Period=FQ","BEST_FPERIOD_OVERRIDE=FQ","FILING_STATUS=OR","SCALING_FORMAT=MLN","FA_ADJUSTED=Adjusted","Sort=A","Dates=H","DateFormat=P","Fill=—","Direction=H","UseDPDF=Y")</f>
        <v>24139</v>
      </c>
      <c r="P6" s="16">
        <f>_xll.BDH("XOM US Equity","SALES_REV_TURN","FQ2 1993","FQ2 1993","Currency=USD","Period=FQ","BEST_FPERIOD_OVERRIDE=FQ","FILING_STATUS=OR","SCALING_FORMAT=MLN","FA_ADJUSTED=Adjusted","Sort=A","Dates=H","DateFormat=P","Fill=—","Direction=H","UseDPDF=Y")</f>
        <v>24702</v>
      </c>
      <c r="Q6" s="16">
        <f>_xll.BDH("XOM US Equity","SALES_REV_TURN","FQ3 1993","FQ3 1993","Currency=USD","Period=FQ","BEST_FPERIOD_OVERRIDE=FQ","FILING_STATUS=OR","SCALING_FORMAT=MLN","FA_ADJUSTED=Adjusted","Sort=A","Dates=H","DateFormat=P","Fill=—","Direction=H","UseDPDF=Y")</f>
        <v>24455</v>
      </c>
      <c r="R6" s="16">
        <f>_xll.BDH("XOM US Equity","SALES_REV_TURN","FQ4 1993","FQ4 1993","Currency=USD","Period=FQ","BEST_FPERIOD_OVERRIDE=FQ","FILING_STATUS=OR","SCALING_FORMAT=MLN","FA_ADJUSTED=Adjusted","Sort=A","Dates=H","DateFormat=P","Fill=—","Direction=H","UseDPDF=Y")</f>
        <v>27843</v>
      </c>
      <c r="S6" s="16">
        <f>_xll.BDH("XOM US Equity","SALES_REV_TURN","FQ1 1994","FQ1 1994","Currency=USD","Period=FQ","BEST_FPERIOD_OVERRIDE=FQ","FILING_STATUS=OR","SCALING_FORMAT=MLN","FA_ADJUSTED=Adjusted","Sort=A","Dates=H","DateFormat=P","Fill=—","Direction=H","UseDPDF=Y")</f>
        <v>22883</v>
      </c>
      <c r="T6" s="16">
        <f>_xll.BDH("XOM US Equity","SALES_REV_TURN","FQ2 1994","FQ2 1994","Currency=USD","Period=FQ","BEST_FPERIOD_OVERRIDE=FQ","FILING_STATUS=OR","SCALING_FORMAT=MLN","FA_ADJUSTED=Adjusted","Sort=A","Dates=H","DateFormat=P","Fill=—","Direction=H","UseDPDF=Y")</f>
        <v>24246</v>
      </c>
      <c r="U6" s="16">
        <f>_xll.BDH("XOM US Equity","SALES_REV_TURN","FQ3 1994","FQ3 1994","Currency=USD","Period=FQ","BEST_FPERIOD_OVERRIDE=FQ","FILING_STATUS=OR","SCALING_FORMAT=MLN","FA_ADJUSTED=Adjusted","Sort=A","Dates=H","DateFormat=P","Fill=—","Direction=H","UseDPDF=Y")</f>
        <v>26047</v>
      </c>
      <c r="V6" s="16">
        <f>_xll.BDH("XOM US Equity","SALES_REV_TURN","FQ4 1994","FQ4 1994","Currency=USD","Period=FQ","BEST_FPERIOD_OVERRIDE=FQ","FILING_STATUS=OR","SCALING_FORMAT=MLN","FA_ADJUSTED=Adjusted","Sort=A","Dates=H","DateFormat=P","Fill=—","Direction=H","UseDPDF=Y")</f>
        <v>30561</v>
      </c>
      <c r="W6" s="16">
        <f>_xll.BDH("XOM US Equity","SALES_REV_TURN","FQ1 1995","FQ1 1995","Currency=USD","Period=FQ","BEST_FPERIOD_OVERRIDE=FQ","FILING_STATUS=OR","SCALING_FORMAT=MLN","FA_ADJUSTED=Adjusted","Sort=A","Dates=H","DateFormat=P","Fill=—","Direction=H","UseDPDF=Y")</f>
        <v>26127</v>
      </c>
      <c r="X6" s="16">
        <f>_xll.BDH("XOM US Equity","SALES_REV_TURN","FQ2 1995","FQ2 1995","Currency=USD","Period=FQ","BEST_FPERIOD_OVERRIDE=FQ","FILING_STATUS=OR","SCALING_FORMAT=MLN","FA_ADJUSTED=Adjusted","Sort=A","Dates=H","DateFormat=P","Fill=—","Direction=H","UseDPDF=Y")</f>
        <v>27846</v>
      </c>
      <c r="Y6" s="16">
        <f>_xll.BDH("XOM US Equity","SALES_REV_TURN","FQ3 1995","FQ3 1995","Currency=USD","Period=FQ","BEST_FPERIOD_OVERRIDE=FQ","FILING_STATUS=OR","SCALING_FORMAT=MLN","FA_ADJUSTED=Adjusted","Sort=A","Dates=H","DateFormat=P","Fill=—","Direction=H","UseDPDF=Y")</f>
        <v>27025</v>
      </c>
      <c r="Z6" s="16">
        <f>_xll.BDH("XOM US Equity","SALES_REV_TURN","FQ4 1995","FQ4 1995","Currency=USD","Period=FQ","BEST_FPERIOD_OVERRIDE=FQ","FILING_STATUS=OR","SCALING_FORMAT=MLN","FA_ADJUSTED=Adjusted","Sort=A","Dates=H","DateFormat=P","Fill=—","Direction=H","UseDPDF=Y")</f>
        <v>30666</v>
      </c>
      <c r="AA6" s="16">
        <f>_xll.BDH("XOM US Equity","SALES_REV_TURN","FQ1 1996","FQ1 1996","Currency=USD","Period=FQ","BEST_FPERIOD_OVERRIDE=FQ","FILING_STATUS=OR","SCALING_FORMAT=MLN","FA_ADJUSTED=Adjusted","Sort=A","Dates=H","DateFormat=P","Fill=—","Direction=H","UseDPDF=Y")</f>
        <v>27164</v>
      </c>
      <c r="AB6" s="16">
        <f>_xll.BDH("XOM US Equity","SALES_REV_TURN","FQ2 1996","FQ2 1996","Currency=USD","Period=FQ","BEST_FPERIOD_OVERRIDE=FQ","FILING_STATUS=OR","SCALING_FORMAT=MLN","FA_ADJUSTED=Adjusted","Sort=A","Dates=H","DateFormat=P","Fill=—","Direction=H","UseDPDF=Y")</f>
        <v>27975</v>
      </c>
      <c r="AC6" s="16">
        <f>_xll.BDH("XOM US Equity","SALES_REV_TURN","FQ3 1996","FQ3 1996","Currency=USD","Period=FQ","BEST_FPERIOD_OVERRIDE=FQ","FILING_STATUS=OR","SCALING_FORMAT=MLN","FA_ADJUSTED=Adjusted","Sort=A","Dates=H","DateFormat=P","Fill=—","Direction=H","UseDPDF=Y")</f>
        <v>29086</v>
      </c>
      <c r="AD6" s="16">
        <f>_xll.BDH("XOM US Equity","SALES_REV_TURN","FQ4 1996","FQ4 1996","Currency=USD","Period=FQ","BEST_FPERIOD_OVERRIDE=FQ","FILING_STATUS=OR","SCALING_FORMAT=MLN","FA_ADJUSTED=Adjusted","Sort=A","Dates=H","DateFormat=P","Fill=—","Direction=H","UseDPDF=Y")</f>
        <v>37620</v>
      </c>
      <c r="AE6" s="16">
        <f>_xll.BDH("XOM US Equity","SALES_REV_TURN","FQ1 1997","FQ1 1997","Currency=USD","Period=FQ","BEST_FPERIOD_OVERRIDE=FQ","FILING_STATUS=OR","SCALING_FORMAT=MLN","FA_ADJUSTED=Adjusted","Sort=A","Dates=H","DateFormat=P","Fill=—","Direction=H","UseDPDF=Y")</f>
        <v>29556</v>
      </c>
      <c r="AF6" s="16">
        <f>_xll.BDH("XOM US Equity","SALES_REV_TURN","FQ2 1997","FQ2 1997","Currency=USD","Period=FQ","BEST_FPERIOD_OVERRIDE=FQ","FILING_STATUS=OR","SCALING_FORMAT=MLN","FA_ADJUSTED=Adjusted","Sort=A","Dates=H","DateFormat=P","Fill=—","Direction=H","UseDPDF=Y")</f>
        <v>28683</v>
      </c>
      <c r="AG6" s="16">
        <f>_xll.BDH("XOM US Equity","SALES_REV_TURN","FQ3 1997","FQ3 1997","Currency=USD","Period=FQ","BEST_FPERIOD_OVERRIDE=FQ","FILING_STATUS=OR","SCALING_FORMAT=MLN","FA_ADJUSTED=Adjusted","Sort=A","Dates=H","DateFormat=P","Fill=—","Direction=H","UseDPDF=Y")</f>
        <v>28765</v>
      </c>
      <c r="AH6" s="16">
        <f>_xll.BDH("XOM US Equity","SALES_REV_TURN","FQ4 1997","FQ4 1997","Currency=USD","Period=FQ","BEST_FPERIOD_OVERRIDE=FQ","FILING_STATUS=OR","SCALING_FORMAT=MLN","FA_ADJUSTED=Adjusted","Sort=A","Dates=H","DateFormat=P","Fill=—","Direction=H","UseDPDF=Y")</f>
        <v>34495</v>
      </c>
      <c r="AI6" s="16">
        <f>_xll.BDH("XOM US Equity","SALES_REV_TURN","FQ1 1998","FQ1 1998","Currency=USD","Period=FQ","BEST_FPERIOD_OVERRIDE=FQ","FILING_STATUS=OR","SCALING_FORMAT=MLN","FA_ADJUSTED=Adjusted","Sort=A","Dates=H","DateFormat=P","Fill=—","Direction=H","UseDPDF=Y")</f>
        <v>26211</v>
      </c>
      <c r="AJ6" s="16">
        <f>_xll.BDH("XOM US Equity","SALES_REV_TURN","FQ2 1998","FQ2 1998","Currency=USD","Period=FQ","BEST_FPERIOD_OVERRIDE=FQ","FILING_STATUS=OR","SCALING_FORMAT=MLN","FA_ADJUSTED=Adjusted","Sort=A","Dates=H","DateFormat=P","Fill=—","Direction=H","UseDPDF=Y")</f>
        <v>25525</v>
      </c>
    </row>
    <row r="7" spans="1:36" x14ac:dyDescent="0.25">
      <c r="A7" s="10" t="s">
        <v>77</v>
      </c>
      <c r="B7" s="10" t="s">
        <v>78</v>
      </c>
      <c r="C7" s="13">
        <f>_xll.BDH("XOM US Equity","IS_COGS_TO_FE_AND_PP_AND_G","FQ1 1990","FQ1 1990","Currency=USD","Period=FQ","BEST_FPERIOD_OVERRIDE=FQ","FILING_STATUS=OR","SCALING_FORMAT=MLN","FA_ADJUSTED=Adjusted","Sort=A","Dates=H","DateFormat=P","Fill=—","Direction=H","UseDPDF=Y")</f>
        <v>15535</v>
      </c>
      <c r="D7" s="13">
        <f>_xll.BDH("XOM US Equity","IS_COGS_TO_FE_AND_PP_AND_G","FQ2 1990","FQ2 1990","Currency=USD","Period=FQ","BEST_FPERIOD_OVERRIDE=FQ","FILING_STATUS=OR","SCALING_FORMAT=MLN","FA_ADJUSTED=Adjusted","Sort=A","Dates=H","DateFormat=P","Fill=—","Direction=H","UseDPDF=Y")</f>
        <v>14712</v>
      </c>
      <c r="E7" s="13">
        <f>_xll.BDH("XOM US Equity","IS_COGS_TO_FE_AND_PP_AND_G","FQ3 1990","FQ3 1990","Currency=USD","Period=FQ","BEST_FPERIOD_OVERRIDE=FQ","FILING_STATUS=OR","SCALING_FORMAT=MLN","FA_ADJUSTED=Adjusted","Sort=A","Dates=H","DateFormat=P","Fill=—","Direction=H","UseDPDF=Y")</f>
        <v>16868</v>
      </c>
      <c r="F7" s="13">
        <f>_xll.BDH("XOM US Equity","IS_COGS_TO_FE_AND_PP_AND_G","FQ4 1990","FQ4 1990","Currency=USD","Period=FQ","BEST_FPERIOD_OVERRIDE=FQ","FILING_STATUS=OR","SCALING_FORMAT=MLN","FA_ADJUSTED=Adjusted","Sort=A","Dates=H","DateFormat=P","Fill=—","Direction=H","UseDPDF=Y")</f>
        <v>21171</v>
      </c>
      <c r="G7" s="13">
        <f>_xll.BDH("XOM US Equity","IS_COGS_TO_FE_AND_PP_AND_G","FQ1 1991","FQ1 1991","Currency=USD","Period=FQ","BEST_FPERIOD_OVERRIDE=FQ","FILING_STATUS=OR","SCALING_FORMAT=MLN","FA_ADJUSTED=Adjusted","Sort=A","Dates=H","DateFormat=P","Fill=—","Direction=H","UseDPDF=Y")</f>
        <v>16783</v>
      </c>
      <c r="H7" s="13">
        <f>_xll.BDH("XOM US Equity","IS_COGS_TO_FE_AND_PP_AND_G","FQ2 1991","FQ2 1991","Currency=USD","Period=FQ","BEST_FPERIOD_OVERRIDE=FQ","FILING_STATUS=OR","SCALING_FORMAT=MLN","FA_ADJUSTED=Adjusted","Sort=A","Dates=H","DateFormat=P","Fill=—","Direction=H","UseDPDF=Y")</f>
        <v>15317</v>
      </c>
      <c r="I7" s="13">
        <f>_xll.BDH("XOM US Equity","IS_COGS_TO_FE_AND_PP_AND_G","FQ3 1991","FQ3 1991","Currency=USD","Period=FQ","BEST_FPERIOD_OVERRIDE=FQ","FILING_STATUS=OR","SCALING_FORMAT=MLN","FA_ADJUSTED=Adjusted","Sort=A","Dates=H","DateFormat=P","Fill=—","Direction=H","UseDPDF=Y")</f>
        <v>15461</v>
      </c>
      <c r="J7" s="13">
        <f>_xll.BDH("XOM US Equity","IS_COGS_TO_FE_AND_PP_AND_G","FQ4 1991","FQ4 1991","Currency=USD","Period=FQ","BEST_FPERIOD_OVERRIDE=FQ","FILING_STATUS=OR","SCALING_FORMAT=MLN","FA_ADJUSTED=Adjusted","Sort=A","Dates=H","DateFormat=P","Fill=—","Direction=H","UseDPDF=Y")</f>
        <v>17597</v>
      </c>
      <c r="K7" s="13">
        <f>_xll.BDH("XOM US Equity","IS_COGS_TO_FE_AND_PP_AND_G","FQ1 1992","FQ1 1992","Currency=USD","Period=FQ","BEST_FPERIOD_OVERRIDE=FQ","FILING_STATUS=OR","SCALING_FORMAT=MLN","FA_ADJUSTED=Adjusted","Sort=A","Dates=H","DateFormat=P","Fill=—","Direction=H","UseDPDF=Y")</f>
        <v>15367</v>
      </c>
      <c r="L7" s="13">
        <f>_xll.BDH("XOM US Equity","IS_COGS_TO_FE_AND_PP_AND_G","FQ2 1992","FQ2 1992","Currency=USD","Period=FQ","BEST_FPERIOD_OVERRIDE=FQ","FILING_STATUS=OR","SCALING_FORMAT=MLN","FA_ADJUSTED=Adjusted","Sort=A","Dates=H","DateFormat=P","Fill=—","Direction=H","UseDPDF=Y")</f>
        <v>16013</v>
      </c>
      <c r="M7" s="13">
        <f>_xll.BDH("XOM US Equity","IS_COGS_TO_FE_AND_PP_AND_G","FQ3 1992","FQ3 1992","Currency=USD","Period=FQ","BEST_FPERIOD_OVERRIDE=FQ","FILING_STATUS=OR","SCALING_FORMAT=MLN","FA_ADJUSTED=Adjusted","Sort=A","Dates=H","DateFormat=P","Fill=—","Direction=H","UseDPDF=Y")</f>
        <v>17362</v>
      </c>
      <c r="N7" s="13">
        <f>_xll.BDH("XOM US Equity","IS_COGS_TO_FE_AND_PP_AND_G","FQ4 1992","FQ4 1992","Currency=USD","Period=FQ","BEST_FPERIOD_OVERRIDE=FQ","FILING_STATUS=OR","SCALING_FORMAT=MLN","FA_ADJUSTED=Adjusted","Sort=A","Dates=H","DateFormat=P","Fill=—","Direction=H","UseDPDF=Y")</f>
        <v>17781</v>
      </c>
      <c r="O7" s="13">
        <f>_xll.BDH("XOM US Equity","IS_COGS_TO_FE_AND_PP_AND_G","FQ1 1993","FQ1 1993","Currency=USD","Period=FQ","BEST_FPERIOD_OVERRIDE=FQ","FILING_STATUS=OR","SCALING_FORMAT=MLN","FA_ADJUSTED=Adjusted","Sort=A","Dates=H","DateFormat=P","Fill=—","Direction=H","UseDPDF=Y")</f>
        <v>16099</v>
      </c>
      <c r="P7" s="13">
        <f>_xll.BDH("XOM US Equity","IS_COGS_TO_FE_AND_PP_AND_G","FQ2 1993","FQ2 1993","Currency=USD","Period=FQ","BEST_FPERIOD_OVERRIDE=FQ","FILING_STATUS=OR","SCALING_FORMAT=MLN","FA_ADJUSTED=Adjusted","Sort=A","Dates=H","DateFormat=P","Fill=—","Direction=H","UseDPDF=Y")</f>
        <v>16145</v>
      </c>
      <c r="Q7" s="13">
        <f>_xll.BDH("XOM US Equity","IS_COGS_TO_FE_AND_PP_AND_G","FQ3 1993","FQ3 1993","Currency=USD","Period=FQ","BEST_FPERIOD_OVERRIDE=FQ","FILING_STATUS=OR","SCALING_FORMAT=MLN","FA_ADJUSTED=Adjusted","Sort=A","Dates=H","DateFormat=P","Fill=—","Direction=H","UseDPDF=Y")</f>
        <v>15859</v>
      </c>
      <c r="R7" s="13">
        <f>_xll.BDH("XOM US Equity","IS_COGS_TO_FE_AND_PP_AND_G","FQ4 1993","FQ4 1993","Currency=USD","Period=FQ","BEST_FPERIOD_OVERRIDE=FQ","FILING_STATUS=OR","SCALING_FORMAT=MLN","FA_ADJUSTED=Adjusted","Sort=A","Dates=H","DateFormat=P","Fill=—","Direction=H","UseDPDF=Y")</f>
        <v>15016</v>
      </c>
      <c r="S7" s="13">
        <f>_xll.BDH("XOM US Equity","IS_COGS_TO_FE_AND_PP_AND_G","FQ1 1994","FQ1 1994","Currency=USD","Period=FQ","BEST_FPERIOD_OVERRIDE=FQ","FILING_STATUS=OR","SCALING_FORMAT=MLN","FA_ADJUSTED=Adjusted","Sort=A","Dates=H","DateFormat=P","Fill=—","Direction=H","UseDPDF=Y")</f>
        <v>14614</v>
      </c>
      <c r="T7" s="13">
        <f>_xll.BDH("XOM US Equity","IS_COGS_TO_FE_AND_PP_AND_G","FQ2 1994","FQ2 1994","Currency=USD","Period=FQ","BEST_FPERIOD_OVERRIDE=FQ","FILING_STATUS=OR","SCALING_FORMAT=MLN","FA_ADJUSTED=Adjusted","Sort=A","Dates=H","DateFormat=P","Fill=—","Direction=H","UseDPDF=Y")</f>
        <v>15865</v>
      </c>
      <c r="U7" s="13">
        <f>_xll.BDH("XOM US Equity","IS_COGS_TO_FE_AND_PP_AND_G","FQ3 1994","FQ3 1994","Currency=USD","Period=FQ","BEST_FPERIOD_OVERRIDE=FQ","FILING_STATUS=OR","SCALING_FORMAT=MLN","FA_ADJUSTED=Adjusted","Sort=A","Dates=H","DateFormat=P","Fill=—","Direction=H","UseDPDF=Y")</f>
        <v>16641</v>
      </c>
      <c r="V7" s="13">
        <f>_xll.BDH("XOM US Equity","IS_COGS_TO_FE_AND_PP_AND_G","FQ4 1994","FQ4 1994","Currency=USD","Period=FQ","BEST_FPERIOD_OVERRIDE=FQ","FILING_STATUS=OR","SCALING_FORMAT=MLN","FA_ADJUSTED=Adjusted","Sort=A","Dates=H","DateFormat=P","Fill=—","Direction=H","UseDPDF=Y")</f>
        <v>16453</v>
      </c>
      <c r="W7" s="13">
        <f>_xll.BDH("XOM US Equity","IS_COGS_TO_FE_AND_PP_AND_G","FQ1 1995","FQ1 1995","Currency=USD","Period=FQ","BEST_FPERIOD_OVERRIDE=FQ","FILING_STATUS=OR","SCALING_FORMAT=MLN","FA_ADJUSTED=Adjusted","Sort=A","Dates=H","DateFormat=P","Fill=—","Direction=H","UseDPDF=Y")</f>
        <v>16618</v>
      </c>
      <c r="X7" s="13">
        <f>_xll.BDH("XOM US Equity","IS_COGS_TO_FE_AND_PP_AND_G","FQ2 1995","FQ2 1995","Currency=USD","Period=FQ","BEST_FPERIOD_OVERRIDE=FQ","FILING_STATUS=OR","SCALING_FORMAT=MLN","FA_ADJUSTED=Adjusted","Sort=A","Dates=H","DateFormat=P","Fill=—","Direction=H","UseDPDF=Y")</f>
        <v>17731</v>
      </c>
      <c r="Y7" s="13">
        <f>_xll.BDH("XOM US Equity","IS_COGS_TO_FE_AND_PP_AND_G","FQ3 1995","FQ3 1995","Currency=USD","Period=FQ","BEST_FPERIOD_OVERRIDE=FQ","FILING_STATUS=OR","SCALING_FORMAT=MLN","FA_ADJUSTED=Adjusted","Sort=A","Dates=H","DateFormat=P","Fill=—","Direction=H","UseDPDF=Y")</f>
        <v>16647</v>
      </c>
      <c r="Z7" s="13">
        <f>_xll.BDH("XOM US Equity","IS_COGS_TO_FE_AND_PP_AND_G","FQ4 1995","FQ4 1995","Currency=USD","Period=FQ","BEST_FPERIOD_OVERRIDE=FQ","FILING_STATUS=OR","SCALING_FORMAT=MLN","FA_ADJUSTED=Adjusted","Sort=A","Dates=H","DateFormat=P","Fill=—","Direction=H","UseDPDF=Y")</f>
        <v>16049</v>
      </c>
      <c r="AA7" s="13">
        <f>_xll.BDH("XOM US Equity","IS_COGS_TO_FE_AND_PP_AND_G","FQ1 1996","FQ1 1996","Currency=USD","Period=FQ","BEST_FPERIOD_OVERRIDE=FQ","FILING_STATUS=OR","SCALING_FORMAT=MLN","FA_ADJUSTED=Adjusted","Sort=A","Dates=H","DateFormat=P","Fill=—","Direction=H","UseDPDF=Y")</f>
        <v>17257</v>
      </c>
      <c r="AB7" s="13">
        <f>_xll.BDH("XOM US Equity","IS_COGS_TO_FE_AND_PP_AND_G","FQ2 1996","FQ2 1996","Currency=USD","Period=FQ","BEST_FPERIOD_OVERRIDE=FQ","FILING_STATUS=OR","SCALING_FORMAT=MLN","FA_ADJUSTED=Adjusted","Sort=A","Dates=H","DateFormat=P","Fill=—","Direction=H","UseDPDF=Y")</f>
        <v>17901</v>
      </c>
      <c r="AC7" s="13">
        <f>_xll.BDH("XOM US Equity","IS_COGS_TO_FE_AND_PP_AND_G","FQ3 1996","FQ3 1996","Currency=USD","Period=FQ","BEST_FPERIOD_OVERRIDE=FQ","FILING_STATUS=OR","SCALING_FORMAT=MLN","FA_ADJUSTED=Adjusted","Sort=A","Dates=H","DateFormat=P","Fill=—","Direction=H","UseDPDF=Y")</f>
        <v>18535</v>
      </c>
      <c r="AD7" s="13">
        <f>_xll.BDH("XOM US Equity","IS_COGS_TO_FE_AND_PP_AND_G","FQ4 1996","FQ4 1996","Currency=USD","Period=FQ","BEST_FPERIOD_OVERRIDE=FQ","FILING_STATUS=OR","SCALING_FORMAT=MLN","FA_ADJUSTED=Adjusted","Sort=A","Dates=H","DateFormat=P","Fill=—","Direction=H","UseDPDF=Y")</f>
        <v>21297</v>
      </c>
      <c r="AE7" s="13">
        <f>_xll.BDH("XOM US Equity","IS_COGS_TO_FE_AND_PP_AND_G","FQ1 1997","FQ1 1997","Currency=USD","Period=FQ","BEST_FPERIOD_OVERRIDE=FQ","FILING_STATUS=OR","SCALING_FORMAT=MLN","FA_ADJUSTED=Adjusted","Sort=A","Dates=H","DateFormat=P","Fill=—","Direction=H","UseDPDF=Y")</f>
        <v>19115</v>
      </c>
      <c r="AF7" s="13">
        <f>_xll.BDH("XOM US Equity","IS_COGS_TO_FE_AND_PP_AND_G","FQ2 1997","FQ2 1997","Currency=USD","Period=FQ","BEST_FPERIOD_OVERRIDE=FQ","FILING_STATUS=OR","SCALING_FORMAT=MLN","FA_ADJUSTED=Adjusted","Sort=A","Dates=H","DateFormat=P","Fill=—","Direction=H","UseDPDF=Y")</f>
        <v>18252</v>
      </c>
      <c r="AG7" s="13">
        <f>_xll.BDH("XOM US Equity","IS_COGS_TO_FE_AND_PP_AND_G","FQ3 1997","FQ3 1997","Currency=USD","Period=FQ","BEST_FPERIOD_OVERRIDE=FQ","FILING_STATUS=OR","SCALING_FORMAT=MLN","FA_ADJUSTED=Adjusted","Sort=A","Dates=H","DateFormat=P","Fill=—","Direction=H","UseDPDF=Y")</f>
        <v>18104</v>
      </c>
      <c r="AH7" s="13">
        <f>_xll.BDH("XOM US Equity","IS_COGS_TO_FE_AND_PP_AND_G","FQ4 1997","FQ4 1997","Currency=USD","Period=FQ","BEST_FPERIOD_OVERRIDE=FQ","FILING_STATUS=OR","SCALING_FORMAT=MLN","FA_ADJUSTED=Adjusted","Sort=A","Dates=H","DateFormat=P","Fill=—","Direction=H","UseDPDF=Y")</f>
        <v>21019</v>
      </c>
      <c r="AI7" s="13">
        <f>_xll.BDH("XOM US Equity","IS_COGS_TO_FE_AND_PP_AND_G","FQ1 1998","FQ1 1998","Currency=USD","Period=FQ","BEST_FPERIOD_OVERRIDE=FQ","FILING_STATUS=OR","SCALING_FORMAT=MLN","FA_ADJUSTED=Adjusted","Sort=A","Dates=H","DateFormat=P","Fill=—","Direction=H","UseDPDF=Y")</f>
        <v>16513</v>
      </c>
      <c r="AJ7" s="13">
        <f>_xll.BDH("XOM US Equity","IS_COGS_TO_FE_AND_PP_AND_G","FQ2 1998","FQ2 1998","Currency=USD","Period=FQ","BEST_FPERIOD_OVERRIDE=FQ","FILING_STATUS=OR","SCALING_FORMAT=MLN","FA_ADJUSTED=Adjusted","Sort=A","Dates=H","DateFormat=P","Fill=—","Direction=H","UseDPDF=Y")</f>
        <v>15657</v>
      </c>
    </row>
    <row r="8" spans="1:36" x14ac:dyDescent="0.25">
      <c r="A8" s="6" t="s">
        <v>1</v>
      </c>
      <c r="B8" s="6" t="s">
        <v>79</v>
      </c>
      <c r="C8" s="16">
        <f>_xll.BDH("XOM US Equity","GROSS_PROFIT","FQ1 1990","FQ1 1990","Currency=USD","Period=FQ","BEST_FPERIOD_OVERRIDE=FQ","FILING_STATUS=OR","SCALING_FORMAT=MLN","FA_ADJUSTED=Adjusted","Sort=A","Dates=H","DateFormat=P","Fill=—","Direction=H","UseDPDF=Y")</f>
        <v>8592</v>
      </c>
      <c r="D8" s="16">
        <f>_xll.BDH("XOM US Equity","GROSS_PROFIT","FQ2 1990","FQ2 1990","Currency=USD","Period=FQ","BEST_FPERIOD_OVERRIDE=FQ","FILING_STATUS=OR","SCALING_FORMAT=MLN","FA_ADJUSTED=Adjusted","Sort=A","Dates=H","DateFormat=P","Fill=—","Direction=H","UseDPDF=Y")</f>
        <v>8732</v>
      </c>
      <c r="E8" s="16">
        <f>_xll.BDH("XOM US Equity","GROSS_PROFIT","FQ3 1990","FQ3 1990","Currency=USD","Period=FQ","BEST_FPERIOD_OVERRIDE=FQ","FILING_STATUS=OR","SCALING_FORMAT=MLN","FA_ADJUSTED=Adjusted","Sort=A","Dates=H","DateFormat=P","Fill=—","Direction=H","UseDPDF=Y")</f>
        <v>9218</v>
      </c>
      <c r="F8" s="16">
        <f>_xll.BDH("XOM US Equity","GROSS_PROFIT","FQ4 1990","FQ4 1990","Currency=USD","Period=FQ","BEST_FPERIOD_OVERRIDE=FQ","FILING_STATUS=OR","SCALING_FORMAT=MLN","FA_ADJUSTED=Adjusted","Sort=A","Dates=H","DateFormat=P","Fill=—","Direction=H","UseDPDF=Y")</f>
        <v>13951</v>
      </c>
      <c r="G8" s="16">
        <f>_xll.BDH("XOM US Equity","GROSS_PROFIT","FQ1 1991","FQ1 1991","Currency=USD","Period=FQ","BEST_FPERIOD_OVERRIDE=FQ","FILING_STATUS=OR","SCALING_FORMAT=MLN","FA_ADJUSTED=Adjusted","Sort=A","Dates=H","DateFormat=P","Fill=—","Direction=H","UseDPDF=Y")</f>
        <v>10454</v>
      </c>
      <c r="H8" s="16">
        <f>_xll.BDH("XOM US Equity","GROSS_PROFIT","FQ2 1991","FQ2 1991","Currency=USD","Period=FQ","BEST_FPERIOD_OVERRIDE=FQ","FILING_STATUS=OR","SCALING_FORMAT=MLN","FA_ADJUSTED=Adjusted","Sort=A","Dates=H","DateFormat=P","Fill=—","Direction=H","UseDPDF=Y")</f>
        <v>8934</v>
      </c>
      <c r="I8" s="16">
        <f>_xll.BDH("XOM US Equity","GROSS_PROFIT","FQ3 1991","FQ3 1991","Currency=USD","Period=FQ","BEST_FPERIOD_OVERRIDE=FQ","FILING_STATUS=OR","SCALING_FORMAT=MLN","FA_ADJUSTED=Adjusted","Sort=A","Dates=H","DateFormat=P","Fill=—","Direction=H","UseDPDF=Y")</f>
        <v>8777</v>
      </c>
      <c r="J8" s="16">
        <f>_xll.BDH("XOM US Equity","GROSS_PROFIT","FQ4 1991","FQ4 1991","Currency=USD","Period=FQ","BEST_FPERIOD_OVERRIDE=FQ","FILING_STATUS=OR","SCALING_FORMAT=MLN","FA_ADJUSTED=Adjusted","Sort=A","Dates=H","DateFormat=P","Fill=—","Direction=H","UseDPDF=Y")</f>
        <v>13423</v>
      </c>
      <c r="K8" s="16">
        <f>_xll.BDH("XOM US Equity","GROSS_PROFIT","FQ1 1992","FQ1 1992","Currency=USD","Period=FQ","BEST_FPERIOD_OVERRIDE=FQ","FILING_STATUS=OR","SCALING_FORMAT=MLN","FA_ADJUSTED=Adjusted","Sort=A","Dates=H","DateFormat=P","Fill=—","Direction=H","UseDPDF=Y")</f>
        <v>9108</v>
      </c>
      <c r="L8" s="16">
        <f>_xll.BDH("XOM US Equity","GROSS_PROFIT","FQ2 1992","FQ2 1992","Currency=USD","Period=FQ","BEST_FPERIOD_OVERRIDE=FQ","FILING_STATUS=OR","SCALING_FORMAT=MLN","FA_ADJUSTED=Adjusted","Sort=A","Dates=H","DateFormat=P","Fill=—","Direction=H","UseDPDF=Y")</f>
        <v>8534</v>
      </c>
      <c r="M8" s="16">
        <f>_xll.BDH("XOM US Equity","GROSS_PROFIT","FQ3 1992","FQ3 1992","Currency=USD","Period=FQ","BEST_FPERIOD_OVERRIDE=FQ","FILING_STATUS=OR","SCALING_FORMAT=MLN","FA_ADJUSTED=Adjusted","Sort=A","Dates=H","DateFormat=P","Fill=—","Direction=H","UseDPDF=Y")</f>
        <v>9879</v>
      </c>
      <c r="N8" s="16">
        <f>_xll.BDH("XOM US Equity","GROSS_PROFIT","FQ4 1992","FQ4 1992","Currency=USD","Period=FQ","BEST_FPERIOD_OVERRIDE=FQ","FILING_STATUS=OR","SCALING_FORMAT=MLN","FA_ADJUSTED=Adjusted","Sort=A","Dates=H","DateFormat=P","Fill=—","Direction=H","UseDPDF=Y")</f>
        <v>12380</v>
      </c>
      <c r="O8" s="16">
        <f>_xll.BDH("XOM US Equity","GROSS_PROFIT","FQ1 1993","FQ1 1993","Currency=USD","Period=FQ","BEST_FPERIOD_OVERRIDE=FQ","FILING_STATUS=OR","SCALING_FORMAT=MLN","FA_ADJUSTED=Adjusted","Sort=A","Dates=H","DateFormat=P","Fill=—","Direction=H","UseDPDF=Y")</f>
        <v>8040</v>
      </c>
      <c r="P8" s="16">
        <f>_xll.BDH("XOM US Equity","GROSS_PROFIT","FQ2 1993","FQ2 1993","Currency=USD","Period=FQ","BEST_FPERIOD_OVERRIDE=FQ","FILING_STATUS=OR","SCALING_FORMAT=MLN","FA_ADJUSTED=Adjusted","Sort=A","Dates=H","DateFormat=P","Fill=—","Direction=H","UseDPDF=Y")</f>
        <v>8557</v>
      </c>
      <c r="Q8" s="16">
        <f>_xll.BDH("XOM US Equity","GROSS_PROFIT","FQ3 1993","FQ3 1993","Currency=USD","Period=FQ","BEST_FPERIOD_OVERRIDE=FQ","FILING_STATUS=OR","SCALING_FORMAT=MLN","FA_ADJUSTED=Adjusted","Sort=A","Dates=H","DateFormat=P","Fill=—","Direction=H","UseDPDF=Y")</f>
        <v>8596</v>
      </c>
      <c r="R8" s="16">
        <f>_xll.BDH("XOM US Equity","GROSS_PROFIT","FQ4 1993","FQ4 1993","Currency=USD","Period=FQ","BEST_FPERIOD_OVERRIDE=FQ","FILING_STATUS=OR","SCALING_FORMAT=MLN","FA_ADJUSTED=Adjusted","Sort=A","Dates=H","DateFormat=P","Fill=—","Direction=H","UseDPDF=Y")</f>
        <v>12827</v>
      </c>
      <c r="S8" s="16">
        <f>_xll.BDH("XOM US Equity","GROSS_PROFIT","FQ1 1994","FQ1 1994","Currency=USD","Period=FQ","BEST_FPERIOD_OVERRIDE=FQ","FILING_STATUS=OR","SCALING_FORMAT=MLN","FA_ADJUSTED=Adjusted","Sort=A","Dates=H","DateFormat=P","Fill=—","Direction=H","UseDPDF=Y")</f>
        <v>8269</v>
      </c>
      <c r="T8" s="16">
        <f>_xll.BDH("XOM US Equity","GROSS_PROFIT","FQ2 1994","FQ2 1994","Currency=USD","Period=FQ","BEST_FPERIOD_OVERRIDE=FQ","FILING_STATUS=OR","SCALING_FORMAT=MLN","FA_ADJUSTED=Adjusted","Sort=A","Dates=H","DateFormat=P","Fill=—","Direction=H","UseDPDF=Y")</f>
        <v>8381</v>
      </c>
      <c r="U8" s="16">
        <f>_xll.BDH("XOM US Equity","GROSS_PROFIT","FQ3 1994","FQ3 1994","Currency=USD","Period=FQ","BEST_FPERIOD_OVERRIDE=FQ","FILING_STATUS=OR","SCALING_FORMAT=MLN","FA_ADJUSTED=Adjusted","Sort=A","Dates=H","DateFormat=P","Fill=—","Direction=H","UseDPDF=Y")</f>
        <v>9406</v>
      </c>
      <c r="V8" s="16">
        <f>_xll.BDH("XOM US Equity","GROSS_PROFIT","FQ4 1994","FQ4 1994","Currency=USD","Period=FQ","BEST_FPERIOD_OVERRIDE=FQ","FILING_STATUS=OR","SCALING_FORMAT=MLN","FA_ADJUSTED=Adjusted","Sort=A","Dates=H","DateFormat=P","Fill=—","Direction=H","UseDPDF=Y")</f>
        <v>14108</v>
      </c>
      <c r="W8" s="16">
        <f>_xll.BDH("XOM US Equity","GROSS_PROFIT","FQ1 1995","FQ1 1995","Currency=USD","Period=FQ","BEST_FPERIOD_OVERRIDE=FQ","FILING_STATUS=OR","SCALING_FORMAT=MLN","FA_ADJUSTED=Adjusted","Sort=A","Dates=H","DateFormat=P","Fill=—","Direction=H","UseDPDF=Y")</f>
        <v>9509</v>
      </c>
      <c r="X8" s="16">
        <f>_xll.BDH("XOM US Equity","GROSS_PROFIT","FQ2 1995","FQ2 1995","Currency=USD","Period=FQ","BEST_FPERIOD_OVERRIDE=FQ","FILING_STATUS=OR","SCALING_FORMAT=MLN","FA_ADJUSTED=Adjusted","Sort=A","Dates=H","DateFormat=P","Fill=—","Direction=H","UseDPDF=Y")</f>
        <v>10115</v>
      </c>
      <c r="Y8" s="16">
        <f>_xll.BDH("XOM US Equity","GROSS_PROFIT","FQ3 1995","FQ3 1995","Currency=USD","Period=FQ","BEST_FPERIOD_OVERRIDE=FQ","FILING_STATUS=OR","SCALING_FORMAT=MLN","FA_ADJUSTED=Adjusted","Sort=A","Dates=H","DateFormat=P","Fill=—","Direction=H","UseDPDF=Y")</f>
        <v>10378</v>
      </c>
      <c r="Z8" s="16">
        <f>_xll.BDH("XOM US Equity","GROSS_PROFIT","FQ4 1995","FQ4 1995","Currency=USD","Period=FQ","BEST_FPERIOD_OVERRIDE=FQ","FILING_STATUS=OR","SCALING_FORMAT=MLN","FA_ADJUSTED=Adjusted","Sort=A","Dates=H","DateFormat=P","Fill=—","Direction=H","UseDPDF=Y")</f>
        <v>14617</v>
      </c>
      <c r="AA8" s="16">
        <f>_xll.BDH("XOM US Equity","GROSS_PROFIT","FQ1 1996","FQ1 1996","Currency=USD","Period=FQ","BEST_FPERIOD_OVERRIDE=FQ","FILING_STATUS=OR","SCALING_FORMAT=MLN","FA_ADJUSTED=Adjusted","Sort=A","Dates=H","DateFormat=P","Fill=—","Direction=H","UseDPDF=Y")</f>
        <v>9907</v>
      </c>
      <c r="AB8" s="16">
        <f>_xll.BDH("XOM US Equity","GROSS_PROFIT","FQ2 1996","FQ2 1996","Currency=USD","Period=FQ","BEST_FPERIOD_OVERRIDE=FQ","FILING_STATUS=OR","SCALING_FORMAT=MLN","FA_ADJUSTED=Adjusted","Sort=A","Dates=H","DateFormat=P","Fill=—","Direction=H","UseDPDF=Y")</f>
        <v>10074</v>
      </c>
      <c r="AC8" s="16">
        <f>_xll.BDH("XOM US Equity","GROSS_PROFIT","FQ3 1996","FQ3 1996","Currency=USD","Period=FQ","BEST_FPERIOD_OVERRIDE=FQ","FILING_STATUS=OR","SCALING_FORMAT=MLN","FA_ADJUSTED=Adjusted","Sort=A","Dates=H","DateFormat=P","Fill=—","Direction=H","UseDPDF=Y")</f>
        <v>10551</v>
      </c>
      <c r="AD8" s="16">
        <f>_xll.BDH("XOM US Equity","GROSS_PROFIT","FQ4 1996","FQ4 1996","Currency=USD","Period=FQ","BEST_FPERIOD_OVERRIDE=FQ","FILING_STATUS=OR","SCALING_FORMAT=MLN","FA_ADJUSTED=Adjusted","Sort=A","Dates=H","DateFormat=P","Fill=—","Direction=H","UseDPDF=Y")</f>
        <v>16323</v>
      </c>
      <c r="AE8" s="16">
        <f>_xll.BDH("XOM US Equity","GROSS_PROFIT","FQ1 1997","FQ1 1997","Currency=USD","Period=FQ","BEST_FPERIOD_OVERRIDE=FQ","FILING_STATUS=OR","SCALING_FORMAT=MLN","FA_ADJUSTED=Adjusted","Sort=A","Dates=H","DateFormat=P","Fill=—","Direction=H","UseDPDF=Y")</f>
        <v>10441</v>
      </c>
      <c r="AF8" s="16">
        <f>_xll.BDH("XOM US Equity","GROSS_PROFIT","FQ2 1997","FQ2 1997","Currency=USD","Period=FQ","BEST_FPERIOD_OVERRIDE=FQ","FILING_STATUS=OR","SCALING_FORMAT=MLN","FA_ADJUSTED=Adjusted","Sort=A","Dates=H","DateFormat=P","Fill=—","Direction=H","UseDPDF=Y")</f>
        <v>10431</v>
      </c>
      <c r="AG8" s="16">
        <f>_xll.BDH("XOM US Equity","GROSS_PROFIT","FQ3 1997","FQ3 1997","Currency=USD","Period=FQ","BEST_FPERIOD_OVERRIDE=FQ","FILING_STATUS=OR","SCALING_FORMAT=MLN","FA_ADJUSTED=Adjusted","Sort=A","Dates=H","DateFormat=P","Fill=—","Direction=H","UseDPDF=Y")</f>
        <v>10661</v>
      </c>
      <c r="AH8" s="16">
        <f>_xll.BDH("XOM US Equity","GROSS_PROFIT","FQ4 1997","FQ4 1997","Currency=USD","Period=FQ","BEST_FPERIOD_OVERRIDE=FQ","FILING_STATUS=OR","SCALING_FORMAT=MLN","FA_ADJUSTED=Adjusted","Sort=A","Dates=H","DateFormat=P","Fill=—","Direction=H","UseDPDF=Y")</f>
        <v>13476</v>
      </c>
      <c r="AI8" s="16">
        <f>_xll.BDH("XOM US Equity","GROSS_PROFIT","FQ1 1998","FQ1 1998","Currency=USD","Period=FQ","BEST_FPERIOD_OVERRIDE=FQ","FILING_STATUS=OR","SCALING_FORMAT=MLN","FA_ADJUSTED=Adjusted","Sort=A","Dates=H","DateFormat=P","Fill=—","Direction=H","UseDPDF=Y")</f>
        <v>9698</v>
      </c>
      <c r="AJ8" s="16">
        <f>_xll.BDH("XOM US Equity","GROSS_PROFIT","FQ2 1998","FQ2 1998","Currency=USD","Period=FQ","BEST_FPERIOD_OVERRIDE=FQ","FILING_STATUS=OR","SCALING_FORMAT=MLN","FA_ADJUSTED=Adjusted","Sort=A","Dates=H","DateFormat=P","Fill=—","Direction=H","UseDPDF=Y")</f>
        <v>9868</v>
      </c>
    </row>
    <row r="9" spans="1:36" x14ac:dyDescent="0.25">
      <c r="A9" s="10" t="s">
        <v>80</v>
      </c>
      <c r="B9" s="10" t="s">
        <v>81</v>
      </c>
      <c r="C9" s="13">
        <f>_xll.BDH("XOM US Equity","IS_OPERATING_EXPN","FQ1 1990","FQ1 1990","Currency=USD","Period=FQ","BEST_FPERIOD_OVERRIDE=FQ","FILING_STATUS=OR","SCALING_FORMAT=MLN","FA_ADJUSTED=Adjusted","Sort=A","Dates=H","DateFormat=P","Fill=—","Direction=H","UseDPDF=Y")</f>
        <v>6270</v>
      </c>
      <c r="D9" s="13">
        <f>_xll.BDH("XOM US Equity","IS_OPERATING_EXPN","FQ2 1990","FQ2 1990","Currency=USD","Period=FQ","BEST_FPERIOD_OVERRIDE=FQ","FILING_STATUS=OR","SCALING_FORMAT=MLN","FA_ADJUSTED=Adjusted","Sort=A","Dates=H","DateFormat=P","Fill=—","Direction=H","UseDPDF=Y")</f>
        <v>6851</v>
      </c>
      <c r="E9" s="13">
        <f>_xll.BDH("XOM US Equity","IS_OPERATING_EXPN","FQ3 1990","FQ3 1990","Currency=USD","Period=FQ","BEST_FPERIOD_OVERRIDE=FQ","FILING_STATUS=OR","SCALING_FORMAT=MLN","FA_ADJUSTED=Adjusted","Sort=A","Dates=H","DateFormat=P","Fill=—","Direction=H","UseDPDF=Y")</f>
        <v>7255</v>
      </c>
      <c r="F9" s="13">
        <f>_xll.BDH("XOM US Equity","IS_OPERATING_EXPN","FQ4 1990","FQ4 1990","Currency=USD","Period=FQ","BEST_FPERIOD_OVERRIDE=FQ","FILING_STATUS=OR","SCALING_FORMAT=MLN","FA_ADJUSTED=Adjusted","Sort=A","Dates=H","DateFormat=P","Fill=—","Direction=H","UseDPDF=Y")</f>
        <v>8251</v>
      </c>
      <c r="G9" s="13">
        <f>_xll.BDH("XOM US Equity","IS_OPERATING_EXPN","FQ1 1991","FQ1 1991","Currency=USD","Period=FQ","BEST_FPERIOD_OVERRIDE=FQ","FILING_STATUS=OR","SCALING_FORMAT=MLN","FA_ADJUSTED=Adjusted","Sort=A","Dates=H","DateFormat=P","Fill=—","Direction=H","UseDPDF=Y")</f>
        <v>7176</v>
      </c>
      <c r="H9" s="13">
        <f>_xll.BDH("XOM US Equity","IS_OPERATING_EXPN","FQ2 1991","FQ2 1991","Currency=USD","Period=FQ","BEST_FPERIOD_OVERRIDE=FQ","FILING_STATUS=OR","SCALING_FORMAT=MLN","FA_ADJUSTED=Adjusted","Sort=A","Dates=H","DateFormat=P","Fill=—","Direction=H","UseDPDF=Y")</f>
        <v>7212</v>
      </c>
      <c r="I9" s="13">
        <f>_xll.BDH("XOM US Equity","IS_OPERATING_EXPN","FQ3 1991","FQ3 1991","Currency=USD","Period=FQ","BEST_FPERIOD_OVERRIDE=FQ","FILING_STATUS=OR","SCALING_FORMAT=MLN","FA_ADJUSTED=Adjusted","Sort=A","Dates=H","DateFormat=P","Fill=—","Direction=H","UseDPDF=Y")</f>
        <v>7157</v>
      </c>
      <c r="J9" s="13">
        <f>_xll.BDH("XOM US Equity","IS_OPERATING_EXPN","FQ4 1991","FQ4 1991","Currency=USD","Period=FQ","BEST_FPERIOD_OVERRIDE=FQ","FILING_STATUS=OR","SCALING_FORMAT=MLN","FA_ADJUSTED=Adjusted","Sort=A","Dates=H","DateFormat=P","Fill=—","Direction=H","UseDPDF=Y")</f>
        <v>8073</v>
      </c>
      <c r="K9" s="13">
        <f>_xll.BDH("XOM US Equity","IS_OPERATING_EXPN","FQ1 1992","FQ1 1992","Currency=USD","Period=FQ","BEST_FPERIOD_OVERRIDE=FQ","FILING_STATUS=OR","SCALING_FORMAT=MLN","FA_ADJUSTED=Adjusted","Sort=A","Dates=H","DateFormat=P","Fill=—","Direction=H","UseDPDF=Y")</f>
        <v>7324</v>
      </c>
      <c r="L9" s="13">
        <f>_xll.BDH("XOM US Equity","IS_OPERATING_EXPN","FQ2 1992","FQ2 1992","Currency=USD","Period=FQ","BEST_FPERIOD_OVERRIDE=FQ","FILING_STATUS=OR","SCALING_FORMAT=MLN","FA_ADJUSTED=Adjusted","Sort=A","Dates=H","DateFormat=P","Fill=—","Direction=H","UseDPDF=Y")</f>
        <v>7228</v>
      </c>
      <c r="M9" s="13">
        <f>_xll.BDH("XOM US Equity","IS_OPERATING_EXPN","FQ3 1992","FQ3 1992","Currency=USD","Period=FQ","BEST_FPERIOD_OVERRIDE=FQ","FILING_STATUS=OR","SCALING_FORMAT=MLN","FA_ADJUSTED=Adjusted","Sort=A","Dates=H","DateFormat=P","Fill=—","Direction=H","UseDPDF=Y")</f>
        <v>7825</v>
      </c>
      <c r="N9" s="13">
        <f>_xll.BDH("XOM US Equity","IS_OPERATING_EXPN","FQ4 1992","FQ4 1992","Currency=USD","Period=FQ","BEST_FPERIOD_OVERRIDE=FQ","FILING_STATUS=OR","SCALING_FORMAT=MLN","FA_ADJUSTED=Adjusted","Sort=A","Dates=H","DateFormat=P","Fill=—","Direction=H","UseDPDF=Y")</f>
        <v>7376</v>
      </c>
      <c r="O9" s="13">
        <f>_xll.BDH("XOM US Equity","IS_OPERATING_EXPN","FQ1 1993","FQ1 1993","Currency=USD","Period=FQ","BEST_FPERIOD_OVERRIDE=FQ","FILING_STATUS=OR","SCALING_FORMAT=MLN","FA_ADJUSTED=Adjusted","Sort=A","Dates=H","DateFormat=P","Fill=—","Direction=H","UseDPDF=Y")</f>
        <v>6319</v>
      </c>
      <c r="P9" s="13">
        <f>_xll.BDH("XOM US Equity","IS_OPERATING_EXPN","FQ2 1993","FQ2 1993","Currency=USD","Period=FQ","BEST_FPERIOD_OVERRIDE=FQ","FILING_STATUS=OR","SCALING_FORMAT=MLN","FA_ADJUSTED=Adjusted","Sort=A","Dates=H","DateFormat=P","Fill=—","Direction=H","UseDPDF=Y")</f>
        <v>6893</v>
      </c>
      <c r="Q9" s="13">
        <f>_xll.BDH("XOM US Equity","IS_OPERATING_EXPN","FQ3 1993","FQ3 1993","Currency=USD","Period=FQ","BEST_FPERIOD_OVERRIDE=FQ","FILING_STATUS=OR","SCALING_FORMAT=MLN","FA_ADJUSTED=Adjusted","Sort=A","Dates=H","DateFormat=P","Fill=—","Direction=H","UseDPDF=Y")</f>
        <v>6842</v>
      </c>
      <c r="R9" s="13">
        <f>_xll.BDH("XOM US Equity","IS_OPERATING_EXPN","FQ4 1993","FQ4 1993","Currency=USD","Period=FQ","BEST_FPERIOD_OVERRIDE=FQ","FILING_STATUS=OR","SCALING_FORMAT=MLN","FA_ADJUSTED=Adjusted","Sort=A","Dates=H","DateFormat=P","Fill=—","Direction=H","UseDPDF=Y")</f>
        <v>7348</v>
      </c>
      <c r="S9" s="13">
        <f>_xll.BDH("XOM US Equity","IS_OPERATING_EXPN","FQ1 1994","FQ1 1994","Currency=USD","Period=FQ","BEST_FPERIOD_OVERRIDE=FQ","FILING_STATUS=OR","SCALING_FORMAT=MLN","FA_ADJUSTED=Adjusted","Sort=A","Dates=H","DateFormat=P","Fill=—","Direction=H","UseDPDF=Y")</f>
        <v>6546</v>
      </c>
      <c r="T9" s="13">
        <f>_xll.BDH("XOM US Equity","IS_OPERATING_EXPN","FQ2 1994","FQ2 1994","Currency=USD","Period=FQ","BEST_FPERIOD_OVERRIDE=FQ","FILING_STATUS=OR","SCALING_FORMAT=MLN","FA_ADJUSTED=Adjusted","Sort=A","Dates=H","DateFormat=P","Fill=—","Direction=H","UseDPDF=Y")</f>
        <v>7016</v>
      </c>
      <c r="U9" s="13">
        <f>_xll.BDH("XOM US Equity","IS_OPERATING_EXPN","FQ3 1994","FQ3 1994","Currency=USD","Period=FQ","BEST_FPERIOD_OVERRIDE=FQ","FILING_STATUS=OR","SCALING_FORMAT=MLN","FA_ADJUSTED=Adjusted","Sort=A","Dates=H","DateFormat=P","Fill=—","Direction=H","UseDPDF=Y")</f>
        <v>7569</v>
      </c>
      <c r="V9" s="13">
        <f>_xll.BDH("XOM US Equity","IS_OPERATING_EXPN","FQ4 1994","FQ4 1994","Currency=USD","Period=FQ","BEST_FPERIOD_OVERRIDE=FQ","FILING_STATUS=OR","SCALING_FORMAT=MLN","FA_ADJUSTED=Adjusted","Sort=A","Dates=H","DateFormat=P","Fill=—","Direction=H","UseDPDF=Y")</f>
        <v>7945</v>
      </c>
      <c r="W9" s="13">
        <f>_xll.BDH("XOM US Equity","IS_OPERATING_EXPN","FQ1 1995","FQ1 1995","Currency=USD","Period=FQ","BEST_FPERIOD_OVERRIDE=FQ","FILING_STATUS=OR","SCALING_FORMAT=MLN","FA_ADJUSTED=Adjusted","Sort=A","Dates=H","DateFormat=P","Fill=—","Direction=H","UseDPDF=Y")</f>
        <v>7363</v>
      </c>
      <c r="X9" s="13">
        <f>_xll.BDH("XOM US Equity","IS_OPERATING_EXPN","FQ2 1995","FQ2 1995","Currency=USD","Period=FQ","BEST_FPERIOD_OVERRIDE=FQ","FILING_STATUS=OR","SCALING_FORMAT=MLN","FA_ADJUSTED=Adjusted","Sort=A","Dates=H","DateFormat=P","Fill=—","Direction=H","UseDPDF=Y")</f>
        <v>7762</v>
      </c>
      <c r="Y9" s="13">
        <f>_xll.BDH("XOM US Equity","IS_OPERATING_EXPN","FQ3 1995","FQ3 1995","Currency=USD","Period=FQ","BEST_FPERIOD_OVERRIDE=FQ","FILING_STATUS=OR","SCALING_FORMAT=MLN","FA_ADJUSTED=Adjusted","Sort=A","Dates=H","DateFormat=P","Fill=—","Direction=H","UseDPDF=Y")</f>
        <v>8003</v>
      </c>
      <c r="Z9" s="13">
        <f>_xll.BDH("XOM US Equity","IS_OPERATING_EXPN","FQ4 1995","FQ4 1995","Currency=USD","Period=FQ","BEST_FPERIOD_OVERRIDE=FQ","FILING_STATUS=OR","SCALING_FORMAT=MLN","FA_ADJUSTED=Adjusted","Sort=A","Dates=H","DateFormat=P","Fill=—","Direction=H","UseDPDF=Y")</f>
        <v>9522</v>
      </c>
      <c r="AA9" s="13">
        <f>_xll.BDH("XOM US Equity","IS_OPERATING_EXPN","FQ1 1996","FQ1 1996","Currency=USD","Period=FQ","BEST_FPERIOD_OVERRIDE=FQ","FILING_STATUS=OR","SCALING_FORMAT=MLN","FA_ADJUSTED=Adjusted","Sort=A","Dates=H","DateFormat=P","Fill=—","Direction=H","UseDPDF=Y")</f>
        <v>7582</v>
      </c>
      <c r="AB9" s="13">
        <f>_xll.BDH("XOM US Equity","IS_OPERATING_EXPN","FQ2 1996","FQ2 1996","Currency=USD","Period=FQ","BEST_FPERIOD_OVERRIDE=FQ","FILING_STATUS=OR","SCALING_FORMAT=MLN","FA_ADJUSTED=Adjusted","Sort=A","Dates=H","DateFormat=P","Fill=—","Direction=H","UseDPDF=Y")</f>
        <v>7792</v>
      </c>
      <c r="AC9" s="13">
        <f>_xll.BDH("XOM US Equity","IS_OPERATING_EXPN","FQ3 1996","FQ3 1996","Currency=USD","Period=FQ","BEST_FPERIOD_OVERRIDE=FQ","FILING_STATUS=OR","SCALING_FORMAT=MLN","FA_ADJUSTED=Adjusted","Sort=A","Dates=H","DateFormat=P","Fill=—","Direction=H","UseDPDF=Y")</f>
        <v>8218</v>
      </c>
      <c r="AD9" s="13">
        <f>_xll.BDH("XOM US Equity","IS_OPERATING_EXPN","FQ4 1996","FQ4 1996","Currency=USD","Period=FQ","BEST_FPERIOD_OVERRIDE=FQ","FILING_STATUS=OR","SCALING_FORMAT=MLN","FA_ADJUSTED=Adjusted","Sort=A","Dates=H","DateFormat=P","Fill=—","Direction=H","UseDPDF=Y")</f>
        <v>8088</v>
      </c>
      <c r="AE9" s="13">
        <f>_xll.BDH("XOM US Equity","IS_OPERATING_EXPN","FQ1 1997","FQ1 1997","Currency=USD","Period=FQ","BEST_FPERIOD_OVERRIDE=FQ","FILING_STATUS=OR","SCALING_FORMAT=MLN","FA_ADJUSTED=Adjusted","Sort=A","Dates=H","DateFormat=P","Fill=—","Direction=H","UseDPDF=Y")</f>
        <v>7237</v>
      </c>
      <c r="AF9" s="13">
        <f>_xll.BDH("XOM US Equity","IS_OPERATING_EXPN","FQ2 1997","FQ2 1997","Currency=USD","Period=FQ","BEST_FPERIOD_OVERRIDE=FQ","FILING_STATUS=OR","SCALING_FORMAT=MLN","FA_ADJUSTED=Adjusted","Sort=A","Dates=H","DateFormat=P","Fill=—","Direction=H","UseDPDF=Y")</f>
        <v>7602</v>
      </c>
      <c r="AG9" s="13">
        <f>_xll.BDH("XOM US Equity","IS_OPERATING_EXPN","FQ3 1997","FQ3 1997","Currency=USD","Period=FQ","BEST_FPERIOD_OVERRIDE=FQ","FILING_STATUS=OR","SCALING_FORMAT=MLN","FA_ADJUSTED=Adjusted","Sort=A","Dates=H","DateFormat=P","Fill=—","Direction=H","UseDPDF=Y")</f>
        <v>8060</v>
      </c>
      <c r="AH9" s="13">
        <f>_xll.BDH("XOM US Equity","IS_OPERATING_EXPN","FQ4 1997","FQ4 1997","Currency=USD","Period=FQ","BEST_FPERIOD_OVERRIDE=FQ","FILING_STATUS=OR","SCALING_FORMAT=MLN","FA_ADJUSTED=Adjusted","Sort=A","Dates=H","DateFormat=P","Fill=—","Direction=H","UseDPDF=Y")</f>
        <v>10591</v>
      </c>
      <c r="AI9" s="13">
        <f>_xll.BDH("XOM US Equity","IS_OPERATING_EXPN","FQ1 1998","FQ1 1998","Currency=USD","Period=FQ","BEST_FPERIOD_OVERRIDE=FQ","FILING_STATUS=OR","SCALING_FORMAT=MLN","FA_ADJUSTED=Adjusted","Sort=A","Dates=H","DateFormat=P","Fill=—","Direction=H","UseDPDF=Y")</f>
        <v>7362</v>
      </c>
      <c r="AJ9" s="13">
        <f>_xll.BDH("XOM US Equity","IS_OPERATING_EXPN","FQ2 1998","FQ2 1998","Currency=USD","Period=FQ","BEST_FPERIOD_OVERRIDE=FQ","FILING_STATUS=OR","SCALING_FORMAT=MLN","FA_ADJUSTED=Adjusted","Sort=A","Dates=H","DateFormat=P","Fill=—","Direction=H","UseDPDF=Y")</f>
        <v>7954</v>
      </c>
    </row>
    <row r="10" spans="1:36" x14ac:dyDescent="0.25">
      <c r="A10" s="6" t="s">
        <v>82</v>
      </c>
      <c r="B10" s="6" t="s">
        <v>83</v>
      </c>
      <c r="C10" s="16">
        <f>_xll.BDH("XOM US Equity","IS_OPER_INC","FQ1 1990","FQ1 1990","Currency=USD","Period=FQ","BEST_FPERIOD_OVERRIDE=FQ","FILING_STATUS=OR","SCALING_FORMAT=MLN","FA_ADJUSTED=Adjusted","Sort=A","Dates=H","DateFormat=P","Fill=—","Direction=H","UseDPDF=Y")</f>
        <v>2322</v>
      </c>
      <c r="D10" s="16">
        <f>_xll.BDH("XOM US Equity","IS_OPER_INC","FQ2 1990","FQ2 1990","Currency=USD","Period=FQ","BEST_FPERIOD_OVERRIDE=FQ","FILING_STATUS=OR","SCALING_FORMAT=MLN","FA_ADJUSTED=Adjusted","Sort=A","Dates=H","DateFormat=P","Fill=—","Direction=H","UseDPDF=Y")</f>
        <v>1881</v>
      </c>
      <c r="E10" s="16">
        <f>_xll.BDH("XOM US Equity","IS_OPER_INC","FQ3 1990","FQ3 1990","Currency=USD","Period=FQ","BEST_FPERIOD_OVERRIDE=FQ","FILING_STATUS=OR","SCALING_FORMAT=MLN","FA_ADJUSTED=Adjusted","Sort=A","Dates=H","DateFormat=P","Fill=—","Direction=H","UseDPDF=Y")</f>
        <v>1963</v>
      </c>
      <c r="F10" s="16">
        <f>_xll.BDH("XOM US Equity","IS_OPER_INC","FQ4 1990","FQ4 1990","Currency=USD","Period=FQ","BEST_FPERIOD_OVERRIDE=FQ","FILING_STATUS=OR","SCALING_FORMAT=MLN","FA_ADJUSTED=Adjusted","Sort=A","Dates=H","DateFormat=P","Fill=—","Direction=H","UseDPDF=Y")</f>
        <v>5700</v>
      </c>
      <c r="G10" s="16">
        <f>_xll.BDH("XOM US Equity","IS_OPER_INC","FQ1 1991","FQ1 1991","Currency=USD","Period=FQ","BEST_FPERIOD_OVERRIDE=FQ","FILING_STATUS=OR","SCALING_FORMAT=MLN","FA_ADJUSTED=Adjusted","Sort=A","Dates=H","DateFormat=P","Fill=—","Direction=H","UseDPDF=Y")</f>
        <v>3278</v>
      </c>
      <c r="H10" s="16">
        <f>_xll.BDH("XOM US Equity","IS_OPER_INC","FQ2 1991","FQ2 1991","Currency=USD","Period=FQ","BEST_FPERIOD_OVERRIDE=FQ","FILING_STATUS=OR","SCALING_FORMAT=MLN","FA_ADJUSTED=Adjusted","Sort=A","Dates=H","DateFormat=P","Fill=—","Direction=H","UseDPDF=Y")</f>
        <v>1722</v>
      </c>
      <c r="I10" s="16">
        <f>_xll.BDH("XOM US Equity","IS_OPER_INC","FQ3 1991","FQ3 1991","Currency=USD","Period=FQ","BEST_FPERIOD_OVERRIDE=FQ","FILING_STATUS=OR","SCALING_FORMAT=MLN","FA_ADJUSTED=Adjusted","Sort=A","Dates=H","DateFormat=P","Fill=—","Direction=H","UseDPDF=Y")</f>
        <v>1620</v>
      </c>
      <c r="J10" s="16">
        <f>_xll.BDH("XOM US Equity","IS_OPER_INC","FQ4 1991","FQ4 1991","Currency=USD","Period=FQ","BEST_FPERIOD_OVERRIDE=FQ","FILING_STATUS=OR","SCALING_FORMAT=MLN","FA_ADJUSTED=Adjusted","Sort=A","Dates=H","DateFormat=P","Fill=—","Direction=H","UseDPDF=Y")</f>
        <v>5350</v>
      </c>
      <c r="K10" s="16">
        <f>_xll.BDH("XOM US Equity","IS_OPER_INC","FQ1 1992","FQ1 1992","Currency=USD","Period=FQ","BEST_FPERIOD_OVERRIDE=FQ","FILING_STATUS=OR","SCALING_FORMAT=MLN","FA_ADJUSTED=Adjusted","Sort=A","Dates=H","DateFormat=P","Fill=—","Direction=H","UseDPDF=Y")</f>
        <v>1784</v>
      </c>
      <c r="L10" s="16">
        <f>_xll.BDH("XOM US Equity","IS_OPER_INC","FQ2 1992","FQ2 1992","Currency=USD","Period=FQ","BEST_FPERIOD_OVERRIDE=FQ","FILING_STATUS=OR","SCALING_FORMAT=MLN","FA_ADJUSTED=Adjusted","Sort=A","Dates=H","DateFormat=P","Fill=—","Direction=H","UseDPDF=Y")</f>
        <v>1306</v>
      </c>
      <c r="M10" s="16">
        <f>_xll.BDH("XOM US Equity","IS_OPER_INC","FQ3 1992","FQ3 1992","Currency=USD","Period=FQ","BEST_FPERIOD_OVERRIDE=FQ","FILING_STATUS=OR","SCALING_FORMAT=MLN","FA_ADJUSTED=Adjusted","Sort=A","Dates=H","DateFormat=P","Fill=—","Direction=H","UseDPDF=Y")</f>
        <v>2054</v>
      </c>
      <c r="N10" s="16">
        <f>_xll.BDH("XOM US Equity","IS_OPER_INC","FQ4 1992","FQ4 1992","Currency=USD","Period=FQ","BEST_FPERIOD_OVERRIDE=FQ","FILING_STATUS=OR","SCALING_FORMAT=MLN","FA_ADJUSTED=Adjusted","Sort=A","Dates=H","DateFormat=P","Fill=—","Direction=H","UseDPDF=Y")</f>
        <v>5004</v>
      </c>
      <c r="O10" s="16">
        <f>_xll.BDH("XOM US Equity","IS_OPER_INC","FQ1 1993","FQ1 1993","Currency=USD","Period=FQ","BEST_FPERIOD_OVERRIDE=FQ","FILING_STATUS=OR","SCALING_FORMAT=MLN","FA_ADJUSTED=Adjusted","Sort=A","Dates=H","DateFormat=P","Fill=—","Direction=H","UseDPDF=Y")</f>
        <v>1721</v>
      </c>
      <c r="P10" s="16">
        <f>_xll.BDH("XOM US Equity","IS_OPER_INC","FQ2 1993","FQ2 1993","Currency=USD","Period=FQ","BEST_FPERIOD_OVERRIDE=FQ","FILING_STATUS=OR","SCALING_FORMAT=MLN","FA_ADJUSTED=Adjusted","Sort=A","Dates=H","DateFormat=P","Fill=—","Direction=H","UseDPDF=Y")</f>
        <v>1664</v>
      </c>
      <c r="Q10" s="16">
        <f>_xll.BDH("XOM US Equity","IS_OPER_INC","FQ3 1993","FQ3 1993","Currency=USD","Period=FQ","BEST_FPERIOD_OVERRIDE=FQ","FILING_STATUS=OR","SCALING_FORMAT=MLN","FA_ADJUSTED=Adjusted","Sort=A","Dates=H","DateFormat=P","Fill=—","Direction=H","UseDPDF=Y")</f>
        <v>1754</v>
      </c>
      <c r="R10" s="16">
        <f>_xll.BDH("XOM US Equity","IS_OPER_INC","FQ4 1993","FQ4 1993","Currency=USD","Period=FQ","BEST_FPERIOD_OVERRIDE=FQ","FILING_STATUS=OR","SCALING_FORMAT=MLN","FA_ADJUSTED=Adjusted","Sort=A","Dates=H","DateFormat=P","Fill=—","Direction=H","UseDPDF=Y")</f>
        <v>5479</v>
      </c>
      <c r="S10" s="16">
        <f>_xll.BDH("XOM US Equity","IS_OPER_INC","FQ1 1994","FQ1 1994","Currency=USD","Period=FQ","BEST_FPERIOD_OVERRIDE=FQ","FILING_STATUS=OR","SCALING_FORMAT=MLN","FA_ADJUSTED=Adjusted","Sort=A","Dates=H","DateFormat=P","Fill=—","Direction=H","UseDPDF=Y")</f>
        <v>1723</v>
      </c>
      <c r="T10" s="16">
        <f>_xll.BDH("XOM US Equity","IS_OPER_INC","FQ2 1994","FQ2 1994","Currency=USD","Period=FQ","BEST_FPERIOD_OVERRIDE=FQ","FILING_STATUS=OR","SCALING_FORMAT=MLN","FA_ADJUSTED=Adjusted","Sort=A","Dates=H","DateFormat=P","Fill=—","Direction=H","UseDPDF=Y")</f>
        <v>1365</v>
      </c>
      <c r="U10" s="16">
        <f>_xll.BDH("XOM US Equity","IS_OPER_INC","FQ3 1994","FQ3 1994","Currency=USD","Period=FQ","BEST_FPERIOD_OVERRIDE=FQ","FILING_STATUS=OR","SCALING_FORMAT=MLN","FA_ADJUSTED=Adjusted","Sort=A","Dates=H","DateFormat=P","Fill=—","Direction=H","UseDPDF=Y")</f>
        <v>1837</v>
      </c>
      <c r="V10" s="16">
        <f>_xll.BDH("XOM US Equity","IS_OPER_INC","FQ4 1994","FQ4 1994","Currency=USD","Period=FQ","BEST_FPERIOD_OVERRIDE=FQ","FILING_STATUS=OR","SCALING_FORMAT=MLN","FA_ADJUSTED=Adjusted","Sort=A","Dates=H","DateFormat=P","Fill=—","Direction=H","UseDPDF=Y")</f>
        <v>6163</v>
      </c>
      <c r="W10" s="16">
        <f>_xll.BDH("XOM US Equity","IS_OPER_INC","FQ1 1995","FQ1 1995","Currency=USD","Period=FQ","BEST_FPERIOD_OVERRIDE=FQ","FILING_STATUS=OR","SCALING_FORMAT=MLN","FA_ADJUSTED=Adjusted","Sort=A","Dates=H","DateFormat=P","Fill=—","Direction=H","UseDPDF=Y")</f>
        <v>2146</v>
      </c>
      <c r="X10" s="16">
        <f>_xll.BDH("XOM US Equity","IS_OPER_INC","FQ2 1995","FQ2 1995","Currency=USD","Period=FQ","BEST_FPERIOD_OVERRIDE=FQ","FILING_STATUS=OR","SCALING_FORMAT=MLN","FA_ADJUSTED=Adjusted","Sort=A","Dates=H","DateFormat=P","Fill=—","Direction=H","UseDPDF=Y")</f>
        <v>2353</v>
      </c>
      <c r="Y10" s="16">
        <f>_xll.BDH("XOM US Equity","IS_OPER_INC","FQ3 1995","FQ3 1995","Currency=USD","Period=FQ","BEST_FPERIOD_OVERRIDE=FQ","FILING_STATUS=OR","SCALING_FORMAT=MLN","FA_ADJUSTED=Adjusted","Sort=A","Dates=H","DateFormat=P","Fill=—","Direction=H","UseDPDF=Y")</f>
        <v>2375</v>
      </c>
      <c r="Z10" s="16">
        <f>_xll.BDH("XOM US Equity","IS_OPER_INC","FQ4 1995","FQ4 1995","Currency=USD","Period=FQ","BEST_FPERIOD_OVERRIDE=FQ","FILING_STATUS=OR","SCALING_FORMAT=MLN","FA_ADJUSTED=Adjusted","Sort=A","Dates=H","DateFormat=P","Fill=—","Direction=H","UseDPDF=Y")</f>
        <v>5095</v>
      </c>
      <c r="AA10" s="16">
        <f>_xll.BDH("XOM US Equity","IS_OPER_INC","FQ1 1996","FQ1 1996","Currency=USD","Period=FQ","BEST_FPERIOD_OVERRIDE=FQ","FILING_STATUS=OR","SCALING_FORMAT=MLN","FA_ADJUSTED=Adjusted","Sort=A","Dates=H","DateFormat=P","Fill=—","Direction=H","UseDPDF=Y")</f>
        <v>2325</v>
      </c>
      <c r="AB10" s="16">
        <f>_xll.BDH("XOM US Equity","IS_OPER_INC","FQ2 1996","FQ2 1996","Currency=USD","Period=FQ","BEST_FPERIOD_OVERRIDE=FQ","FILING_STATUS=OR","SCALING_FORMAT=MLN","FA_ADJUSTED=Adjusted","Sort=A","Dates=H","DateFormat=P","Fill=—","Direction=H","UseDPDF=Y")</f>
        <v>2282</v>
      </c>
      <c r="AC10" s="16">
        <f>_xll.BDH("XOM US Equity","IS_OPER_INC","FQ3 1996","FQ3 1996","Currency=USD","Period=FQ","BEST_FPERIOD_OVERRIDE=FQ","FILING_STATUS=OR","SCALING_FORMAT=MLN","FA_ADJUSTED=Adjusted","Sort=A","Dates=H","DateFormat=P","Fill=—","Direction=H","UseDPDF=Y")</f>
        <v>2333</v>
      </c>
      <c r="AD10" s="16">
        <f>_xll.BDH("XOM US Equity","IS_OPER_INC","FQ4 1996","FQ4 1996","Currency=USD","Period=FQ","BEST_FPERIOD_OVERRIDE=FQ","FILING_STATUS=OR","SCALING_FORMAT=MLN","FA_ADJUSTED=Adjusted","Sort=A","Dates=H","DateFormat=P","Fill=—","Direction=H","UseDPDF=Y")</f>
        <v>8235</v>
      </c>
      <c r="AE10" s="16">
        <f>_xll.BDH("XOM US Equity","IS_OPER_INC","FQ1 1997","FQ1 1997","Currency=USD","Period=FQ","BEST_FPERIOD_OVERRIDE=FQ","FILING_STATUS=OR","SCALING_FORMAT=MLN","FA_ADJUSTED=Adjusted","Sort=A","Dates=H","DateFormat=P","Fill=—","Direction=H","UseDPDF=Y")</f>
        <v>3204</v>
      </c>
      <c r="AF10" s="16">
        <f>_xll.BDH("XOM US Equity","IS_OPER_INC","FQ2 1997","FQ2 1997","Currency=USD","Period=FQ","BEST_FPERIOD_OVERRIDE=FQ","FILING_STATUS=OR","SCALING_FORMAT=MLN","FA_ADJUSTED=Adjusted","Sort=A","Dates=H","DateFormat=P","Fill=—","Direction=H","UseDPDF=Y")</f>
        <v>2829</v>
      </c>
      <c r="AG10" s="16">
        <f>_xll.BDH("XOM US Equity","IS_OPER_INC","FQ3 1997","FQ3 1997","Currency=USD","Period=FQ","BEST_FPERIOD_OVERRIDE=FQ","FILING_STATUS=OR","SCALING_FORMAT=MLN","FA_ADJUSTED=Adjusted","Sort=A","Dates=H","DateFormat=P","Fill=—","Direction=H","UseDPDF=Y")</f>
        <v>2601</v>
      </c>
      <c r="AH10" s="16">
        <f>_xll.BDH("XOM US Equity","IS_OPER_INC","FQ4 1997","FQ4 1997","Currency=USD","Period=FQ","BEST_FPERIOD_OVERRIDE=FQ","FILING_STATUS=OR","SCALING_FORMAT=MLN","FA_ADJUSTED=Adjusted","Sort=A","Dates=H","DateFormat=P","Fill=—","Direction=H","UseDPDF=Y")</f>
        <v>5770</v>
      </c>
      <c r="AI10" s="16">
        <f>_xll.BDH("XOM US Equity","IS_OPER_INC","FQ1 1998","FQ1 1998","Currency=USD","Period=FQ","BEST_FPERIOD_OVERRIDE=FQ","FILING_STATUS=OR","SCALING_FORMAT=MLN","FA_ADJUSTED=Adjusted","Sort=A","Dates=H","DateFormat=P","Fill=—","Direction=H","UseDPDF=Y")</f>
        <v>2336</v>
      </c>
      <c r="AJ10" s="16">
        <f>_xll.BDH("XOM US Equity","IS_OPER_INC","FQ2 1998","FQ2 1998","Currency=USD","Period=FQ","BEST_FPERIOD_OVERRIDE=FQ","FILING_STATUS=OR","SCALING_FORMAT=MLN","FA_ADJUSTED=Adjusted","Sort=A","Dates=H","DateFormat=P","Fill=—","Direction=H","UseDPDF=Y")</f>
        <v>1914</v>
      </c>
    </row>
    <row r="11" spans="1:36" x14ac:dyDescent="0.25">
      <c r="A11" s="11" t="s">
        <v>84</v>
      </c>
      <c r="B11" s="11" t="s">
        <v>85</v>
      </c>
      <c r="C11" s="18">
        <f>_xll.BDH("XOM US Equity","IS_INT_EXPENSE","FQ1 1990","FQ1 1990","Currency=USD","Period=FQ","BEST_FPERIOD_OVERRIDE=FQ","FILING_STATUS=OR","SCALING_FORMAT=MLN","FA_ADJUSTED=Adjusted","Sort=A","Dates=H","DateFormat=P","Fill=—","Direction=H","UseDPDF=Y")</f>
        <v>391</v>
      </c>
      <c r="D11" s="18">
        <f>_xll.BDH("XOM US Equity","IS_INT_EXPENSE","FQ2 1990","FQ2 1990","Currency=USD","Period=FQ","BEST_FPERIOD_OVERRIDE=FQ","FILING_STATUS=OR","SCALING_FORMAT=MLN","FA_ADJUSTED=Adjusted","Sort=A","Dates=H","DateFormat=P","Fill=—","Direction=H","UseDPDF=Y")</f>
        <v>321</v>
      </c>
      <c r="E11" s="18">
        <f>_xll.BDH("XOM US Equity","IS_INT_EXPENSE","FQ3 1990","FQ3 1990","Currency=USD","Period=FQ","BEST_FPERIOD_OVERRIDE=FQ","FILING_STATUS=OR","SCALING_FORMAT=MLN","FA_ADJUSTED=Adjusted","Sort=A","Dates=H","DateFormat=P","Fill=—","Direction=H","UseDPDF=Y")</f>
        <v>240</v>
      </c>
      <c r="F11" s="18">
        <f>_xll.BDH("XOM US Equity","IS_INT_EXPENSE","FQ4 1990","FQ4 1990","Currency=USD","Period=FQ","BEST_FPERIOD_OVERRIDE=FQ","FILING_STATUS=OR","SCALING_FORMAT=MLN","FA_ADJUSTED=Adjusted","Sort=A","Dates=H","DateFormat=P","Fill=—","Direction=H","UseDPDF=Y")</f>
        <v>348</v>
      </c>
      <c r="G11" s="18">
        <f>_xll.BDH("XOM US Equity","IS_INT_EXPENSE","FQ1 1991","FQ1 1991","Currency=USD","Period=FQ","BEST_FPERIOD_OVERRIDE=FQ","FILING_STATUS=OR","SCALING_FORMAT=MLN","FA_ADJUSTED=Adjusted","Sort=A","Dates=H","DateFormat=P","Fill=—","Direction=H","UseDPDF=Y")</f>
        <v>248</v>
      </c>
      <c r="H11" s="18">
        <f>_xll.BDH("XOM US Equity","IS_INT_EXPENSE","FQ2 1991","FQ2 1991","Currency=USD","Period=FQ","BEST_FPERIOD_OVERRIDE=FQ","FILING_STATUS=OR","SCALING_FORMAT=MLN","FA_ADJUSTED=Adjusted","Sort=A","Dates=H","DateFormat=P","Fill=—","Direction=H","UseDPDF=Y")</f>
        <v>173</v>
      </c>
      <c r="I11" s="18">
        <f>_xll.BDH("XOM US Equity","IS_INT_EXPENSE","FQ3 1991","FQ3 1991","Currency=USD","Period=FQ","BEST_FPERIOD_OVERRIDE=FQ","FILING_STATUS=OR","SCALING_FORMAT=MLN","FA_ADJUSTED=Adjusted","Sort=A","Dates=H","DateFormat=P","Fill=—","Direction=H","UseDPDF=Y")</f>
        <v>163</v>
      </c>
      <c r="J11" s="18">
        <f>_xll.BDH("XOM US Equity","IS_INT_EXPENSE","FQ4 1991","FQ4 1991","Currency=USD","Period=FQ","BEST_FPERIOD_OVERRIDE=FQ","FILING_STATUS=OR","SCALING_FORMAT=MLN","FA_ADJUSTED=Adjusted","Sort=A","Dates=H","DateFormat=P","Fill=—","Direction=H","UseDPDF=Y")</f>
        <v>226</v>
      </c>
      <c r="K11" s="18">
        <f>_xll.BDH("XOM US Equity","IS_INT_EXPENSE","FQ1 1992","FQ1 1992","Currency=USD","Period=FQ","BEST_FPERIOD_OVERRIDE=FQ","FILING_STATUS=OR","SCALING_FORMAT=MLN","FA_ADJUSTED=Adjusted","Sort=A","Dates=H","DateFormat=P","Fill=—","Direction=H","UseDPDF=Y")</f>
        <v>223</v>
      </c>
      <c r="L11" s="18">
        <f>_xll.BDH("XOM US Equity","IS_INT_EXPENSE","FQ2 1992","FQ2 1992","Currency=USD","Period=FQ","BEST_FPERIOD_OVERRIDE=FQ","FILING_STATUS=OR","SCALING_FORMAT=MLN","FA_ADJUSTED=Adjusted","Sort=A","Dates=H","DateFormat=P","Fill=—","Direction=H","UseDPDF=Y")</f>
        <v>194</v>
      </c>
      <c r="M11" s="18">
        <f>_xll.BDH("XOM US Equity","IS_INT_EXPENSE","FQ3 1992","FQ3 1992","Currency=USD","Period=FQ","BEST_FPERIOD_OVERRIDE=FQ","FILING_STATUS=OR","SCALING_FORMAT=MLN","FA_ADJUSTED=Adjusted","Sort=A","Dates=H","DateFormat=P","Fill=—","Direction=H","UseDPDF=Y")</f>
        <v>231</v>
      </c>
      <c r="N11" s="18">
        <f>_xll.BDH("XOM US Equity","IS_INT_EXPENSE","FQ4 1992","FQ4 1992","Currency=USD","Period=FQ","BEST_FPERIOD_OVERRIDE=FQ","FILING_STATUS=OR","SCALING_FORMAT=MLN","FA_ADJUSTED=Adjusted","Sort=A","Dates=H","DateFormat=P","Fill=—","Direction=H","UseDPDF=Y")</f>
        <v>136</v>
      </c>
      <c r="O11" s="18">
        <f>_xll.BDH("XOM US Equity","IS_INT_EXPENSE","FQ1 1993","FQ1 1993","Currency=USD","Period=FQ","BEST_FPERIOD_OVERRIDE=FQ","FILING_STATUS=OR","SCALING_FORMAT=MLN","FA_ADJUSTED=Adjusted","Sort=A","Dates=H","DateFormat=P","Fill=—","Direction=H","UseDPDF=Y")</f>
        <v>151</v>
      </c>
      <c r="P11" s="18">
        <f>_xll.BDH("XOM US Equity","IS_INT_EXPENSE","FQ2 1993","FQ2 1993","Currency=USD","Period=FQ","BEST_FPERIOD_OVERRIDE=FQ","FILING_STATUS=OR","SCALING_FORMAT=MLN","FA_ADJUSTED=Adjusted","Sort=A","Dates=H","DateFormat=P","Fill=—","Direction=H","UseDPDF=Y")</f>
        <v>190</v>
      </c>
      <c r="Q11" s="18">
        <f>_xll.BDH("XOM US Equity","IS_INT_EXPENSE","FQ3 1993","FQ3 1993","Currency=USD","Period=FQ","BEST_FPERIOD_OVERRIDE=FQ","FILING_STATUS=OR","SCALING_FORMAT=MLN","FA_ADJUSTED=Adjusted","Sort=A","Dates=H","DateFormat=P","Fill=—","Direction=H","UseDPDF=Y")</f>
        <v>193</v>
      </c>
      <c r="R11" s="18">
        <f>_xll.BDH("XOM US Equity","IS_INT_EXPENSE","FQ4 1993","FQ4 1993","Currency=USD","Period=FQ","BEST_FPERIOD_OVERRIDE=FQ","FILING_STATUS=OR","SCALING_FORMAT=MLN","FA_ADJUSTED=Adjusted","Sort=A","Dates=H","DateFormat=P","Fill=—","Direction=H","UseDPDF=Y")</f>
        <v>147</v>
      </c>
      <c r="S11" s="18">
        <f>_xll.BDH("XOM US Equity","IS_INT_EXPENSE","FQ1 1994","FQ1 1994","Currency=USD","Period=FQ","BEST_FPERIOD_OVERRIDE=FQ","FILING_STATUS=OR","SCALING_FORMAT=MLN","FA_ADJUSTED=Adjusted","Sort=A","Dates=H","DateFormat=P","Fill=—","Direction=H","UseDPDF=Y")</f>
        <v>301</v>
      </c>
      <c r="T11" s="18">
        <f>_xll.BDH("XOM US Equity","IS_INT_EXPENSE","FQ2 1994","FQ2 1994","Currency=USD","Period=FQ","BEST_FPERIOD_OVERRIDE=FQ","FILING_STATUS=OR","SCALING_FORMAT=MLN","FA_ADJUSTED=Adjusted","Sort=A","Dates=H","DateFormat=P","Fill=—","Direction=H","UseDPDF=Y")</f>
        <v>107</v>
      </c>
      <c r="U11" s="18">
        <f>_xll.BDH("XOM US Equity","IS_INT_EXPENSE","FQ3 1994","FQ3 1994","Currency=USD","Period=FQ","BEST_FPERIOD_OVERRIDE=FQ","FILING_STATUS=OR","SCALING_FORMAT=MLN","FA_ADJUSTED=Adjusted","Sort=A","Dates=H","DateFormat=P","Fill=—","Direction=H","UseDPDF=Y")</f>
        <v>126</v>
      </c>
      <c r="V11" s="18">
        <f>_xll.BDH("XOM US Equity","IS_INT_EXPENSE","FQ4 1994","FQ4 1994","Currency=USD","Period=FQ","BEST_FPERIOD_OVERRIDE=FQ","FILING_STATUS=OR","SCALING_FORMAT=MLN","FA_ADJUSTED=Adjusted","Sort=A","Dates=H","DateFormat=P","Fill=—","Direction=H","UseDPDF=Y")</f>
        <v>239</v>
      </c>
      <c r="W11" s="18">
        <f>_xll.BDH("XOM US Equity","IS_INT_EXPENSE","FQ1 1995","FQ1 1995","Currency=USD","Period=FQ","BEST_FPERIOD_OVERRIDE=FQ","FILING_STATUS=OR","SCALING_FORMAT=MLN","FA_ADJUSTED=Adjusted","Sort=A","Dates=H","DateFormat=P","Fill=—","Direction=H","UseDPDF=Y")</f>
        <v>143</v>
      </c>
      <c r="X11" s="18">
        <f>_xll.BDH("XOM US Equity","IS_INT_EXPENSE","FQ2 1995","FQ2 1995","Currency=USD","Period=FQ","BEST_FPERIOD_OVERRIDE=FQ","FILING_STATUS=OR","SCALING_FORMAT=MLN","FA_ADJUSTED=Adjusted","Sort=A","Dates=H","DateFormat=P","Fill=—","Direction=H","UseDPDF=Y")</f>
        <v>176</v>
      </c>
      <c r="Y11" s="18">
        <f>_xll.BDH("XOM US Equity","IS_INT_EXPENSE","FQ3 1995","FQ3 1995","Currency=USD","Period=FQ","BEST_FPERIOD_OVERRIDE=FQ","FILING_STATUS=OR","SCALING_FORMAT=MLN","FA_ADJUSTED=Adjusted","Sort=A","Dates=H","DateFormat=P","Fill=—","Direction=H","UseDPDF=Y")</f>
        <v>192</v>
      </c>
      <c r="Z11" s="18">
        <f>_xll.BDH("XOM US Equity","IS_INT_EXPENSE","FQ4 1995","FQ4 1995","Currency=USD","Period=FQ","BEST_FPERIOD_OVERRIDE=FQ","FILING_STATUS=OR","SCALING_FORMAT=MLN","FA_ADJUSTED=Adjusted","Sort=A","Dates=H","DateFormat=P","Fill=—","Direction=H","UseDPDF=Y")</f>
        <v>60</v>
      </c>
      <c r="AA11" s="18">
        <f>_xll.BDH("XOM US Equity","IS_INT_EXPENSE","FQ1 1996","FQ1 1996","Currency=USD","Period=FQ","BEST_FPERIOD_OVERRIDE=FQ","FILING_STATUS=OR","SCALING_FORMAT=MLN","FA_ADJUSTED=Adjusted","Sort=A","Dates=H","DateFormat=P","Fill=—","Direction=H","UseDPDF=Y")</f>
        <v>76</v>
      </c>
      <c r="AB11" s="18">
        <f>_xll.BDH("XOM US Equity","IS_INT_EXPENSE","FQ2 1996","FQ2 1996","Currency=USD","Period=FQ","BEST_FPERIOD_OVERRIDE=FQ","FILING_STATUS=OR","SCALING_FORMAT=MLN","FA_ADJUSTED=Adjusted","Sort=A","Dates=H","DateFormat=P","Fill=—","Direction=H","UseDPDF=Y")</f>
        <v>136</v>
      </c>
      <c r="AC11" s="18">
        <f>_xll.BDH("XOM US Equity","IS_INT_EXPENSE","FQ3 1996","FQ3 1996","Currency=USD","Period=FQ","BEST_FPERIOD_OVERRIDE=FQ","FILING_STATUS=OR","SCALING_FORMAT=MLN","FA_ADJUSTED=Adjusted","Sort=A","Dates=H","DateFormat=P","Fill=—","Direction=H","UseDPDF=Y")</f>
        <v>97</v>
      </c>
      <c r="AD11" s="18">
        <f>_xll.BDH("XOM US Equity","IS_INT_EXPENSE","FQ4 1996","FQ4 1996","Currency=USD","Period=FQ","BEST_FPERIOD_OVERRIDE=FQ","FILING_STATUS=OR","SCALING_FORMAT=MLN","FA_ADJUSTED=Adjusted","Sort=A","Dates=H","DateFormat=P","Fill=—","Direction=H","UseDPDF=Y")</f>
        <v>158</v>
      </c>
      <c r="AE11" s="18">
        <f>_xll.BDH("XOM US Equity","IS_INT_EXPENSE","FQ1 1997","FQ1 1997","Currency=USD","Period=FQ","BEST_FPERIOD_OVERRIDE=FQ","FILING_STATUS=OR","SCALING_FORMAT=MLN","FA_ADJUSTED=Adjusted","Sort=A","Dates=H","DateFormat=P","Fill=—","Direction=H","UseDPDF=Y")</f>
        <v>72</v>
      </c>
      <c r="AF11" s="18">
        <f>_xll.BDH("XOM US Equity","IS_INT_EXPENSE","FQ2 1997","FQ2 1997","Currency=USD","Period=FQ","BEST_FPERIOD_OVERRIDE=FQ","FILING_STATUS=OR","SCALING_FORMAT=MLN","FA_ADJUSTED=Adjusted","Sort=A","Dates=H","DateFormat=P","Fill=—","Direction=H","UseDPDF=Y")</f>
        <v>104</v>
      </c>
      <c r="AG11" s="18">
        <f>_xll.BDH("XOM US Equity","IS_INT_EXPENSE","FQ3 1997","FQ3 1997","Currency=USD","Period=FQ","BEST_FPERIOD_OVERRIDE=FQ","FILING_STATUS=OR","SCALING_FORMAT=MLN","FA_ADJUSTED=Adjusted","Sort=A","Dates=H","DateFormat=P","Fill=—","Direction=H","UseDPDF=Y")</f>
        <v>107</v>
      </c>
      <c r="AH11" s="18">
        <f>_xll.BDH("XOM US Equity","IS_INT_EXPENSE","FQ4 1997","FQ4 1997","Currency=USD","Period=FQ","BEST_FPERIOD_OVERRIDE=FQ","FILING_STATUS=OR","SCALING_FORMAT=MLN","FA_ADJUSTED=Adjusted","Sort=A","Dates=H","DateFormat=P","Fill=—","Direction=H","UseDPDF=Y")</f>
        <v>132</v>
      </c>
      <c r="AI11" s="18">
        <f>_xll.BDH("XOM US Equity","IS_INT_EXPENSE","FQ1 1998","FQ1 1998","Currency=USD","Period=FQ","BEST_FPERIOD_OVERRIDE=FQ","FILING_STATUS=OR","SCALING_FORMAT=MLN","FA_ADJUSTED=Adjusted","Sort=A","Dates=H","DateFormat=P","Fill=—","Direction=H","UseDPDF=Y")</f>
        <v>67</v>
      </c>
      <c r="AJ11" s="18">
        <f>_xll.BDH("XOM US Equity","IS_INT_EXPENSE","FQ2 1998","FQ2 1998","Currency=USD","Period=FQ","BEST_FPERIOD_OVERRIDE=FQ","FILING_STATUS=OR","SCALING_FORMAT=MLN","FA_ADJUSTED=Adjusted","Sort=A","Dates=H","DateFormat=P","Fill=—","Direction=H","UseDPDF=Y")</f>
        <v>65</v>
      </c>
    </row>
    <row r="12" spans="1:36" x14ac:dyDescent="0.25">
      <c r="A12" s="10" t="s">
        <v>86</v>
      </c>
      <c r="B12" s="10" t="s">
        <v>87</v>
      </c>
      <c r="C12" s="13" t="str">
        <f>_xll.BDH("XOM US Equity","IS_FOREIGN_EXCH_LOSS","FQ1 1990","FQ1 1990","Currency=USD","Period=FQ","BEST_FPERIOD_OVERRIDE=FQ","FILING_STATUS=OR","SCALING_FORMAT=MLN","FA_ADJUSTED=Adjusted","Sort=A","Dates=H","DateFormat=P","Fill=—","Direction=H","UseDPDF=Y")</f>
        <v>—</v>
      </c>
      <c r="D12" s="13" t="str">
        <f>_xll.BDH("XOM US Equity","IS_FOREIGN_EXCH_LOSS","FQ2 1990","FQ2 1990","Currency=USD","Period=FQ","BEST_FPERIOD_OVERRIDE=FQ","FILING_STATUS=OR","SCALING_FORMAT=MLN","FA_ADJUSTED=Adjusted","Sort=A","Dates=H","DateFormat=P","Fill=—","Direction=H","UseDPDF=Y")</f>
        <v>—</v>
      </c>
      <c r="E12" s="13" t="str">
        <f>_xll.BDH("XOM US Equity","IS_FOREIGN_EXCH_LOSS","FQ3 1990","FQ3 1990","Currency=USD","Period=FQ","BEST_FPERIOD_OVERRIDE=FQ","FILING_STATUS=OR","SCALING_FORMAT=MLN","FA_ADJUSTED=Adjusted","Sort=A","Dates=H","DateFormat=P","Fill=—","Direction=H","UseDPDF=Y")</f>
        <v>—</v>
      </c>
      <c r="F12" s="13">
        <f>_xll.BDH("XOM US Equity","IS_FOREIGN_EXCH_LOSS","FQ4 1990","FQ4 1990","Currency=USD","Period=FQ","BEST_FPERIOD_OVERRIDE=FQ","FILING_STATUS=OR","SCALING_FORMAT=MLN","FA_ADJUSTED=Adjusted","Sort=A","Dates=H","DateFormat=P","Fill=—","Direction=H","UseDPDF=Y")</f>
        <v>-240</v>
      </c>
      <c r="G12" s="13" t="str">
        <f>_xll.BDH("XOM US Equity","IS_FOREIGN_EXCH_LOSS","FQ1 1991","FQ1 1991","Currency=USD","Period=FQ","BEST_FPERIOD_OVERRIDE=FQ","FILING_STATUS=OR","SCALING_FORMAT=MLN","FA_ADJUSTED=Adjusted","Sort=A","Dates=H","DateFormat=P","Fill=—","Direction=H","UseDPDF=Y")</f>
        <v>—</v>
      </c>
      <c r="H12" s="13" t="str">
        <f>_xll.BDH("XOM US Equity","IS_FOREIGN_EXCH_LOSS","FQ2 1991","FQ2 1991","Currency=USD","Period=FQ","BEST_FPERIOD_OVERRIDE=FQ","FILING_STATUS=OR","SCALING_FORMAT=MLN","FA_ADJUSTED=Adjusted","Sort=A","Dates=H","DateFormat=P","Fill=—","Direction=H","UseDPDF=Y")</f>
        <v>—</v>
      </c>
      <c r="I12" s="13" t="str">
        <f>_xll.BDH("XOM US Equity","IS_FOREIGN_EXCH_LOSS","FQ3 1991","FQ3 1991","Currency=USD","Period=FQ","BEST_FPERIOD_OVERRIDE=FQ","FILING_STATUS=OR","SCALING_FORMAT=MLN","FA_ADJUSTED=Adjusted","Sort=A","Dates=H","DateFormat=P","Fill=—","Direction=H","UseDPDF=Y")</f>
        <v>—</v>
      </c>
      <c r="J12" s="13">
        <f>_xll.BDH("XOM US Equity","IS_FOREIGN_EXCH_LOSS","FQ4 1991","FQ4 1991","Currency=USD","Period=FQ","BEST_FPERIOD_OVERRIDE=FQ","FILING_STATUS=OR","SCALING_FORMAT=MLN","FA_ADJUSTED=Adjusted","Sort=A","Dates=H","DateFormat=P","Fill=—","Direction=H","UseDPDF=Y")</f>
        <v>-60</v>
      </c>
      <c r="K12" s="13" t="str">
        <f>_xll.BDH("XOM US Equity","IS_FOREIGN_EXCH_LOSS","FQ1 1992","FQ1 1992","Currency=USD","Period=FQ","BEST_FPERIOD_OVERRIDE=FQ","FILING_STATUS=OR","SCALING_FORMAT=MLN","FA_ADJUSTED=Adjusted","Sort=A","Dates=H","DateFormat=P","Fill=—","Direction=H","UseDPDF=Y")</f>
        <v>—</v>
      </c>
      <c r="L12" s="13" t="str">
        <f>_xll.BDH("XOM US Equity","IS_FOREIGN_EXCH_LOSS","FQ2 1992","FQ2 1992","Currency=USD","Period=FQ","BEST_FPERIOD_OVERRIDE=FQ","FILING_STATUS=OR","SCALING_FORMAT=MLN","FA_ADJUSTED=Adjusted","Sort=A","Dates=H","DateFormat=P","Fill=—","Direction=H","UseDPDF=Y")</f>
        <v>—</v>
      </c>
      <c r="M12" s="13" t="str">
        <f>_xll.BDH("XOM US Equity","IS_FOREIGN_EXCH_LOSS","FQ3 1992","FQ3 1992","Currency=USD","Period=FQ","BEST_FPERIOD_OVERRIDE=FQ","FILING_STATUS=OR","SCALING_FORMAT=MLN","FA_ADJUSTED=Adjusted","Sort=A","Dates=H","DateFormat=P","Fill=—","Direction=H","UseDPDF=Y")</f>
        <v>—</v>
      </c>
      <c r="N12" s="13">
        <f>_xll.BDH("XOM US Equity","IS_FOREIGN_EXCH_LOSS","FQ4 1992","FQ4 1992","Currency=USD","Period=FQ","BEST_FPERIOD_OVERRIDE=FQ","FILING_STATUS=OR","SCALING_FORMAT=MLN","FA_ADJUSTED=Adjusted","Sort=A","Dates=H","DateFormat=P","Fill=—","Direction=H","UseDPDF=Y")</f>
        <v>118</v>
      </c>
      <c r="O12" s="13" t="str">
        <f>_xll.BDH("XOM US Equity","IS_FOREIGN_EXCH_LOSS","FQ1 1993","FQ1 1993","Currency=USD","Period=FQ","BEST_FPERIOD_OVERRIDE=FQ","FILING_STATUS=OR","SCALING_FORMAT=MLN","FA_ADJUSTED=Adjusted","Sort=A","Dates=H","DateFormat=P","Fill=—","Direction=H","UseDPDF=Y")</f>
        <v>—</v>
      </c>
      <c r="P12" s="13" t="str">
        <f>_xll.BDH("XOM US Equity","IS_FOREIGN_EXCH_LOSS","FQ2 1993","FQ2 1993","Currency=USD","Period=FQ","BEST_FPERIOD_OVERRIDE=FQ","FILING_STATUS=OR","SCALING_FORMAT=MLN","FA_ADJUSTED=Adjusted","Sort=A","Dates=H","DateFormat=P","Fill=—","Direction=H","UseDPDF=Y")</f>
        <v>—</v>
      </c>
      <c r="Q12" s="13" t="str">
        <f>_xll.BDH("XOM US Equity","IS_FOREIGN_EXCH_LOSS","FQ3 1993","FQ3 1993","Currency=USD","Period=FQ","BEST_FPERIOD_OVERRIDE=FQ","FILING_STATUS=OR","SCALING_FORMAT=MLN","FA_ADJUSTED=Adjusted","Sort=A","Dates=H","DateFormat=P","Fill=—","Direction=H","UseDPDF=Y")</f>
        <v>—</v>
      </c>
      <c r="R12" s="13">
        <f>_xll.BDH("XOM US Equity","IS_FOREIGN_EXCH_LOSS","FQ4 1993","FQ4 1993","Currency=USD","Period=FQ","BEST_FPERIOD_OVERRIDE=FQ","FILING_STATUS=OR","SCALING_FORMAT=MLN","FA_ADJUSTED=Adjusted","Sort=A","Dates=H","DateFormat=P","Fill=—","Direction=H","UseDPDF=Y")</f>
        <v>-61</v>
      </c>
      <c r="S12" s="13" t="str">
        <f>_xll.BDH("XOM US Equity","IS_FOREIGN_EXCH_LOSS","FQ1 1994","FQ1 1994","Currency=USD","Period=FQ","BEST_FPERIOD_OVERRIDE=FQ","FILING_STATUS=OR","SCALING_FORMAT=MLN","FA_ADJUSTED=Adjusted","Sort=A","Dates=H","DateFormat=P","Fill=—","Direction=H","UseDPDF=Y")</f>
        <v>—</v>
      </c>
      <c r="T12" s="13" t="str">
        <f>_xll.BDH("XOM US Equity","IS_FOREIGN_EXCH_LOSS","FQ2 1994","FQ2 1994","Currency=USD","Period=FQ","BEST_FPERIOD_OVERRIDE=FQ","FILING_STATUS=OR","SCALING_FORMAT=MLN","FA_ADJUSTED=Adjusted","Sort=A","Dates=H","DateFormat=P","Fill=—","Direction=H","UseDPDF=Y")</f>
        <v>—</v>
      </c>
      <c r="U12" s="13" t="str">
        <f>_xll.BDH("XOM US Equity","IS_FOREIGN_EXCH_LOSS","FQ3 1994","FQ3 1994","Currency=USD","Period=FQ","BEST_FPERIOD_OVERRIDE=FQ","FILING_STATUS=OR","SCALING_FORMAT=MLN","FA_ADJUSTED=Adjusted","Sort=A","Dates=H","DateFormat=P","Fill=—","Direction=H","UseDPDF=Y")</f>
        <v>—</v>
      </c>
      <c r="V12" s="13">
        <f>_xll.BDH("XOM US Equity","IS_FOREIGN_EXCH_LOSS","FQ4 1994","FQ4 1994","Currency=USD","Period=FQ","BEST_FPERIOD_OVERRIDE=FQ","FILING_STATUS=OR","SCALING_FORMAT=MLN","FA_ADJUSTED=Adjusted","Sort=A","Dates=H","DateFormat=P","Fill=—","Direction=H","UseDPDF=Y")</f>
        <v>30</v>
      </c>
      <c r="W12" s="13" t="str">
        <f>_xll.BDH("XOM US Equity","IS_FOREIGN_EXCH_LOSS","FQ1 1995","FQ1 1995","Currency=USD","Period=FQ","BEST_FPERIOD_OVERRIDE=FQ","FILING_STATUS=OR","SCALING_FORMAT=MLN","FA_ADJUSTED=Adjusted","Sort=A","Dates=H","DateFormat=P","Fill=—","Direction=H","UseDPDF=Y")</f>
        <v>—</v>
      </c>
      <c r="X12" s="13" t="str">
        <f>_xll.BDH("XOM US Equity","IS_FOREIGN_EXCH_LOSS","FQ2 1995","FQ2 1995","Currency=USD","Period=FQ","BEST_FPERIOD_OVERRIDE=FQ","FILING_STATUS=OR","SCALING_FORMAT=MLN","FA_ADJUSTED=Adjusted","Sort=A","Dates=H","DateFormat=P","Fill=—","Direction=H","UseDPDF=Y")</f>
        <v>—</v>
      </c>
      <c r="Y12" s="13" t="str">
        <f>_xll.BDH("XOM US Equity","IS_FOREIGN_EXCH_LOSS","FQ3 1995","FQ3 1995","Currency=USD","Period=FQ","BEST_FPERIOD_OVERRIDE=FQ","FILING_STATUS=OR","SCALING_FORMAT=MLN","FA_ADJUSTED=Adjusted","Sort=A","Dates=H","DateFormat=P","Fill=—","Direction=H","UseDPDF=Y")</f>
        <v>—</v>
      </c>
      <c r="Z12" s="13">
        <f>_xll.BDH("XOM US Equity","IS_FOREIGN_EXCH_LOSS","FQ4 1995","FQ4 1995","Currency=USD","Period=FQ","BEST_FPERIOD_OVERRIDE=FQ","FILING_STATUS=OR","SCALING_FORMAT=MLN","FA_ADJUSTED=Adjusted","Sort=A","Dates=H","DateFormat=P","Fill=—","Direction=H","UseDPDF=Y")</f>
        <v>-26</v>
      </c>
      <c r="AA12" s="13" t="str">
        <f>_xll.BDH("XOM US Equity","IS_FOREIGN_EXCH_LOSS","FQ1 1996","FQ1 1996","Currency=USD","Period=FQ","BEST_FPERIOD_OVERRIDE=FQ","FILING_STATUS=OR","SCALING_FORMAT=MLN","FA_ADJUSTED=Adjusted","Sort=A","Dates=H","DateFormat=P","Fill=—","Direction=H","UseDPDF=Y")</f>
        <v>—</v>
      </c>
      <c r="AB12" s="13" t="str">
        <f>_xll.BDH("XOM US Equity","IS_FOREIGN_EXCH_LOSS","FQ2 1996","FQ2 1996","Currency=USD","Period=FQ","BEST_FPERIOD_OVERRIDE=FQ","FILING_STATUS=OR","SCALING_FORMAT=MLN","FA_ADJUSTED=Adjusted","Sort=A","Dates=H","DateFormat=P","Fill=—","Direction=H","UseDPDF=Y")</f>
        <v>—</v>
      </c>
      <c r="AC12" s="13" t="str">
        <f>_xll.BDH("XOM US Equity","IS_FOREIGN_EXCH_LOSS","FQ3 1996","FQ3 1996","Currency=USD","Period=FQ","BEST_FPERIOD_OVERRIDE=FQ","FILING_STATUS=OR","SCALING_FORMAT=MLN","FA_ADJUSTED=Adjusted","Sort=A","Dates=H","DateFormat=P","Fill=—","Direction=H","UseDPDF=Y")</f>
        <v>—</v>
      </c>
      <c r="AD12" s="13">
        <f>_xll.BDH("XOM US Equity","IS_FOREIGN_EXCH_LOSS","FQ4 1996","FQ4 1996","Currency=USD","Period=FQ","BEST_FPERIOD_OVERRIDE=FQ","FILING_STATUS=OR","SCALING_FORMAT=MLN","FA_ADJUSTED=Adjusted","Sort=A","Dates=H","DateFormat=P","Fill=—","Direction=H","UseDPDF=Y")</f>
        <v>37</v>
      </c>
      <c r="AE12" s="13">
        <f>_xll.BDH("XOM US Equity","IS_FOREIGN_EXCH_LOSS","FQ1 1997","FQ1 1997","Currency=USD","Period=FQ","BEST_FPERIOD_OVERRIDE=FQ","FILING_STATUS=OR","SCALING_FORMAT=MLN","FA_ADJUSTED=Adjusted","Sort=A","Dates=H","DateFormat=P","Fill=—","Direction=H","UseDPDF=Y")</f>
        <v>0</v>
      </c>
      <c r="AF12" s="13" t="str">
        <f>_xll.BDH("XOM US Equity","IS_FOREIGN_EXCH_LOSS","FQ2 1997","FQ2 1997","Currency=USD","Period=FQ","BEST_FPERIOD_OVERRIDE=FQ","FILING_STATUS=OR","SCALING_FORMAT=MLN","FA_ADJUSTED=Adjusted","Sort=A","Dates=H","DateFormat=P","Fill=—","Direction=H","UseDPDF=Y")</f>
        <v>—</v>
      </c>
      <c r="AG12" s="13" t="str">
        <f>_xll.BDH("XOM US Equity","IS_FOREIGN_EXCH_LOSS","FQ3 1997","FQ3 1997","Currency=USD","Period=FQ","BEST_FPERIOD_OVERRIDE=FQ","FILING_STATUS=OR","SCALING_FORMAT=MLN","FA_ADJUSTED=Adjusted","Sort=A","Dates=H","DateFormat=P","Fill=—","Direction=H","UseDPDF=Y")</f>
        <v>—</v>
      </c>
      <c r="AH12" s="13">
        <f>_xll.BDH("XOM US Equity","IS_FOREIGN_EXCH_LOSS","FQ4 1997","FQ4 1997","Currency=USD","Period=FQ","BEST_FPERIOD_OVERRIDE=FQ","FILING_STATUS=OR","SCALING_FORMAT=MLN","FA_ADJUSTED=Adjusted","Sort=A","Dates=H","DateFormat=P","Fill=—","Direction=H","UseDPDF=Y")</f>
        <v>-153</v>
      </c>
      <c r="AI12" s="13" t="str">
        <f>_xll.BDH("XOM US Equity","IS_FOREIGN_EXCH_LOSS","FQ1 1998","FQ1 1998","Currency=USD","Period=FQ","BEST_FPERIOD_OVERRIDE=FQ","FILING_STATUS=OR","SCALING_FORMAT=MLN","FA_ADJUSTED=Adjusted","Sort=A","Dates=H","DateFormat=P","Fill=—","Direction=H","UseDPDF=Y")</f>
        <v>—</v>
      </c>
      <c r="AJ12" s="13" t="str">
        <f>_xll.BDH("XOM US Equity","IS_FOREIGN_EXCH_LOSS","FQ2 1998","FQ2 1998","Currency=USD","Period=FQ","BEST_FPERIOD_OVERRIDE=FQ","FILING_STATUS=OR","SCALING_FORMAT=MLN","FA_ADJUSTED=Adjusted","Sort=A","Dates=H","DateFormat=P","Fill=—","Direction=H","UseDPDF=Y")</f>
        <v>—</v>
      </c>
    </row>
    <row r="13" spans="1:36" x14ac:dyDescent="0.25">
      <c r="A13" s="6" t="s">
        <v>88</v>
      </c>
      <c r="B13" s="6" t="s">
        <v>89</v>
      </c>
      <c r="C13" s="16">
        <f>_xll.BDH("XOM US Equity","PRETAX_INC","FQ1 1990","FQ1 1990","Currency=USD","Period=FQ","BEST_FPERIOD_OVERRIDE=FQ","FILING_STATUS=OR","SCALING_FORMAT=MLN","FA_ADJUSTED=Adjusted","Sort=A","Dates=H","DateFormat=P","Fill=—","Direction=H","UseDPDF=Y")</f>
        <v>2261</v>
      </c>
      <c r="D13" s="16">
        <f>_xll.BDH("XOM US Equity","PRETAX_INC","FQ2 1990","FQ2 1990","Currency=USD","Period=FQ","BEST_FPERIOD_OVERRIDE=FQ","FILING_STATUS=OR","SCALING_FORMAT=MLN","FA_ADJUSTED=Adjusted","Sort=A","Dates=H","DateFormat=P","Fill=—","Direction=H","UseDPDF=Y")</f>
        <v>1979</v>
      </c>
      <c r="E13" s="16">
        <f>_xll.BDH("XOM US Equity","PRETAX_INC","FQ3 1990","FQ3 1990","Currency=USD","Period=FQ","BEST_FPERIOD_OVERRIDE=FQ","FILING_STATUS=OR","SCALING_FORMAT=MLN","FA_ADJUSTED=Adjusted","Sort=A","Dates=H","DateFormat=P","Fill=—","Direction=H","UseDPDF=Y")</f>
        <v>1914</v>
      </c>
      <c r="F13" s="16">
        <f>_xll.BDH("XOM US Equity","PRETAX_INC","FQ4 1990","FQ4 1990","Currency=USD","Period=FQ","BEST_FPERIOD_OVERRIDE=FQ","FILING_STATUS=OR","SCALING_FORMAT=MLN","FA_ADJUSTED=Adjusted","Sort=A","Dates=H","DateFormat=P","Fill=—","Direction=H","UseDPDF=Y")</f>
        <v>2298</v>
      </c>
      <c r="G13" s="16">
        <f>_xll.BDH("XOM US Equity","PRETAX_INC","FQ1 1991","FQ1 1991","Currency=USD","Period=FQ","BEST_FPERIOD_OVERRIDE=FQ","FILING_STATUS=OR","SCALING_FORMAT=MLN","FA_ADJUSTED=Adjusted","Sort=A","Dates=H","DateFormat=P","Fill=—","Direction=H","UseDPDF=Y")</f>
        <v>3522</v>
      </c>
      <c r="H13" s="16">
        <f>_xll.BDH("XOM US Equity","PRETAX_INC","FQ2 1991","FQ2 1991","Currency=USD","Period=FQ","BEST_FPERIOD_OVERRIDE=FQ","FILING_STATUS=OR","SCALING_FORMAT=MLN","FA_ADJUSTED=Adjusted","Sort=A","Dates=H","DateFormat=P","Fill=—","Direction=H","UseDPDF=Y")</f>
        <v>1834</v>
      </c>
      <c r="I13" s="16">
        <f>_xll.BDH("XOM US Equity","PRETAX_INC","FQ3 1991","FQ3 1991","Currency=USD","Period=FQ","BEST_FPERIOD_OVERRIDE=FQ","FILING_STATUS=OR","SCALING_FORMAT=MLN","FA_ADJUSTED=Adjusted","Sort=A","Dates=H","DateFormat=P","Fill=—","Direction=H","UseDPDF=Y")</f>
        <v>1645</v>
      </c>
      <c r="J13" s="16">
        <f>_xll.BDH("XOM US Equity","PRETAX_INC","FQ4 1991","FQ4 1991","Currency=USD","Period=FQ","BEST_FPERIOD_OVERRIDE=FQ","FILING_STATUS=OR","SCALING_FORMAT=MLN","FA_ADJUSTED=Adjusted","Sort=A","Dates=H","DateFormat=P","Fill=—","Direction=H","UseDPDF=Y")</f>
        <v>1684</v>
      </c>
      <c r="K13" s="16">
        <f>_xll.BDH("XOM US Equity","PRETAX_INC","FQ1 1992","FQ1 1992","Currency=USD","Period=FQ","BEST_FPERIOD_OVERRIDE=FQ","FILING_STATUS=OR","SCALING_FORMAT=MLN","FA_ADJUSTED=Adjusted","Sort=A","Dates=H","DateFormat=P","Fill=—","Direction=H","UseDPDF=Y")</f>
        <v>2041</v>
      </c>
      <c r="L13" s="16">
        <f>_xll.BDH("XOM US Equity","PRETAX_INC","FQ2 1992","FQ2 1992","Currency=USD","Period=FQ","BEST_FPERIOD_OVERRIDE=FQ","FILING_STATUS=OR","SCALING_FORMAT=MLN","FA_ADJUSTED=Adjusted","Sort=A","Dates=H","DateFormat=P","Fill=—","Direction=H","UseDPDF=Y")</f>
        <v>1335</v>
      </c>
      <c r="M13" s="16">
        <f>_xll.BDH("XOM US Equity","PRETAX_INC","FQ3 1992","FQ3 1992","Currency=USD","Period=FQ","BEST_FPERIOD_OVERRIDE=FQ","FILING_STATUS=OR","SCALING_FORMAT=MLN","FA_ADJUSTED=Adjusted","Sort=A","Dates=H","DateFormat=P","Fill=—","Direction=H","UseDPDF=Y")</f>
        <v>2034</v>
      </c>
      <c r="N13" s="16">
        <f>_xll.BDH("XOM US Equity","PRETAX_INC","FQ4 1992","FQ4 1992","Currency=USD","Period=FQ","BEST_FPERIOD_OVERRIDE=FQ","FILING_STATUS=OR","SCALING_FORMAT=MLN","FA_ADJUSTED=Adjusted","Sort=A","Dates=H","DateFormat=P","Fill=—","Direction=H","UseDPDF=Y")</f>
        <v>2354</v>
      </c>
      <c r="O13" s="16">
        <f>_xll.BDH("XOM US Equity","PRETAX_INC","FQ1 1993","FQ1 1993","Currency=USD","Period=FQ","BEST_FPERIOD_OVERRIDE=FQ","FILING_STATUS=OR","SCALING_FORMAT=MLN","FA_ADJUSTED=Adjusted","Sort=A","Dates=H","DateFormat=P","Fill=—","Direction=H","UseDPDF=Y")</f>
        <v>1935</v>
      </c>
      <c r="P13" s="16">
        <f>_xll.BDH("XOM US Equity","PRETAX_INC","FQ2 1993","FQ2 1993","Currency=USD","Period=FQ","BEST_FPERIOD_OVERRIDE=FQ","FILING_STATUS=OR","SCALING_FORMAT=MLN","FA_ADJUSTED=Adjusted","Sort=A","Dates=H","DateFormat=P","Fill=—","Direction=H","UseDPDF=Y")</f>
        <v>1822</v>
      </c>
      <c r="Q13" s="16">
        <f>_xll.BDH("XOM US Equity","PRETAX_INC","FQ3 1993","FQ3 1993","Currency=USD","Period=FQ","BEST_FPERIOD_OVERRIDE=FQ","FILING_STATUS=OR","SCALING_FORMAT=MLN","FA_ADJUSTED=Adjusted","Sort=A","Dates=H","DateFormat=P","Fill=—","Direction=H","UseDPDF=Y")</f>
        <v>2101</v>
      </c>
      <c r="R13" s="16">
        <f>_xll.BDH("XOM US Equity","PRETAX_INC","FQ4 1993","FQ4 1993","Currency=USD","Period=FQ","BEST_FPERIOD_OVERRIDE=FQ","FILING_STATUS=OR","SCALING_FORMAT=MLN","FA_ADJUSTED=Adjusted","Sort=A","Dates=H","DateFormat=P","Fill=—","Direction=H","UseDPDF=Y")</f>
        <v>2444</v>
      </c>
      <c r="S13" s="16">
        <f>_xll.BDH("XOM US Equity","PRETAX_INC","FQ1 1994","FQ1 1994","Currency=USD","Period=FQ","BEST_FPERIOD_OVERRIDE=FQ","FILING_STATUS=OR","SCALING_FORMAT=MLN","FA_ADJUSTED=Adjusted","Sort=A","Dates=H","DateFormat=P","Fill=—","Direction=H","UseDPDF=Y")</f>
        <v>1762</v>
      </c>
      <c r="T13" s="16">
        <f>_xll.BDH("XOM US Equity","PRETAX_INC","FQ2 1994","FQ2 1994","Currency=USD","Period=FQ","BEST_FPERIOD_OVERRIDE=FQ","FILING_STATUS=OR","SCALING_FORMAT=MLN","FA_ADJUSTED=Adjusted","Sort=A","Dates=H","DateFormat=P","Fill=—","Direction=H","UseDPDF=Y")</f>
        <v>1475</v>
      </c>
      <c r="U13" s="16">
        <f>_xll.BDH("XOM US Equity","PRETAX_INC","FQ3 1994","FQ3 1994","Currency=USD","Period=FQ","BEST_FPERIOD_OVERRIDE=FQ","FILING_STATUS=OR","SCALING_FORMAT=MLN","FA_ADJUSTED=Adjusted","Sort=A","Dates=H","DateFormat=P","Fill=—","Direction=H","UseDPDF=Y")</f>
        <v>2037</v>
      </c>
      <c r="V13" s="16">
        <f>_xll.BDH("XOM US Equity","PRETAX_INC","FQ4 1994","FQ4 1994","Currency=USD","Period=FQ","BEST_FPERIOD_OVERRIDE=FQ","FILING_STATUS=OR","SCALING_FORMAT=MLN","FA_ADJUSTED=Adjusted","Sort=A","Dates=H","DateFormat=P","Fill=—","Direction=H","UseDPDF=Y")</f>
        <v>2763</v>
      </c>
      <c r="W13" s="16">
        <f>_xll.BDH("XOM US Equity","PRETAX_INC","FQ1 1995","FQ1 1995","Currency=USD","Period=FQ","BEST_FPERIOD_OVERRIDE=FQ","FILING_STATUS=OR","SCALING_FORMAT=MLN","FA_ADJUSTED=Adjusted","Sort=A","Dates=H","DateFormat=P","Fill=—","Direction=H","UseDPDF=Y")</f>
        <v>2585</v>
      </c>
      <c r="X13" s="16">
        <f>_xll.BDH("XOM US Equity","PRETAX_INC","FQ2 1995","FQ2 1995","Currency=USD","Period=FQ","BEST_FPERIOD_OVERRIDE=FQ","FILING_STATUS=OR","SCALING_FORMAT=MLN","FA_ADJUSTED=Adjusted","Sort=A","Dates=H","DateFormat=P","Fill=—","Direction=H","UseDPDF=Y")</f>
        <v>2760</v>
      </c>
      <c r="Y13" s="16">
        <f>_xll.BDH("XOM US Equity","PRETAX_INC","FQ3 1995","FQ3 1995","Currency=USD","Period=FQ","BEST_FPERIOD_OVERRIDE=FQ","FILING_STATUS=OR","SCALING_FORMAT=MLN","FA_ADJUSTED=Adjusted","Sort=A","Dates=H","DateFormat=P","Fill=—","Direction=H","UseDPDF=Y")</f>
        <v>2575</v>
      </c>
      <c r="Z13" s="16">
        <f>_xll.BDH("XOM US Equity","PRETAX_INC","FQ4 1995","FQ4 1995","Currency=USD","Period=FQ","BEST_FPERIOD_OVERRIDE=FQ","FILING_STATUS=OR","SCALING_FORMAT=MLN","FA_ADJUSTED=Adjusted","Sort=A","Dates=H","DateFormat=P","Fill=—","Direction=H","UseDPDF=Y")</f>
        <v>2823</v>
      </c>
      <c r="AA13" s="16">
        <f>_xll.BDH("XOM US Equity","PRETAX_INC","FQ1 1996","FQ1 1996","Currency=USD","Period=FQ","BEST_FPERIOD_OVERRIDE=FQ","FILING_STATUS=OR","SCALING_FORMAT=MLN","FA_ADJUSTED=Adjusted","Sort=A","Dates=H","DateFormat=P","Fill=—","Direction=H","UseDPDF=Y")</f>
        <v>2980</v>
      </c>
      <c r="AB13" s="16">
        <f>_xll.BDH("XOM US Equity","PRETAX_INC","FQ2 1996","FQ2 1996","Currency=USD","Period=FQ","BEST_FPERIOD_OVERRIDE=FQ","FILING_STATUS=OR","SCALING_FORMAT=MLN","FA_ADJUSTED=Adjusted","Sort=A","Dates=H","DateFormat=P","Fill=—","Direction=H","UseDPDF=Y")</f>
        <v>2732</v>
      </c>
      <c r="AC13" s="16">
        <f>_xll.BDH("XOM US Equity","PRETAX_INC","FQ3 1996","FQ3 1996","Currency=USD","Period=FQ","BEST_FPERIOD_OVERRIDE=FQ","FILING_STATUS=OR","SCALING_FORMAT=MLN","FA_ADJUSTED=Adjusted","Sort=A","Dates=H","DateFormat=P","Fill=—","Direction=H","UseDPDF=Y")</f>
        <v>2619</v>
      </c>
      <c r="AD13" s="16">
        <f>_xll.BDH("XOM US Equity","PRETAX_INC","FQ4 1996","FQ4 1996","Currency=USD","Period=FQ","BEST_FPERIOD_OVERRIDE=FQ","FILING_STATUS=OR","SCALING_FORMAT=MLN","FA_ADJUSTED=Adjusted","Sort=A","Dates=H","DateFormat=P","Fill=—","Direction=H","UseDPDF=Y")</f>
        <v>3969</v>
      </c>
      <c r="AE13" s="16">
        <f>_xll.BDH("XOM US Equity","PRETAX_INC","FQ1 1997","FQ1 1997","Currency=USD","Period=FQ","BEST_FPERIOD_OVERRIDE=FQ","FILING_STATUS=OR","SCALING_FORMAT=MLN","FA_ADJUSTED=Adjusted","Sort=A","Dates=H","DateFormat=P","Fill=—","Direction=H","UseDPDF=Y")</f>
        <v>3617</v>
      </c>
      <c r="AF13" s="16">
        <f>_xll.BDH("XOM US Equity","PRETAX_INC","FQ2 1997","FQ2 1997","Currency=USD","Period=FQ","BEST_FPERIOD_OVERRIDE=FQ","FILING_STATUS=OR","SCALING_FORMAT=MLN","FA_ADJUSTED=Adjusted","Sort=A","Dates=H","DateFormat=P","Fill=—","Direction=H","UseDPDF=Y")</f>
        <v>3258</v>
      </c>
      <c r="AG13" s="16">
        <f>_xll.BDH("XOM US Equity","PRETAX_INC","FQ3 1997","FQ3 1997","Currency=USD","Period=FQ","BEST_FPERIOD_OVERRIDE=FQ","FILING_STATUS=OR","SCALING_FORMAT=MLN","FA_ADJUSTED=Adjusted","Sort=A","Dates=H","DateFormat=P","Fill=—","Direction=H","UseDPDF=Y")</f>
        <v>2862</v>
      </c>
      <c r="AH13" s="16">
        <f>_xll.BDH("XOM US Equity","PRETAX_INC","FQ4 1997","FQ4 1997","Currency=USD","Period=FQ","BEST_FPERIOD_OVERRIDE=FQ","FILING_STATUS=OR","SCALING_FORMAT=MLN","FA_ADJUSTED=Adjusted","Sort=A","Dates=H","DateFormat=P","Fill=—","Direction=H","UseDPDF=Y")</f>
        <v>6352</v>
      </c>
      <c r="AI13" s="16">
        <f>_xll.BDH("XOM US Equity","PRETAX_INC","FQ1 1998","FQ1 1998","Currency=USD","Period=FQ","BEST_FPERIOD_OVERRIDE=FQ","FILING_STATUS=OR","SCALING_FORMAT=MLN","FA_ADJUSTED=Adjusted","Sort=A","Dates=H","DateFormat=P","Fill=—","Direction=H","UseDPDF=Y")</f>
        <v>2839</v>
      </c>
      <c r="AJ13" s="16">
        <f>_xll.BDH("XOM US Equity","PRETAX_INC","FQ2 1998","FQ2 1998","Currency=USD","Period=FQ","BEST_FPERIOD_OVERRIDE=FQ","FILING_STATUS=OR","SCALING_FORMAT=MLN","FA_ADJUSTED=Adjusted","Sort=A","Dates=H","DateFormat=P","Fill=—","Direction=H","UseDPDF=Y")</f>
        <v>2343</v>
      </c>
    </row>
    <row r="14" spans="1:36" x14ac:dyDescent="0.25">
      <c r="A14" s="6" t="s">
        <v>90</v>
      </c>
      <c r="B14" s="6" t="s">
        <v>89</v>
      </c>
      <c r="C14" s="16">
        <f>_xll.BDH("XOM US Equity","PRETAX_INC","FQ1 1990","FQ1 1990","Currency=USD","Period=FQ","BEST_FPERIOD_OVERRIDE=FQ","FILING_STATUS=OR","SCALING_FORMAT=MLN","FA_ADJUSTED=GAAP","Sort=A","Dates=H","DateFormat=P","Fill=—","Direction=H","UseDPDF=Y")</f>
        <v>2261</v>
      </c>
      <c r="D14" s="16">
        <f>_xll.BDH("XOM US Equity","PRETAX_INC","FQ2 1990","FQ2 1990","Currency=USD","Period=FQ","BEST_FPERIOD_OVERRIDE=FQ","FILING_STATUS=OR","SCALING_FORMAT=MLN","FA_ADJUSTED=GAAP","Sort=A","Dates=H","DateFormat=P","Fill=—","Direction=H","UseDPDF=Y")</f>
        <v>1979</v>
      </c>
      <c r="E14" s="16">
        <f>_xll.BDH("XOM US Equity","PRETAX_INC","FQ3 1990","FQ3 1990","Currency=USD","Period=FQ","BEST_FPERIOD_OVERRIDE=FQ","FILING_STATUS=OR","SCALING_FORMAT=MLN","FA_ADJUSTED=GAAP","Sort=A","Dates=H","DateFormat=P","Fill=—","Direction=H","UseDPDF=Y")</f>
        <v>1914</v>
      </c>
      <c r="F14" s="16">
        <f>_xll.BDH("XOM US Equity","PRETAX_INC","FQ4 1990","FQ4 1990","Currency=USD","Period=FQ","BEST_FPERIOD_OVERRIDE=FQ","FILING_STATUS=OR","SCALING_FORMAT=MLN","FA_ADJUSTED=GAAP","Sort=A","Dates=H","DateFormat=P","Fill=—","Direction=H","UseDPDF=Y")</f>
        <v>2298</v>
      </c>
      <c r="G14" s="16">
        <f>_xll.BDH("XOM US Equity","PRETAX_INC","FQ1 1991","FQ1 1991","Currency=USD","Period=FQ","BEST_FPERIOD_OVERRIDE=FQ","FILING_STATUS=OR","SCALING_FORMAT=MLN","FA_ADJUSTED=GAAP","Sort=A","Dates=H","DateFormat=P","Fill=—","Direction=H","UseDPDF=Y")</f>
        <v>3522</v>
      </c>
      <c r="H14" s="16">
        <f>_xll.BDH("XOM US Equity","PRETAX_INC","FQ2 1991","FQ2 1991","Currency=USD","Period=FQ","BEST_FPERIOD_OVERRIDE=FQ","FILING_STATUS=OR","SCALING_FORMAT=MLN","FA_ADJUSTED=GAAP","Sort=A","Dates=H","DateFormat=P","Fill=—","Direction=H","UseDPDF=Y")</f>
        <v>1834</v>
      </c>
      <c r="I14" s="16">
        <f>_xll.BDH("XOM US Equity","PRETAX_INC","FQ3 1991","FQ3 1991","Currency=USD","Period=FQ","BEST_FPERIOD_OVERRIDE=FQ","FILING_STATUS=OR","SCALING_FORMAT=MLN","FA_ADJUSTED=GAAP","Sort=A","Dates=H","DateFormat=P","Fill=—","Direction=H","UseDPDF=Y")</f>
        <v>1645</v>
      </c>
      <c r="J14" s="16">
        <f>_xll.BDH("XOM US Equity","PRETAX_INC","FQ4 1991","FQ4 1991","Currency=USD","Period=FQ","BEST_FPERIOD_OVERRIDE=FQ","FILING_STATUS=OR","SCALING_FORMAT=MLN","FA_ADJUSTED=GAAP","Sort=A","Dates=H","DateFormat=P","Fill=—","Direction=H","UseDPDF=Y")</f>
        <v>1684</v>
      </c>
      <c r="K14" s="16">
        <f>_xll.BDH("XOM US Equity","PRETAX_INC","FQ1 1992","FQ1 1992","Currency=USD","Period=FQ","BEST_FPERIOD_OVERRIDE=FQ","FILING_STATUS=OR","SCALING_FORMAT=MLN","FA_ADJUSTED=GAAP","Sort=A","Dates=H","DateFormat=P","Fill=—","Direction=H","UseDPDF=Y")</f>
        <v>2041</v>
      </c>
      <c r="L14" s="16">
        <f>_xll.BDH("XOM US Equity","PRETAX_INC","FQ2 1992","FQ2 1992","Currency=USD","Period=FQ","BEST_FPERIOD_OVERRIDE=FQ","FILING_STATUS=OR","SCALING_FORMAT=MLN","FA_ADJUSTED=GAAP","Sort=A","Dates=H","DateFormat=P","Fill=—","Direction=H","UseDPDF=Y")</f>
        <v>1335</v>
      </c>
      <c r="M14" s="16">
        <f>_xll.BDH("XOM US Equity","PRETAX_INC","FQ3 1992","FQ3 1992","Currency=USD","Period=FQ","BEST_FPERIOD_OVERRIDE=FQ","FILING_STATUS=OR","SCALING_FORMAT=MLN","FA_ADJUSTED=GAAP","Sort=A","Dates=H","DateFormat=P","Fill=—","Direction=H","UseDPDF=Y")</f>
        <v>2034</v>
      </c>
      <c r="N14" s="16">
        <f>_xll.BDH("XOM US Equity","PRETAX_INC","FQ4 1992","FQ4 1992","Currency=USD","Period=FQ","BEST_FPERIOD_OVERRIDE=FQ","FILING_STATUS=OR","SCALING_FORMAT=MLN","FA_ADJUSTED=GAAP","Sort=A","Dates=H","DateFormat=P","Fill=—","Direction=H","UseDPDF=Y")</f>
        <v>2354</v>
      </c>
      <c r="O14" s="16">
        <f>_xll.BDH("XOM US Equity","PRETAX_INC","FQ1 1993","FQ1 1993","Currency=USD","Period=FQ","BEST_FPERIOD_OVERRIDE=FQ","FILING_STATUS=OR","SCALING_FORMAT=MLN","FA_ADJUSTED=GAAP","Sort=A","Dates=H","DateFormat=P","Fill=—","Direction=H","UseDPDF=Y")</f>
        <v>1935</v>
      </c>
      <c r="P14" s="16">
        <f>_xll.BDH("XOM US Equity","PRETAX_INC","FQ2 1993","FQ2 1993","Currency=USD","Period=FQ","BEST_FPERIOD_OVERRIDE=FQ","FILING_STATUS=OR","SCALING_FORMAT=MLN","FA_ADJUSTED=GAAP","Sort=A","Dates=H","DateFormat=P","Fill=—","Direction=H","UseDPDF=Y")</f>
        <v>1822</v>
      </c>
      <c r="Q14" s="16">
        <f>_xll.BDH("XOM US Equity","PRETAX_INC","FQ3 1993","FQ3 1993","Currency=USD","Period=FQ","BEST_FPERIOD_OVERRIDE=FQ","FILING_STATUS=OR","SCALING_FORMAT=MLN","FA_ADJUSTED=GAAP","Sort=A","Dates=H","DateFormat=P","Fill=—","Direction=H","UseDPDF=Y")</f>
        <v>2101</v>
      </c>
      <c r="R14" s="16">
        <f>_xll.BDH("XOM US Equity","PRETAX_INC","FQ4 1993","FQ4 1993","Currency=USD","Period=FQ","BEST_FPERIOD_OVERRIDE=FQ","FILING_STATUS=OR","SCALING_FORMAT=MLN","FA_ADJUSTED=GAAP","Sort=A","Dates=H","DateFormat=P","Fill=—","Direction=H","UseDPDF=Y")</f>
        <v>2444</v>
      </c>
      <c r="S14" s="16">
        <f>_xll.BDH("XOM US Equity","PRETAX_INC","FQ1 1994","FQ1 1994","Currency=USD","Period=FQ","BEST_FPERIOD_OVERRIDE=FQ","FILING_STATUS=OR","SCALING_FORMAT=MLN","FA_ADJUSTED=GAAP","Sort=A","Dates=H","DateFormat=P","Fill=—","Direction=H","UseDPDF=Y")</f>
        <v>1762</v>
      </c>
      <c r="T14" s="16">
        <f>_xll.BDH("XOM US Equity","PRETAX_INC","FQ2 1994","FQ2 1994","Currency=USD","Period=FQ","BEST_FPERIOD_OVERRIDE=FQ","FILING_STATUS=OR","SCALING_FORMAT=MLN","FA_ADJUSTED=GAAP","Sort=A","Dates=H","DateFormat=P","Fill=—","Direction=H","UseDPDF=Y")</f>
        <v>1475</v>
      </c>
      <c r="U14" s="16">
        <f>_xll.BDH("XOM US Equity","PRETAX_INC","FQ3 1994","FQ3 1994","Currency=USD","Period=FQ","BEST_FPERIOD_OVERRIDE=FQ","FILING_STATUS=OR","SCALING_FORMAT=MLN","FA_ADJUSTED=GAAP","Sort=A","Dates=H","DateFormat=P","Fill=—","Direction=H","UseDPDF=Y")</f>
        <v>2037</v>
      </c>
      <c r="V14" s="16">
        <f>_xll.BDH("XOM US Equity","PRETAX_INC","FQ4 1994","FQ4 1994","Currency=USD","Period=FQ","BEST_FPERIOD_OVERRIDE=FQ","FILING_STATUS=OR","SCALING_FORMAT=MLN","FA_ADJUSTED=GAAP","Sort=A","Dates=H","DateFormat=P","Fill=—","Direction=H","UseDPDF=Y")</f>
        <v>2763</v>
      </c>
      <c r="W14" s="16">
        <f>_xll.BDH("XOM US Equity","PRETAX_INC","FQ1 1995","FQ1 1995","Currency=USD","Period=FQ","BEST_FPERIOD_OVERRIDE=FQ","FILING_STATUS=OR","SCALING_FORMAT=MLN","FA_ADJUSTED=GAAP","Sort=A","Dates=H","DateFormat=P","Fill=—","Direction=H","UseDPDF=Y")</f>
        <v>2585</v>
      </c>
      <c r="X14" s="16">
        <f>_xll.BDH("XOM US Equity","PRETAX_INC","FQ2 1995","FQ2 1995","Currency=USD","Period=FQ","BEST_FPERIOD_OVERRIDE=FQ","FILING_STATUS=OR","SCALING_FORMAT=MLN","FA_ADJUSTED=GAAP","Sort=A","Dates=H","DateFormat=P","Fill=—","Direction=H","UseDPDF=Y")</f>
        <v>2760</v>
      </c>
      <c r="Y14" s="16">
        <f>_xll.BDH("XOM US Equity","PRETAX_INC","FQ3 1995","FQ3 1995","Currency=USD","Period=FQ","BEST_FPERIOD_OVERRIDE=FQ","FILING_STATUS=OR","SCALING_FORMAT=MLN","FA_ADJUSTED=GAAP","Sort=A","Dates=H","DateFormat=P","Fill=—","Direction=H","UseDPDF=Y")</f>
        <v>2575</v>
      </c>
      <c r="Z14" s="16">
        <f>_xll.BDH("XOM US Equity","PRETAX_INC","FQ4 1995","FQ4 1995","Currency=USD","Period=FQ","BEST_FPERIOD_OVERRIDE=FQ","FILING_STATUS=OR","SCALING_FORMAT=MLN","FA_ADJUSTED=GAAP","Sort=A","Dates=H","DateFormat=P","Fill=—","Direction=H","UseDPDF=Y")</f>
        <v>2823</v>
      </c>
      <c r="AA14" s="16">
        <f>_xll.BDH("XOM US Equity","PRETAX_INC","FQ1 1996","FQ1 1996","Currency=USD","Period=FQ","BEST_FPERIOD_OVERRIDE=FQ","FILING_STATUS=OR","SCALING_FORMAT=MLN","FA_ADJUSTED=GAAP","Sort=A","Dates=H","DateFormat=P","Fill=—","Direction=H","UseDPDF=Y")</f>
        <v>2980</v>
      </c>
      <c r="AB14" s="16">
        <f>_xll.BDH("XOM US Equity","PRETAX_INC","FQ2 1996","FQ2 1996","Currency=USD","Period=FQ","BEST_FPERIOD_OVERRIDE=FQ","FILING_STATUS=OR","SCALING_FORMAT=MLN","FA_ADJUSTED=GAAP","Sort=A","Dates=H","DateFormat=P","Fill=—","Direction=H","UseDPDF=Y")</f>
        <v>2732</v>
      </c>
      <c r="AC14" s="16">
        <f>_xll.BDH("XOM US Equity","PRETAX_INC","FQ3 1996","FQ3 1996","Currency=USD","Period=FQ","BEST_FPERIOD_OVERRIDE=FQ","FILING_STATUS=OR","SCALING_FORMAT=MLN","FA_ADJUSTED=GAAP","Sort=A","Dates=H","DateFormat=P","Fill=—","Direction=H","UseDPDF=Y")</f>
        <v>2619</v>
      </c>
      <c r="AD14" s="16">
        <f>_xll.BDH("XOM US Equity","PRETAX_INC","FQ4 1996","FQ4 1996","Currency=USD","Period=FQ","BEST_FPERIOD_OVERRIDE=FQ","FILING_STATUS=OR","SCALING_FORMAT=MLN","FA_ADJUSTED=GAAP","Sort=A","Dates=H","DateFormat=P","Fill=—","Direction=H","UseDPDF=Y")</f>
        <v>3969</v>
      </c>
      <c r="AE14" s="16">
        <f>_xll.BDH("XOM US Equity","PRETAX_INC","FQ1 1997","FQ1 1997","Currency=USD","Period=FQ","BEST_FPERIOD_OVERRIDE=FQ","FILING_STATUS=OR","SCALING_FORMAT=MLN","FA_ADJUSTED=GAAP","Sort=A","Dates=H","DateFormat=P","Fill=—","Direction=H","UseDPDF=Y")</f>
        <v>3617</v>
      </c>
      <c r="AF14" s="16">
        <f>_xll.BDH("XOM US Equity","PRETAX_INC","FQ2 1997","FQ2 1997","Currency=USD","Period=FQ","BEST_FPERIOD_OVERRIDE=FQ","FILING_STATUS=OR","SCALING_FORMAT=MLN","FA_ADJUSTED=GAAP","Sort=A","Dates=H","DateFormat=P","Fill=—","Direction=H","UseDPDF=Y")</f>
        <v>3258</v>
      </c>
      <c r="AG14" s="16">
        <f>_xll.BDH("XOM US Equity","PRETAX_INC","FQ3 1997","FQ3 1997","Currency=USD","Period=FQ","BEST_FPERIOD_OVERRIDE=FQ","FILING_STATUS=OR","SCALING_FORMAT=MLN","FA_ADJUSTED=GAAP","Sort=A","Dates=H","DateFormat=P","Fill=—","Direction=H","UseDPDF=Y")</f>
        <v>2862</v>
      </c>
      <c r="AH14" s="16">
        <f>_xll.BDH("XOM US Equity","PRETAX_INC","FQ4 1997","FQ4 1997","Currency=USD","Period=FQ","BEST_FPERIOD_OVERRIDE=FQ","FILING_STATUS=OR","SCALING_FORMAT=MLN","FA_ADJUSTED=GAAP","Sort=A","Dates=H","DateFormat=P","Fill=—","Direction=H","UseDPDF=Y")</f>
        <v>6352</v>
      </c>
      <c r="AI14" s="16">
        <f>_xll.BDH("XOM US Equity","PRETAX_INC","FQ1 1998","FQ1 1998","Currency=USD","Period=FQ","BEST_FPERIOD_OVERRIDE=FQ","FILING_STATUS=OR","SCALING_FORMAT=MLN","FA_ADJUSTED=GAAP","Sort=A","Dates=H","DateFormat=P","Fill=—","Direction=H","UseDPDF=Y")</f>
        <v>2839</v>
      </c>
      <c r="AJ14" s="16">
        <f>_xll.BDH("XOM US Equity","PRETAX_INC","FQ2 1998","FQ2 1998","Currency=USD","Period=FQ","BEST_FPERIOD_OVERRIDE=FQ","FILING_STATUS=OR","SCALING_FORMAT=MLN","FA_ADJUSTED=GAAP","Sort=A","Dates=H","DateFormat=P","Fill=—","Direction=H","UseDPDF=Y")</f>
        <v>2343</v>
      </c>
    </row>
    <row r="15" spans="1:36" x14ac:dyDescent="0.25">
      <c r="A15" s="10" t="s">
        <v>91</v>
      </c>
      <c r="B15" s="10" t="s">
        <v>92</v>
      </c>
      <c r="C15" s="13">
        <f>_xll.BDH("XOM US Equity","IS_INC_TAX_EXP","FQ1 1990","FQ1 1990","Currency=USD","Period=FQ","BEST_FPERIOD_OVERRIDE=FQ","FILING_STATUS=OR","SCALING_FORMAT=MLN","FA_ADJUSTED=GAAP","Sort=A","Dates=H","DateFormat=P","Fill=—","Direction=H","UseDPDF=Y")</f>
        <v>910</v>
      </c>
      <c r="D15" s="13">
        <f>_xll.BDH("XOM US Equity","IS_INC_TAX_EXP","FQ2 1990","FQ2 1990","Currency=USD","Period=FQ","BEST_FPERIOD_OVERRIDE=FQ","FILING_STATUS=OR","SCALING_FORMAT=MLN","FA_ADJUSTED=GAAP","Sort=A","Dates=H","DateFormat=P","Fill=—","Direction=H","UseDPDF=Y")</f>
        <v>769</v>
      </c>
      <c r="E15" s="13">
        <f>_xll.BDH("XOM US Equity","IS_INC_TAX_EXP","FQ3 1990","FQ3 1990","Currency=USD","Period=FQ","BEST_FPERIOD_OVERRIDE=FQ","FILING_STATUS=OR","SCALING_FORMAT=MLN","FA_ADJUSTED=GAAP","Sort=A","Dates=H","DateFormat=P","Fill=—","Direction=H","UseDPDF=Y")</f>
        <v>781</v>
      </c>
      <c r="F15" s="13">
        <f>_xll.BDH("XOM US Equity","IS_INC_TAX_EXP","FQ4 1990","FQ4 1990","Currency=USD","Period=FQ","BEST_FPERIOD_OVERRIDE=FQ","FILING_STATUS=OR","SCALING_FORMAT=MLN","FA_ADJUSTED=GAAP","Sort=A","Dates=H","DateFormat=P","Fill=—","Direction=H","UseDPDF=Y")</f>
        <v>710</v>
      </c>
      <c r="G15" s="13">
        <f>_xll.BDH("XOM US Equity","IS_INC_TAX_EXP","FQ1 1991","FQ1 1991","Currency=USD","Period=FQ","BEST_FPERIOD_OVERRIDE=FQ","FILING_STATUS=OR","SCALING_FORMAT=MLN","FA_ADJUSTED=GAAP","Sort=A","Dates=H","DateFormat=P","Fill=—","Direction=H","UseDPDF=Y")</f>
        <v>1181</v>
      </c>
      <c r="H15" s="13">
        <f>_xll.BDH("XOM US Equity","IS_INC_TAX_EXP","FQ2 1991","FQ2 1991","Currency=USD","Period=FQ","BEST_FPERIOD_OVERRIDE=FQ","FILING_STATUS=OR","SCALING_FORMAT=MLN","FA_ADJUSTED=GAAP","Sort=A","Dates=H","DateFormat=P","Fill=—","Direction=H","UseDPDF=Y")</f>
        <v>662</v>
      </c>
      <c r="I15" s="13">
        <f>_xll.BDH("XOM US Equity","IS_INC_TAX_EXP","FQ3 1991","FQ3 1991","Currency=USD","Period=FQ","BEST_FPERIOD_OVERRIDE=FQ","FILING_STATUS=OR","SCALING_FORMAT=MLN","FA_ADJUSTED=GAAP","Sort=A","Dates=H","DateFormat=P","Fill=—","Direction=H","UseDPDF=Y")</f>
        <v>454</v>
      </c>
      <c r="J15" s="13">
        <f>_xll.BDH("XOM US Equity","IS_INC_TAX_EXP","FQ4 1991","FQ4 1991","Currency=USD","Period=FQ","BEST_FPERIOD_OVERRIDE=FQ","FILING_STATUS=OR","SCALING_FORMAT=MLN","FA_ADJUSTED=GAAP","Sort=A","Dates=H","DateFormat=P","Fill=—","Direction=H","UseDPDF=Y")</f>
        <v>621</v>
      </c>
      <c r="K15" s="13">
        <f>_xll.BDH("XOM US Equity","IS_INC_TAX_EXP","FQ1 1992","FQ1 1992","Currency=USD","Period=FQ","BEST_FPERIOD_OVERRIDE=FQ","FILING_STATUS=OR","SCALING_FORMAT=MLN","FA_ADJUSTED=GAAP","Sort=A","Dates=H","DateFormat=P","Fill=—","Direction=H","UseDPDF=Y")</f>
        <v>641</v>
      </c>
      <c r="L15" s="13">
        <f>_xll.BDH("XOM US Equity","IS_INC_TAX_EXP","FQ2 1992","FQ2 1992","Currency=USD","Period=FQ","BEST_FPERIOD_OVERRIDE=FQ","FILING_STATUS=OR","SCALING_FORMAT=MLN","FA_ADJUSTED=GAAP","Sort=A","Dates=H","DateFormat=P","Fill=—","Direction=H","UseDPDF=Y")</f>
        <v>323</v>
      </c>
      <c r="M15" s="13">
        <f>_xll.BDH("XOM US Equity","IS_INC_TAX_EXP","FQ3 1992","FQ3 1992","Currency=USD","Period=FQ","BEST_FPERIOD_OVERRIDE=FQ","FILING_STATUS=OR","SCALING_FORMAT=MLN","FA_ADJUSTED=GAAP","Sort=A","Dates=H","DateFormat=P","Fill=—","Direction=H","UseDPDF=Y")</f>
        <v>807</v>
      </c>
      <c r="N15" s="13">
        <f>_xll.BDH("XOM US Equity","IS_INC_TAX_EXP","FQ4 1992","FQ4 1992","Currency=USD","Period=FQ","BEST_FPERIOD_OVERRIDE=FQ","FILING_STATUS=OR","SCALING_FORMAT=MLN","FA_ADJUSTED=GAAP","Sort=A","Dates=H","DateFormat=P","Fill=—","Direction=H","UseDPDF=Y")</f>
        <v>706</v>
      </c>
      <c r="O15" s="13">
        <f>_xll.BDH("XOM US Equity","IS_INC_TAX_EXP","FQ1 1993","FQ1 1993","Currency=USD","Period=FQ","BEST_FPERIOD_OVERRIDE=FQ","FILING_STATUS=OR","SCALING_FORMAT=MLN","FA_ADJUSTED=GAAP","Sort=A","Dates=H","DateFormat=P","Fill=—","Direction=H","UseDPDF=Y")</f>
        <v>685</v>
      </c>
      <c r="P15" s="13">
        <f>_xll.BDH("XOM US Equity","IS_INC_TAX_EXP","FQ2 1993","FQ2 1993","Currency=USD","Period=FQ","BEST_FPERIOD_OVERRIDE=FQ","FILING_STATUS=OR","SCALING_FORMAT=MLN","FA_ADJUSTED=GAAP","Sort=A","Dates=H","DateFormat=P","Fill=—","Direction=H","UseDPDF=Y")</f>
        <v>529</v>
      </c>
      <c r="Q15" s="13">
        <f>_xll.BDH("XOM US Equity","IS_INC_TAX_EXP","FQ3 1993","FQ3 1993","Currency=USD","Period=FQ","BEST_FPERIOD_OVERRIDE=FQ","FILING_STATUS=OR","SCALING_FORMAT=MLN","FA_ADJUSTED=GAAP","Sort=A","Dates=H","DateFormat=P","Fill=—","Direction=H","UseDPDF=Y")</f>
        <v>677</v>
      </c>
      <c r="R15" s="13">
        <f>_xll.BDH("XOM US Equity","IS_INC_TAX_EXP","FQ4 1993","FQ4 1993","Currency=USD","Period=FQ","BEST_FPERIOD_OVERRIDE=FQ","FILING_STATUS=OR","SCALING_FORMAT=MLN","FA_ADJUSTED=GAAP","Sort=A","Dates=H","DateFormat=P","Fill=—","Direction=H","UseDPDF=Y")</f>
        <v>881</v>
      </c>
      <c r="S15" s="13">
        <f>_xll.BDH("XOM US Equity","IS_INC_TAX_EXP","FQ1 1994","FQ1 1994","Currency=USD","Period=FQ","BEST_FPERIOD_OVERRIDE=FQ","FILING_STATUS=OR","SCALING_FORMAT=MLN","FA_ADJUSTED=GAAP","Sort=A","Dates=H","DateFormat=P","Fill=—","Direction=H","UseDPDF=Y")</f>
        <v>548</v>
      </c>
      <c r="T15" s="13">
        <f>_xll.BDH("XOM US Equity","IS_INC_TAX_EXP","FQ2 1994","FQ2 1994","Currency=USD","Period=FQ","BEST_FPERIOD_OVERRIDE=FQ","FILING_STATUS=OR","SCALING_FORMAT=MLN","FA_ADJUSTED=GAAP","Sort=A","Dates=H","DateFormat=P","Fill=—","Direction=H","UseDPDF=Y")</f>
        <v>552</v>
      </c>
      <c r="U15" s="13">
        <f>_xll.BDH("XOM US Equity","IS_INC_TAX_EXP","FQ3 1994","FQ3 1994","Currency=USD","Period=FQ","BEST_FPERIOD_OVERRIDE=FQ","FILING_STATUS=OR","SCALING_FORMAT=MLN","FA_ADJUSTED=GAAP","Sort=A","Dates=H","DateFormat=P","Fill=—","Direction=H","UseDPDF=Y")</f>
        <v>785</v>
      </c>
      <c r="V15" s="13">
        <f>_xll.BDH("XOM US Equity","IS_INC_TAX_EXP","FQ4 1994","FQ4 1994","Currency=USD","Period=FQ","BEST_FPERIOD_OVERRIDE=FQ","FILING_STATUS=OR","SCALING_FORMAT=MLN","FA_ADJUSTED=GAAP","Sort=A","Dates=H","DateFormat=P","Fill=—","Direction=H","UseDPDF=Y")</f>
        <v>819</v>
      </c>
      <c r="W15" s="13">
        <f>_xll.BDH("XOM US Equity","IS_INC_TAX_EXP","FQ1 1995","FQ1 1995","Currency=USD","Period=FQ","BEST_FPERIOD_OVERRIDE=FQ","FILING_STATUS=OR","SCALING_FORMAT=MLN","FA_ADJUSTED=GAAP","Sort=A","Dates=H","DateFormat=P","Fill=—","Direction=H","UseDPDF=Y")</f>
        <v>851</v>
      </c>
      <c r="X15" s="13">
        <f>_xll.BDH("XOM US Equity","IS_INC_TAX_EXP","FQ2 1995","FQ2 1995","Currency=USD","Period=FQ","BEST_FPERIOD_OVERRIDE=FQ","FILING_STATUS=OR","SCALING_FORMAT=MLN","FA_ADJUSTED=GAAP","Sort=A","Dates=H","DateFormat=P","Fill=—","Direction=H","UseDPDF=Y")</f>
        <v>1044</v>
      </c>
      <c r="Y15" s="13">
        <f>_xll.BDH("XOM US Equity","IS_INC_TAX_EXP","FQ3 1995","FQ3 1995","Currency=USD","Period=FQ","BEST_FPERIOD_OVERRIDE=FQ","FILING_STATUS=OR","SCALING_FORMAT=MLN","FA_ADJUSTED=GAAP","Sort=A","Dates=H","DateFormat=P","Fill=—","Direction=H","UseDPDF=Y")</f>
        <v>991</v>
      </c>
      <c r="Z15" s="13">
        <f>_xll.BDH("XOM US Equity","IS_INC_TAX_EXP","FQ4 1995","FQ4 1995","Currency=USD","Period=FQ","BEST_FPERIOD_OVERRIDE=FQ","FILING_STATUS=OR","SCALING_FORMAT=MLN","FA_ADJUSTED=GAAP","Sort=A","Dates=H","DateFormat=P","Fill=—","Direction=H","UseDPDF=Y")</f>
        <v>1086</v>
      </c>
      <c r="AA15" s="13">
        <f>_xll.BDH("XOM US Equity","IS_INC_TAX_EXP","FQ1 1996","FQ1 1996","Currency=USD","Period=FQ","BEST_FPERIOD_OVERRIDE=FQ","FILING_STATUS=OR","SCALING_FORMAT=MLN","FA_ADJUSTED=GAAP","Sort=A","Dates=H","DateFormat=P","Fill=—","Direction=H","UseDPDF=Y")</f>
        <v>956</v>
      </c>
      <c r="AB15" s="13">
        <f>_xll.BDH("XOM US Equity","IS_INC_TAX_EXP","FQ2 1996","FQ2 1996","Currency=USD","Period=FQ","BEST_FPERIOD_OVERRIDE=FQ","FILING_STATUS=OR","SCALING_FORMAT=MLN","FA_ADJUSTED=GAAP","Sort=A","Dates=H","DateFormat=P","Fill=—","Direction=H","UseDPDF=Y")</f>
        <v>1082</v>
      </c>
      <c r="AC15" s="13">
        <f>_xll.BDH("XOM US Equity","IS_INC_TAX_EXP","FQ3 1996","FQ3 1996","Currency=USD","Period=FQ","BEST_FPERIOD_OVERRIDE=FQ","FILING_STATUS=OR","SCALING_FORMAT=MLN","FA_ADJUSTED=GAAP","Sort=A","Dates=H","DateFormat=P","Fill=—","Direction=H","UseDPDF=Y")</f>
        <v>987</v>
      </c>
      <c r="AD15" s="13">
        <f>_xll.BDH("XOM US Equity","IS_INC_TAX_EXP","FQ4 1996","FQ4 1996","Currency=USD","Period=FQ","BEST_FPERIOD_OVERRIDE=FQ","FILING_STATUS=OR","SCALING_FORMAT=MLN","FA_ADJUSTED=GAAP","Sort=A","Dates=H","DateFormat=P","Fill=—","Direction=H","UseDPDF=Y")</f>
        <v>1381</v>
      </c>
      <c r="AE15" s="13">
        <f>_xll.BDH("XOM US Equity","IS_INC_TAX_EXP","FQ1 1997","FQ1 1997","Currency=USD","Period=FQ","BEST_FPERIOD_OVERRIDE=FQ","FILING_STATUS=OR","SCALING_FORMAT=MLN","FA_ADJUSTED=GAAP","Sort=A","Dates=H","DateFormat=P","Fill=—","Direction=H","UseDPDF=Y")</f>
        <v>1343</v>
      </c>
      <c r="AF15" s="13">
        <f>_xll.BDH("XOM US Equity","IS_INC_TAX_EXP","FQ2 1997","FQ2 1997","Currency=USD","Period=FQ","BEST_FPERIOD_OVERRIDE=FQ","FILING_STATUS=OR","SCALING_FORMAT=MLN","FA_ADJUSTED=GAAP","Sort=A","Dates=H","DateFormat=P","Fill=—","Direction=H","UseDPDF=Y")</f>
        <v>1195</v>
      </c>
      <c r="AG15" s="13">
        <f>_xll.BDH("XOM US Equity","IS_INC_TAX_EXP","FQ3 1997","FQ3 1997","Currency=USD","Period=FQ","BEST_FPERIOD_OVERRIDE=FQ","FILING_STATUS=OR","SCALING_FORMAT=MLN","FA_ADJUSTED=GAAP","Sort=A","Dates=H","DateFormat=P","Fill=—","Direction=H","UseDPDF=Y")</f>
        <v>946</v>
      </c>
      <c r="AH15" s="13">
        <f>_xll.BDH("XOM US Equity","IS_INC_TAX_EXP","FQ4 1997","FQ4 1997","Currency=USD","Period=FQ","BEST_FPERIOD_OVERRIDE=FQ","FILING_STATUS=OR","SCALING_FORMAT=MLN","FA_ADJUSTED=GAAP","Sort=A","Dates=H","DateFormat=P","Fill=—","Direction=H","UseDPDF=Y")</f>
        <v>854</v>
      </c>
      <c r="AI15" s="13">
        <f>_xll.BDH("XOM US Equity","IS_INC_TAX_EXP","FQ1 1998","FQ1 1998","Currency=USD","Period=FQ","BEST_FPERIOD_OVERRIDE=FQ","FILING_STATUS=OR","SCALING_FORMAT=MLN","FA_ADJUSTED=GAAP","Sort=A","Dates=H","DateFormat=P","Fill=—","Direction=H","UseDPDF=Y")</f>
        <v>839</v>
      </c>
      <c r="AJ15" s="13">
        <f>_xll.BDH("XOM US Equity","IS_INC_TAX_EXP","FQ2 1998","FQ2 1998","Currency=USD","Period=FQ","BEST_FPERIOD_OVERRIDE=FQ","FILING_STATUS=OR","SCALING_FORMAT=MLN","FA_ADJUSTED=GAAP","Sort=A","Dates=H","DateFormat=P","Fill=—","Direction=H","UseDPDF=Y")</f>
        <v>658</v>
      </c>
    </row>
    <row r="16" spans="1:36" x14ac:dyDescent="0.25">
      <c r="A16" s="6" t="s">
        <v>93</v>
      </c>
      <c r="B16" s="6" t="s">
        <v>94</v>
      </c>
      <c r="C16" s="16">
        <f>_xll.BDH("XOM US Equity","IS_INC_BEF_XO_ITEM","FQ1 1990","FQ1 1990","Currency=USD","Period=FQ","BEST_FPERIOD_OVERRIDE=FQ","FILING_STATUS=OR","SCALING_FORMAT=MLN","Sort=A","Dates=H","DateFormat=P","Fill=—","Direction=H","UseDPDF=Y")</f>
        <v>1351</v>
      </c>
      <c r="D16" s="16">
        <f>_xll.BDH("XOM US Equity","IS_INC_BEF_XO_ITEM","FQ2 1990","FQ2 1990","Currency=USD","Period=FQ","BEST_FPERIOD_OVERRIDE=FQ","FILING_STATUS=OR","SCALING_FORMAT=MLN","Sort=A","Dates=H","DateFormat=P","Fill=—","Direction=H","UseDPDF=Y")</f>
        <v>1210</v>
      </c>
      <c r="E16" s="16">
        <f>_xll.BDH("XOM US Equity","IS_INC_BEF_XO_ITEM","FQ3 1990","FQ3 1990","Currency=USD","Period=FQ","BEST_FPERIOD_OVERRIDE=FQ","FILING_STATUS=OR","SCALING_FORMAT=MLN","Sort=A","Dates=H","DateFormat=P","Fill=—","Direction=H","UseDPDF=Y")</f>
        <v>1133</v>
      </c>
      <c r="F16" s="16">
        <f>_xll.BDH("XOM US Equity","IS_INC_BEF_XO_ITEM","FQ4 1990","FQ4 1990","Currency=USD","Period=FQ","BEST_FPERIOD_OVERRIDE=FQ","FILING_STATUS=OR","SCALING_FORMAT=MLN","Sort=A","Dates=H","DateFormat=P","Fill=—","Direction=H","UseDPDF=Y")</f>
        <v>1588</v>
      </c>
      <c r="G16" s="16">
        <f>_xll.BDH("XOM US Equity","IS_INC_BEF_XO_ITEM","FQ1 1991","FQ1 1991","Currency=USD","Period=FQ","BEST_FPERIOD_OVERRIDE=FQ","FILING_STATUS=OR","SCALING_FORMAT=MLN","Sort=A","Dates=H","DateFormat=P","Fill=—","Direction=H","UseDPDF=Y")</f>
        <v>2341</v>
      </c>
      <c r="H16" s="16">
        <f>_xll.BDH("XOM US Equity","IS_INC_BEF_XO_ITEM","FQ2 1991","FQ2 1991","Currency=USD","Period=FQ","BEST_FPERIOD_OVERRIDE=FQ","FILING_STATUS=OR","SCALING_FORMAT=MLN","Sort=A","Dates=H","DateFormat=P","Fill=—","Direction=H","UseDPDF=Y")</f>
        <v>1172</v>
      </c>
      <c r="I16" s="16">
        <f>_xll.BDH("XOM US Equity","IS_INC_BEF_XO_ITEM","FQ3 1991","FQ3 1991","Currency=USD","Period=FQ","BEST_FPERIOD_OVERRIDE=FQ","FILING_STATUS=OR","SCALING_FORMAT=MLN","Sort=A","Dates=H","DateFormat=P","Fill=—","Direction=H","UseDPDF=Y")</f>
        <v>1191</v>
      </c>
      <c r="J16" s="16">
        <f>_xll.BDH("XOM US Equity","IS_INC_BEF_XO_ITEM","FQ4 1991","FQ4 1991","Currency=USD","Period=FQ","BEST_FPERIOD_OVERRIDE=FQ","FILING_STATUS=OR","SCALING_FORMAT=MLN","Sort=A","Dates=H","DateFormat=P","Fill=—","Direction=H","UseDPDF=Y")</f>
        <v>1063</v>
      </c>
      <c r="K16" s="16">
        <f>_xll.BDH("XOM US Equity","IS_INC_BEF_XO_ITEM","FQ1 1992","FQ1 1992","Currency=USD","Period=FQ","BEST_FPERIOD_OVERRIDE=FQ","FILING_STATUS=OR","SCALING_FORMAT=MLN","Sort=A","Dates=H","DateFormat=P","Fill=—","Direction=H","UseDPDF=Y")</f>
        <v>1400</v>
      </c>
      <c r="L16" s="16">
        <f>_xll.BDH("XOM US Equity","IS_INC_BEF_XO_ITEM","FQ2 1992","FQ2 1992","Currency=USD","Period=FQ","BEST_FPERIOD_OVERRIDE=FQ","FILING_STATUS=OR","SCALING_FORMAT=MLN","Sort=A","Dates=H","DateFormat=P","Fill=—","Direction=H","UseDPDF=Y")</f>
        <v>1012</v>
      </c>
      <c r="M16" s="16">
        <f>_xll.BDH("XOM US Equity","IS_INC_BEF_XO_ITEM","FQ3 1992","FQ3 1992","Currency=USD","Period=FQ","BEST_FPERIOD_OVERRIDE=FQ","FILING_STATUS=OR","SCALING_FORMAT=MLN","Sort=A","Dates=H","DateFormat=P","Fill=—","Direction=H","UseDPDF=Y")</f>
        <v>1227</v>
      </c>
      <c r="N16" s="16">
        <f>_xll.BDH("XOM US Equity","IS_INC_BEF_XO_ITEM","FQ4 1992","FQ4 1992","Currency=USD","Period=FQ","BEST_FPERIOD_OVERRIDE=FQ","FILING_STATUS=OR","SCALING_FORMAT=MLN","Sort=A","Dates=H","DateFormat=P","Fill=—","Direction=H","UseDPDF=Y")</f>
        <v>1648</v>
      </c>
      <c r="O16" s="16">
        <f>_xll.BDH("XOM US Equity","IS_INC_BEF_XO_ITEM","FQ1 1993","FQ1 1993","Currency=USD","Period=FQ","BEST_FPERIOD_OVERRIDE=FQ","FILING_STATUS=OR","SCALING_FORMAT=MLN","Sort=A","Dates=H","DateFormat=P","Fill=—","Direction=H","UseDPDF=Y")</f>
        <v>1250</v>
      </c>
      <c r="P16" s="16">
        <f>_xll.BDH("XOM US Equity","IS_INC_BEF_XO_ITEM","FQ2 1993","FQ2 1993","Currency=USD","Period=FQ","BEST_FPERIOD_OVERRIDE=FQ","FILING_STATUS=OR","SCALING_FORMAT=MLN","Sort=A","Dates=H","DateFormat=P","Fill=—","Direction=H","UseDPDF=Y")</f>
        <v>1293</v>
      </c>
      <c r="Q16" s="16">
        <f>_xll.BDH("XOM US Equity","IS_INC_BEF_XO_ITEM","FQ3 1993","FQ3 1993","Currency=USD","Period=FQ","BEST_FPERIOD_OVERRIDE=FQ","FILING_STATUS=OR","SCALING_FORMAT=MLN","Sort=A","Dates=H","DateFormat=P","Fill=—","Direction=H","UseDPDF=Y")</f>
        <v>1424</v>
      </c>
      <c r="R16" s="16">
        <f>_xll.BDH("XOM US Equity","IS_INC_BEF_XO_ITEM","FQ4 1993","FQ4 1993","Currency=USD","Period=FQ","BEST_FPERIOD_OVERRIDE=FQ","FILING_STATUS=OR","SCALING_FORMAT=MLN","Sort=A","Dates=H","DateFormat=P","Fill=—","Direction=H","UseDPDF=Y")</f>
        <v>1563</v>
      </c>
      <c r="S16" s="16">
        <f>_xll.BDH("XOM US Equity","IS_INC_BEF_XO_ITEM","FQ1 1994","FQ1 1994","Currency=USD","Period=FQ","BEST_FPERIOD_OVERRIDE=FQ","FILING_STATUS=OR","SCALING_FORMAT=MLN","Sort=A","Dates=H","DateFormat=P","Fill=—","Direction=H","UseDPDF=Y")</f>
        <v>1214</v>
      </c>
      <c r="T16" s="16">
        <f>_xll.BDH("XOM US Equity","IS_INC_BEF_XO_ITEM","FQ2 1994","FQ2 1994","Currency=USD","Period=FQ","BEST_FPERIOD_OVERRIDE=FQ","FILING_STATUS=OR","SCALING_FORMAT=MLN","Sort=A","Dates=H","DateFormat=P","Fill=—","Direction=H","UseDPDF=Y")</f>
        <v>923</v>
      </c>
      <c r="U16" s="16">
        <f>_xll.BDH("XOM US Equity","IS_INC_BEF_XO_ITEM","FQ3 1994","FQ3 1994","Currency=USD","Period=FQ","BEST_FPERIOD_OVERRIDE=FQ","FILING_STATUS=OR","SCALING_FORMAT=MLN","Sort=A","Dates=H","DateFormat=P","Fill=—","Direction=H","UseDPDF=Y")</f>
        <v>1252</v>
      </c>
      <c r="V16" s="16">
        <f>_xll.BDH("XOM US Equity","IS_INC_BEF_XO_ITEM","FQ4 1994","FQ4 1994","Currency=USD","Period=FQ","BEST_FPERIOD_OVERRIDE=FQ","FILING_STATUS=OR","SCALING_FORMAT=MLN","Sort=A","Dates=H","DateFormat=P","Fill=—","Direction=H","UseDPDF=Y")</f>
        <v>1944</v>
      </c>
      <c r="W16" s="16">
        <f>_xll.BDH("XOM US Equity","IS_INC_BEF_XO_ITEM","FQ1 1995","FQ1 1995","Currency=USD","Period=FQ","BEST_FPERIOD_OVERRIDE=FQ","FILING_STATUS=OR","SCALING_FORMAT=MLN","Sort=A","Dates=H","DateFormat=P","Fill=—","Direction=H","UseDPDF=Y")</f>
        <v>1734</v>
      </c>
      <c r="X16" s="16">
        <f>_xll.BDH("XOM US Equity","IS_INC_BEF_XO_ITEM","FQ2 1995","FQ2 1995","Currency=USD","Period=FQ","BEST_FPERIOD_OVERRIDE=FQ","FILING_STATUS=OR","SCALING_FORMAT=MLN","Sort=A","Dates=H","DateFormat=P","Fill=—","Direction=H","UseDPDF=Y")</f>
        <v>1716</v>
      </c>
      <c r="Y16" s="16">
        <f>_xll.BDH("XOM US Equity","IS_INC_BEF_XO_ITEM","FQ3 1995","FQ3 1995","Currency=USD","Period=FQ","BEST_FPERIOD_OVERRIDE=FQ","FILING_STATUS=OR","SCALING_FORMAT=MLN","Sort=A","Dates=H","DateFormat=P","Fill=—","Direction=H","UseDPDF=Y")</f>
        <v>1584</v>
      </c>
      <c r="Z16" s="16">
        <f>_xll.BDH("XOM US Equity","IS_INC_BEF_XO_ITEM","FQ4 1995","FQ4 1995","Currency=USD","Period=FQ","BEST_FPERIOD_OVERRIDE=FQ","FILING_STATUS=OR","SCALING_FORMAT=MLN","Sort=A","Dates=H","DateFormat=P","Fill=—","Direction=H","UseDPDF=Y")</f>
        <v>1737</v>
      </c>
      <c r="AA16" s="16">
        <f>_xll.BDH("XOM US Equity","IS_INC_BEF_XO_ITEM","FQ1 1996","FQ1 1996","Currency=USD","Period=FQ","BEST_FPERIOD_OVERRIDE=FQ","FILING_STATUS=OR","SCALING_FORMAT=MLN","Sort=A","Dates=H","DateFormat=P","Fill=—","Direction=H","UseDPDF=Y")</f>
        <v>2024</v>
      </c>
      <c r="AB16" s="16">
        <f>_xll.BDH("XOM US Equity","IS_INC_BEF_XO_ITEM","FQ2 1996","FQ2 1996","Currency=USD","Period=FQ","BEST_FPERIOD_OVERRIDE=FQ","FILING_STATUS=OR","SCALING_FORMAT=MLN","Sort=A","Dates=H","DateFormat=P","Fill=—","Direction=H","UseDPDF=Y")</f>
        <v>1650</v>
      </c>
      <c r="AC16" s="16">
        <f>_xll.BDH("XOM US Equity","IS_INC_BEF_XO_ITEM","FQ3 1996","FQ3 1996","Currency=USD","Period=FQ","BEST_FPERIOD_OVERRIDE=FQ","FILING_STATUS=OR","SCALING_FORMAT=MLN","Sort=A","Dates=H","DateFormat=P","Fill=—","Direction=H","UseDPDF=Y")</f>
        <v>1632</v>
      </c>
      <c r="AD16" s="16">
        <f>_xll.BDH("XOM US Equity","IS_INC_BEF_XO_ITEM","FQ4 1996","FQ4 1996","Currency=USD","Period=FQ","BEST_FPERIOD_OVERRIDE=FQ","FILING_STATUS=OR","SCALING_FORMAT=MLN","Sort=A","Dates=H","DateFormat=P","Fill=—","Direction=H","UseDPDF=Y")</f>
        <v>2588</v>
      </c>
      <c r="AE16" s="16">
        <f>_xll.BDH("XOM US Equity","IS_INC_BEF_XO_ITEM","FQ1 1997","FQ1 1997","Currency=USD","Period=FQ","BEST_FPERIOD_OVERRIDE=FQ","FILING_STATUS=OR","SCALING_FORMAT=MLN","Sort=A","Dates=H","DateFormat=P","Fill=—","Direction=H","UseDPDF=Y")</f>
        <v>2274</v>
      </c>
      <c r="AF16" s="16">
        <f>_xll.BDH("XOM US Equity","IS_INC_BEF_XO_ITEM","FQ2 1997","FQ2 1997","Currency=USD","Period=FQ","BEST_FPERIOD_OVERRIDE=FQ","FILING_STATUS=OR","SCALING_FORMAT=MLN","Sort=A","Dates=H","DateFormat=P","Fill=—","Direction=H","UseDPDF=Y")</f>
        <v>2063</v>
      </c>
      <c r="AG16" s="16">
        <f>_xll.BDH("XOM US Equity","IS_INC_BEF_XO_ITEM","FQ3 1997","FQ3 1997","Currency=USD","Period=FQ","BEST_FPERIOD_OVERRIDE=FQ","FILING_STATUS=OR","SCALING_FORMAT=MLN","Sort=A","Dates=H","DateFormat=P","Fill=—","Direction=H","UseDPDF=Y")</f>
        <v>1916</v>
      </c>
      <c r="AH16" s="16">
        <f>_xll.BDH("XOM US Equity","IS_INC_BEF_XO_ITEM","FQ4 1997","FQ4 1997","Currency=USD","Period=FQ","BEST_FPERIOD_OVERRIDE=FQ","FILING_STATUS=OR","SCALING_FORMAT=MLN","Sort=A","Dates=H","DateFormat=P","Fill=—","Direction=H","UseDPDF=Y")</f>
        <v>8111</v>
      </c>
      <c r="AI16" s="16">
        <f>_xll.BDH("XOM US Equity","IS_INC_BEF_XO_ITEM","FQ1 1998","FQ1 1998","Currency=USD","Period=FQ","BEST_FPERIOD_OVERRIDE=FQ","FILING_STATUS=OR","SCALING_FORMAT=MLN","Sort=A","Dates=H","DateFormat=P","Fill=—","Direction=H","UseDPDF=Y")</f>
        <v>2000</v>
      </c>
      <c r="AJ16" s="16">
        <f>_xll.BDH("XOM US Equity","IS_INC_BEF_XO_ITEM","FQ2 1998","FQ2 1998","Currency=USD","Period=FQ","BEST_FPERIOD_OVERRIDE=FQ","FILING_STATUS=OR","SCALING_FORMAT=MLN","Sort=A","Dates=H","DateFormat=P","Fill=—","Direction=H","UseDPDF=Y")</f>
        <v>1685</v>
      </c>
    </row>
    <row r="17" spans="1:36" x14ac:dyDescent="0.25">
      <c r="A17" s="10" t="s">
        <v>95</v>
      </c>
      <c r="B17" s="10" t="s">
        <v>96</v>
      </c>
      <c r="C17" s="13">
        <f>_xll.BDH("XOM US Equity","XO_GL_NET_OF_TAX","FQ1 1990","FQ1 1990","Currency=USD","Period=FQ","BEST_FPERIOD_OVERRIDE=FQ","FILING_STATUS=OR","SCALING_FORMAT=MLN","Sort=A","Dates=H","DateFormat=P","Fill=—","Direction=H","UseDPDF=Y")</f>
        <v>0</v>
      </c>
      <c r="D17" s="13">
        <f>_xll.BDH("XOM US Equity","XO_GL_NET_OF_TAX","FQ2 1990","FQ2 1990","Currency=USD","Period=FQ","BEST_FPERIOD_OVERRIDE=FQ","FILING_STATUS=OR","SCALING_FORMAT=MLN","Sort=A","Dates=H","DateFormat=P","Fill=—","Direction=H","UseDPDF=Y")</f>
        <v>0</v>
      </c>
      <c r="E17" s="13">
        <f>_xll.BDH("XOM US Equity","XO_GL_NET_OF_TAX","FQ3 1990","FQ3 1990","Currency=USD","Period=FQ","BEST_FPERIOD_OVERRIDE=FQ","FILING_STATUS=OR","SCALING_FORMAT=MLN","Sort=A","Dates=H","DateFormat=P","Fill=—","Direction=H","UseDPDF=Y")</f>
        <v>0</v>
      </c>
      <c r="F17" s="13">
        <f>_xll.BDH("XOM US Equity","XO_GL_NET_OF_TAX","FQ4 1990","FQ4 1990","Currency=USD","Period=FQ","BEST_FPERIOD_OVERRIDE=FQ","FILING_STATUS=OR","SCALING_FORMAT=MLN","Sort=A","Dates=H","DateFormat=P","Fill=—","Direction=H","UseDPDF=Y")</f>
        <v>0</v>
      </c>
      <c r="G17" s="13">
        <f>_xll.BDH("XOM US Equity","XO_GL_NET_OF_TAX","FQ1 1991","FQ1 1991","Currency=USD","Period=FQ","BEST_FPERIOD_OVERRIDE=FQ","FILING_STATUS=OR","SCALING_FORMAT=MLN","Sort=A","Dates=H","DateFormat=P","Fill=—","Direction=H","UseDPDF=Y")</f>
        <v>0</v>
      </c>
      <c r="H17" s="13">
        <f>_xll.BDH("XOM US Equity","XO_GL_NET_OF_TAX","FQ2 1991","FQ2 1991","Currency=USD","Period=FQ","BEST_FPERIOD_OVERRIDE=FQ","FILING_STATUS=OR","SCALING_FORMAT=MLN","Sort=A","Dates=H","DateFormat=P","Fill=—","Direction=H","UseDPDF=Y")</f>
        <v>0</v>
      </c>
      <c r="I17" s="13">
        <f>_xll.BDH("XOM US Equity","XO_GL_NET_OF_TAX","FQ3 1991","FQ3 1991","Currency=USD","Period=FQ","BEST_FPERIOD_OVERRIDE=FQ","FILING_STATUS=OR","SCALING_FORMAT=MLN","Sort=A","Dates=H","DateFormat=P","Fill=—","Direction=H","UseDPDF=Y")</f>
        <v>0</v>
      </c>
      <c r="J17" s="13">
        <f>_xll.BDH("XOM US Equity","XO_GL_NET_OF_TAX","FQ4 1991","FQ4 1991","Currency=USD","Period=FQ","BEST_FPERIOD_OVERRIDE=FQ","FILING_STATUS=OR","SCALING_FORMAT=MLN","Sort=A","Dates=H","DateFormat=P","Fill=—","Direction=H","UseDPDF=Y")</f>
        <v>0</v>
      </c>
      <c r="K17" s="13">
        <f>_xll.BDH("XOM US Equity","XO_GL_NET_OF_TAX","FQ1 1992","FQ1 1992","Currency=USD","Period=FQ","BEST_FPERIOD_OVERRIDE=FQ","FILING_STATUS=OR","SCALING_FORMAT=MLN","Sort=A","Dates=H","DateFormat=P","Fill=—","Direction=H","UseDPDF=Y")</f>
        <v>0</v>
      </c>
      <c r="L17" s="13">
        <f>_xll.BDH("XOM US Equity","XO_GL_NET_OF_TAX","FQ2 1992","FQ2 1992","Currency=USD","Period=FQ","BEST_FPERIOD_OVERRIDE=FQ","FILING_STATUS=OR","SCALING_FORMAT=MLN","Sort=A","Dates=H","DateFormat=P","Fill=—","Direction=H","UseDPDF=Y")</f>
        <v>0</v>
      </c>
      <c r="M17" s="13">
        <f>_xll.BDH("XOM US Equity","XO_GL_NET_OF_TAX","FQ3 1992","FQ3 1992","Currency=USD","Period=FQ","BEST_FPERIOD_OVERRIDE=FQ","FILING_STATUS=OR","SCALING_FORMAT=MLN","Sort=A","Dates=H","DateFormat=P","Fill=—","Direction=H","UseDPDF=Y")</f>
        <v>0</v>
      </c>
      <c r="N17" s="13">
        <f>_xll.BDH("XOM US Equity","XO_GL_NET_OF_TAX","FQ4 1992","FQ4 1992","Currency=USD","Period=FQ","BEST_FPERIOD_OVERRIDE=FQ","FILING_STATUS=OR","SCALING_FORMAT=MLN","Sort=A","Dates=H","DateFormat=P","Fill=—","Direction=H","UseDPDF=Y")</f>
        <v>40</v>
      </c>
      <c r="O17" s="13">
        <f>_xll.BDH("XOM US Equity","XO_GL_NET_OF_TAX","FQ1 1993","FQ1 1993","Currency=USD","Period=FQ","BEST_FPERIOD_OVERRIDE=FQ","FILING_STATUS=OR","SCALING_FORMAT=MLN","Sort=A","Dates=H","DateFormat=P","Fill=—","Direction=H","UseDPDF=Y")</f>
        <v>0</v>
      </c>
      <c r="P17" s="13">
        <f>_xll.BDH("XOM US Equity","XO_GL_NET_OF_TAX","FQ2 1993","FQ2 1993","Currency=USD","Period=FQ","BEST_FPERIOD_OVERRIDE=FQ","FILING_STATUS=OR","SCALING_FORMAT=MLN","Sort=A","Dates=H","DateFormat=P","Fill=—","Direction=H","UseDPDF=Y")</f>
        <v>0</v>
      </c>
      <c r="Q17" s="13">
        <f>_xll.BDH("XOM US Equity","XO_GL_NET_OF_TAX","FQ3 1993","FQ3 1993","Currency=USD","Period=FQ","BEST_FPERIOD_OVERRIDE=FQ","FILING_STATUS=OR","SCALING_FORMAT=MLN","Sort=A","Dates=H","DateFormat=P","Fill=—","Direction=H","UseDPDF=Y")</f>
        <v>0</v>
      </c>
      <c r="R17" s="13">
        <f>_xll.BDH("XOM US Equity","XO_GL_NET_OF_TAX","FQ4 1993","FQ4 1993","Currency=USD","Period=FQ","BEST_FPERIOD_OVERRIDE=FQ","FILING_STATUS=OR","SCALING_FORMAT=MLN","Sort=A","Dates=H","DateFormat=P","Fill=—","Direction=H","UseDPDF=Y")</f>
        <v>0</v>
      </c>
      <c r="S17" s="13">
        <f>_xll.BDH("XOM US Equity","XO_GL_NET_OF_TAX","FQ1 1994","FQ1 1994","Currency=USD","Period=FQ","BEST_FPERIOD_OVERRIDE=FQ","FILING_STATUS=OR","SCALING_FORMAT=MLN","Sort=A","Dates=H","DateFormat=P","Fill=—","Direction=H","UseDPDF=Y")</f>
        <v>0</v>
      </c>
      <c r="T17" s="13">
        <f>_xll.BDH("XOM US Equity","XO_GL_NET_OF_TAX","FQ2 1994","FQ2 1994","Currency=USD","Period=FQ","BEST_FPERIOD_OVERRIDE=FQ","FILING_STATUS=OR","SCALING_FORMAT=MLN","Sort=A","Dates=H","DateFormat=P","Fill=—","Direction=H","UseDPDF=Y")</f>
        <v>0</v>
      </c>
      <c r="U17" s="13">
        <f>_xll.BDH("XOM US Equity","XO_GL_NET_OF_TAX","FQ3 1994","FQ3 1994","Currency=USD","Period=FQ","BEST_FPERIOD_OVERRIDE=FQ","FILING_STATUS=OR","SCALING_FORMAT=MLN","Sort=A","Dates=H","DateFormat=P","Fill=—","Direction=H","UseDPDF=Y")</f>
        <v>0</v>
      </c>
      <c r="V17" s="13">
        <f>_xll.BDH("XOM US Equity","XO_GL_NET_OF_TAX","FQ4 1994","FQ4 1994","Currency=USD","Period=FQ","BEST_FPERIOD_OVERRIDE=FQ","FILING_STATUS=OR","SCALING_FORMAT=MLN","Sort=A","Dates=H","DateFormat=P","Fill=—","Direction=H","UseDPDF=Y")</f>
        <v>0</v>
      </c>
      <c r="W17" s="13">
        <f>_xll.BDH("XOM US Equity","XO_GL_NET_OF_TAX","FQ1 1995","FQ1 1995","Currency=USD","Period=FQ","BEST_FPERIOD_OVERRIDE=FQ","FILING_STATUS=OR","SCALING_FORMAT=MLN","Sort=A","Dates=H","DateFormat=P","Fill=—","Direction=H","UseDPDF=Y")</f>
        <v>0</v>
      </c>
      <c r="X17" s="13">
        <f>_xll.BDH("XOM US Equity","XO_GL_NET_OF_TAX","FQ2 1995","FQ2 1995","Currency=USD","Period=FQ","BEST_FPERIOD_OVERRIDE=FQ","FILING_STATUS=OR","SCALING_FORMAT=MLN","Sort=A","Dates=H","DateFormat=P","Fill=—","Direction=H","UseDPDF=Y")</f>
        <v>0</v>
      </c>
      <c r="Y17" s="13">
        <f>_xll.BDH("XOM US Equity","XO_GL_NET_OF_TAX","FQ3 1995","FQ3 1995","Currency=USD","Period=FQ","BEST_FPERIOD_OVERRIDE=FQ","FILING_STATUS=OR","SCALING_FORMAT=MLN","Sort=A","Dates=H","DateFormat=P","Fill=—","Direction=H","UseDPDF=Y")</f>
        <v>0</v>
      </c>
      <c r="Z17" s="13">
        <f>_xll.BDH("XOM US Equity","XO_GL_NET_OF_TAX","FQ4 1995","FQ4 1995","Currency=USD","Period=FQ","BEST_FPERIOD_OVERRIDE=FQ","FILING_STATUS=OR","SCALING_FORMAT=MLN","Sort=A","Dates=H","DateFormat=P","Fill=—","Direction=H","UseDPDF=Y")</f>
        <v>0</v>
      </c>
      <c r="AA17" s="13">
        <f>_xll.BDH("XOM US Equity","XO_GL_NET_OF_TAX","FQ1 1996","FQ1 1996","Currency=USD","Period=FQ","BEST_FPERIOD_OVERRIDE=FQ","FILING_STATUS=OR","SCALING_FORMAT=MLN","Sort=A","Dates=H","DateFormat=P","Fill=—","Direction=H","UseDPDF=Y")</f>
        <v>0</v>
      </c>
      <c r="AB17" s="13">
        <f>_xll.BDH("XOM US Equity","XO_GL_NET_OF_TAX","FQ2 1996","FQ2 1996","Currency=USD","Period=FQ","BEST_FPERIOD_OVERRIDE=FQ","FILING_STATUS=OR","SCALING_FORMAT=MLN","Sort=A","Dates=H","DateFormat=P","Fill=—","Direction=H","UseDPDF=Y")</f>
        <v>0</v>
      </c>
      <c r="AC17" s="13">
        <f>_xll.BDH("XOM US Equity","XO_GL_NET_OF_TAX","FQ3 1996","FQ3 1996","Currency=USD","Period=FQ","BEST_FPERIOD_OVERRIDE=FQ","FILING_STATUS=OR","SCALING_FORMAT=MLN","Sort=A","Dates=H","DateFormat=P","Fill=—","Direction=H","UseDPDF=Y")</f>
        <v>0</v>
      </c>
      <c r="AD17" s="13">
        <f>_xll.BDH("XOM US Equity","XO_GL_NET_OF_TAX","FQ4 1996","FQ4 1996","Currency=USD","Period=FQ","BEST_FPERIOD_OVERRIDE=FQ","FILING_STATUS=OR","SCALING_FORMAT=MLN","Sort=A","Dates=H","DateFormat=P","Fill=—","Direction=H","UseDPDF=Y")</f>
        <v>0</v>
      </c>
      <c r="AE17" s="13">
        <f>_xll.BDH("XOM US Equity","XO_GL_NET_OF_TAX","FQ1 1997","FQ1 1997","Currency=USD","Period=FQ","BEST_FPERIOD_OVERRIDE=FQ","FILING_STATUS=OR","SCALING_FORMAT=MLN","Sort=A","Dates=H","DateFormat=P","Fill=—","Direction=H","UseDPDF=Y")</f>
        <v>0</v>
      </c>
      <c r="AF17" s="13">
        <f>_xll.BDH("XOM US Equity","XO_GL_NET_OF_TAX","FQ2 1997","FQ2 1997","Currency=USD","Period=FQ","BEST_FPERIOD_OVERRIDE=FQ","FILING_STATUS=OR","SCALING_FORMAT=MLN","Sort=A","Dates=H","DateFormat=P","Fill=—","Direction=H","UseDPDF=Y")</f>
        <v>0</v>
      </c>
      <c r="AG17" s="13">
        <f>_xll.BDH("XOM US Equity","XO_GL_NET_OF_TAX","FQ3 1997","FQ3 1997","Currency=USD","Period=FQ","BEST_FPERIOD_OVERRIDE=FQ","FILING_STATUS=OR","SCALING_FORMAT=MLN","Sort=A","Dates=H","DateFormat=P","Fill=—","Direction=H","UseDPDF=Y")</f>
        <v>0</v>
      </c>
      <c r="AH17" s="13">
        <f>_xll.BDH("XOM US Equity","XO_GL_NET_OF_TAX","FQ4 1997","FQ4 1997","Currency=USD","Period=FQ","BEST_FPERIOD_OVERRIDE=FQ","FILING_STATUS=OR","SCALING_FORMAT=MLN","Sort=A","Dates=H","DateFormat=P","Fill=—","Direction=H","UseDPDF=Y")</f>
        <v>0</v>
      </c>
      <c r="AI17" s="13">
        <f>_xll.BDH("XOM US Equity","XO_GL_NET_OF_TAX","FQ1 1998","FQ1 1998","Currency=USD","Period=FQ","BEST_FPERIOD_OVERRIDE=FQ","FILING_STATUS=OR","SCALING_FORMAT=MLN","Sort=A","Dates=H","DateFormat=P","Fill=—","Direction=H","UseDPDF=Y")</f>
        <v>0</v>
      </c>
      <c r="AJ17" s="13">
        <f>_xll.BDH("XOM US Equity","XO_GL_NET_OF_TAX","FQ2 1998","FQ2 1998","Currency=USD","Period=FQ","BEST_FPERIOD_OVERRIDE=FQ","FILING_STATUS=OR","SCALING_FORMAT=MLN","Sort=A","Dates=H","DateFormat=P","Fill=—","Direction=H","UseDPDF=Y")</f>
        <v>0</v>
      </c>
    </row>
    <row r="18" spans="1:36" x14ac:dyDescent="0.25">
      <c r="A18" s="6" t="s">
        <v>97</v>
      </c>
      <c r="B18" s="6" t="s">
        <v>98</v>
      </c>
      <c r="C18" s="16">
        <f>_xll.BDH("XOM US Equity","NI_INCLUDING_MINORITY_INT_RATIO","FQ1 1990","FQ1 1990","Currency=USD","Period=FQ","BEST_FPERIOD_OVERRIDE=FQ","FILING_STATUS=OR","SCALING_FORMAT=MLN","FA_ADJUSTED=GAAP","Sort=A","Dates=H","DateFormat=P","Fill=—","Direction=H","UseDPDF=Y")</f>
        <v>1351</v>
      </c>
      <c r="D18" s="16">
        <f>_xll.BDH("XOM US Equity","NI_INCLUDING_MINORITY_INT_RATIO","FQ2 1990","FQ2 1990","Currency=USD","Period=FQ","BEST_FPERIOD_OVERRIDE=FQ","FILING_STATUS=OR","SCALING_FORMAT=MLN","FA_ADJUSTED=GAAP","Sort=A","Dates=H","DateFormat=P","Fill=—","Direction=H","UseDPDF=Y")</f>
        <v>1210</v>
      </c>
      <c r="E18" s="16">
        <f>_xll.BDH("XOM US Equity","NI_INCLUDING_MINORITY_INT_RATIO","FQ3 1990","FQ3 1990","Currency=USD","Period=FQ","BEST_FPERIOD_OVERRIDE=FQ","FILING_STATUS=OR","SCALING_FORMAT=MLN","FA_ADJUSTED=GAAP","Sort=A","Dates=H","DateFormat=P","Fill=—","Direction=H","UseDPDF=Y")</f>
        <v>1133</v>
      </c>
      <c r="F18" s="16">
        <f>_xll.BDH("XOM US Equity","NI_INCLUDING_MINORITY_INT_RATIO","FQ4 1990","FQ4 1990","Currency=USD","Period=FQ","BEST_FPERIOD_OVERRIDE=FQ","FILING_STATUS=OR","SCALING_FORMAT=MLN","FA_ADJUSTED=GAAP","Sort=A","Dates=H","DateFormat=P","Fill=—","Direction=H","UseDPDF=Y")</f>
        <v>1588</v>
      </c>
      <c r="G18" s="16">
        <f>_xll.BDH("XOM US Equity","NI_INCLUDING_MINORITY_INT_RATIO","FQ1 1991","FQ1 1991","Currency=USD","Period=FQ","BEST_FPERIOD_OVERRIDE=FQ","FILING_STATUS=OR","SCALING_FORMAT=MLN","FA_ADJUSTED=GAAP","Sort=A","Dates=H","DateFormat=P","Fill=—","Direction=H","UseDPDF=Y")</f>
        <v>2341</v>
      </c>
      <c r="H18" s="16">
        <f>_xll.BDH("XOM US Equity","NI_INCLUDING_MINORITY_INT_RATIO","FQ2 1991","FQ2 1991","Currency=USD","Period=FQ","BEST_FPERIOD_OVERRIDE=FQ","FILING_STATUS=OR","SCALING_FORMAT=MLN","FA_ADJUSTED=GAAP","Sort=A","Dates=H","DateFormat=P","Fill=—","Direction=H","UseDPDF=Y")</f>
        <v>1172</v>
      </c>
      <c r="I18" s="16">
        <f>_xll.BDH("XOM US Equity","NI_INCLUDING_MINORITY_INT_RATIO","FQ3 1991","FQ3 1991","Currency=USD","Period=FQ","BEST_FPERIOD_OVERRIDE=FQ","FILING_STATUS=OR","SCALING_FORMAT=MLN","FA_ADJUSTED=GAAP","Sort=A","Dates=H","DateFormat=P","Fill=—","Direction=H","UseDPDF=Y")</f>
        <v>1191</v>
      </c>
      <c r="J18" s="16">
        <f>_xll.BDH("XOM US Equity","NI_INCLUDING_MINORITY_INT_RATIO","FQ4 1991","FQ4 1991","Currency=USD","Period=FQ","BEST_FPERIOD_OVERRIDE=FQ","FILING_STATUS=OR","SCALING_FORMAT=MLN","FA_ADJUSTED=GAAP","Sort=A","Dates=H","DateFormat=P","Fill=—","Direction=H","UseDPDF=Y")</f>
        <v>1063</v>
      </c>
      <c r="K18" s="16">
        <f>_xll.BDH("XOM US Equity","NI_INCLUDING_MINORITY_INT_RATIO","FQ1 1992","FQ1 1992","Currency=USD","Period=FQ","BEST_FPERIOD_OVERRIDE=FQ","FILING_STATUS=OR","SCALING_FORMAT=MLN","FA_ADJUSTED=GAAP","Sort=A","Dates=H","DateFormat=P","Fill=—","Direction=H","UseDPDF=Y")</f>
        <v>1400</v>
      </c>
      <c r="L18" s="16">
        <f>_xll.BDH("XOM US Equity","NI_INCLUDING_MINORITY_INT_RATIO","FQ2 1992","FQ2 1992","Currency=USD","Period=FQ","BEST_FPERIOD_OVERRIDE=FQ","FILING_STATUS=OR","SCALING_FORMAT=MLN","FA_ADJUSTED=GAAP","Sort=A","Dates=H","DateFormat=P","Fill=—","Direction=H","UseDPDF=Y")</f>
        <v>1012</v>
      </c>
      <c r="M18" s="16">
        <f>_xll.BDH("XOM US Equity","NI_INCLUDING_MINORITY_INT_RATIO","FQ3 1992","FQ3 1992","Currency=USD","Period=FQ","BEST_FPERIOD_OVERRIDE=FQ","FILING_STATUS=OR","SCALING_FORMAT=MLN","FA_ADJUSTED=GAAP","Sort=A","Dates=H","DateFormat=P","Fill=—","Direction=H","UseDPDF=Y")</f>
        <v>1227</v>
      </c>
      <c r="N18" s="16">
        <f>_xll.BDH("XOM US Equity","NI_INCLUDING_MINORITY_INT_RATIO","FQ4 1992","FQ4 1992","Currency=USD","Period=FQ","BEST_FPERIOD_OVERRIDE=FQ","FILING_STATUS=OR","SCALING_FORMAT=MLN","FA_ADJUSTED=GAAP","Sort=A","Dates=H","DateFormat=P","Fill=—","Direction=H","UseDPDF=Y")</f>
        <v>1608</v>
      </c>
      <c r="O18" s="16">
        <f>_xll.BDH("XOM US Equity","NI_INCLUDING_MINORITY_INT_RATIO","FQ1 1993","FQ1 1993","Currency=USD","Period=FQ","BEST_FPERIOD_OVERRIDE=FQ","FILING_STATUS=OR","SCALING_FORMAT=MLN","FA_ADJUSTED=GAAP","Sort=A","Dates=H","DateFormat=P","Fill=—","Direction=H","UseDPDF=Y")</f>
        <v>1250</v>
      </c>
      <c r="P18" s="16">
        <f>_xll.BDH("XOM US Equity","NI_INCLUDING_MINORITY_INT_RATIO","FQ2 1993","FQ2 1993","Currency=USD","Period=FQ","BEST_FPERIOD_OVERRIDE=FQ","FILING_STATUS=OR","SCALING_FORMAT=MLN","FA_ADJUSTED=GAAP","Sort=A","Dates=H","DateFormat=P","Fill=—","Direction=H","UseDPDF=Y")</f>
        <v>1293</v>
      </c>
      <c r="Q18" s="16">
        <f>_xll.BDH("XOM US Equity","NI_INCLUDING_MINORITY_INT_RATIO","FQ3 1993","FQ3 1993","Currency=USD","Period=FQ","BEST_FPERIOD_OVERRIDE=FQ","FILING_STATUS=OR","SCALING_FORMAT=MLN","FA_ADJUSTED=GAAP","Sort=A","Dates=H","DateFormat=P","Fill=—","Direction=H","UseDPDF=Y")</f>
        <v>1424</v>
      </c>
      <c r="R18" s="16">
        <f>_xll.BDH("XOM US Equity","NI_INCLUDING_MINORITY_INT_RATIO","FQ4 1993","FQ4 1993","Currency=USD","Period=FQ","BEST_FPERIOD_OVERRIDE=FQ","FILING_STATUS=OR","SCALING_FORMAT=MLN","FA_ADJUSTED=GAAP","Sort=A","Dates=H","DateFormat=P","Fill=—","Direction=H","UseDPDF=Y")</f>
        <v>1563</v>
      </c>
      <c r="S18" s="16">
        <f>_xll.BDH("XOM US Equity","NI_INCLUDING_MINORITY_INT_RATIO","FQ1 1994","FQ1 1994","Currency=USD","Period=FQ","BEST_FPERIOD_OVERRIDE=FQ","FILING_STATUS=OR","SCALING_FORMAT=MLN","FA_ADJUSTED=GAAP","Sort=A","Dates=H","DateFormat=P","Fill=—","Direction=H","UseDPDF=Y")</f>
        <v>1214</v>
      </c>
      <c r="T18" s="16">
        <f>_xll.BDH("XOM US Equity","NI_INCLUDING_MINORITY_INT_RATIO","FQ2 1994","FQ2 1994","Currency=USD","Period=FQ","BEST_FPERIOD_OVERRIDE=FQ","FILING_STATUS=OR","SCALING_FORMAT=MLN","FA_ADJUSTED=GAAP","Sort=A","Dates=H","DateFormat=P","Fill=—","Direction=H","UseDPDF=Y")</f>
        <v>923</v>
      </c>
      <c r="U18" s="16">
        <f>_xll.BDH("XOM US Equity","NI_INCLUDING_MINORITY_INT_RATIO","FQ3 1994","FQ3 1994","Currency=USD","Period=FQ","BEST_FPERIOD_OVERRIDE=FQ","FILING_STATUS=OR","SCALING_FORMAT=MLN","FA_ADJUSTED=GAAP","Sort=A","Dates=H","DateFormat=P","Fill=—","Direction=H","UseDPDF=Y")</f>
        <v>1252</v>
      </c>
      <c r="V18" s="16">
        <f>_xll.BDH("XOM US Equity","NI_INCLUDING_MINORITY_INT_RATIO","FQ4 1994","FQ4 1994","Currency=USD","Period=FQ","BEST_FPERIOD_OVERRIDE=FQ","FILING_STATUS=OR","SCALING_FORMAT=MLN","FA_ADJUSTED=GAAP","Sort=A","Dates=H","DateFormat=P","Fill=—","Direction=H","UseDPDF=Y")</f>
        <v>1944</v>
      </c>
      <c r="W18" s="16">
        <f>_xll.BDH("XOM US Equity","NI_INCLUDING_MINORITY_INT_RATIO","FQ1 1995","FQ1 1995","Currency=USD","Period=FQ","BEST_FPERIOD_OVERRIDE=FQ","FILING_STATUS=OR","SCALING_FORMAT=MLN","FA_ADJUSTED=GAAP","Sort=A","Dates=H","DateFormat=P","Fill=—","Direction=H","UseDPDF=Y")</f>
        <v>1734</v>
      </c>
      <c r="X18" s="16">
        <f>_xll.BDH("XOM US Equity","NI_INCLUDING_MINORITY_INT_RATIO","FQ2 1995","FQ2 1995","Currency=USD","Period=FQ","BEST_FPERIOD_OVERRIDE=FQ","FILING_STATUS=OR","SCALING_FORMAT=MLN","FA_ADJUSTED=GAAP","Sort=A","Dates=H","DateFormat=P","Fill=—","Direction=H","UseDPDF=Y")</f>
        <v>1716</v>
      </c>
      <c r="Y18" s="16">
        <f>_xll.BDH("XOM US Equity","NI_INCLUDING_MINORITY_INT_RATIO","FQ3 1995","FQ3 1995","Currency=USD","Period=FQ","BEST_FPERIOD_OVERRIDE=FQ","FILING_STATUS=OR","SCALING_FORMAT=MLN","FA_ADJUSTED=GAAP","Sort=A","Dates=H","DateFormat=P","Fill=—","Direction=H","UseDPDF=Y")</f>
        <v>1584</v>
      </c>
      <c r="Z18" s="16">
        <f>_xll.BDH("XOM US Equity","NI_INCLUDING_MINORITY_INT_RATIO","FQ4 1995","FQ4 1995","Currency=USD","Period=FQ","BEST_FPERIOD_OVERRIDE=FQ","FILING_STATUS=OR","SCALING_FORMAT=MLN","FA_ADJUSTED=GAAP","Sort=A","Dates=H","DateFormat=P","Fill=—","Direction=H","UseDPDF=Y")</f>
        <v>1737</v>
      </c>
      <c r="AA18" s="16">
        <f>_xll.BDH("XOM US Equity","NI_INCLUDING_MINORITY_INT_RATIO","FQ1 1996","FQ1 1996","Currency=USD","Period=FQ","BEST_FPERIOD_OVERRIDE=FQ","FILING_STATUS=OR","SCALING_FORMAT=MLN","FA_ADJUSTED=GAAP","Sort=A","Dates=H","DateFormat=P","Fill=—","Direction=H","UseDPDF=Y")</f>
        <v>2024</v>
      </c>
      <c r="AB18" s="16">
        <f>_xll.BDH("XOM US Equity","NI_INCLUDING_MINORITY_INT_RATIO","FQ2 1996","FQ2 1996","Currency=USD","Period=FQ","BEST_FPERIOD_OVERRIDE=FQ","FILING_STATUS=OR","SCALING_FORMAT=MLN","FA_ADJUSTED=GAAP","Sort=A","Dates=H","DateFormat=P","Fill=—","Direction=H","UseDPDF=Y")</f>
        <v>1650</v>
      </c>
      <c r="AC18" s="16">
        <f>_xll.BDH("XOM US Equity","NI_INCLUDING_MINORITY_INT_RATIO","FQ3 1996","FQ3 1996","Currency=USD","Period=FQ","BEST_FPERIOD_OVERRIDE=FQ","FILING_STATUS=OR","SCALING_FORMAT=MLN","FA_ADJUSTED=GAAP","Sort=A","Dates=H","DateFormat=P","Fill=—","Direction=H","UseDPDF=Y")</f>
        <v>1632</v>
      </c>
      <c r="AD18" s="16">
        <f>_xll.BDH("XOM US Equity","NI_INCLUDING_MINORITY_INT_RATIO","FQ4 1996","FQ4 1996","Currency=USD","Period=FQ","BEST_FPERIOD_OVERRIDE=FQ","FILING_STATUS=OR","SCALING_FORMAT=MLN","FA_ADJUSTED=GAAP","Sort=A","Dates=H","DateFormat=P","Fill=—","Direction=H","UseDPDF=Y")</f>
        <v>2588</v>
      </c>
      <c r="AE18" s="16">
        <f>_xll.BDH("XOM US Equity","NI_INCLUDING_MINORITY_INT_RATIO","FQ1 1997","FQ1 1997","Currency=USD","Period=FQ","BEST_FPERIOD_OVERRIDE=FQ","FILING_STATUS=OR","SCALING_FORMAT=MLN","FA_ADJUSTED=GAAP","Sort=A","Dates=H","DateFormat=P","Fill=—","Direction=H","UseDPDF=Y")</f>
        <v>2274</v>
      </c>
      <c r="AF18" s="16">
        <f>_xll.BDH("XOM US Equity","NI_INCLUDING_MINORITY_INT_RATIO","FQ2 1997","FQ2 1997","Currency=USD","Period=FQ","BEST_FPERIOD_OVERRIDE=FQ","FILING_STATUS=OR","SCALING_FORMAT=MLN","FA_ADJUSTED=GAAP","Sort=A","Dates=H","DateFormat=P","Fill=—","Direction=H","UseDPDF=Y")</f>
        <v>2063</v>
      </c>
      <c r="AG18" s="16">
        <f>_xll.BDH("XOM US Equity","NI_INCLUDING_MINORITY_INT_RATIO","FQ3 1997","FQ3 1997","Currency=USD","Period=FQ","BEST_FPERIOD_OVERRIDE=FQ","FILING_STATUS=OR","SCALING_FORMAT=MLN","FA_ADJUSTED=GAAP","Sort=A","Dates=H","DateFormat=P","Fill=—","Direction=H","UseDPDF=Y")</f>
        <v>1916</v>
      </c>
      <c r="AH18" s="16">
        <f>_xll.BDH("XOM US Equity","NI_INCLUDING_MINORITY_INT_RATIO","FQ4 1997","FQ4 1997","Currency=USD","Period=FQ","BEST_FPERIOD_OVERRIDE=FQ","FILING_STATUS=OR","SCALING_FORMAT=MLN","FA_ADJUSTED=GAAP","Sort=A","Dates=H","DateFormat=P","Fill=—","Direction=H","UseDPDF=Y")</f>
        <v>5498</v>
      </c>
      <c r="AI18" s="16">
        <f>_xll.BDH("XOM US Equity","NI_INCLUDING_MINORITY_INT_RATIO","FQ1 1998","FQ1 1998","Currency=USD","Period=FQ","BEST_FPERIOD_OVERRIDE=FQ","FILING_STATUS=OR","SCALING_FORMAT=MLN","FA_ADJUSTED=GAAP","Sort=A","Dates=H","DateFormat=P","Fill=—","Direction=H","UseDPDF=Y")</f>
        <v>2000</v>
      </c>
      <c r="AJ18" s="16">
        <f>_xll.BDH("XOM US Equity","NI_INCLUDING_MINORITY_INT_RATIO","FQ2 1998","FQ2 1998","Currency=USD","Period=FQ","BEST_FPERIOD_OVERRIDE=FQ","FILING_STATUS=OR","SCALING_FORMAT=MLN","FA_ADJUSTED=GAAP","Sort=A","Dates=H","DateFormat=P","Fill=—","Direction=H","UseDPDF=Y")</f>
        <v>1685</v>
      </c>
    </row>
    <row r="19" spans="1:36" x14ac:dyDescent="0.25">
      <c r="A19" s="10" t="s">
        <v>99</v>
      </c>
      <c r="B19" s="10" t="s">
        <v>100</v>
      </c>
      <c r="C19" s="13">
        <f>_xll.BDH("XOM US Equity","MIN_NONCONTROL_INTEREST_CREDITS","FQ1 1990","FQ1 1990","Currency=USD","Period=FQ","BEST_FPERIOD_OVERRIDE=FQ","FILING_STATUS=OR","SCALING_FORMAT=MLN","FA_ADJUSTED=GAAP","Sort=A","Dates=H","DateFormat=P","Fill=—","Direction=H","UseDPDF=Y")</f>
        <v>71</v>
      </c>
      <c r="D19" s="13">
        <f>_xll.BDH("XOM US Equity","MIN_NONCONTROL_INTEREST_CREDITS","FQ2 1990","FQ2 1990","Currency=USD","Period=FQ","BEST_FPERIOD_OVERRIDE=FQ","FILING_STATUS=OR","SCALING_FORMAT=MLN","FA_ADJUSTED=GAAP","Sort=A","Dates=H","DateFormat=P","Fill=—","Direction=H","UseDPDF=Y")</f>
        <v>110</v>
      </c>
      <c r="E19" s="13">
        <f>_xll.BDH("XOM US Equity","MIN_NONCONTROL_INTEREST_CREDITS","FQ3 1990","FQ3 1990","Currency=USD","Period=FQ","BEST_FPERIOD_OVERRIDE=FQ","FILING_STATUS=OR","SCALING_FORMAT=MLN","FA_ADJUSTED=GAAP","Sort=A","Dates=H","DateFormat=P","Fill=—","Direction=H","UseDPDF=Y")</f>
        <v>58</v>
      </c>
      <c r="F19" s="13">
        <f>_xll.BDH("XOM US Equity","MIN_NONCONTROL_INTEREST_CREDITS","FQ4 1990","FQ4 1990","Currency=USD","Period=FQ","BEST_FPERIOD_OVERRIDE=FQ","FILING_STATUS=OR","SCALING_FORMAT=MLN","FA_ADJUSTED=GAAP","Sort=A","Dates=H","DateFormat=P","Fill=—","Direction=H","UseDPDF=Y")</f>
        <v>33</v>
      </c>
      <c r="G19" s="13">
        <f>_xll.BDH("XOM US Equity","MIN_NONCONTROL_INTEREST_CREDITS","FQ1 1991","FQ1 1991","Currency=USD","Period=FQ","BEST_FPERIOD_OVERRIDE=FQ","FILING_STATUS=OR","SCALING_FORMAT=MLN","FA_ADJUSTED=GAAP","Sort=A","Dates=H","DateFormat=P","Fill=—","Direction=H","UseDPDF=Y")</f>
        <v>101</v>
      </c>
      <c r="H19" s="13">
        <f>_xll.BDH("XOM US Equity","MIN_NONCONTROL_INTEREST_CREDITS","FQ2 1991","FQ2 1991","Currency=USD","Period=FQ","BEST_FPERIOD_OVERRIDE=FQ","FILING_STATUS=OR","SCALING_FORMAT=MLN","FA_ADJUSTED=GAAP","Sort=A","Dates=H","DateFormat=P","Fill=—","Direction=H","UseDPDF=Y")</f>
        <v>47</v>
      </c>
      <c r="I19" s="13">
        <f>_xll.BDH("XOM US Equity","MIN_NONCONTROL_INTEREST_CREDITS","FQ3 1991","FQ3 1991","Currency=USD","Period=FQ","BEST_FPERIOD_OVERRIDE=FQ","FILING_STATUS=OR","SCALING_FORMAT=MLN","FA_ADJUSTED=GAAP","Sort=A","Dates=H","DateFormat=P","Fill=—","Direction=H","UseDPDF=Y")</f>
        <v>76</v>
      </c>
      <c r="J19" s="13">
        <f>_xll.BDH("XOM US Equity","MIN_NONCONTROL_INTEREST_CREDITS","FQ4 1991","FQ4 1991","Currency=USD","Period=FQ","BEST_FPERIOD_OVERRIDE=FQ","FILING_STATUS=OR","SCALING_FORMAT=MLN","FA_ADJUSTED=GAAP","Sort=A","Dates=H","DateFormat=P","Fill=—","Direction=H","UseDPDF=Y")</f>
        <v>-57</v>
      </c>
      <c r="K19" s="13">
        <f>_xll.BDH("XOM US Equity","MIN_NONCONTROL_INTEREST_CREDITS","FQ1 1992","FQ1 1992","Currency=USD","Period=FQ","BEST_FPERIOD_OVERRIDE=FQ","FILING_STATUS=OR","SCALING_FORMAT=MLN","FA_ADJUSTED=GAAP","Sort=A","Dates=H","DateFormat=P","Fill=—","Direction=H","UseDPDF=Y")</f>
        <v>50</v>
      </c>
      <c r="L19" s="13">
        <f>_xll.BDH("XOM US Equity","MIN_NONCONTROL_INTEREST_CREDITS","FQ2 1992","FQ2 1992","Currency=USD","Period=FQ","BEST_FPERIOD_OVERRIDE=FQ","FILING_STATUS=OR","SCALING_FORMAT=MLN","FA_ADJUSTED=GAAP","Sort=A","Dates=H","DateFormat=P","Fill=—","Direction=H","UseDPDF=Y")</f>
        <v>57</v>
      </c>
      <c r="M19" s="13">
        <f>_xll.BDH("XOM US Equity","MIN_NONCONTROL_INTEREST_CREDITS","FQ3 1992","FQ3 1992","Currency=USD","Period=FQ","BEST_FPERIOD_OVERRIDE=FQ","FILING_STATUS=OR","SCALING_FORMAT=MLN","FA_ADJUSTED=GAAP","Sort=A","Dates=H","DateFormat=P","Fill=—","Direction=H","UseDPDF=Y")</f>
        <v>92</v>
      </c>
      <c r="N19" s="13">
        <f>_xll.BDH("XOM US Equity","MIN_NONCONTROL_INTEREST_CREDITS","FQ4 1992","FQ4 1992","Currency=USD","Period=FQ","BEST_FPERIOD_OVERRIDE=FQ","FILING_STATUS=OR","SCALING_FORMAT=MLN","FA_ADJUSTED=GAAP","Sort=A","Dates=H","DateFormat=P","Fill=—","Direction=H","UseDPDF=Y")</f>
        <v>48</v>
      </c>
      <c r="O19" s="13">
        <f>_xll.BDH("XOM US Equity","MIN_NONCONTROL_INTEREST_CREDITS","FQ1 1993","FQ1 1993","Currency=USD","Period=FQ","BEST_FPERIOD_OVERRIDE=FQ","FILING_STATUS=OR","SCALING_FORMAT=MLN","FA_ADJUSTED=GAAP","Sort=A","Dates=H","DateFormat=P","Fill=—","Direction=H","UseDPDF=Y")</f>
        <v>65</v>
      </c>
      <c r="P19" s="13">
        <f>_xll.BDH("XOM US Equity","MIN_NONCONTROL_INTEREST_CREDITS","FQ2 1993","FQ2 1993","Currency=USD","Period=FQ","BEST_FPERIOD_OVERRIDE=FQ","FILING_STATUS=OR","SCALING_FORMAT=MLN","FA_ADJUSTED=GAAP","Sort=A","Dates=H","DateFormat=P","Fill=—","Direction=H","UseDPDF=Y")</f>
        <v>58</v>
      </c>
      <c r="Q19" s="13">
        <f>_xll.BDH("XOM US Equity","MIN_NONCONTROL_INTEREST_CREDITS","FQ3 1993","FQ3 1993","Currency=USD","Period=FQ","BEST_FPERIOD_OVERRIDE=FQ","FILING_STATUS=OR","SCALING_FORMAT=MLN","FA_ADJUSTED=GAAP","Sort=A","Dates=H","DateFormat=P","Fill=—","Direction=H","UseDPDF=Y")</f>
        <v>64</v>
      </c>
      <c r="R19" s="13">
        <f>_xll.BDH("XOM US Equity","MIN_NONCONTROL_INTEREST_CREDITS","FQ4 1993","FQ4 1993","Currency=USD","Period=FQ","BEST_FPERIOD_OVERRIDE=FQ","FILING_STATUS=OR","SCALING_FORMAT=MLN","FA_ADJUSTED=GAAP","Sort=A","Dates=H","DateFormat=P","Fill=—","Direction=H","UseDPDF=Y")</f>
        <v>63</v>
      </c>
      <c r="S19" s="13">
        <f>_xll.BDH("XOM US Equity","MIN_NONCONTROL_INTEREST_CREDITS","FQ1 1994","FQ1 1994","Currency=USD","Period=FQ","BEST_FPERIOD_OVERRIDE=FQ","FILING_STATUS=OR","SCALING_FORMAT=MLN","FA_ADJUSTED=GAAP","Sort=A","Dates=H","DateFormat=P","Fill=—","Direction=H","UseDPDF=Y")</f>
        <v>54</v>
      </c>
      <c r="T19" s="13">
        <f>_xll.BDH("XOM US Equity","MIN_NONCONTROL_INTEREST_CREDITS","FQ2 1994","FQ2 1994","Currency=USD","Period=FQ","BEST_FPERIOD_OVERRIDE=FQ","FILING_STATUS=OR","SCALING_FORMAT=MLN","FA_ADJUSTED=GAAP","Sort=A","Dates=H","DateFormat=P","Fill=—","Direction=H","UseDPDF=Y")</f>
        <v>38</v>
      </c>
      <c r="U19" s="13">
        <f>_xll.BDH("XOM US Equity","MIN_NONCONTROL_INTEREST_CREDITS","FQ3 1994","FQ3 1994","Currency=USD","Period=FQ","BEST_FPERIOD_OVERRIDE=FQ","FILING_STATUS=OR","SCALING_FORMAT=MLN","FA_ADJUSTED=GAAP","Sort=A","Dates=H","DateFormat=P","Fill=—","Direction=H","UseDPDF=Y")</f>
        <v>97</v>
      </c>
      <c r="V19" s="13">
        <f>_xll.BDH("XOM US Equity","MIN_NONCONTROL_INTEREST_CREDITS","FQ4 1994","FQ4 1994","Currency=USD","Period=FQ","BEST_FPERIOD_OVERRIDE=FQ","FILING_STATUS=OR","SCALING_FORMAT=MLN","FA_ADJUSTED=GAAP","Sort=A","Dates=H","DateFormat=P","Fill=—","Direction=H","UseDPDF=Y")</f>
        <v>44</v>
      </c>
      <c r="W19" s="13">
        <f>_xll.BDH("XOM US Equity","MIN_NONCONTROL_INTEREST_CREDITS","FQ1 1995","FQ1 1995","Currency=USD","Period=FQ","BEST_FPERIOD_OVERRIDE=FQ","FILING_STATUS=OR","SCALING_FORMAT=MLN","FA_ADJUSTED=GAAP","Sort=A","Dates=H","DateFormat=P","Fill=—","Direction=H","UseDPDF=Y")</f>
        <v>74</v>
      </c>
      <c r="X19" s="13">
        <f>_xll.BDH("XOM US Equity","MIN_NONCONTROL_INTEREST_CREDITS","FQ2 1995","FQ2 1995","Currency=USD","Period=FQ","BEST_FPERIOD_OVERRIDE=FQ","FILING_STATUS=OR","SCALING_FORMAT=MLN","FA_ADJUSTED=GAAP","Sort=A","Dates=H","DateFormat=P","Fill=—","Direction=H","UseDPDF=Y")</f>
        <v>86</v>
      </c>
      <c r="Y19" s="13">
        <f>_xll.BDH("XOM US Equity","MIN_NONCONTROL_INTEREST_CREDITS","FQ3 1995","FQ3 1995","Currency=USD","Period=FQ","BEST_FPERIOD_OVERRIDE=FQ","FILING_STATUS=OR","SCALING_FORMAT=MLN","FA_ADJUSTED=GAAP","Sort=A","Dates=H","DateFormat=P","Fill=—","Direction=H","UseDPDF=Y")</f>
        <v>84</v>
      </c>
      <c r="Z19" s="13">
        <f>_xll.BDH("XOM US Equity","MIN_NONCONTROL_INTEREST_CREDITS","FQ4 1995","FQ4 1995","Currency=USD","Period=FQ","BEST_FPERIOD_OVERRIDE=FQ","FILING_STATUS=OR","SCALING_FORMAT=MLN","FA_ADJUSTED=GAAP","Sort=A","Dates=H","DateFormat=P","Fill=—","Direction=H","UseDPDF=Y")</f>
        <v>57</v>
      </c>
      <c r="AA19" s="13">
        <f>_xll.BDH("XOM US Equity","MIN_NONCONTROL_INTEREST_CREDITS","FQ1 1996","FQ1 1996","Currency=USD","Period=FQ","BEST_FPERIOD_OVERRIDE=FQ","FILING_STATUS=OR","SCALING_FORMAT=MLN","FA_ADJUSTED=GAAP","Sort=A","Dates=H","DateFormat=P","Fill=—","Direction=H","UseDPDF=Y")</f>
        <v>139</v>
      </c>
      <c r="AB19" s="13">
        <f>_xll.BDH("XOM US Equity","MIN_NONCONTROL_INTEREST_CREDITS","FQ2 1996","FQ2 1996","Currency=USD","Period=FQ","BEST_FPERIOD_OVERRIDE=FQ","FILING_STATUS=OR","SCALING_FORMAT=MLN","FA_ADJUSTED=GAAP","Sort=A","Dates=H","DateFormat=P","Fill=—","Direction=H","UseDPDF=Y")</f>
        <v>80</v>
      </c>
      <c r="AC19" s="13">
        <f>_xll.BDH("XOM US Equity","MIN_NONCONTROL_INTEREST_CREDITS","FQ3 1996","FQ3 1996","Currency=USD","Period=FQ","BEST_FPERIOD_OVERRIDE=FQ","FILING_STATUS=OR","SCALING_FORMAT=MLN","FA_ADJUSTED=GAAP","Sort=A","Dates=H","DateFormat=P","Fill=—","Direction=H","UseDPDF=Y")</f>
        <v>72</v>
      </c>
      <c r="AD19" s="13">
        <f>_xll.BDH("XOM US Equity","MIN_NONCONTROL_INTEREST_CREDITS","FQ4 1996","FQ4 1996","Currency=USD","Period=FQ","BEST_FPERIOD_OVERRIDE=FQ","FILING_STATUS=OR","SCALING_FORMAT=MLN","FA_ADJUSTED=GAAP","Sort=A","Dates=H","DateFormat=P","Fill=—","Direction=H","UseDPDF=Y")</f>
        <v>93</v>
      </c>
      <c r="AE19" s="13">
        <f>_xll.BDH("XOM US Equity","MIN_NONCONTROL_INTEREST_CREDITS","FQ1 1997","FQ1 1997","Currency=USD","Period=FQ","BEST_FPERIOD_OVERRIDE=FQ","FILING_STATUS=OR","SCALING_FORMAT=MLN","FA_ADJUSTED=GAAP","Sort=A","Dates=H","DateFormat=P","Fill=—","Direction=H","UseDPDF=Y")</f>
        <v>99</v>
      </c>
      <c r="AF19" s="13">
        <f>_xll.BDH("XOM US Equity","MIN_NONCONTROL_INTEREST_CREDITS","FQ2 1997","FQ2 1997","Currency=USD","Period=FQ","BEST_FPERIOD_OVERRIDE=FQ","FILING_STATUS=OR","SCALING_FORMAT=MLN","FA_ADJUSTED=GAAP","Sort=A","Dates=H","DateFormat=P","Fill=—","Direction=H","UseDPDF=Y")</f>
        <v>98</v>
      </c>
      <c r="AG19" s="13">
        <f>_xll.BDH("XOM US Equity","MIN_NONCONTROL_INTEREST_CREDITS","FQ3 1997","FQ3 1997","Currency=USD","Period=FQ","BEST_FPERIOD_OVERRIDE=FQ","FILING_STATUS=OR","SCALING_FORMAT=MLN","FA_ADJUSTED=GAAP","Sort=A","Dates=H","DateFormat=P","Fill=—","Direction=H","UseDPDF=Y")</f>
        <v>96</v>
      </c>
      <c r="AH19" s="13">
        <f>_xll.BDH("XOM US Equity","MIN_NONCONTROL_INTEREST_CREDITS","FQ4 1997","FQ4 1997","Currency=USD","Period=FQ","BEST_FPERIOD_OVERRIDE=FQ","FILING_STATUS=OR","SCALING_FORMAT=MLN","FA_ADJUSTED=GAAP","Sort=A","Dates=H","DateFormat=P","Fill=—","Direction=H","UseDPDF=Y")</f>
        <v>113</v>
      </c>
      <c r="AI19" s="13">
        <f>_xll.BDH("XOM US Equity","MIN_NONCONTROL_INTEREST_CREDITS","FQ1 1998","FQ1 1998","Currency=USD","Period=FQ","BEST_FPERIOD_OVERRIDE=FQ","FILING_STATUS=OR","SCALING_FORMAT=MLN","FA_ADJUSTED=GAAP","Sort=A","Dates=H","DateFormat=P","Fill=—","Direction=H","UseDPDF=Y")</f>
        <v>110</v>
      </c>
      <c r="AJ19" s="13">
        <f>_xll.BDH("XOM US Equity","MIN_NONCONTROL_INTEREST_CREDITS","FQ2 1998","FQ2 1998","Currency=USD","Period=FQ","BEST_FPERIOD_OVERRIDE=FQ","FILING_STATUS=OR","SCALING_FORMAT=MLN","FA_ADJUSTED=GAAP","Sort=A","Dates=H","DateFormat=P","Fill=—","Direction=H","UseDPDF=Y")</f>
        <v>65</v>
      </c>
    </row>
    <row r="20" spans="1:36" x14ac:dyDescent="0.25">
      <c r="A20" s="6" t="s">
        <v>101</v>
      </c>
      <c r="B20" s="6" t="s">
        <v>102</v>
      </c>
      <c r="C20" s="16">
        <f>_xll.BDH("XOM US Equity","NET_INCOME","FQ1 1990","FQ1 1990","Currency=USD","Period=FQ","BEST_FPERIOD_OVERRIDE=FQ","FILING_STATUS=OR","SCALING_FORMAT=MLN","FA_ADJUSTED=GAAP","Sort=A","Dates=H","DateFormat=P","Fill=—","Direction=H","UseDPDF=Y")</f>
        <v>1280</v>
      </c>
      <c r="D20" s="16">
        <f>_xll.BDH("XOM US Equity","NET_INCOME","FQ2 1990","FQ2 1990","Currency=USD","Period=FQ","BEST_FPERIOD_OVERRIDE=FQ","FILING_STATUS=OR","SCALING_FORMAT=MLN","FA_ADJUSTED=GAAP","Sort=A","Dates=H","DateFormat=P","Fill=—","Direction=H","UseDPDF=Y")</f>
        <v>1100</v>
      </c>
      <c r="E20" s="16">
        <f>_xll.BDH("XOM US Equity","NET_INCOME","FQ3 1990","FQ3 1990","Currency=USD","Period=FQ","BEST_FPERIOD_OVERRIDE=FQ","FILING_STATUS=OR","SCALING_FORMAT=MLN","FA_ADJUSTED=GAAP","Sort=A","Dates=H","DateFormat=P","Fill=—","Direction=H","UseDPDF=Y")</f>
        <v>1075</v>
      </c>
      <c r="F20" s="16">
        <f>_xll.BDH("XOM US Equity","NET_INCOME","FQ4 1990","FQ4 1990","Currency=USD","Period=FQ","BEST_FPERIOD_OVERRIDE=FQ","FILING_STATUS=OR","SCALING_FORMAT=MLN","FA_ADJUSTED=GAAP","Sort=A","Dates=H","DateFormat=P","Fill=—","Direction=H","UseDPDF=Y")</f>
        <v>1555</v>
      </c>
      <c r="G20" s="16">
        <f>_xll.BDH("XOM US Equity","NET_INCOME","FQ1 1991","FQ1 1991","Currency=USD","Period=FQ","BEST_FPERIOD_OVERRIDE=FQ","FILING_STATUS=OR","SCALING_FORMAT=MLN","FA_ADJUSTED=GAAP","Sort=A","Dates=H","DateFormat=P","Fill=—","Direction=H","UseDPDF=Y")</f>
        <v>2240</v>
      </c>
      <c r="H20" s="16">
        <f>_xll.BDH("XOM US Equity","NET_INCOME","FQ2 1991","FQ2 1991","Currency=USD","Period=FQ","BEST_FPERIOD_OVERRIDE=FQ","FILING_STATUS=OR","SCALING_FORMAT=MLN","FA_ADJUSTED=GAAP","Sort=A","Dates=H","DateFormat=P","Fill=—","Direction=H","UseDPDF=Y")</f>
        <v>1125</v>
      </c>
      <c r="I20" s="16">
        <f>_xll.BDH("XOM US Equity","NET_INCOME","FQ3 1991","FQ3 1991","Currency=USD","Period=FQ","BEST_FPERIOD_OVERRIDE=FQ","FILING_STATUS=OR","SCALING_FORMAT=MLN","FA_ADJUSTED=GAAP","Sort=A","Dates=H","DateFormat=P","Fill=—","Direction=H","UseDPDF=Y")</f>
        <v>1115</v>
      </c>
      <c r="J20" s="16">
        <f>_xll.BDH("XOM US Equity","NET_INCOME","FQ4 1991","FQ4 1991","Currency=USD","Period=FQ","BEST_FPERIOD_OVERRIDE=FQ","FILING_STATUS=OR","SCALING_FORMAT=MLN","FA_ADJUSTED=GAAP","Sort=A","Dates=H","DateFormat=P","Fill=—","Direction=H","UseDPDF=Y")</f>
        <v>1120</v>
      </c>
      <c r="K20" s="16">
        <f>_xll.BDH("XOM US Equity","NET_INCOME","FQ1 1992","FQ1 1992","Currency=USD","Period=FQ","BEST_FPERIOD_OVERRIDE=FQ","FILING_STATUS=OR","SCALING_FORMAT=MLN","FA_ADJUSTED=GAAP","Sort=A","Dates=H","DateFormat=P","Fill=—","Direction=H","UseDPDF=Y")</f>
        <v>1350</v>
      </c>
      <c r="L20" s="16">
        <f>_xll.BDH("XOM US Equity","NET_INCOME","FQ2 1992","FQ2 1992","Currency=USD","Period=FQ","BEST_FPERIOD_OVERRIDE=FQ","FILING_STATUS=OR","SCALING_FORMAT=MLN","FA_ADJUSTED=GAAP","Sort=A","Dates=H","DateFormat=P","Fill=—","Direction=H","UseDPDF=Y")</f>
        <v>955</v>
      </c>
      <c r="M20" s="16">
        <f>_xll.BDH("XOM US Equity","NET_INCOME","FQ3 1992","FQ3 1992","Currency=USD","Period=FQ","BEST_FPERIOD_OVERRIDE=FQ","FILING_STATUS=OR","SCALING_FORMAT=MLN","FA_ADJUSTED=GAAP","Sort=A","Dates=H","DateFormat=P","Fill=—","Direction=H","UseDPDF=Y")</f>
        <v>1135</v>
      </c>
      <c r="N20" s="16">
        <f>_xll.BDH("XOM US Equity","NET_INCOME","FQ4 1992","FQ4 1992","Currency=USD","Period=FQ","BEST_FPERIOD_OVERRIDE=FQ","FILING_STATUS=OR","SCALING_FORMAT=MLN","FA_ADJUSTED=GAAP","Sort=A","Dates=H","DateFormat=P","Fill=—","Direction=H","UseDPDF=Y")</f>
        <v>1560</v>
      </c>
      <c r="O20" s="16">
        <f>_xll.BDH("XOM US Equity","NET_INCOME","FQ1 1993","FQ1 1993","Currency=USD","Period=FQ","BEST_FPERIOD_OVERRIDE=FQ","FILING_STATUS=OR","SCALING_FORMAT=MLN","FA_ADJUSTED=GAAP","Sort=A","Dates=H","DateFormat=P","Fill=—","Direction=H","UseDPDF=Y")</f>
        <v>1185</v>
      </c>
      <c r="P20" s="16">
        <f>_xll.BDH("XOM US Equity","NET_INCOME","FQ2 1993","FQ2 1993","Currency=USD","Period=FQ","BEST_FPERIOD_OVERRIDE=FQ","FILING_STATUS=OR","SCALING_FORMAT=MLN","FA_ADJUSTED=GAAP","Sort=A","Dates=H","DateFormat=P","Fill=—","Direction=H","UseDPDF=Y")</f>
        <v>1235</v>
      </c>
      <c r="Q20" s="16">
        <f>_xll.BDH("XOM US Equity","NET_INCOME","FQ3 1993","FQ3 1993","Currency=USD","Period=FQ","BEST_FPERIOD_OVERRIDE=FQ","FILING_STATUS=OR","SCALING_FORMAT=MLN","FA_ADJUSTED=GAAP","Sort=A","Dates=H","DateFormat=P","Fill=—","Direction=H","UseDPDF=Y")</f>
        <v>1360</v>
      </c>
      <c r="R20" s="16">
        <f>_xll.BDH("XOM US Equity","NET_INCOME","FQ4 1993","FQ4 1993","Currency=USD","Period=FQ","BEST_FPERIOD_OVERRIDE=FQ","FILING_STATUS=OR","SCALING_FORMAT=MLN","FA_ADJUSTED=GAAP","Sort=A","Dates=H","DateFormat=P","Fill=—","Direction=H","UseDPDF=Y")</f>
        <v>1500</v>
      </c>
      <c r="S20" s="16">
        <f>_xll.BDH("XOM US Equity","NET_INCOME","FQ1 1994","FQ1 1994","Currency=USD","Period=FQ","BEST_FPERIOD_OVERRIDE=FQ","FILING_STATUS=OR","SCALING_FORMAT=MLN","FA_ADJUSTED=GAAP","Sort=A","Dates=H","DateFormat=P","Fill=—","Direction=H","UseDPDF=Y")</f>
        <v>1160</v>
      </c>
      <c r="T20" s="16">
        <f>_xll.BDH("XOM US Equity","NET_INCOME","FQ2 1994","FQ2 1994","Currency=USD","Period=FQ","BEST_FPERIOD_OVERRIDE=FQ","FILING_STATUS=OR","SCALING_FORMAT=MLN","FA_ADJUSTED=GAAP","Sort=A","Dates=H","DateFormat=P","Fill=—","Direction=H","UseDPDF=Y")</f>
        <v>885</v>
      </c>
      <c r="U20" s="16">
        <f>_xll.BDH("XOM US Equity","NET_INCOME","FQ3 1994","FQ3 1994","Currency=USD","Period=FQ","BEST_FPERIOD_OVERRIDE=FQ","FILING_STATUS=OR","SCALING_FORMAT=MLN","FA_ADJUSTED=GAAP","Sort=A","Dates=H","DateFormat=P","Fill=—","Direction=H","UseDPDF=Y")</f>
        <v>1155</v>
      </c>
      <c r="V20" s="16">
        <f>_xll.BDH("XOM US Equity","NET_INCOME","FQ4 1994","FQ4 1994","Currency=USD","Period=FQ","BEST_FPERIOD_OVERRIDE=FQ","FILING_STATUS=OR","SCALING_FORMAT=MLN","FA_ADJUSTED=GAAP","Sort=A","Dates=H","DateFormat=P","Fill=—","Direction=H","UseDPDF=Y")</f>
        <v>1900</v>
      </c>
      <c r="W20" s="16">
        <f>_xll.BDH("XOM US Equity","NET_INCOME","FQ1 1995","FQ1 1995","Currency=USD","Period=FQ","BEST_FPERIOD_OVERRIDE=FQ","FILING_STATUS=OR","SCALING_FORMAT=MLN","FA_ADJUSTED=GAAP","Sort=A","Dates=H","DateFormat=P","Fill=—","Direction=H","UseDPDF=Y")</f>
        <v>1660</v>
      </c>
      <c r="X20" s="16">
        <f>_xll.BDH("XOM US Equity","NET_INCOME","FQ2 1995","FQ2 1995","Currency=USD","Period=FQ","BEST_FPERIOD_OVERRIDE=FQ","FILING_STATUS=OR","SCALING_FORMAT=MLN","FA_ADJUSTED=GAAP","Sort=A","Dates=H","DateFormat=P","Fill=—","Direction=H","UseDPDF=Y")</f>
        <v>1630</v>
      </c>
      <c r="Y20" s="16">
        <f>_xll.BDH("XOM US Equity","NET_INCOME","FQ3 1995","FQ3 1995","Currency=USD","Period=FQ","BEST_FPERIOD_OVERRIDE=FQ","FILING_STATUS=OR","SCALING_FORMAT=MLN","FA_ADJUSTED=GAAP","Sort=A","Dates=H","DateFormat=P","Fill=—","Direction=H","UseDPDF=Y")</f>
        <v>1500</v>
      </c>
      <c r="Z20" s="16">
        <f>_xll.BDH("XOM US Equity","NET_INCOME","FQ4 1995","FQ4 1995","Currency=USD","Period=FQ","BEST_FPERIOD_OVERRIDE=FQ","FILING_STATUS=OR","SCALING_FORMAT=MLN","FA_ADJUSTED=GAAP","Sort=A","Dates=H","DateFormat=P","Fill=—","Direction=H","UseDPDF=Y")</f>
        <v>1680</v>
      </c>
      <c r="AA20" s="16">
        <f>_xll.BDH("XOM US Equity","NET_INCOME","FQ1 1996","FQ1 1996","Currency=USD","Period=FQ","BEST_FPERIOD_OVERRIDE=FQ","FILING_STATUS=OR","SCALING_FORMAT=MLN","FA_ADJUSTED=GAAP","Sort=A","Dates=H","DateFormat=P","Fill=—","Direction=H","UseDPDF=Y")</f>
        <v>1885</v>
      </c>
      <c r="AB20" s="16">
        <f>_xll.BDH("XOM US Equity","NET_INCOME","FQ2 1996","FQ2 1996","Currency=USD","Period=FQ","BEST_FPERIOD_OVERRIDE=FQ","FILING_STATUS=OR","SCALING_FORMAT=MLN","FA_ADJUSTED=GAAP","Sort=A","Dates=H","DateFormat=P","Fill=—","Direction=H","UseDPDF=Y")</f>
        <v>1570</v>
      </c>
      <c r="AC20" s="16">
        <f>_xll.BDH("XOM US Equity","NET_INCOME","FQ3 1996","FQ3 1996","Currency=USD","Period=FQ","BEST_FPERIOD_OVERRIDE=FQ","FILING_STATUS=OR","SCALING_FORMAT=MLN","FA_ADJUSTED=GAAP","Sort=A","Dates=H","DateFormat=P","Fill=—","Direction=H","UseDPDF=Y")</f>
        <v>1560</v>
      </c>
      <c r="AD20" s="16">
        <f>_xll.BDH("XOM US Equity","NET_INCOME","FQ4 1996","FQ4 1996","Currency=USD","Period=FQ","BEST_FPERIOD_OVERRIDE=FQ","FILING_STATUS=OR","SCALING_FORMAT=MLN","FA_ADJUSTED=GAAP","Sort=A","Dates=H","DateFormat=P","Fill=—","Direction=H","UseDPDF=Y")</f>
        <v>2495</v>
      </c>
      <c r="AE20" s="16">
        <f>_xll.BDH("XOM US Equity","NET_INCOME","FQ1 1997","FQ1 1997","Currency=USD","Period=FQ","BEST_FPERIOD_OVERRIDE=FQ","FILING_STATUS=OR","SCALING_FORMAT=MLN","FA_ADJUSTED=GAAP","Sort=A","Dates=H","DateFormat=P","Fill=—","Direction=H","UseDPDF=Y")</f>
        <v>2175</v>
      </c>
      <c r="AF20" s="16">
        <f>_xll.BDH("XOM US Equity","NET_INCOME","FQ2 1997","FQ2 1997","Currency=USD","Period=FQ","BEST_FPERIOD_OVERRIDE=FQ","FILING_STATUS=OR","SCALING_FORMAT=MLN","FA_ADJUSTED=GAAP","Sort=A","Dates=H","DateFormat=P","Fill=—","Direction=H","UseDPDF=Y")</f>
        <v>1965</v>
      </c>
      <c r="AG20" s="16">
        <f>_xll.BDH("XOM US Equity","NET_INCOME","FQ3 1997","FQ3 1997","Currency=USD","Period=FQ","BEST_FPERIOD_OVERRIDE=FQ","FILING_STATUS=OR","SCALING_FORMAT=MLN","FA_ADJUSTED=GAAP","Sort=A","Dates=H","DateFormat=P","Fill=—","Direction=H","UseDPDF=Y")</f>
        <v>1820</v>
      </c>
      <c r="AH20" s="16">
        <f>_xll.BDH("XOM US Equity","NET_INCOME","FQ4 1997","FQ4 1997","Currency=USD","Period=FQ","BEST_FPERIOD_OVERRIDE=FQ","FILING_STATUS=OR","SCALING_FORMAT=MLN","FA_ADJUSTED=GAAP","Sort=A","Dates=H","DateFormat=P","Fill=—","Direction=H","UseDPDF=Y")</f>
        <v>2500</v>
      </c>
      <c r="AI20" s="16">
        <f>_xll.BDH("XOM US Equity","NET_INCOME","FQ1 1998","FQ1 1998","Currency=USD","Period=FQ","BEST_FPERIOD_OVERRIDE=FQ","FILING_STATUS=OR","SCALING_FORMAT=MLN","FA_ADJUSTED=GAAP","Sort=A","Dates=H","DateFormat=P","Fill=—","Direction=H","UseDPDF=Y")</f>
        <v>1890</v>
      </c>
      <c r="AJ20" s="16">
        <f>_xll.BDH("XOM US Equity","NET_INCOME","FQ2 1998","FQ2 1998","Currency=USD","Period=FQ","BEST_FPERIOD_OVERRIDE=FQ","FILING_STATUS=OR","SCALING_FORMAT=MLN","FA_ADJUSTED=GAAP","Sort=A","Dates=H","DateFormat=P","Fill=—","Direction=H","UseDPDF=Y")</f>
        <v>1620</v>
      </c>
    </row>
    <row r="21" spans="1:36" x14ac:dyDescent="0.25">
      <c r="A21" s="10" t="s">
        <v>103</v>
      </c>
      <c r="B21" s="10" t="s">
        <v>104</v>
      </c>
      <c r="C21" s="13">
        <f>_xll.BDH("XOM US Equity","IS_TOT_CASH_PFD_DVD","FQ1 1990","FQ1 1990","Currency=USD","Period=FQ","BEST_FPERIOD_OVERRIDE=FQ","FILING_STATUS=OR","SCALING_FORMAT=MLN","Sort=A","Dates=H","DateFormat=P","Fill=—","Direction=H","UseDPDF=Y")</f>
        <v>19</v>
      </c>
      <c r="D21" s="13">
        <f>_xll.BDH("XOM US Equity","IS_TOT_CASH_PFD_DVD","FQ2 1990","FQ2 1990","Currency=USD","Period=FQ","BEST_FPERIOD_OVERRIDE=FQ","FILING_STATUS=OR","SCALING_FORMAT=MLN","Sort=A","Dates=H","DateFormat=P","Fill=—","Direction=H","UseDPDF=Y")</f>
        <v>19</v>
      </c>
      <c r="E21" s="13">
        <f>_xll.BDH("XOM US Equity","IS_TOT_CASH_PFD_DVD","FQ3 1990","FQ3 1990","Currency=USD","Period=FQ","BEST_FPERIOD_OVERRIDE=FQ","FILING_STATUS=OR","SCALING_FORMAT=MLN","Sort=A","Dates=H","DateFormat=P","Fill=—","Direction=H","UseDPDF=Y")</f>
        <v>19</v>
      </c>
      <c r="F21" s="13">
        <f>_xll.BDH("XOM US Equity","IS_TOT_CASH_PFD_DVD","FQ4 1990","FQ4 1990","Currency=USD","Period=FQ","BEST_FPERIOD_OVERRIDE=FQ","FILING_STATUS=OR","SCALING_FORMAT=MLN","Sort=A","Dates=H","DateFormat=P","Fill=—","Direction=H","UseDPDF=Y")</f>
        <v>18</v>
      </c>
      <c r="G21" s="13">
        <f>_xll.BDH("XOM US Equity","IS_TOT_CASH_PFD_DVD","FQ1 1991","FQ1 1991","Currency=USD","Period=FQ","BEST_FPERIOD_OVERRIDE=FQ","FILING_STATUS=OR","SCALING_FORMAT=MLN","Sort=A","Dates=H","DateFormat=P","Fill=—","Direction=H","UseDPDF=Y")</f>
        <v>18</v>
      </c>
      <c r="H21" s="13">
        <f>_xll.BDH("XOM US Equity","IS_TOT_CASH_PFD_DVD","FQ2 1991","FQ2 1991","Currency=USD","Period=FQ","BEST_FPERIOD_OVERRIDE=FQ","FILING_STATUS=OR","SCALING_FORMAT=MLN","Sort=A","Dates=H","DateFormat=P","Fill=—","Direction=H","UseDPDF=Y")</f>
        <v>17</v>
      </c>
      <c r="I21" s="13">
        <f>_xll.BDH("XOM US Equity","IS_TOT_CASH_PFD_DVD","FQ3 1991","FQ3 1991","Currency=USD","Period=FQ","BEST_FPERIOD_OVERRIDE=FQ","FILING_STATUS=OR","SCALING_FORMAT=MLN","Sort=A","Dates=H","DateFormat=P","Fill=—","Direction=H","UseDPDF=Y")</f>
        <v>17</v>
      </c>
      <c r="J21" s="13">
        <f>_xll.BDH("XOM US Equity","IS_TOT_CASH_PFD_DVD","FQ4 1991","FQ4 1991","Currency=USD","Period=FQ","BEST_FPERIOD_OVERRIDE=FQ","FILING_STATUS=OR","SCALING_FORMAT=MLN","Sort=A","Dates=H","DateFormat=P","Fill=—","Direction=H","UseDPDF=Y")</f>
        <v>17</v>
      </c>
      <c r="K21" s="13">
        <f>_xll.BDH("XOM US Equity","IS_TOT_CASH_PFD_DVD","FQ1 1992","FQ1 1992","Currency=USD","Period=FQ","BEST_FPERIOD_OVERRIDE=FQ","FILING_STATUS=OR","SCALING_FORMAT=MLN","Sort=A","Dates=H","DateFormat=P","Fill=—","Direction=H","UseDPDF=Y")</f>
        <v>16</v>
      </c>
      <c r="L21" s="13">
        <f>_xll.BDH("XOM US Equity","IS_TOT_CASH_PFD_DVD","FQ2 1992","FQ2 1992","Currency=USD","Period=FQ","BEST_FPERIOD_OVERRIDE=FQ","FILING_STATUS=OR","SCALING_FORMAT=MLN","Sort=A","Dates=H","DateFormat=P","Fill=—","Direction=H","UseDPDF=Y")</f>
        <v>15</v>
      </c>
      <c r="M21" s="13">
        <f>_xll.BDH("XOM US Equity","IS_TOT_CASH_PFD_DVD","FQ3 1992","FQ3 1992","Currency=USD","Period=FQ","BEST_FPERIOD_OVERRIDE=FQ","FILING_STATUS=OR","SCALING_FORMAT=MLN","Sort=A","Dates=H","DateFormat=P","Fill=—","Direction=H","UseDPDF=Y")</f>
        <v>15</v>
      </c>
      <c r="N21" s="13">
        <f>_xll.BDH("XOM US Equity","IS_TOT_CASH_PFD_DVD","FQ4 1992","FQ4 1992","Currency=USD","Period=FQ","BEST_FPERIOD_OVERRIDE=FQ","FILING_STATUS=OR","SCALING_FORMAT=MLN","Sort=A","Dates=H","DateFormat=P","Fill=—","Direction=H","UseDPDF=Y")</f>
        <v>15</v>
      </c>
      <c r="O21" s="13">
        <f>_xll.BDH("XOM US Equity","IS_TOT_CASH_PFD_DVD","FQ1 1993","FQ1 1993","Currency=USD","Period=FQ","BEST_FPERIOD_OVERRIDE=FQ","FILING_STATUS=OR","SCALING_FORMAT=MLN","Sort=A","Dates=H","DateFormat=P","Fill=—","Direction=H","UseDPDF=Y")</f>
        <v>13.5</v>
      </c>
      <c r="P21" s="13">
        <f>_xll.BDH("XOM US Equity","IS_TOT_CASH_PFD_DVD","FQ2 1993","FQ2 1993","Currency=USD","Period=FQ","BEST_FPERIOD_OVERRIDE=FQ","FILING_STATUS=OR","SCALING_FORMAT=MLN","Sort=A","Dates=H","DateFormat=P","Fill=—","Direction=H","UseDPDF=Y")</f>
        <v>13.5</v>
      </c>
      <c r="Q21" s="13">
        <f>_xll.BDH("XOM US Equity","IS_TOT_CASH_PFD_DVD","FQ3 1993","FQ3 1993","Currency=USD","Period=FQ","BEST_FPERIOD_OVERRIDE=FQ","FILING_STATUS=OR","SCALING_FORMAT=MLN","Sort=A","Dates=H","DateFormat=P","Fill=—","Direction=H","UseDPDF=Y")</f>
        <v>13.5</v>
      </c>
      <c r="R21" s="13">
        <f>_xll.BDH("XOM US Equity","IS_TOT_CASH_PFD_DVD","FQ4 1993","FQ4 1993","Currency=USD","Period=FQ","BEST_FPERIOD_OVERRIDE=FQ","FILING_STATUS=OR","SCALING_FORMAT=MLN","Sort=A","Dates=H","DateFormat=P","Fill=—","Direction=H","UseDPDF=Y")</f>
        <v>13.5</v>
      </c>
      <c r="S21" s="13">
        <f>_xll.BDH("XOM US Equity","IS_TOT_CASH_PFD_DVD","FQ1 1994","FQ1 1994","Currency=USD","Period=FQ","BEST_FPERIOD_OVERRIDE=FQ","FILING_STATUS=OR","SCALING_FORMAT=MLN","Sort=A","Dates=H","DateFormat=P","Fill=—","Direction=H","UseDPDF=Y")</f>
        <v>11.5</v>
      </c>
      <c r="T21" s="13">
        <f>_xll.BDH("XOM US Equity","IS_TOT_CASH_PFD_DVD","FQ2 1994","FQ2 1994","Currency=USD","Period=FQ","BEST_FPERIOD_OVERRIDE=FQ","FILING_STATUS=OR","SCALING_FORMAT=MLN","Sort=A","Dates=H","DateFormat=P","Fill=—","Direction=H","UseDPDF=Y")</f>
        <v>11.5</v>
      </c>
      <c r="U21" s="13">
        <f>_xll.BDH("XOM US Equity","IS_TOT_CASH_PFD_DVD","FQ3 1994","FQ3 1994","Currency=USD","Period=FQ","BEST_FPERIOD_OVERRIDE=FQ","FILING_STATUS=OR","SCALING_FORMAT=MLN","Sort=A","Dates=H","DateFormat=P","Fill=—","Direction=H","UseDPDF=Y")</f>
        <v>11.5</v>
      </c>
      <c r="V21" s="13">
        <f>_xll.BDH("XOM US Equity","IS_TOT_CASH_PFD_DVD","FQ4 1994","FQ4 1994","Currency=USD","Period=FQ","BEST_FPERIOD_OVERRIDE=FQ","FILING_STATUS=OR","SCALING_FORMAT=MLN","Sort=A","Dates=H","DateFormat=P","Fill=—","Direction=H","UseDPDF=Y")</f>
        <v>11.5</v>
      </c>
      <c r="W21" s="13">
        <f>_xll.BDH("XOM US Equity","IS_TOT_CASH_PFD_DVD","FQ1 1995","FQ1 1995","Currency=USD","Period=FQ","BEST_FPERIOD_OVERRIDE=FQ","FILING_STATUS=OR","SCALING_FORMAT=MLN","Sort=A","Dates=H","DateFormat=P","Fill=—","Direction=H","UseDPDF=Y")</f>
        <v>9.5</v>
      </c>
      <c r="X21" s="13">
        <f>_xll.BDH("XOM US Equity","IS_TOT_CASH_PFD_DVD","FQ2 1995","FQ2 1995","Currency=USD","Period=FQ","BEST_FPERIOD_OVERRIDE=FQ","FILING_STATUS=OR","SCALING_FORMAT=MLN","Sort=A","Dates=H","DateFormat=P","Fill=—","Direction=H","UseDPDF=Y")</f>
        <v>9.5</v>
      </c>
      <c r="Y21" s="13">
        <f>_xll.BDH("XOM US Equity","IS_TOT_CASH_PFD_DVD","FQ3 1995","FQ3 1995","Currency=USD","Period=FQ","BEST_FPERIOD_OVERRIDE=FQ","FILING_STATUS=OR","SCALING_FORMAT=MLN","Sort=A","Dates=H","DateFormat=P","Fill=—","Direction=H","UseDPDF=Y")</f>
        <v>9.5</v>
      </c>
      <c r="Z21" s="13">
        <f>_xll.BDH("XOM US Equity","IS_TOT_CASH_PFD_DVD","FQ4 1995","FQ4 1995","Currency=USD","Period=FQ","BEST_FPERIOD_OVERRIDE=FQ","FILING_STATUS=OR","SCALING_FORMAT=MLN","Sort=A","Dates=H","DateFormat=P","Fill=—","Direction=H","UseDPDF=Y")</f>
        <v>9.5</v>
      </c>
      <c r="AA21" s="13">
        <f>_xll.BDH("XOM US Equity","IS_TOT_CASH_PFD_DVD","FQ1 1996","FQ1 1996","Currency=USD","Period=FQ","BEST_FPERIOD_OVERRIDE=FQ","FILING_STATUS=OR","SCALING_FORMAT=MLN","Sort=A","Dates=H","DateFormat=P","Fill=—","Direction=H","UseDPDF=Y")</f>
        <v>6.75</v>
      </c>
      <c r="AB21" s="13">
        <f>_xll.BDH("XOM US Equity","IS_TOT_CASH_PFD_DVD","FQ2 1996","FQ2 1996","Currency=USD","Period=FQ","BEST_FPERIOD_OVERRIDE=FQ","FILING_STATUS=OR","SCALING_FORMAT=MLN","Sort=A","Dates=H","DateFormat=P","Fill=—","Direction=H","UseDPDF=Y")</f>
        <v>6.75</v>
      </c>
      <c r="AC21" s="13">
        <f>_xll.BDH("XOM US Equity","IS_TOT_CASH_PFD_DVD","FQ3 1996","FQ3 1996","Currency=USD","Period=FQ","BEST_FPERIOD_OVERRIDE=FQ","FILING_STATUS=OR","SCALING_FORMAT=MLN","Sort=A","Dates=H","DateFormat=P","Fill=—","Direction=H","UseDPDF=Y")</f>
        <v>6.75</v>
      </c>
      <c r="AD21" s="13">
        <f>_xll.BDH("XOM US Equity","IS_TOT_CASH_PFD_DVD","FQ4 1996","FQ4 1996","Currency=USD","Period=FQ","BEST_FPERIOD_OVERRIDE=FQ","FILING_STATUS=OR","SCALING_FORMAT=MLN","Sort=A","Dates=H","DateFormat=P","Fill=—","Direction=H","UseDPDF=Y")</f>
        <v>6.75</v>
      </c>
      <c r="AE21" s="13">
        <f>_xll.BDH("XOM US Equity","IS_TOT_CASH_PFD_DVD","FQ1 1997","FQ1 1997","Currency=USD","Period=FQ","BEST_FPERIOD_OVERRIDE=FQ","FILING_STATUS=OR","SCALING_FORMAT=MLN","Sort=A","Dates=H","DateFormat=P","Fill=—","Direction=H","UseDPDF=Y")</f>
        <v>4.25</v>
      </c>
      <c r="AF21" s="13">
        <f>_xll.BDH("XOM US Equity","IS_TOT_CASH_PFD_DVD","FQ2 1997","FQ2 1997","Currency=USD","Period=FQ","BEST_FPERIOD_OVERRIDE=FQ","FILING_STATUS=OR","SCALING_FORMAT=MLN","Sort=A","Dates=H","DateFormat=P","Fill=—","Direction=H","UseDPDF=Y")</f>
        <v>4.25</v>
      </c>
      <c r="AG21" s="13">
        <f>_xll.BDH("XOM US Equity","IS_TOT_CASH_PFD_DVD","FQ3 1997","FQ3 1997","Currency=USD","Period=FQ","BEST_FPERIOD_OVERRIDE=FQ","FILING_STATUS=OR","SCALING_FORMAT=MLN","Sort=A","Dates=H","DateFormat=P","Fill=—","Direction=H","UseDPDF=Y")</f>
        <v>4.25</v>
      </c>
      <c r="AH21" s="13">
        <f>_xll.BDH("XOM US Equity","IS_TOT_CASH_PFD_DVD","FQ4 1997","FQ4 1997","Currency=USD","Period=FQ","BEST_FPERIOD_OVERRIDE=FQ","FILING_STATUS=OR","SCALING_FORMAT=MLN","Sort=A","Dates=H","DateFormat=P","Fill=—","Direction=H","UseDPDF=Y")</f>
        <v>4.25</v>
      </c>
      <c r="AI21" s="13">
        <f>_xll.BDH("XOM US Equity","IS_TOT_CASH_PFD_DVD","FQ1 1998","FQ1 1998","Currency=USD","Period=FQ","BEST_FPERIOD_OVERRIDE=FQ","FILING_STATUS=OR","SCALING_FORMAT=MLN","Sort=A","Dates=H","DateFormat=P","Fill=—","Direction=H","UseDPDF=Y")</f>
        <v>2.5</v>
      </c>
      <c r="AJ21" s="13">
        <f>_xll.BDH("XOM US Equity","IS_TOT_CASH_PFD_DVD","FQ2 1998","FQ2 1998","Currency=USD","Period=FQ","BEST_FPERIOD_OVERRIDE=FQ","FILING_STATUS=OR","SCALING_FORMAT=MLN","Sort=A","Dates=H","DateFormat=P","Fill=—","Direction=H","UseDPDF=Y")</f>
        <v>2.5</v>
      </c>
    </row>
    <row r="22" spans="1:36" x14ac:dyDescent="0.25">
      <c r="A22" s="6" t="s">
        <v>105</v>
      </c>
      <c r="B22" s="6" t="s">
        <v>106</v>
      </c>
      <c r="C22" s="16">
        <f>_xll.BDH("XOM US Equity","EARN_FOR_COMMON","FQ1 1990","FQ1 1990","Currency=USD","Period=FQ","BEST_FPERIOD_OVERRIDE=FQ","FILING_STATUS=OR","SCALING_FORMAT=MLN","FA_ADJUSTED=GAAP","Sort=A","Dates=H","DateFormat=P","Fill=—","Direction=H","UseDPDF=Y")</f>
        <v>1261</v>
      </c>
      <c r="D22" s="16">
        <f>_xll.BDH("XOM US Equity","EARN_FOR_COMMON","FQ2 1990","FQ2 1990","Currency=USD","Period=FQ","BEST_FPERIOD_OVERRIDE=FQ","FILING_STATUS=OR","SCALING_FORMAT=MLN","FA_ADJUSTED=GAAP","Sort=A","Dates=H","DateFormat=P","Fill=—","Direction=H","UseDPDF=Y")</f>
        <v>1081</v>
      </c>
      <c r="E22" s="16">
        <f>_xll.BDH("XOM US Equity","EARN_FOR_COMMON","FQ3 1990","FQ3 1990","Currency=USD","Period=FQ","BEST_FPERIOD_OVERRIDE=FQ","FILING_STATUS=OR","SCALING_FORMAT=MLN","FA_ADJUSTED=GAAP","Sort=A","Dates=H","DateFormat=P","Fill=—","Direction=H","UseDPDF=Y")</f>
        <v>1056</v>
      </c>
      <c r="F22" s="16">
        <f>_xll.BDH("XOM US Equity","EARN_FOR_COMMON","FQ4 1990","FQ4 1990","Currency=USD","Period=FQ","BEST_FPERIOD_OVERRIDE=FQ","FILING_STATUS=OR","SCALING_FORMAT=MLN","FA_ADJUSTED=GAAP","Sort=A","Dates=H","DateFormat=P","Fill=—","Direction=H","UseDPDF=Y")</f>
        <v>1537</v>
      </c>
      <c r="G22" s="16">
        <f>_xll.BDH("XOM US Equity","EARN_FOR_COMMON","FQ1 1991","FQ1 1991","Currency=USD","Period=FQ","BEST_FPERIOD_OVERRIDE=FQ","FILING_STATUS=OR","SCALING_FORMAT=MLN","FA_ADJUSTED=GAAP","Sort=A","Dates=H","DateFormat=P","Fill=—","Direction=H","UseDPDF=Y")</f>
        <v>2222</v>
      </c>
      <c r="H22" s="16">
        <f>_xll.BDH("XOM US Equity","EARN_FOR_COMMON","FQ2 1991","FQ2 1991","Currency=USD","Period=FQ","BEST_FPERIOD_OVERRIDE=FQ","FILING_STATUS=OR","SCALING_FORMAT=MLN","FA_ADJUSTED=GAAP","Sort=A","Dates=H","DateFormat=P","Fill=—","Direction=H","UseDPDF=Y")</f>
        <v>1108</v>
      </c>
      <c r="I22" s="16">
        <f>_xll.BDH("XOM US Equity","EARN_FOR_COMMON","FQ3 1991","FQ3 1991","Currency=USD","Period=FQ","BEST_FPERIOD_OVERRIDE=FQ","FILING_STATUS=OR","SCALING_FORMAT=MLN","FA_ADJUSTED=GAAP","Sort=A","Dates=H","DateFormat=P","Fill=—","Direction=H","UseDPDF=Y")</f>
        <v>1098</v>
      </c>
      <c r="J22" s="16">
        <f>_xll.BDH("XOM US Equity","EARN_FOR_COMMON","FQ4 1991","FQ4 1991","Currency=USD","Period=FQ","BEST_FPERIOD_OVERRIDE=FQ","FILING_STATUS=OR","SCALING_FORMAT=MLN","FA_ADJUSTED=GAAP","Sort=A","Dates=H","DateFormat=P","Fill=—","Direction=H","UseDPDF=Y")</f>
        <v>1103</v>
      </c>
      <c r="K22" s="16">
        <f>_xll.BDH("XOM US Equity","EARN_FOR_COMMON","FQ1 1992","FQ1 1992","Currency=USD","Period=FQ","BEST_FPERIOD_OVERRIDE=FQ","FILING_STATUS=OR","SCALING_FORMAT=MLN","FA_ADJUSTED=GAAP","Sort=A","Dates=H","DateFormat=P","Fill=—","Direction=H","UseDPDF=Y")</f>
        <v>1334</v>
      </c>
      <c r="L22" s="16">
        <f>_xll.BDH("XOM US Equity","EARN_FOR_COMMON","FQ2 1992","FQ2 1992","Currency=USD","Period=FQ","BEST_FPERIOD_OVERRIDE=FQ","FILING_STATUS=OR","SCALING_FORMAT=MLN","FA_ADJUSTED=GAAP","Sort=A","Dates=H","DateFormat=P","Fill=—","Direction=H","UseDPDF=Y")</f>
        <v>940</v>
      </c>
      <c r="M22" s="16">
        <f>_xll.BDH("XOM US Equity","EARN_FOR_COMMON","FQ3 1992","FQ3 1992","Currency=USD","Period=FQ","BEST_FPERIOD_OVERRIDE=FQ","FILING_STATUS=OR","SCALING_FORMAT=MLN","FA_ADJUSTED=GAAP","Sort=A","Dates=H","DateFormat=P","Fill=—","Direction=H","UseDPDF=Y")</f>
        <v>1120</v>
      </c>
      <c r="N22" s="16">
        <f>_xll.BDH("XOM US Equity","EARN_FOR_COMMON","FQ4 1992","FQ4 1992","Currency=USD","Period=FQ","BEST_FPERIOD_OVERRIDE=FQ","FILING_STATUS=OR","SCALING_FORMAT=MLN","FA_ADJUSTED=GAAP","Sort=A","Dates=H","DateFormat=P","Fill=—","Direction=H","UseDPDF=Y")</f>
        <v>1545</v>
      </c>
      <c r="O22" s="16">
        <f>_xll.BDH("XOM US Equity","EARN_FOR_COMMON","FQ1 1993","FQ1 1993","Currency=USD","Period=FQ","BEST_FPERIOD_OVERRIDE=FQ","FILING_STATUS=OR","SCALING_FORMAT=MLN","FA_ADJUSTED=GAAP","Sort=A","Dates=H","DateFormat=P","Fill=—","Direction=H","UseDPDF=Y")</f>
        <v>1171.5</v>
      </c>
      <c r="P22" s="16">
        <f>_xll.BDH("XOM US Equity","EARN_FOR_COMMON","FQ2 1993","FQ2 1993","Currency=USD","Period=FQ","BEST_FPERIOD_OVERRIDE=FQ","FILING_STATUS=OR","SCALING_FORMAT=MLN","FA_ADJUSTED=GAAP","Sort=A","Dates=H","DateFormat=P","Fill=—","Direction=H","UseDPDF=Y")</f>
        <v>1221.5</v>
      </c>
      <c r="Q22" s="16">
        <f>_xll.BDH("XOM US Equity","EARN_FOR_COMMON","FQ3 1993","FQ3 1993","Currency=USD","Period=FQ","BEST_FPERIOD_OVERRIDE=FQ","FILING_STATUS=OR","SCALING_FORMAT=MLN","FA_ADJUSTED=GAAP","Sort=A","Dates=H","DateFormat=P","Fill=—","Direction=H","UseDPDF=Y")</f>
        <v>1346.5</v>
      </c>
      <c r="R22" s="16">
        <f>_xll.BDH("XOM US Equity","EARN_FOR_COMMON","FQ4 1993","FQ4 1993","Currency=USD","Period=FQ","BEST_FPERIOD_OVERRIDE=FQ","FILING_STATUS=OR","SCALING_FORMAT=MLN","FA_ADJUSTED=GAAP","Sort=A","Dates=H","DateFormat=P","Fill=—","Direction=H","UseDPDF=Y")</f>
        <v>1486.5</v>
      </c>
      <c r="S22" s="16">
        <f>_xll.BDH("XOM US Equity","EARN_FOR_COMMON","FQ1 1994","FQ1 1994","Currency=USD","Period=FQ","BEST_FPERIOD_OVERRIDE=FQ","FILING_STATUS=OR","SCALING_FORMAT=MLN","FA_ADJUSTED=GAAP","Sort=A","Dates=H","DateFormat=P","Fill=—","Direction=H","UseDPDF=Y")</f>
        <v>1148.5</v>
      </c>
      <c r="T22" s="16">
        <f>_xll.BDH("XOM US Equity","EARN_FOR_COMMON","FQ2 1994","FQ2 1994","Currency=USD","Period=FQ","BEST_FPERIOD_OVERRIDE=FQ","FILING_STATUS=OR","SCALING_FORMAT=MLN","FA_ADJUSTED=GAAP","Sort=A","Dates=H","DateFormat=P","Fill=—","Direction=H","UseDPDF=Y")</f>
        <v>873.5</v>
      </c>
      <c r="U22" s="16">
        <f>_xll.BDH("XOM US Equity","EARN_FOR_COMMON","FQ3 1994","FQ3 1994","Currency=USD","Period=FQ","BEST_FPERIOD_OVERRIDE=FQ","FILING_STATUS=OR","SCALING_FORMAT=MLN","FA_ADJUSTED=GAAP","Sort=A","Dates=H","DateFormat=P","Fill=—","Direction=H","UseDPDF=Y")</f>
        <v>1143.5</v>
      </c>
      <c r="V22" s="16">
        <f>_xll.BDH("XOM US Equity","EARN_FOR_COMMON","FQ4 1994","FQ4 1994","Currency=USD","Period=FQ","BEST_FPERIOD_OVERRIDE=FQ","FILING_STATUS=OR","SCALING_FORMAT=MLN","FA_ADJUSTED=GAAP","Sort=A","Dates=H","DateFormat=P","Fill=—","Direction=H","UseDPDF=Y")</f>
        <v>1888.5</v>
      </c>
      <c r="W22" s="16">
        <f>_xll.BDH("XOM US Equity","EARN_FOR_COMMON","FQ1 1995","FQ1 1995","Currency=USD","Period=FQ","BEST_FPERIOD_OVERRIDE=FQ","FILING_STATUS=OR","SCALING_FORMAT=MLN","FA_ADJUSTED=GAAP","Sort=A","Dates=H","DateFormat=P","Fill=—","Direction=H","UseDPDF=Y")</f>
        <v>1650.5</v>
      </c>
      <c r="X22" s="16">
        <f>_xll.BDH("XOM US Equity","EARN_FOR_COMMON","FQ2 1995","FQ2 1995","Currency=USD","Period=FQ","BEST_FPERIOD_OVERRIDE=FQ","FILING_STATUS=OR","SCALING_FORMAT=MLN","FA_ADJUSTED=GAAP","Sort=A","Dates=H","DateFormat=P","Fill=—","Direction=H","UseDPDF=Y")</f>
        <v>1620.5</v>
      </c>
      <c r="Y22" s="16">
        <f>_xll.BDH("XOM US Equity","EARN_FOR_COMMON","FQ3 1995","FQ3 1995","Currency=USD","Period=FQ","BEST_FPERIOD_OVERRIDE=FQ","FILING_STATUS=OR","SCALING_FORMAT=MLN","FA_ADJUSTED=GAAP","Sort=A","Dates=H","DateFormat=P","Fill=—","Direction=H","UseDPDF=Y")</f>
        <v>1490.5</v>
      </c>
      <c r="Z22" s="16">
        <f>_xll.BDH("XOM US Equity","EARN_FOR_COMMON","FQ4 1995","FQ4 1995","Currency=USD","Period=FQ","BEST_FPERIOD_OVERRIDE=FQ","FILING_STATUS=OR","SCALING_FORMAT=MLN","FA_ADJUSTED=GAAP","Sort=A","Dates=H","DateFormat=P","Fill=—","Direction=H","UseDPDF=Y")</f>
        <v>1670.5</v>
      </c>
      <c r="AA22" s="16">
        <f>_xll.BDH("XOM US Equity","EARN_FOR_COMMON","FQ1 1996","FQ1 1996","Currency=USD","Period=FQ","BEST_FPERIOD_OVERRIDE=FQ","FILING_STATUS=OR","SCALING_FORMAT=MLN","FA_ADJUSTED=GAAP","Sort=A","Dates=H","DateFormat=P","Fill=—","Direction=H","UseDPDF=Y")</f>
        <v>1878.25</v>
      </c>
      <c r="AB22" s="16">
        <f>_xll.BDH("XOM US Equity","EARN_FOR_COMMON","FQ2 1996","FQ2 1996","Currency=USD","Period=FQ","BEST_FPERIOD_OVERRIDE=FQ","FILING_STATUS=OR","SCALING_FORMAT=MLN","FA_ADJUSTED=GAAP","Sort=A","Dates=H","DateFormat=P","Fill=—","Direction=H","UseDPDF=Y")</f>
        <v>1563.25</v>
      </c>
      <c r="AC22" s="16">
        <f>_xll.BDH("XOM US Equity","EARN_FOR_COMMON","FQ3 1996","FQ3 1996","Currency=USD","Period=FQ","BEST_FPERIOD_OVERRIDE=FQ","FILING_STATUS=OR","SCALING_FORMAT=MLN","FA_ADJUSTED=GAAP","Sort=A","Dates=H","DateFormat=P","Fill=—","Direction=H","UseDPDF=Y")</f>
        <v>1553.25</v>
      </c>
      <c r="AD22" s="16">
        <f>_xll.BDH("XOM US Equity","EARN_FOR_COMMON","FQ4 1996","FQ4 1996","Currency=USD","Period=FQ","BEST_FPERIOD_OVERRIDE=FQ","FILING_STATUS=OR","SCALING_FORMAT=MLN","FA_ADJUSTED=GAAP","Sort=A","Dates=H","DateFormat=P","Fill=—","Direction=H","UseDPDF=Y")</f>
        <v>2488.25</v>
      </c>
      <c r="AE22" s="16">
        <f>_xll.BDH("XOM US Equity","EARN_FOR_COMMON","FQ1 1997","FQ1 1997","Currency=USD","Period=FQ","BEST_FPERIOD_OVERRIDE=FQ","FILING_STATUS=OR","SCALING_FORMAT=MLN","FA_ADJUSTED=GAAP","Sort=A","Dates=H","DateFormat=P","Fill=—","Direction=H","UseDPDF=Y")</f>
        <v>2170.75</v>
      </c>
      <c r="AF22" s="16">
        <f>_xll.BDH("XOM US Equity","EARN_FOR_COMMON","FQ2 1997","FQ2 1997","Currency=USD","Period=FQ","BEST_FPERIOD_OVERRIDE=FQ","FILING_STATUS=OR","SCALING_FORMAT=MLN","FA_ADJUSTED=GAAP","Sort=A","Dates=H","DateFormat=P","Fill=—","Direction=H","UseDPDF=Y")</f>
        <v>1960.75</v>
      </c>
      <c r="AG22" s="16">
        <f>_xll.BDH("XOM US Equity","EARN_FOR_COMMON","FQ3 1997","FQ3 1997","Currency=USD","Period=FQ","BEST_FPERIOD_OVERRIDE=FQ","FILING_STATUS=OR","SCALING_FORMAT=MLN","FA_ADJUSTED=GAAP","Sort=A","Dates=H","DateFormat=P","Fill=—","Direction=H","UseDPDF=Y")</f>
        <v>1815.75</v>
      </c>
      <c r="AH22" s="16">
        <f>_xll.BDH("XOM US Equity","EARN_FOR_COMMON","FQ4 1997","FQ4 1997","Currency=USD","Period=FQ","BEST_FPERIOD_OVERRIDE=FQ","FILING_STATUS=OR","SCALING_FORMAT=MLN","FA_ADJUSTED=GAAP","Sort=A","Dates=H","DateFormat=P","Fill=—","Direction=H","UseDPDF=Y")</f>
        <v>2495.75</v>
      </c>
      <c r="AI22" s="16">
        <f>_xll.BDH("XOM US Equity","EARN_FOR_COMMON","FQ1 1998","FQ1 1998","Currency=USD","Period=FQ","BEST_FPERIOD_OVERRIDE=FQ","FILING_STATUS=OR","SCALING_FORMAT=MLN","FA_ADJUSTED=GAAP","Sort=A","Dates=H","DateFormat=P","Fill=—","Direction=H","UseDPDF=Y")</f>
        <v>1887.5</v>
      </c>
      <c r="AJ22" s="16">
        <f>_xll.BDH("XOM US Equity","EARN_FOR_COMMON","FQ2 1998","FQ2 1998","Currency=USD","Period=FQ","BEST_FPERIOD_OVERRIDE=FQ","FILING_STATUS=OR","SCALING_FORMAT=MLN","FA_ADJUSTED=GAAP","Sort=A","Dates=H","DateFormat=P","Fill=—","Direction=H","UseDPDF=Y")</f>
        <v>1617.5</v>
      </c>
    </row>
    <row r="23" spans="1:36" x14ac:dyDescent="0.25">
      <c r="A23" s="6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</row>
    <row r="24" spans="1:36" x14ac:dyDescent="0.25">
      <c r="A24" s="6" t="s">
        <v>107</v>
      </c>
      <c r="B24" s="6" t="s">
        <v>106</v>
      </c>
      <c r="C24" s="16">
        <f>_xll.BDH("XOM US Equity","EARN_FOR_COMMON","FQ1 1990","FQ1 1990","Currency=USD","Period=FQ","BEST_FPERIOD_OVERRIDE=FQ","FILING_STATUS=OR","SCALING_FORMAT=MLN","FA_ADJUSTED=Adjusted","Sort=A","Dates=H","DateFormat=P","Fill=—","Direction=H","UseDPDF=Y")</f>
        <v>1261</v>
      </c>
      <c r="D24" s="16">
        <f>_xll.BDH("XOM US Equity","EARN_FOR_COMMON","FQ2 1990","FQ2 1990","Currency=USD","Period=FQ","BEST_FPERIOD_OVERRIDE=FQ","FILING_STATUS=OR","SCALING_FORMAT=MLN","FA_ADJUSTED=Adjusted","Sort=A","Dates=H","DateFormat=P","Fill=—","Direction=H","UseDPDF=Y")</f>
        <v>1081</v>
      </c>
      <c r="E24" s="16">
        <f>_xll.BDH("XOM US Equity","EARN_FOR_COMMON","FQ3 1990","FQ3 1990","Currency=USD","Period=FQ","BEST_FPERIOD_OVERRIDE=FQ","FILING_STATUS=OR","SCALING_FORMAT=MLN","FA_ADJUSTED=Adjusted","Sort=A","Dates=H","DateFormat=P","Fill=—","Direction=H","UseDPDF=Y")</f>
        <v>1056</v>
      </c>
      <c r="F24" s="16">
        <f>_xll.BDH("XOM US Equity","EARN_FOR_COMMON","FQ4 1990","FQ4 1990","Currency=USD","Period=FQ","BEST_FPERIOD_OVERRIDE=FQ","FILING_STATUS=OR","SCALING_FORMAT=MLN","FA_ADJUSTED=Adjusted","Sort=A","Dates=H","DateFormat=P","Fill=—","Direction=H","UseDPDF=Y")</f>
        <v>1537</v>
      </c>
      <c r="G24" s="16">
        <f>_xll.BDH("XOM US Equity","EARN_FOR_COMMON","FQ1 1991","FQ1 1991","Currency=USD","Period=FQ","BEST_FPERIOD_OVERRIDE=FQ","FILING_STATUS=OR","SCALING_FORMAT=MLN","FA_ADJUSTED=Adjusted","Sort=A","Dates=H","DateFormat=P","Fill=—","Direction=H","UseDPDF=Y")</f>
        <v>2222</v>
      </c>
      <c r="H24" s="16">
        <f>_xll.BDH("XOM US Equity","EARN_FOR_COMMON","FQ2 1991","FQ2 1991","Currency=USD","Period=FQ","BEST_FPERIOD_OVERRIDE=FQ","FILING_STATUS=OR","SCALING_FORMAT=MLN","FA_ADJUSTED=Adjusted","Sort=A","Dates=H","DateFormat=P","Fill=—","Direction=H","UseDPDF=Y")</f>
        <v>1108</v>
      </c>
      <c r="I24" s="16">
        <f>_xll.BDH("XOM US Equity","EARN_FOR_COMMON","FQ3 1991","FQ3 1991","Currency=USD","Period=FQ","BEST_FPERIOD_OVERRIDE=FQ","FILING_STATUS=OR","SCALING_FORMAT=MLN","FA_ADJUSTED=Adjusted","Sort=A","Dates=H","DateFormat=P","Fill=—","Direction=H","UseDPDF=Y")</f>
        <v>1098</v>
      </c>
      <c r="J24" s="16">
        <f>_xll.BDH("XOM US Equity","EARN_FOR_COMMON","FQ4 1991","FQ4 1991","Currency=USD","Period=FQ","BEST_FPERIOD_OVERRIDE=FQ","FILING_STATUS=OR","SCALING_FORMAT=MLN","FA_ADJUSTED=Adjusted","Sort=A","Dates=H","DateFormat=P","Fill=—","Direction=H","UseDPDF=Y")</f>
        <v>1103</v>
      </c>
      <c r="K24" s="16">
        <f>_xll.BDH("XOM US Equity","EARN_FOR_COMMON","FQ1 1992","FQ1 1992","Currency=USD","Period=FQ","BEST_FPERIOD_OVERRIDE=FQ","FILING_STATUS=OR","SCALING_FORMAT=MLN","FA_ADJUSTED=Adjusted","Sort=A","Dates=H","DateFormat=P","Fill=—","Direction=H","UseDPDF=Y")</f>
        <v>1334</v>
      </c>
      <c r="L24" s="16">
        <f>_xll.BDH("XOM US Equity","EARN_FOR_COMMON","FQ2 1992","FQ2 1992","Currency=USD","Period=FQ","BEST_FPERIOD_OVERRIDE=FQ","FILING_STATUS=OR","SCALING_FORMAT=MLN","FA_ADJUSTED=Adjusted","Sort=A","Dates=H","DateFormat=P","Fill=—","Direction=H","UseDPDF=Y")</f>
        <v>940</v>
      </c>
      <c r="M24" s="16">
        <f>_xll.BDH("XOM US Equity","EARN_FOR_COMMON","FQ3 1992","FQ3 1992","Currency=USD","Period=FQ","BEST_FPERIOD_OVERRIDE=FQ","FILING_STATUS=OR","SCALING_FORMAT=MLN","FA_ADJUSTED=Adjusted","Sort=A","Dates=H","DateFormat=P","Fill=—","Direction=H","UseDPDF=Y")</f>
        <v>1120</v>
      </c>
      <c r="N24" s="16">
        <f>_xll.BDH("XOM US Equity","EARN_FOR_COMMON","FQ4 1992","FQ4 1992","Currency=USD","Period=FQ","BEST_FPERIOD_OVERRIDE=FQ","FILING_STATUS=OR","SCALING_FORMAT=MLN","FA_ADJUSTED=Adjusted","Sort=A","Dates=H","DateFormat=P","Fill=—","Direction=H","UseDPDF=Y")</f>
        <v>1545</v>
      </c>
      <c r="O24" s="16">
        <f>_xll.BDH("XOM US Equity","EARN_FOR_COMMON","FQ1 1993","FQ1 1993","Currency=USD","Period=FQ","BEST_FPERIOD_OVERRIDE=FQ","FILING_STATUS=OR","SCALING_FORMAT=MLN","FA_ADJUSTED=Adjusted","Sort=A","Dates=H","DateFormat=P","Fill=—","Direction=H","UseDPDF=Y")</f>
        <v>1171.5</v>
      </c>
      <c r="P24" s="16">
        <f>_xll.BDH("XOM US Equity","EARN_FOR_COMMON","FQ2 1993","FQ2 1993","Currency=USD","Period=FQ","BEST_FPERIOD_OVERRIDE=FQ","FILING_STATUS=OR","SCALING_FORMAT=MLN","FA_ADJUSTED=Adjusted","Sort=A","Dates=H","DateFormat=P","Fill=—","Direction=H","UseDPDF=Y")</f>
        <v>1221.5</v>
      </c>
      <c r="Q24" s="16">
        <f>_xll.BDH("XOM US Equity","EARN_FOR_COMMON","FQ3 1993","FQ3 1993","Currency=USD","Period=FQ","BEST_FPERIOD_OVERRIDE=FQ","FILING_STATUS=OR","SCALING_FORMAT=MLN","FA_ADJUSTED=Adjusted","Sort=A","Dates=H","DateFormat=P","Fill=—","Direction=H","UseDPDF=Y")</f>
        <v>1346.5</v>
      </c>
      <c r="R24" s="16">
        <f>_xll.BDH("XOM US Equity","EARN_FOR_COMMON","FQ4 1993","FQ4 1993","Currency=USD","Period=FQ","BEST_FPERIOD_OVERRIDE=FQ","FILING_STATUS=OR","SCALING_FORMAT=MLN","FA_ADJUSTED=Adjusted","Sort=A","Dates=H","DateFormat=P","Fill=—","Direction=H","UseDPDF=Y")</f>
        <v>1486.5</v>
      </c>
      <c r="S24" s="16">
        <f>_xll.BDH("XOM US Equity","EARN_FOR_COMMON","FQ1 1994","FQ1 1994","Currency=USD","Period=FQ","BEST_FPERIOD_OVERRIDE=FQ","FILING_STATUS=OR","SCALING_FORMAT=MLN","FA_ADJUSTED=Adjusted","Sort=A","Dates=H","DateFormat=P","Fill=—","Direction=H","UseDPDF=Y")</f>
        <v>1148.5</v>
      </c>
      <c r="T24" s="16">
        <f>_xll.BDH("XOM US Equity","EARN_FOR_COMMON","FQ2 1994","FQ2 1994","Currency=USD","Period=FQ","BEST_FPERIOD_OVERRIDE=FQ","FILING_STATUS=OR","SCALING_FORMAT=MLN","FA_ADJUSTED=Adjusted","Sort=A","Dates=H","DateFormat=P","Fill=—","Direction=H","UseDPDF=Y")</f>
        <v>873.5</v>
      </c>
      <c r="U24" s="16">
        <f>_xll.BDH("XOM US Equity","EARN_FOR_COMMON","FQ3 1994","FQ3 1994","Currency=USD","Period=FQ","BEST_FPERIOD_OVERRIDE=FQ","FILING_STATUS=OR","SCALING_FORMAT=MLN","FA_ADJUSTED=Adjusted","Sort=A","Dates=H","DateFormat=P","Fill=—","Direction=H","UseDPDF=Y")</f>
        <v>1143.5</v>
      </c>
      <c r="V24" s="16">
        <f>_xll.BDH("XOM US Equity","EARN_FOR_COMMON","FQ4 1994","FQ4 1994","Currency=USD","Period=FQ","BEST_FPERIOD_OVERRIDE=FQ","FILING_STATUS=OR","SCALING_FORMAT=MLN","FA_ADJUSTED=Adjusted","Sort=A","Dates=H","DateFormat=P","Fill=—","Direction=H","UseDPDF=Y")</f>
        <v>1888.5</v>
      </c>
      <c r="W24" s="16">
        <f>_xll.BDH("XOM US Equity","EARN_FOR_COMMON","FQ1 1995","FQ1 1995","Currency=USD","Period=FQ","BEST_FPERIOD_OVERRIDE=FQ","FILING_STATUS=OR","SCALING_FORMAT=MLN","FA_ADJUSTED=Adjusted","Sort=A","Dates=H","DateFormat=P","Fill=—","Direction=H","UseDPDF=Y")</f>
        <v>1650.5</v>
      </c>
      <c r="X24" s="16">
        <f>_xll.BDH("XOM US Equity","EARN_FOR_COMMON","FQ2 1995","FQ2 1995","Currency=USD","Period=FQ","BEST_FPERIOD_OVERRIDE=FQ","FILING_STATUS=OR","SCALING_FORMAT=MLN","FA_ADJUSTED=Adjusted","Sort=A","Dates=H","DateFormat=P","Fill=—","Direction=H","UseDPDF=Y")</f>
        <v>1620.5</v>
      </c>
      <c r="Y24" s="16">
        <f>_xll.BDH("XOM US Equity","EARN_FOR_COMMON","FQ3 1995","FQ3 1995","Currency=USD","Period=FQ","BEST_FPERIOD_OVERRIDE=FQ","FILING_STATUS=OR","SCALING_FORMAT=MLN","FA_ADJUSTED=Adjusted","Sort=A","Dates=H","DateFormat=P","Fill=—","Direction=H","UseDPDF=Y")</f>
        <v>1490.5</v>
      </c>
      <c r="Z24" s="16">
        <f>_xll.BDH("XOM US Equity","EARN_FOR_COMMON","FQ4 1995","FQ4 1995","Currency=USD","Period=FQ","BEST_FPERIOD_OVERRIDE=FQ","FILING_STATUS=OR","SCALING_FORMAT=MLN","FA_ADJUSTED=Adjusted","Sort=A","Dates=H","DateFormat=P","Fill=—","Direction=H","UseDPDF=Y")</f>
        <v>1670.5</v>
      </c>
      <c r="AA24" s="16">
        <f>_xll.BDH("XOM US Equity","EARN_FOR_COMMON","FQ1 1996","FQ1 1996","Currency=USD","Period=FQ","BEST_FPERIOD_OVERRIDE=FQ","FILING_STATUS=OR","SCALING_FORMAT=MLN","FA_ADJUSTED=Adjusted","Sort=A","Dates=H","DateFormat=P","Fill=—","Direction=H","UseDPDF=Y")</f>
        <v>1878.25</v>
      </c>
      <c r="AB24" s="16">
        <f>_xll.BDH("XOM US Equity","EARN_FOR_COMMON","FQ2 1996","FQ2 1996","Currency=USD","Period=FQ","BEST_FPERIOD_OVERRIDE=FQ","FILING_STATUS=OR","SCALING_FORMAT=MLN","FA_ADJUSTED=Adjusted","Sort=A","Dates=H","DateFormat=P","Fill=—","Direction=H","UseDPDF=Y")</f>
        <v>1563.25</v>
      </c>
      <c r="AC24" s="16">
        <f>_xll.BDH("XOM US Equity","EARN_FOR_COMMON","FQ3 1996","FQ3 1996","Currency=USD","Period=FQ","BEST_FPERIOD_OVERRIDE=FQ","FILING_STATUS=OR","SCALING_FORMAT=MLN","FA_ADJUSTED=Adjusted","Sort=A","Dates=H","DateFormat=P","Fill=—","Direction=H","UseDPDF=Y")</f>
        <v>1553.25</v>
      </c>
      <c r="AD24" s="16">
        <f>_xll.BDH("XOM US Equity","EARN_FOR_COMMON","FQ4 1996","FQ4 1996","Currency=USD","Period=FQ","BEST_FPERIOD_OVERRIDE=FQ","FILING_STATUS=OR","SCALING_FORMAT=MLN","FA_ADJUSTED=Adjusted","Sort=A","Dates=H","DateFormat=P","Fill=—","Direction=H","UseDPDF=Y")</f>
        <v>2488.25</v>
      </c>
      <c r="AE24" s="16">
        <f>_xll.BDH("XOM US Equity","EARN_FOR_COMMON","FQ1 1997","FQ1 1997","Currency=USD","Period=FQ","BEST_FPERIOD_OVERRIDE=FQ","FILING_STATUS=OR","SCALING_FORMAT=MLN","FA_ADJUSTED=Adjusted","Sort=A","Dates=H","DateFormat=P","Fill=—","Direction=H","UseDPDF=Y")</f>
        <v>2170.75</v>
      </c>
      <c r="AF24" s="16">
        <f>_xll.BDH("XOM US Equity","EARN_FOR_COMMON","FQ2 1997","FQ2 1997","Currency=USD","Period=FQ","BEST_FPERIOD_OVERRIDE=FQ","FILING_STATUS=OR","SCALING_FORMAT=MLN","FA_ADJUSTED=Adjusted","Sort=A","Dates=H","DateFormat=P","Fill=—","Direction=H","UseDPDF=Y")</f>
        <v>1960.75</v>
      </c>
      <c r="AG24" s="16">
        <f>_xll.BDH("XOM US Equity","EARN_FOR_COMMON","FQ3 1997","FQ3 1997","Currency=USD","Period=FQ","BEST_FPERIOD_OVERRIDE=FQ","FILING_STATUS=OR","SCALING_FORMAT=MLN","FA_ADJUSTED=Adjusted","Sort=A","Dates=H","DateFormat=P","Fill=—","Direction=H","UseDPDF=Y")</f>
        <v>1815.75</v>
      </c>
      <c r="AH24" s="16">
        <f>_xll.BDH("XOM US Equity","EARN_FOR_COMMON","FQ4 1997","FQ4 1997","Currency=USD","Period=FQ","BEST_FPERIOD_OVERRIDE=FQ","FILING_STATUS=OR","SCALING_FORMAT=MLN","FA_ADJUSTED=Adjusted","Sort=A","Dates=H","DateFormat=P","Fill=—","Direction=H","UseDPDF=Y")</f>
        <v>2495.75</v>
      </c>
      <c r="AI24" s="16">
        <f>_xll.BDH("XOM US Equity","EARN_FOR_COMMON","FQ1 1998","FQ1 1998","Currency=USD","Period=FQ","BEST_FPERIOD_OVERRIDE=FQ","FILING_STATUS=OR","SCALING_FORMAT=MLN","FA_ADJUSTED=Adjusted","Sort=A","Dates=H","DateFormat=P","Fill=—","Direction=H","UseDPDF=Y")</f>
        <v>1887.5</v>
      </c>
      <c r="AJ24" s="16">
        <f>_xll.BDH("XOM US Equity","EARN_FOR_COMMON","FQ2 1998","FQ2 1998","Currency=USD","Period=FQ","BEST_FPERIOD_OVERRIDE=FQ","FILING_STATUS=OR","SCALING_FORMAT=MLN","FA_ADJUSTED=Adjusted","Sort=A","Dates=H","DateFormat=P","Fill=—","Direction=H","UseDPDF=Y")</f>
        <v>1617.5</v>
      </c>
    </row>
    <row r="25" spans="1:36" x14ac:dyDescent="0.25">
      <c r="A25" s="10" t="s">
        <v>108</v>
      </c>
      <c r="B25" s="10" t="s">
        <v>96</v>
      </c>
      <c r="C25" s="13">
        <f>_xll.BDH("XOM US Equity","XO_GL_NET_OF_TAX","FQ1 1990","FQ1 1990","Currency=USD","Period=FQ","BEST_FPERIOD_OVERRIDE=FQ","FILING_STATUS=OR","SCALING_FORMAT=MLN","Sort=A","Dates=H","DateFormat=P","Fill=—","Direction=H","UseDPDF=Y")</f>
        <v>0</v>
      </c>
      <c r="D25" s="13">
        <f>_xll.BDH("XOM US Equity","XO_GL_NET_OF_TAX","FQ2 1990","FQ2 1990","Currency=USD","Period=FQ","BEST_FPERIOD_OVERRIDE=FQ","FILING_STATUS=OR","SCALING_FORMAT=MLN","Sort=A","Dates=H","DateFormat=P","Fill=—","Direction=H","UseDPDF=Y")</f>
        <v>0</v>
      </c>
      <c r="E25" s="13">
        <f>_xll.BDH("XOM US Equity","XO_GL_NET_OF_TAX","FQ3 1990","FQ3 1990","Currency=USD","Period=FQ","BEST_FPERIOD_OVERRIDE=FQ","FILING_STATUS=OR","SCALING_FORMAT=MLN","Sort=A","Dates=H","DateFormat=P","Fill=—","Direction=H","UseDPDF=Y")</f>
        <v>0</v>
      </c>
      <c r="F25" s="13">
        <f>_xll.BDH("XOM US Equity","XO_GL_NET_OF_TAX","FQ4 1990","FQ4 1990","Currency=USD","Period=FQ","BEST_FPERIOD_OVERRIDE=FQ","FILING_STATUS=OR","SCALING_FORMAT=MLN","Sort=A","Dates=H","DateFormat=P","Fill=—","Direction=H","UseDPDF=Y")</f>
        <v>0</v>
      </c>
      <c r="G25" s="13">
        <f>_xll.BDH("XOM US Equity","XO_GL_NET_OF_TAX","FQ1 1991","FQ1 1991","Currency=USD","Period=FQ","BEST_FPERIOD_OVERRIDE=FQ","FILING_STATUS=OR","SCALING_FORMAT=MLN","Sort=A","Dates=H","DateFormat=P","Fill=—","Direction=H","UseDPDF=Y")</f>
        <v>0</v>
      </c>
      <c r="H25" s="13">
        <f>_xll.BDH("XOM US Equity","XO_GL_NET_OF_TAX","FQ2 1991","FQ2 1991","Currency=USD","Period=FQ","BEST_FPERIOD_OVERRIDE=FQ","FILING_STATUS=OR","SCALING_FORMAT=MLN","Sort=A","Dates=H","DateFormat=P","Fill=—","Direction=H","UseDPDF=Y")</f>
        <v>0</v>
      </c>
      <c r="I25" s="13">
        <f>_xll.BDH("XOM US Equity","XO_GL_NET_OF_TAX","FQ3 1991","FQ3 1991","Currency=USD","Period=FQ","BEST_FPERIOD_OVERRIDE=FQ","FILING_STATUS=OR","SCALING_FORMAT=MLN","Sort=A","Dates=H","DateFormat=P","Fill=—","Direction=H","UseDPDF=Y")</f>
        <v>0</v>
      </c>
      <c r="J25" s="13">
        <f>_xll.BDH("XOM US Equity","XO_GL_NET_OF_TAX","FQ4 1991","FQ4 1991","Currency=USD","Period=FQ","BEST_FPERIOD_OVERRIDE=FQ","FILING_STATUS=OR","SCALING_FORMAT=MLN","Sort=A","Dates=H","DateFormat=P","Fill=—","Direction=H","UseDPDF=Y")</f>
        <v>0</v>
      </c>
      <c r="K25" s="13">
        <f>_xll.BDH("XOM US Equity","XO_GL_NET_OF_TAX","FQ1 1992","FQ1 1992","Currency=USD","Period=FQ","BEST_FPERIOD_OVERRIDE=FQ","FILING_STATUS=OR","SCALING_FORMAT=MLN","Sort=A","Dates=H","DateFormat=P","Fill=—","Direction=H","UseDPDF=Y")</f>
        <v>0</v>
      </c>
      <c r="L25" s="13">
        <f>_xll.BDH("XOM US Equity","XO_GL_NET_OF_TAX","FQ2 1992","FQ2 1992","Currency=USD","Period=FQ","BEST_FPERIOD_OVERRIDE=FQ","FILING_STATUS=OR","SCALING_FORMAT=MLN","Sort=A","Dates=H","DateFormat=P","Fill=—","Direction=H","UseDPDF=Y")</f>
        <v>0</v>
      </c>
      <c r="M25" s="13">
        <f>_xll.BDH("XOM US Equity","XO_GL_NET_OF_TAX","FQ3 1992","FQ3 1992","Currency=USD","Period=FQ","BEST_FPERIOD_OVERRIDE=FQ","FILING_STATUS=OR","SCALING_FORMAT=MLN","Sort=A","Dates=H","DateFormat=P","Fill=—","Direction=H","UseDPDF=Y")</f>
        <v>0</v>
      </c>
      <c r="N25" s="13">
        <f>_xll.BDH("XOM US Equity","XO_GL_NET_OF_TAX","FQ4 1992","FQ4 1992","Currency=USD","Period=FQ","BEST_FPERIOD_OVERRIDE=FQ","FILING_STATUS=OR","SCALING_FORMAT=MLN","Sort=A","Dates=H","DateFormat=P","Fill=—","Direction=H","UseDPDF=Y")</f>
        <v>40</v>
      </c>
      <c r="O25" s="13">
        <f>_xll.BDH("XOM US Equity","XO_GL_NET_OF_TAX","FQ1 1993","FQ1 1993","Currency=USD","Period=FQ","BEST_FPERIOD_OVERRIDE=FQ","FILING_STATUS=OR","SCALING_FORMAT=MLN","Sort=A","Dates=H","DateFormat=P","Fill=—","Direction=H","UseDPDF=Y")</f>
        <v>0</v>
      </c>
      <c r="P25" s="13">
        <f>_xll.BDH("XOM US Equity","XO_GL_NET_OF_TAX","FQ2 1993","FQ2 1993","Currency=USD","Period=FQ","BEST_FPERIOD_OVERRIDE=FQ","FILING_STATUS=OR","SCALING_FORMAT=MLN","Sort=A","Dates=H","DateFormat=P","Fill=—","Direction=H","UseDPDF=Y")</f>
        <v>0</v>
      </c>
      <c r="Q25" s="13">
        <f>_xll.BDH("XOM US Equity","XO_GL_NET_OF_TAX","FQ3 1993","FQ3 1993","Currency=USD","Period=FQ","BEST_FPERIOD_OVERRIDE=FQ","FILING_STATUS=OR","SCALING_FORMAT=MLN","Sort=A","Dates=H","DateFormat=P","Fill=—","Direction=H","UseDPDF=Y")</f>
        <v>0</v>
      </c>
      <c r="R25" s="13">
        <f>_xll.BDH("XOM US Equity","XO_GL_NET_OF_TAX","FQ4 1993","FQ4 1993","Currency=USD","Period=FQ","BEST_FPERIOD_OVERRIDE=FQ","FILING_STATUS=OR","SCALING_FORMAT=MLN","Sort=A","Dates=H","DateFormat=P","Fill=—","Direction=H","UseDPDF=Y")</f>
        <v>0</v>
      </c>
      <c r="S25" s="13">
        <f>_xll.BDH("XOM US Equity","XO_GL_NET_OF_TAX","FQ1 1994","FQ1 1994","Currency=USD","Period=FQ","BEST_FPERIOD_OVERRIDE=FQ","FILING_STATUS=OR","SCALING_FORMAT=MLN","Sort=A","Dates=H","DateFormat=P","Fill=—","Direction=H","UseDPDF=Y")</f>
        <v>0</v>
      </c>
      <c r="T25" s="13">
        <f>_xll.BDH("XOM US Equity","XO_GL_NET_OF_TAX","FQ2 1994","FQ2 1994","Currency=USD","Period=FQ","BEST_FPERIOD_OVERRIDE=FQ","FILING_STATUS=OR","SCALING_FORMAT=MLN","Sort=A","Dates=H","DateFormat=P","Fill=—","Direction=H","UseDPDF=Y")</f>
        <v>0</v>
      </c>
      <c r="U25" s="13">
        <f>_xll.BDH("XOM US Equity","XO_GL_NET_OF_TAX","FQ3 1994","FQ3 1994","Currency=USD","Period=FQ","BEST_FPERIOD_OVERRIDE=FQ","FILING_STATUS=OR","SCALING_FORMAT=MLN","Sort=A","Dates=H","DateFormat=P","Fill=—","Direction=H","UseDPDF=Y")</f>
        <v>0</v>
      </c>
      <c r="V25" s="13">
        <f>_xll.BDH("XOM US Equity","XO_GL_NET_OF_TAX","FQ4 1994","FQ4 1994","Currency=USD","Period=FQ","BEST_FPERIOD_OVERRIDE=FQ","FILING_STATUS=OR","SCALING_FORMAT=MLN","Sort=A","Dates=H","DateFormat=P","Fill=—","Direction=H","UseDPDF=Y")</f>
        <v>0</v>
      </c>
      <c r="W25" s="13">
        <f>_xll.BDH("XOM US Equity","XO_GL_NET_OF_TAX","FQ1 1995","FQ1 1995","Currency=USD","Period=FQ","BEST_FPERIOD_OVERRIDE=FQ","FILING_STATUS=OR","SCALING_FORMAT=MLN","Sort=A","Dates=H","DateFormat=P","Fill=—","Direction=H","UseDPDF=Y")</f>
        <v>0</v>
      </c>
      <c r="X25" s="13">
        <f>_xll.BDH("XOM US Equity","XO_GL_NET_OF_TAX","FQ2 1995","FQ2 1995","Currency=USD","Period=FQ","BEST_FPERIOD_OVERRIDE=FQ","FILING_STATUS=OR","SCALING_FORMAT=MLN","Sort=A","Dates=H","DateFormat=P","Fill=—","Direction=H","UseDPDF=Y")</f>
        <v>0</v>
      </c>
      <c r="Y25" s="13">
        <f>_xll.BDH("XOM US Equity","XO_GL_NET_OF_TAX","FQ3 1995","FQ3 1995","Currency=USD","Period=FQ","BEST_FPERIOD_OVERRIDE=FQ","FILING_STATUS=OR","SCALING_FORMAT=MLN","Sort=A","Dates=H","DateFormat=P","Fill=—","Direction=H","UseDPDF=Y")</f>
        <v>0</v>
      </c>
      <c r="Z25" s="13">
        <f>_xll.BDH("XOM US Equity","XO_GL_NET_OF_TAX","FQ4 1995","FQ4 1995","Currency=USD","Period=FQ","BEST_FPERIOD_OVERRIDE=FQ","FILING_STATUS=OR","SCALING_FORMAT=MLN","Sort=A","Dates=H","DateFormat=P","Fill=—","Direction=H","UseDPDF=Y")</f>
        <v>0</v>
      </c>
      <c r="AA25" s="13">
        <f>_xll.BDH("XOM US Equity","XO_GL_NET_OF_TAX","FQ1 1996","FQ1 1996","Currency=USD","Period=FQ","BEST_FPERIOD_OVERRIDE=FQ","FILING_STATUS=OR","SCALING_FORMAT=MLN","Sort=A","Dates=H","DateFormat=P","Fill=—","Direction=H","UseDPDF=Y")</f>
        <v>0</v>
      </c>
      <c r="AB25" s="13">
        <f>_xll.BDH("XOM US Equity","XO_GL_NET_OF_TAX","FQ2 1996","FQ2 1996","Currency=USD","Period=FQ","BEST_FPERIOD_OVERRIDE=FQ","FILING_STATUS=OR","SCALING_FORMAT=MLN","Sort=A","Dates=H","DateFormat=P","Fill=—","Direction=H","UseDPDF=Y")</f>
        <v>0</v>
      </c>
      <c r="AC25" s="13">
        <f>_xll.BDH("XOM US Equity","XO_GL_NET_OF_TAX","FQ3 1996","FQ3 1996","Currency=USD","Period=FQ","BEST_FPERIOD_OVERRIDE=FQ","FILING_STATUS=OR","SCALING_FORMAT=MLN","Sort=A","Dates=H","DateFormat=P","Fill=—","Direction=H","UseDPDF=Y")</f>
        <v>0</v>
      </c>
      <c r="AD25" s="13">
        <f>_xll.BDH("XOM US Equity","XO_GL_NET_OF_TAX","FQ4 1996","FQ4 1996","Currency=USD","Period=FQ","BEST_FPERIOD_OVERRIDE=FQ","FILING_STATUS=OR","SCALING_FORMAT=MLN","Sort=A","Dates=H","DateFormat=P","Fill=—","Direction=H","UseDPDF=Y")</f>
        <v>0</v>
      </c>
      <c r="AE25" s="13">
        <f>_xll.BDH("XOM US Equity","XO_GL_NET_OF_TAX","FQ1 1997","FQ1 1997","Currency=USD","Period=FQ","BEST_FPERIOD_OVERRIDE=FQ","FILING_STATUS=OR","SCALING_FORMAT=MLN","Sort=A","Dates=H","DateFormat=P","Fill=—","Direction=H","UseDPDF=Y")</f>
        <v>0</v>
      </c>
      <c r="AF25" s="13">
        <f>_xll.BDH("XOM US Equity","XO_GL_NET_OF_TAX","FQ2 1997","FQ2 1997","Currency=USD","Period=FQ","BEST_FPERIOD_OVERRIDE=FQ","FILING_STATUS=OR","SCALING_FORMAT=MLN","Sort=A","Dates=H","DateFormat=P","Fill=—","Direction=H","UseDPDF=Y")</f>
        <v>0</v>
      </c>
      <c r="AG25" s="13">
        <f>_xll.BDH("XOM US Equity","XO_GL_NET_OF_TAX","FQ3 1997","FQ3 1997","Currency=USD","Period=FQ","BEST_FPERIOD_OVERRIDE=FQ","FILING_STATUS=OR","SCALING_FORMAT=MLN","Sort=A","Dates=H","DateFormat=P","Fill=—","Direction=H","UseDPDF=Y")</f>
        <v>0</v>
      </c>
      <c r="AH25" s="13">
        <f>_xll.BDH("XOM US Equity","XO_GL_NET_OF_TAX","FQ4 1997","FQ4 1997","Currency=USD","Period=FQ","BEST_FPERIOD_OVERRIDE=FQ","FILING_STATUS=OR","SCALING_FORMAT=MLN","Sort=A","Dates=H","DateFormat=P","Fill=—","Direction=H","UseDPDF=Y")</f>
        <v>0</v>
      </c>
      <c r="AI25" s="13">
        <f>_xll.BDH("XOM US Equity","XO_GL_NET_OF_TAX","FQ1 1998","FQ1 1998","Currency=USD","Period=FQ","BEST_FPERIOD_OVERRIDE=FQ","FILING_STATUS=OR","SCALING_FORMAT=MLN","Sort=A","Dates=H","DateFormat=P","Fill=—","Direction=H","UseDPDF=Y")</f>
        <v>0</v>
      </c>
      <c r="AJ25" s="13">
        <f>_xll.BDH("XOM US Equity","XO_GL_NET_OF_TAX","FQ2 1998","FQ2 1998","Currency=USD","Period=FQ","BEST_FPERIOD_OVERRIDE=FQ","FILING_STATUS=OR","SCALING_FORMAT=MLN","Sort=A","Dates=H","DateFormat=P","Fill=—","Direction=H","UseDPDF=Y")</f>
        <v>0</v>
      </c>
    </row>
    <row r="26" spans="1:36" x14ac:dyDescent="0.25">
      <c r="A26" s="6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</row>
    <row r="27" spans="1:36" x14ac:dyDescent="0.25">
      <c r="A27" s="10" t="s">
        <v>109</v>
      </c>
      <c r="B27" s="10" t="s">
        <v>110</v>
      </c>
      <c r="C27" s="13">
        <f>_xll.BDH("XOM US Equity","IS_AVG_NUM_SH_FOR_EPS","FQ1 1990","FQ1 1990","Currency=USD","Period=FQ","BEST_FPERIOD_OVERRIDE=FQ","FILING_STATUS=OR","Sort=A","Dates=H","DateFormat=P","Fill=—","Direction=H","UseDPDF=Y")</f>
        <v>4998.1758</v>
      </c>
      <c r="D27" s="13">
        <f>_xll.BDH("XOM US Equity","IS_AVG_NUM_SH_FOR_EPS","FQ2 1990","FQ2 1990","Currency=USD","Period=FQ","BEST_FPERIOD_OVERRIDE=FQ","FILING_STATUS=OR","Sort=A","Dates=H","DateFormat=P","Fill=—","Direction=H","UseDPDF=Y")</f>
        <v>4991.6318000000001</v>
      </c>
      <c r="E27" s="13">
        <f>_xll.BDH("XOM US Equity","IS_AVG_NUM_SH_FOR_EPS","FQ3 1990","FQ3 1990","Currency=USD","Period=FQ","BEST_FPERIOD_OVERRIDE=FQ","FILING_STATUS=OR","Sort=A","Dates=H","DateFormat=P","Fill=—","Direction=H","UseDPDF=Y")</f>
        <v>4987.2002000000002</v>
      </c>
      <c r="F27" s="13">
        <f>_xll.BDH("XOM US Equity","IS_AVG_NUM_SH_FOR_EPS","FQ4 1990","FQ4 1990","Currency=USD","Period=FQ","BEST_FPERIOD_OVERRIDE=FQ","FILING_STATUS=OR","Sort=A","Dates=H","DateFormat=P","Fill=—","Direction=H","UseDPDF=Y")</f>
        <v>4983.2002000000002</v>
      </c>
      <c r="G27" s="13">
        <f>_xll.BDH("XOM US Equity","IS_AVG_NUM_SH_FOR_EPS","FQ1 1991","FQ1 1991","Currency=USD","Period=FQ","BEST_FPERIOD_OVERRIDE=FQ","FILING_STATUS=OR","Sort=A","Dates=H","DateFormat=P","Fill=—","Direction=H","UseDPDF=Y")</f>
        <v>4980.0962</v>
      </c>
      <c r="H27" s="13">
        <f>_xll.BDH("XOM US Equity","IS_AVG_NUM_SH_FOR_EPS","FQ2 1991","FQ2 1991","Currency=USD","Period=FQ","BEST_FPERIOD_OVERRIDE=FQ","FILING_STATUS=OR","Sort=A","Dates=H","DateFormat=P","Fill=—","Direction=H","UseDPDF=Y")</f>
        <v>4977.0518000000002</v>
      </c>
      <c r="I27" s="13">
        <f>_xll.BDH("XOM US Equity","IS_AVG_NUM_SH_FOR_EPS","FQ3 1991","FQ3 1991","Currency=USD","Period=FQ","BEST_FPERIOD_OVERRIDE=FQ","FILING_STATUS=OR","Sort=A","Dates=H","DateFormat=P","Fill=—","Direction=H","UseDPDF=Y")</f>
        <v>4973.2002000000002</v>
      </c>
      <c r="J27" s="13">
        <f>_xll.BDH("XOM US Equity","IS_AVG_NUM_SH_FOR_EPS","FQ4 1991","FQ4 1991","Currency=USD","Period=FQ","BEST_FPERIOD_OVERRIDE=FQ","FILING_STATUS=OR","Sort=A","Dates=H","DateFormat=P","Fill=—","Direction=H","UseDPDF=Y")</f>
        <v>4969.2002000000002</v>
      </c>
      <c r="K27" s="13">
        <f>_xll.BDH("XOM US Equity","IS_AVG_NUM_SH_FOR_EPS","FQ1 1992","FQ1 1992","Currency=USD","Period=FQ","BEST_FPERIOD_OVERRIDE=FQ","FILING_STATUS=OR","Sort=A","Dates=H","DateFormat=P","Fill=—","Direction=H","UseDPDF=Y")</f>
        <v>4966.6958000000004</v>
      </c>
      <c r="L27" s="13">
        <f>_xll.BDH("XOM US Equity","IS_AVG_NUM_SH_FOR_EPS","FQ2 1992","FQ2 1992","Currency=USD","Period=FQ","BEST_FPERIOD_OVERRIDE=FQ","FILING_STATUS=OR","Sort=A","Dates=H","DateFormat=P","Fill=—","Direction=H","UseDPDF=Y")</f>
        <v>4965.8959999999997</v>
      </c>
      <c r="M27" s="13">
        <f>_xll.BDH("XOM US Equity","IS_AVG_NUM_SH_FOR_EPS","FQ3 1992","FQ3 1992","Currency=USD","Period=FQ","BEST_FPERIOD_OVERRIDE=FQ","FILING_STATUS=OR","Sort=A","Dates=H","DateFormat=P","Fill=—","Direction=H","UseDPDF=Y")</f>
        <v>4966.1518999999998</v>
      </c>
      <c r="N27" s="13">
        <f>_xll.BDH("XOM US Equity","IS_AVG_NUM_SH_FOR_EPS","FQ4 1992","FQ4 1992","Currency=USD","Period=FQ","BEST_FPERIOD_OVERRIDE=FQ","FILING_STATUS=OR","Sort=A","Dates=H","DateFormat=P","Fill=—","Direction=H","UseDPDF=Y")</f>
        <v>4966</v>
      </c>
      <c r="O27" s="13">
        <f>_xll.BDH("XOM US Equity","IS_AVG_NUM_SH_FOR_EPS","FQ1 1993","FQ1 1993","Currency=USD","Period=FQ","BEST_FPERIOD_OVERRIDE=FQ","FILING_STATUS=OR","Sort=A","Dates=H","DateFormat=P","Fill=—","Direction=H","UseDPDF=Y")</f>
        <v>4966.7440999999999</v>
      </c>
      <c r="P27" s="13">
        <f>_xll.BDH("XOM US Equity","IS_AVG_NUM_SH_FOR_EPS","FQ2 1993","FQ2 1993","Currency=USD","Period=FQ","BEST_FPERIOD_OVERRIDE=FQ","FILING_STATUS=OR","Sort=A","Dates=H","DateFormat=P","Fill=—","Direction=H","UseDPDF=Y")</f>
        <v>4967.6000999999997</v>
      </c>
      <c r="Q27" s="13">
        <f>_xll.BDH("XOM US Equity","IS_AVG_NUM_SH_FOR_EPS","FQ3 1993","FQ3 1993","Currency=USD","Period=FQ","BEST_FPERIOD_OVERRIDE=FQ","FILING_STATUS=OR","Sort=A","Dates=H","DateFormat=P","Fill=—","Direction=H","UseDPDF=Y")</f>
        <v>4966.3999000000003</v>
      </c>
      <c r="R27" s="13">
        <f>_xll.BDH("XOM US Equity","IS_AVG_NUM_SH_FOR_EPS","FQ4 1993","FQ4 1993","Currency=USD","Period=FQ","BEST_FPERIOD_OVERRIDE=FQ","FILING_STATUS=OR","Sort=A","Dates=H","DateFormat=P","Fill=—","Direction=H","UseDPDF=Y")</f>
        <v>4966</v>
      </c>
      <c r="S27" s="13">
        <f>_xll.BDH("XOM US Equity","IS_AVG_NUM_SH_FOR_EPS","FQ1 1994","FQ1 1994","Currency=USD","Period=FQ","BEST_FPERIOD_OVERRIDE=FQ","FILING_STATUS=OR","Sort=A","Dates=H","DateFormat=P","Fill=—","Direction=H","UseDPDF=Y")</f>
        <v>4967.6000999999997</v>
      </c>
      <c r="T27" s="13">
        <f>_xll.BDH("XOM US Equity","IS_AVG_NUM_SH_FOR_EPS","FQ2 1994","FQ2 1994","Currency=USD","Period=FQ","BEST_FPERIOD_OVERRIDE=FQ","FILING_STATUS=OR","Sort=A","Dates=H","DateFormat=P","Fill=—","Direction=H","UseDPDF=Y")</f>
        <v>4966.3999000000003</v>
      </c>
      <c r="U27" s="13">
        <f>_xll.BDH("XOM US Equity","IS_AVG_NUM_SH_FOR_EPS","FQ3 1994","FQ3 1994","Currency=USD","Period=FQ","BEST_FPERIOD_OVERRIDE=FQ","FILING_STATUS=OR","Sort=A","Dates=H","DateFormat=P","Fill=—","Direction=H","UseDPDF=Y")</f>
        <v>4965.6000999999997</v>
      </c>
      <c r="V27" s="13">
        <f>_xll.BDH("XOM US Equity","IS_AVG_NUM_SH_FOR_EPS","FQ4 1994","FQ4 1994","Currency=USD","Period=FQ","BEST_FPERIOD_OVERRIDE=FQ","FILING_STATUS=OR","Sort=A","Dates=H","DateFormat=P","Fill=—","Direction=H","UseDPDF=Y")</f>
        <v>4966.7997999999998</v>
      </c>
      <c r="W27" s="13">
        <f>_xll.BDH("XOM US Equity","IS_AVG_NUM_SH_FOR_EPS","FQ1 1995","FQ1 1995","Currency=USD","Period=FQ","BEST_FPERIOD_OVERRIDE=FQ","FILING_STATUS=OR","Sort=A","Dates=H","DateFormat=P","Fill=—","Direction=H","UseDPDF=Y")</f>
        <v>4967.6000999999997</v>
      </c>
      <c r="X27" s="13">
        <f>_xll.BDH("XOM US Equity","IS_AVG_NUM_SH_FOR_EPS","FQ2 1995","FQ2 1995","Currency=USD","Period=FQ","BEST_FPERIOD_OVERRIDE=FQ","FILING_STATUS=OR","Sort=A","Dates=H","DateFormat=P","Fill=—","Direction=H","UseDPDF=Y")</f>
        <v>4970</v>
      </c>
      <c r="Y27" s="13">
        <f>_xll.BDH("XOM US Equity","IS_AVG_NUM_SH_FOR_EPS","FQ3 1995","FQ3 1995","Currency=USD","Period=FQ","BEST_FPERIOD_OVERRIDE=FQ","FILING_STATUS=OR","Sort=A","Dates=H","DateFormat=P","Fill=—","Direction=H","UseDPDF=Y")</f>
        <v>4967.2002000000002</v>
      </c>
      <c r="Z27" s="13">
        <f>_xll.BDH("XOM US Equity","IS_AVG_NUM_SH_FOR_EPS","FQ4 1995","FQ4 1995","Currency=USD","Period=FQ","BEST_FPERIOD_OVERRIDE=FQ","FILING_STATUS=OR","Sort=A","Dates=H","DateFormat=P","Fill=—","Direction=H","UseDPDF=Y")</f>
        <v>4966</v>
      </c>
      <c r="AA27" s="13">
        <f>_xll.BDH("XOM US Equity","IS_AVG_NUM_SH_FOR_EPS","FQ1 1996","FQ1 1996","Currency=USD","Period=FQ","BEST_FPERIOD_OVERRIDE=FQ","FILING_STATUS=OR","Sort=A","Dates=H","DateFormat=P","Fill=—","Direction=H","UseDPDF=Y")</f>
        <v>4968</v>
      </c>
      <c r="AB27" s="13">
        <f>_xll.BDH("XOM US Equity","IS_AVG_NUM_SH_FOR_EPS","FQ2 1996","FQ2 1996","Currency=USD","Period=FQ","BEST_FPERIOD_OVERRIDE=FQ","FILING_STATUS=OR","Sort=A","Dates=H","DateFormat=P","Fill=—","Direction=H","UseDPDF=Y")</f>
        <v>4968.3999000000003</v>
      </c>
      <c r="AC27" s="13">
        <f>_xll.BDH("XOM US Equity","IS_AVG_NUM_SH_FOR_EPS","FQ3 1996","FQ3 1996","Currency=USD","Period=FQ","BEST_FPERIOD_OVERRIDE=FQ","FILING_STATUS=OR","Sort=A","Dates=H","DateFormat=P","Fill=—","Direction=H","UseDPDF=Y")</f>
        <v>4967.6000999999997</v>
      </c>
      <c r="AD27" s="13">
        <f>_xll.BDH("XOM US Equity","IS_AVG_NUM_SH_FOR_EPS","FQ4 1996","FQ4 1996","Currency=USD","Period=FQ","BEST_FPERIOD_OVERRIDE=FQ","FILING_STATUS=OR","Sort=A","Dates=H","DateFormat=P","Fill=—","Direction=H","UseDPDF=Y")</f>
        <v>4968</v>
      </c>
      <c r="AE27" s="13">
        <f>_xll.BDH("XOM US Equity","IS_AVG_NUM_SH_FOR_EPS","FQ1 1997","FQ1 1997","Currency=USD","Period=FQ","BEST_FPERIOD_OVERRIDE=FQ","FILING_STATUS=OR","Sort=A","Dates=H","DateFormat=P","Fill=—","Direction=H","UseDPDF=Y")</f>
        <v>4968</v>
      </c>
      <c r="AF27" s="13">
        <f>_xll.BDH("XOM US Equity","IS_AVG_NUM_SH_FOR_EPS","FQ2 1997","FQ2 1997","Currency=USD","Period=FQ","BEST_FPERIOD_OVERRIDE=FQ","FILING_STATUS=OR","Sort=A","Dates=H","DateFormat=P","Fill=—","Direction=H","UseDPDF=Y")</f>
        <v>4957</v>
      </c>
      <c r="AG27" s="13">
        <f>_xll.BDH("XOM US Equity","IS_AVG_NUM_SH_FOR_EPS","FQ3 1997","FQ3 1997","Currency=USD","Period=FQ","BEST_FPERIOD_OVERRIDE=FQ","FILING_STATUS=OR","Sort=A","Dates=H","DateFormat=P","Fill=—","Direction=H","UseDPDF=Y")</f>
        <v>4940.6000999999997</v>
      </c>
      <c r="AH27" s="13">
        <f>_xll.BDH("XOM US Equity","IS_AVG_NUM_SH_FOR_EPS","FQ4 1997","FQ4 1997","Currency=USD","Period=FQ","BEST_FPERIOD_OVERRIDE=FQ","FILING_STATUS=OR","Sort=A","Dates=H","DateFormat=P","Fill=—","Direction=H","UseDPDF=Y")</f>
        <v>4922.3999999999996</v>
      </c>
      <c r="AI27" s="13">
        <f>_xll.BDH("XOM US Equity","IS_AVG_NUM_SH_FOR_EPS","FQ1 1998","FQ1 1998","Currency=USD","Period=FQ","BEST_FPERIOD_OVERRIDE=FQ","FILING_STATUS=OR","Sort=A","Dates=H","DateFormat=P","Fill=—","Direction=H","UseDPDF=Y")</f>
        <v>4902</v>
      </c>
      <c r="AJ27" s="13">
        <f>_xll.BDH("XOM US Equity","IS_AVG_NUM_SH_FOR_EPS","FQ2 1998","FQ2 1998","Currency=USD","Period=FQ","BEST_FPERIOD_OVERRIDE=FQ","FILING_STATUS=OR","Sort=A","Dates=H","DateFormat=P","Fill=—","Direction=H","UseDPDF=Y")</f>
        <v>4886</v>
      </c>
    </row>
    <row r="28" spans="1:36" x14ac:dyDescent="0.25">
      <c r="A28" s="6" t="s">
        <v>111</v>
      </c>
      <c r="B28" s="6" t="s">
        <v>112</v>
      </c>
      <c r="C28" s="17">
        <f>_xll.BDH("XOM US Equity","IS_EPS","FQ1 1990","FQ1 1990","Currency=USD","Period=FQ","BEST_FPERIOD_OVERRIDE=FQ","FILING_STATUS=OR","FA_ADJUSTED=GAAP","Sort=A","Dates=H","DateFormat=P","Fill=—","Direction=H","UseDPDF=Y")</f>
        <v>0.2525</v>
      </c>
      <c r="D28" s="17">
        <f>_xll.BDH("XOM US Equity","IS_EPS","FQ2 1990","FQ2 1990","Currency=USD","Period=FQ","BEST_FPERIOD_OVERRIDE=FQ","FILING_STATUS=OR","FA_ADJUSTED=GAAP","Sort=A","Dates=H","DateFormat=P","Fill=—","Direction=H","UseDPDF=Y")</f>
        <v>0.2175</v>
      </c>
      <c r="E28" s="17">
        <f>_xll.BDH("XOM US Equity","IS_EPS","FQ3 1990","FQ3 1990","Currency=USD","Period=FQ","BEST_FPERIOD_OVERRIDE=FQ","FILING_STATUS=OR","FA_ADJUSTED=GAAP","Sort=A","Dates=H","DateFormat=P","Fill=—","Direction=H","UseDPDF=Y")</f>
        <v>0.21249999999999999</v>
      </c>
      <c r="F28" s="17">
        <f>_xll.BDH("XOM US Equity","IS_EPS","FQ4 1990","FQ4 1990","Currency=USD","Period=FQ","BEST_FPERIOD_OVERRIDE=FQ","FILING_STATUS=OR","FA_ADJUSTED=GAAP","Sort=A","Dates=H","DateFormat=P","Fill=—","Direction=H","UseDPDF=Y")</f>
        <v>0.3075</v>
      </c>
      <c r="G28" s="17">
        <f>_xll.BDH("XOM US Equity","IS_EPS","FQ1 1991","FQ1 1991","Currency=USD","Period=FQ","BEST_FPERIOD_OVERRIDE=FQ","FILING_STATUS=OR","FA_ADJUSTED=GAAP","Sort=A","Dates=H","DateFormat=P","Fill=—","Direction=H","UseDPDF=Y")</f>
        <v>0.44500000000000001</v>
      </c>
      <c r="H28" s="17">
        <f>_xll.BDH("XOM US Equity","IS_EPS","FQ2 1991","FQ2 1991","Currency=USD","Period=FQ","BEST_FPERIOD_OVERRIDE=FQ","FILING_STATUS=OR","FA_ADJUSTED=GAAP","Sort=A","Dates=H","DateFormat=P","Fill=—","Direction=H","UseDPDF=Y")</f>
        <v>0.22500000000000001</v>
      </c>
      <c r="I28" s="17">
        <f>_xll.BDH("XOM US Equity","IS_EPS","FQ3 1991","FQ3 1991","Currency=USD","Period=FQ","BEST_FPERIOD_OVERRIDE=FQ","FILING_STATUS=OR","FA_ADJUSTED=GAAP","Sort=A","Dates=H","DateFormat=P","Fill=—","Direction=H","UseDPDF=Y")</f>
        <v>0.22</v>
      </c>
      <c r="J28" s="17">
        <f>_xll.BDH("XOM US Equity","IS_EPS","FQ4 1991","FQ4 1991","Currency=USD","Period=FQ","BEST_FPERIOD_OVERRIDE=FQ","FILING_STATUS=OR","FA_ADJUSTED=GAAP","Sort=A","Dates=H","DateFormat=P","Fill=—","Direction=H","UseDPDF=Y")</f>
        <v>0.2225</v>
      </c>
      <c r="K28" s="17">
        <f>_xll.BDH("XOM US Equity","IS_EPS","FQ1 1992","FQ1 1992","Currency=USD","Period=FQ","BEST_FPERIOD_OVERRIDE=FQ","FILING_STATUS=OR","FA_ADJUSTED=GAAP","Sort=A","Dates=H","DateFormat=P","Fill=—","Direction=H","UseDPDF=Y")</f>
        <v>0.26750000000000002</v>
      </c>
      <c r="L28" s="17">
        <f>_xll.BDH("XOM US Equity","IS_EPS","FQ2 1992","FQ2 1992","Currency=USD","Period=FQ","BEST_FPERIOD_OVERRIDE=FQ","FILING_STATUS=OR","FA_ADJUSTED=GAAP","Sort=A","Dates=H","DateFormat=P","Fill=—","Direction=H","UseDPDF=Y")</f>
        <v>0.19</v>
      </c>
      <c r="M28" s="17">
        <f>_xll.BDH("XOM US Equity","IS_EPS","FQ3 1992","FQ3 1992","Currency=USD","Period=FQ","BEST_FPERIOD_OVERRIDE=FQ","FILING_STATUS=OR","FA_ADJUSTED=GAAP","Sort=A","Dates=H","DateFormat=P","Fill=—","Direction=H","UseDPDF=Y")</f>
        <v>0.22500000000000001</v>
      </c>
      <c r="N28" s="17">
        <f>_xll.BDH("XOM US Equity","IS_EPS","FQ4 1992","FQ4 1992","Currency=USD","Period=FQ","BEST_FPERIOD_OVERRIDE=FQ","FILING_STATUS=OR","FA_ADJUSTED=GAAP","Sort=A","Dates=H","DateFormat=P","Fill=—","Direction=H","UseDPDF=Y")</f>
        <v>0.31</v>
      </c>
      <c r="O28" s="17">
        <f>_xll.BDH("XOM US Equity","IS_EPS","FQ1 1993","FQ1 1993","Currency=USD","Period=FQ","BEST_FPERIOD_OVERRIDE=FQ","FILING_STATUS=OR","FA_ADJUSTED=GAAP","Sort=A","Dates=H","DateFormat=P","Fill=—","Direction=H","UseDPDF=Y")</f>
        <v>0.23499999999999999</v>
      </c>
      <c r="P28" s="17">
        <f>_xll.BDH("XOM US Equity","IS_EPS","FQ2 1993","FQ2 1993","Currency=USD","Period=FQ","BEST_FPERIOD_OVERRIDE=FQ","FILING_STATUS=OR","FA_ADJUSTED=GAAP","Sort=A","Dates=H","DateFormat=P","Fill=—","Direction=H","UseDPDF=Y")</f>
        <v>0.245</v>
      </c>
      <c r="Q28" s="17">
        <f>_xll.BDH("XOM US Equity","IS_EPS","FQ3 1993","FQ3 1993","Currency=USD","Period=FQ","BEST_FPERIOD_OVERRIDE=FQ","FILING_STATUS=OR","FA_ADJUSTED=GAAP","Sort=A","Dates=H","DateFormat=P","Fill=—","Direction=H","UseDPDF=Y")</f>
        <v>0.27250000000000002</v>
      </c>
      <c r="R28" s="17">
        <f>_xll.BDH("XOM US Equity","IS_EPS","FQ4 1993","FQ4 1993","Currency=USD","Period=FQ","BEST_FPERIOD_OVERRIDE=FQ","FILING_STATUS=OR","FA_ADJUSTED=GAAP","Sort=A","Dates=H","DateFormat=P","Fill=—","Direction=H","UseDPDF=Y")</f>
        <v>0.3</v>
      </c>
      <c r="S28" s="17">
        <f>_xll.BDH("XOM US Equity","IS_EPS","FQ1 1994","FQ1 1994","Currency=USD","Period=FQ","BEST_FPERIOD_OVERRIDE=FQ","FILING_STATUS=OR","FA_ADJUSTED=GAAP","Sort=A","Dates=H","DateFormat=P","Fill=—","Direction=H","UseDPDF=Y")</f>
        <v>0.23</v>
      </c>
      <c r="T28" s="17">
        <f>_xll.BDH("XOM US Equity","IS_EPS","FQ2 1994","FQ2 1994","Currency=USD","Period=FQ","BEST_FPERIOD_OVERRIDE=FQ","FILING_STATUS=OR","FA_ADJUSTED=GAAP","Sort=A","Dates=H","DateFormat=P","Fill=—","Direction=H","UseDPDF=Y")</f>
        <v>0.17499999999999999</v>
      </c>
      <c r="U28" s="17">
        <f>_xll.BDH("XOM US Equity","IS_EPS","FQ3 1994","FQ3 1994","Currency=USD","Period=FQ","BEST_FPERIOD_OVERRIDE=FQ","FILING_STATUS=OR","FA_ADJUSTED=GAAP","Sort=A","Dates=H","DateFormat=P","Fill=—","Direction=H","UseDPDF=Y")</f>
        <v>0.23</v>
      </c>
      <c r="V28" s="17">
        <f>_xll.BDH("XOM US Equity","IS_EPS","FQ4 1994","FQ4 1994","Currency=USD","Period=FQ","BEST_FPERIOD_OVERRIDE=FQ","FILING_STATUS=OR","FA_ADJUSTED=GAAP","Sort=A","Dates=H","DateFormat=P","Fill=—","Direction=H","UseDPDF=Y")</f>
        <v>0.38250000000000001</v>
      </c>
      <c r="W28" s="17">
        <f>_xll.BDH("XOM US Equity","IS_EPS","FQ1 1995","FQ1 1995","Currency=USD","Period=FQ","BEST_FPERIOD_OVERRIDE=FQ","FILING_STATUS=OR","FA_ADJUSTED=GAAP","Sort=A","Dates=H","DateFormat=P","Fill=—","Direction=H","UseDPDF=Y")</f>
        <v>0.33250000000000002</v>
      </c>
      <c r="X28" s="17">
        <f>_xll.BDH("XOM US Equity","IS_EPS","FQ2 1995","FQ2 1995","Currency=USD","Period=FQ","BEST_FPERIOD_OVERRIDE=FQ","FILING_STATUS=OR","FA_ADJUSTED=GAAP","Sort=A","Dates=H","DateFormat=P","Fill=—","Direction=H","UseDPDF=Y")</f>
        <v>0.32500000000000001</v>
      </c>
      <c r="Y28" s="17">
        <f>_xll.BDH("XOM US Equity","IS_EPS","FQ3 1995","FQ3 1995","Currency=USD","Period=FQ","BEST_FPERIOD_OVERRIDE=FQ","FILING_STATUS=OR","FA_ADJUSTED=GAAP","Sort=A","Dates=H","DateFormat=P","Fill=—","Direction=H","UseDPDF=Y")</f>
        <v>0.3</v>
      </c>
      <c r="Z28" s="17">
        <f>_xll.BDH("XOM US Equity","IS_EPS","FQ4 1995","FQ4 1995","Currency=USD","Period=FQ","BEST_FPERIOD_OVERRIDE=FQ","FILING_STATUS=OR","FA_ADJUSTED=GAAP","Sort=A","Dates=H","DateFormat=P","Fill=—","Direction=H","UseDPDF=Y")</f>
        <v>0.33750000000000002</v>
      </c>
      <c r="AA28" s="17">
        <f>_xll.BDH("XOM US Equity","IS_EPS","FQ1 1996","FQ1 1996","Currency=USD","Period=FQ","BEST_FPERIOD_OVERRIDE=FQ","FILING_STATUS=OR","FA_ADJUSTED=GAAP","Sort=A","Dates=H","DateFormat=P","Fill=—","Direction=H","UseDPDF=Y")</f>
        <v>0.38</v>
      </c>
      <c r="AB28" s="17">
        <f>_xll.BDH("XOM US Equity","IS_EPS","FQ2 1996","FQ2 1996","Currency=USD","Period=FQ","BEST_FPERIOD_OVERRIDE=FQ","FILING_STATUS=OR","FA_ADJUSTED=GAAP","Sort=A","Dates=H","DateFormat=P","Fill=—","Direction=H","UseDPDF=Y")</f>
        <v>0.315</v>
      </c>
      <c r="AC28" s="17">
        <f>_xll.BDH("XOM US Equity","IS_EPS","FQ3 1996","FQ3 1996","Currency=USD","Period=FQ","BEST_FPERIOD_OVERRIDE=FQ","FILING_STATUS=OR","FA_ADJUSTED=GAAP","Sort=A","Dates=H","DateFormat=P","Fill=—","Direction=H","UseDPDF=Y")</f>
        <v>0.31</v>
      </c>
      <c r="AD28" s="17">
        <f>_xll.BDH("XOM US Equity","IS_EPS","FQ4 1996","FQ4 1996","Currency=USD","Period=FQ","BEST_FPERIOD_OVERRIDE=FQ","FILING_STATUS=OR","FA_ADJUSTED=GAAP","Sort=A","Dates=H","DateFormat=P","Fill=—","Direction=H","UseDPDF=Y")</f>
        <v>0.5</v>
      </c>
      <c r="AE28" s="17">
        <f>_xll.BDH("XOM US Equity","IS_EPS","FQ1 1997","FQ1 1997","Currency=USD","Period=FQ","BEST_FPERIOD_OVERRIDE=FQ","FILING_STATUS=OR","FA_ADJUSTED=GAAP","Sort=A","Dates=H","DateFormat=P","Fill=—","Direction=H","UseDPDF=Y")</f>
        <v>0.435</v>
      </c>
      <c r="AF28" s="17">
        <f>_xll.BDH("XOM US Equity","IS_EPS","FQ2 1997","FQ2 1997","Currency=USD","Period=FQ","BEST_FPERIOD_OVERRIDE=FQ","FILING_STATUS=OR","FA_ADJUSTED=GAAP","Sort=A","Dates=H","DateFormat=P","Fill=—","Direction=H","UseDPDF=Y")</f>
        <v>0.39500000000000002</v>
      </c>
      <c r="AG28" s="17">
        <f>_xll.BDH("XOM US Equity","IS_EPS","FQ3 1997","FQ3 1997","Currency=USD","Period=FQ","BEST_FPERIOD_OVERRIDE=FQ","FILING_STATUS=OR","FA_ADJUSTED=GAAP","Sort=A","Dates=H","DateFormat=P","Fill=—","Direction=H","UseDPDF=Y")</f>
        <v>0.37</v>
      </c>
      <c r="AH28" s="17">
        <f>_xll.BDH("XOM US Equity","IS_EPS","FQ4 1997","FQ4 1997","Currency=USD","Period=FQ","BEST_FPERIOD_OVERRIDE=FQ","FILING_STATUS=OR","FA_ADJUSTED=GAAP","Sort=A","Dates=H","DateFormat=P","Fill=—","Direction=H","UseDPDF=Y")</f>
        <v>0.505</v>
      </c>
      <c r="AI28" s="17">
        <f>_xll.BDH("XOM US Equity","IS_EPS","FQ1 1998","FQ1 1998","Currency=USD","Period=FQ","BEST_FPERIOD_OVERRIDE=FQ","FILING_STATUS=OR","FA_ADJUSTED=GAAP","Sort=A","Dates=H","DateFormat=P","Fill=—","Direction=H","UseDPDF=Y")</f>
        <v>0.38500000000000001</v>
      </c>
      <c r="AJ28" s="17">
        <f>_xll.BDH("XOM US Equity","IS_EPS","FQ2 1998","FQ2 1998","Currency=USD","Period=FQ","BEST_FPERIOD_OVERRIDE=FQ","FILING_STATUS=OR","FA_ADJUSTED=GAAP","Sort=A","Dates=H","DateFormat=P","Fill=—","Direction=H","UseDPDF=Y")</f>
        <v>0.33</v>
      </c>
    </row>
    <row r="29" spans="1:36" x14ac:dyDescent="0.25">
      <c r="A29" s="6" t="s">
        <v>113</v>
      </c>
      <c r="B29" s="6" t="s">
        <v>114</v>
      </c>
      <c r="C29" s="17">
        <f>_xll.BDH("XOM US Equity","IS_EARN_BEF_XO_ITEMS_PER_SH","FQ1 1990","FQ1 1990","Currency=USD","Period=FQ","BEST_FPERIOD_OVERRIDE=FQ","FILING_STATUS=OR","Sort=A","Dates=H","DateFormat=P","Fill=—","Direction=H","UseDPDF=Y")</f>
        <v>0.2525</v>
      </c>
      <c r="D29" s="17">
        <f>_xll.BDH("XOM US Equity","IS_EARN_BEF_XO_ITEMS_PER_SH","FQ2 1990","FQ2 1990","Currency=USD","Period=FQ","BEST_FPERIOD_OVERRIDE=FQ","FILING_STATUS=OR","Sort=A","Dates=H","DateFormat=P","Fill=—","Direction=H","UseDPDF=Y")</f>
        <v>0.2175</v>
      </c>
      <c r="E29" s="17">
        <f>_xll.BDH("XOM US Equity","IS_EARN_BEF_XO_ITEMS_PER_SH","FQ3 1990","FQ3 1990","Currency=USD","Period=FQ","BEST_FPERIOD_OVERRIDE=FQ","FILING_STATUS=OR","Sort=A","Dates=H","DateFormat=P","Fill=—","Direction=H","UseDPDF=Y")</f>
        <v>0.21249999999999999</v>
      </c>
      <c r="F29" s="17">
        <f>_xll.BDH("XOM US Equity","IS_EARN_BEF_XO_ITEMS_PER_SH","FQ4 1990","FQ4 1990","Currency=USD","Period=FQ","BEST_FPERIOD_OVERRIDE=FQ","FILING_STATUS=OR","Sort=A","Dates=H","DateFormat=P","Fill=—","Direction=H","UseDPDF=Y")</f>
        <v>0.3075</v>
      </c>
      <c r="G29" s="17">
        <f>_xll.BDH("XOM US Equity","IS_EARN_BEF_XO_ITEMS_PER_SH","FQ1 1991","FQ1 1991","Currency=USD","Period=FQ","BEST_FPERIOD_OVERRIDE=FQ","FILING_STATUS=OR","Sort=A","Dates=H","DateFormat=P","Fill=—","Direction=H","UseDPDF=Y")</f>
        <v>0.44500000000000001</v>
      </c>
      <c r="H29" s="17">
        <f>_xll.BDH("XOM US Equity","IS_EARN_BEF_XO_ITEMS_PER_SH","FQ2 1991","FQ2 1991","Currency=USD","Period=FQ","BEST_FPERIOD_OVERRIDE=FQ","FILING_STATUS=OR","Sort=A","Dates=H","DateFormat=P","Fill=—","Direction=H","UseDPDF=Y")</f>
        <v>0.22500000000000001</v>
      </c>
      <c r="I29" s="17">
        <f>_xll.BDH("XOM US Equity","IS_EARN_BEF_XO_ITEMS_PER_SH","FQ3 1991","FQ3 1991","Currency=USD","Period=FQ","BEST_FPERIOD_OVERRIDE=FQ","FILING_STATUS=OR","Sort=A","Dates=H","DateFormat=P","Fill=—","Direction=H","UseDPDF=Y")</f>
        <v>0.22</v>
      </c>
      <c r="J29" s="17">
        <f>_xll.BDH("XOM US Equity","IS_EARN_BEF_XO_ITEMS_PER_SH","FQ4 1991","FQ4 1991","Currency=USD","Period=FQ","BEST_FPERIOD_OVERRIDE=FQ","FILING_STATUS=OR","Sort=A","Dates=H","DateFormat=P","Fill=—","Direction=H","UseDPDF=Y")</f>
        <v>0.2225</v>
      </c>
      <c r="K29" s="17">
        <f>_xll.BDH("XOM US Equity","IS_EARN_BEF_XO_ITEMS_PER_SH","FQ1 1992","FQ1 1992","Currency=USD","Period=FQ","BEST_FPERIOD_OVERRIDE=FQ","FILING_STATUS=OR","Sort=A","Dates=H","DateFormat=P","Fill=—","Direction=H","UseDPDF=Y")</f>
        <v>0.26750000000000002</v>
      </c>
      <c r="L29" s="17">
        <f>_xll.BDH("XOM US Equity","IS_EARN_BEF_XO_ITEMS_PER_SH","FQ2 1992","FQ2 1992","Currency=USD","Period=FQ","BEST_FPERIOD_OVERRIDE=FQ","FILING_STATUS=OR","Sort=A","Dates=H","DateFormat=P","Fill=—","Direction=H","UseDPDF=Y")</f>
        <v>0.19</v>
      </c>
      <c r="M29" s="17">
        <f>_xll.BDH("XOM US Equity","IS_EARN_BEF_XO_ITEMS_PER_SH","FQ3 1992","FQ3 1992","Currency=USD","Period=FQ","BEST_FPERIOD_OVERRIDE=FQ","FILING_STATUS=OR","Sort=A","Dates=H","DateFormat=P","Fill=—","Direction=H","UseDPDF=Y")</f>
        <v>0.22500000000000001</v>
      </c>
      <c r="N29" s="17">
        <f>_xll.BDH("XOM US Equity","IS_EARN_BEF_XO_ITEMS_PER_SH","FQ4 1992","FQ4 1992","Currency=USD","Period=FQ","BEST_FPERIOD_OVERRIDE=FQ","FILING_STATUS=OR","Sort=A","Dates=H","DateFormat=P","Fill=—","Direction=H","UseDPDF=Y")</f>
        <v>0.3175</v>
      </c>
      <c r="O29" s="17">
        <f>_xll.BDH("XOM US Equity","IS_EARN_BEF_XO_ITEMS_PER_SH","FQ1 1993","FQ1 1993","Currency=USD","Period=FQ","BEST_FPERIOD_OVERRIDE=FQ","FILING_STATUS=OR","Sort=A","Dates=H","DateFormat=P","Fill=—","Direction=H","UseDPDF=Y")</f>
        <v>0.23499999999999999</v>
      </c>
      <c r="P29" s="17">
        <f>_xll.BDH("XOM US Equity","IS_EARN_BEF_XO_ITEMS_PER_SH","FQ2 1993","FQ2 1993","Currency=USD","Period=FQ","BEST_FPERIOD_OVERRIDE=FQ","FILING_STATUS=OR","Sort=A","Dates=H","DateFormat=P","Fill=—","Direction=H","UseDPDF=Y")</f>
        <v>0.245</v>
      </c>
      <c r="Q29" s="17">
        <f>_xll.BDH("XOM US Equity","IS_EARN_BEF_XO_ITEMS_PER_SH","FQ3 1993","FQ3 1993","Currency=USD","Period=FQ","BEST_FPERIOD_OVERRIDE=FQ","FILING_STATUS=OR","Sort=A","Dates=H","DateFormat=P","Fill=—","Direction=H","UseDPDF=Y")</f>
        <v>0.27250000000000002</v>
      </c>
      <c r="R29" s="17">
        <f>_xll.BDH("XOM US Equity","IS_EARN_BEF_XO_ITEMS_PER_SH","FQ4 1993","FQ4 1993","Currency=USD","Period=FQ","BEST_FPERIOD_OVERRIDE=FQ","FILING_STATUS=OR","Sort=A","Dates=H","DateFormat=P","Fill=—","Direction=H","UseDPDF=Y")</f>
        <v>0.3</v>
      </c>
      <c r="S29" s="17">
        <f>_xll.BDH("XOM US Equity","IS_EARN_BEF_XO_ITEMS_PER_SH","FQ1 1994","FQ1 1994","Currency=USD","Period=FQ","BEST_FPERIOD_OVERRIDE=FQ","FILING_STATUS=OR","Sort=A","Dates=H","DateFormat=P","Fill=—","Direction=H","UseDPDF=Y")</f>
        <v>0.23</v>
      </c>
      <c r="T29" s="17">
        <f>_xll.BDH("XOM US Equity","IS_EARN_BEF_XO_ITEMS_PER_SH","FQ2 1994","FQ2 1994","Currency=USD","Period=FQ","BEST_FPERIOD_OVERRIDE=FQ","FILING_STATUS=OR","Sort=A","Dates=H","DateFormat=P","Fill=—","Direction=H","UseDPDF=Y")</f>
        <v>0.17499999999999999</v>
      </c>
      <c r="U29" s="17">
        <f>_xll.BDH("XOM US Equity","IS_EARN_BEF_XO_ITEMS_PER_SH","FQ3 1994","FQ3 1994","Currency=USD","Period=FQ","BEST_FPERIOD_OVERRIDE=FQ","FILING_STATUS=OR","Sort=A","Dates=H","DateFormat=P","Fill=—","Direction=H","UseDPDF=Y")</f>
        <v>0.23</v>
      </c>
      <c r="V29" s="17">
        <f>_xll.BDH("XOM US Equity","IS_EARN_BEF_XO_ITEMS_PER_SH","FQ4 1994","FQ4 1994","Currency=USD","Period=FQ","BEST_FPERIOD_OVERRIDE=FQ","FILING_STATUS=OR","Sort=A","Dates=H","DateFormat=P","Fill=—","Direction=H","UseDPDF=Y")</f>
        <v>0.38250000000000001</v>
      </c>
      <c r="W29" s="17">
        <f>_xll.BDH("XOM US Equity","IS_EARN_BEF_XO_ITEMS_PER_SH","FQ1 1995","FQ1 1995","Currency=USD","Period=FQ","BEST_FPERIOD_OVERRIDE=FQ","FILING_STATUS=OR","Sort=A","Dates=H","DateFormat=P","Fill=—","Direction=H","UseDPDF=Y")</f>
        <v>0.33250000000000002</v>
      </c>
      <c r="X29" s="17">
        <f>_xll.BDH("XOM US Equity","IS_EARN_BEF_XO_ITEMS_PER_SH","FQ2 1995","FQ2 1995","Currency=USD","Period=FQ","BEST_FPERIOD_OVERRIDE=FQ","FILING_STATUS=OR","Sort=A","Dates=H","DateFormat=P","Fill=—","Direction=H","UseDPDF=Y")</f>
        <v>0.32500000000000001</v>
      </c>
      <c r="Y29" s="17">
        <f>_xll.BDH("XOM US Equity","IS_EARN_BEF_XO_ITEMS_PER_SH","FQ3 1995","FQ3 1995","Currency=USD","Period=FQ","BEST_FPERIOD_OVERRIDE=FQ","FILING_STATUS=OR","Sort=A","Dates=H","DateFormat=P","Fill=—","Direction=H","UseDPDF=Y")</f>
        <v>0.3</v>
      </c>
      <c r="Z29" s="17">
        <f>_xll.BDH("XOM US Equity","IS_EARN_BEF_XO_ITEMS_PER_SH","FQ4 1995","FQ4 1995","Currency=USD","Period=FQ","BEST_FPERIOD_OVERRIDE=FQ","FILING_STATUS=OR","Sort=A","Dates=H","DateFormat=P","Fill=—","Direction=H","UseDPDF=Y")</f>
        <v>0.33750000000000002</v>
      </c>
      <c r="AA29" s="17">
        <f>_xll.BDH("XOM US Equity","IS_EARN_BEF_XO_ITEMS_PER_SH","FQ1 1996","FQ1 1996","Currency=USD","Period=FQ","BEST_FPERIOD_OVERRIDE=FQ","FILING_STATUS=OR","Sort=A","Dates=H","DateFormat=P","Fill=—","Direction=H","UseDPDF=Y")</f>
        <v>0.38</v>
      </c>
      <c r="AB29" s="17">
        <f>_xll.BDH("XOM US Equity","IS_EARN_BEF_XO_ITEMS_PER_SH","FQ2 1996","FQ2 1996","Currency=USD","Period=FQ","BEST_FPERIOD_OVERRIDE=FQ","FILING_STATUS=OR","Sort=A","Dates=H","DateFormat=P","Fill=—","Direction=H","UseDPDF=Y")</f>
        <v>0.315</v>
      </c>
      <c r="AC29" s="17">
        <f>_xll.BDH("XOM US Equity","IS_EARN_BEF_XO_ITEMS_PER_SH","FQ3 1996","FQ3 1996","Currency=USD","Period=FQ","BEST_FPERIOD_OVERRIDE=FQ","FILING_STATUS=OR","Sort=A","Dates=H","DateFormat=P","Fill=—","Direction=H","UseDPDF=Y")</f>
        <v>0.31</v>
      </c>
      <c r="AD29" s="17">
        <f>_xll.BDH("XOM US Equity","IS_EARN_BEF_XO_ITEMS_PER_SH","FQ4 1996","FQ4 1996","Currency=USD","Period=FQ","BEST_FPERIOD_OVERRIDE=FQ","FILING_STATUS=OR","Sort=A","Dates=H","DateFormat=P","Fill=—","Direction=H","UseDPDF=Y")</f>
        <v>0.5</v>
      </c>
      <c r="AE29" s="17">
        <f>_xll.BDH("XOM US Equity","IS_EARN_BEF_XO_ITEMS_PER_SH","FQ1 1997","FQ1 1997","Currency=USD","Period=FQ","BEST_FPERIOD_OVERRIDE=FQ","FILING_STATUS=OR","Sort=A","Dates=H","DateFormat=P","Fill=—","Direction=H","UseDPDF=Y")</f>
        <v>0.435</v>
      </c>
      <c r="AF29" s="17">
        <f>_xll.BDH("XOM US Equity","IS_EARN_BEF_XO_ITEMS_PER_SH","FQ2 1997","FQ2 1997","Currency=USD","Period=FQ","BEST_FPERIOD_OVERRIDE=FQ","FILING_STATUS=OR","Sort=A","Dates=H","DateFormat=P","Fill=—","Direction=H","UseDPDF=Y")</f>
        <v>0.39500000000000002</v>
      </c>
      <c r="AG29" s="17">
        <f>_xll.BDH("XOM US Equity","IS_EARN_BEF_XO_ITEMS_PER_SH","FQ3 1997","FQ3 1997","Currency=USD","Period=FQ","BEST_FPERIOD_OVERRIDE=FQ","FILING_STATUS=OR","Sort=A","Dates=H","DateFormat=P","Fill=—","Direction=H","UseDPDF=Y")</f>
        <v>0.37</v>
      </c>
      <c r="AH29" s="17">
        <f>_xll.BDH("XOM US Equity","IS_EARN_BEF_XO_ITEMS_PER_SH","FQ4 1997","FQ4 1997","Currency=USD","Period=FQ","BEST_FPERIOD_OVERRIDE=FQ","FILING_STATUS=OR","Sort=A","Dates=H","DateFormat=P","Fill=—","Direction=H","UseDPDF=Y")</f>
        <v>0.505</v>
      </c>
      <c r="AI29" s="17">
        <f>_xll.BDH("XOM US Equity","IS_EARN_BEF_XO_ITEMS_PER_SH","FQ1 1998","FQ1 1998","Currency=USD","Period=FQ","BEST_FPERIOD_OVERRIDE=FQ","FILING_STATUS=OR","Sort=A","Dates=H","DateFormat=P","Fill=—","Direction=H","UseDPDF=Y")</f>
        <v>0.38500000000000001</v>
      </c>
      <c r="AJ29" s="17">
        <f>_xll.BDH("XOM US Equity","IS_EARN_BEF_XO_ITEMS_PER_SH","FQ2 1998","FQ2 1998","Currency=USD","Period=FQ","BEST_FPERIOD_OVERRIDE=FQ","FILING_STATUS=OR","Sort=A","Dates=H","DateFormat=P","Fill=—","Direction=H","UseDPDF=Y")</f>
        <v>0.33</v>
      </c>
    </row>
    <row r="30" spans="1:36" x14ac:dyDescent="0.25">
      <c r="A30" s="6" t="s">
        <v>115</v>
      </c>
      <c r="B30" s="6" t="s">
        <v>116</v>
      </c>
      <c r="C30" s="17" t="str">
        <f>_xll.BDH("XOM US Equity","IS_BASIC_EPS_CONT_OPS","FQ1 1990","FQ1 1990","Currency=USD","Period=FQ","BEST_FPERIOD_OVERRIDE=FQ","FILING_STATUS=OR","Sort=A","Dates=H","DateFormat=P","Fill=—","Direction=H","UseDPDF=Y")</f>
        <v>—</v>
      </c>
      <c r="D30" s="17" t="str">
        <f>_xll.BDH("XOM US Equity","IS_BASIC_EPS_CONT_OPS","FQ2 1990","FQ2 1990","Currency=USD","Period=FQ","BEST_FPERIOD_OVERRIDE=FQ","FILING_STATUS=OR","Sort=A","Dates=H","DateFormat=P","Fill=—","Direction=H","UseDPDF=Y")</f>
        <v>—</v>
      </c>
      <c r="E30" s="17" t="str">
        <f>_xll.BDH("XOM US Equity","IS_BASIC_EPS_CONT_OPS","FQ3 1990","FQ3 1990","Currency=USD","Period=FQ","BEST_FPERIOD_OVERRIDE=FQ","FILING_STATUS=OR","Sort=A","Dates=H","DateFormat=P","Fill=—","Direction=H","UseDPDF=Y")</f>
        <v>—</v>
      </c>
      <c r="F30" s="17">
        <f>_xll.BDH("XOM US Equity","IS_BASIC_EPS_CONT_OPS","FQ4 1990","FQ4 1990","Currency=USD","Period=FQ","BEST_FPERIOD_OVERRIDE=FQ","FILING_STATUS=OR","Sort=A","Dates=H","DateFormat=P","Fill=—","Direction=H","UseDPDF=Y")</f>
        <v>0.3075</v>
      </c>
      <c r="G30" s="17">
        <f>_xll.BDH("XOM US Equity","IS_BASIC_EPS_CONT_OPS","FQ1 1991","FQ1 1991","Currency=USD","Period=FQ","BEST_FPERIOD_OVERRIDE=FQ","FILING_STATUS=OR","Sort=A","Dates=H","DateFormat=P","Fill=—","Direction=H","UseDPDF=Y")</f>
        <v>0.44500000000000001</v>
      </c>
      <c r="H30" s="17" t="str">
        <f>_xll.BDH("XOM US Equity","IS_BASIC_EPS_CONT_OPS","FQ2 1991","FQ2 1991","Currency=USD","Period=FQ","BEST_FPERIOD_OVERRIDE=FQ","FILING_STATUS=OR","Sort=A","Dates=H","DateFormat=P","Fill=—","Direction=H","UseDPDF=Y")</f>
        <v>—</v>
      </c>
      <c r="I30" s="17">
        <f>_xll.BDH("XOM US Equity","IS_BASIC_EPS_CONT_OPS","FQ3 1991","FQ3 1991","Currency=USD","Period=FQ","BEST_FPERIOD_OVERRIDE=FQ","FILING_STATUS=OR","Sort=A","Dates=H","DateFormat=P","Fill=—","Direction=H","UseDPDF=Y")</f>
        <v>0.22</v>
      </c>
      <c r="J30" s="17">
        <f>_xll.BDH("XOM US Equity","IS_BASIC_EPS_CONT_OPS","FQ4 1991","FQ4 1991","Currency=USD","Period=FQ","BEST_FPERIOD_OVERRIDE=FQ","FILING_STATUS=OR","Sort=A","Dates=H","DateFormat=P","Fill=—","Direction=H","UseDPDF=Y")</f>
        <v>0.2225</v>
      </c>
      <c r="K30" s="17" t="str">
        <f>_xll.BDH("XOM US Equity","IS_BASIC_EPS_CONT_OPS","FQ1 1992","FQ1 1992","Currency=USD","Period=FQ","BEST_FPERIOD_OVERRIDE=FQ","FILING_STATUS=OR","Sort=A","Dates=H","DateFormat=P","Fill=—","Direction=H","UseDPDF=Y")</f>
        <v>—</v>
      </c>
      <c r="L30" s="17" t="str">
        <f>_xll.BDH("XOM US Equity","IS_BASIC_EPS_CONT_OPS","FQ2 1992","FQ2 1992","Currency=USD","Period=FQ","BEST_FPERIOD_OVERRIDE=FQ","FILING_STATUS=OR","Sort=A","Dates=H","DateFormat=P","Fill=—","Direction=H","UseDPDF=Y")</f>
        <v>—</v>
      </c>
      <c r="M30" s="17" t="str">
        <f>_xll.BDH("XOM US Equity","IS_BASIC_EPS_CONT_OPS","FQ3 1992","FQ3 1992","Currency=USD","Period=FQ","BEST_FPERIOD_OVERRIDE=FQ","FILING_STATUS=OR","Sort=A","Dates=H","DateFormat=P","Fill=—","Direction=H","UseDPDF=Y")</f>
        <v>—</v>
      </c>
      <c r="N30" s="17">
        <f>_xll.BDH("XOM US Equity","IS_BASIC_EPS_CONT_OPS","FQ4 1992","FQ4 1992","Currency=USD","Period=FQ","BEST_FPERIOD_OVERRIDE=FQ","FILING_STATUS=OR","Sort=A","Dates=H","DateFormat=P","Fill=—","Direction=H","UseDPDF=Y")</f>
        <v>0.3175</v>
      </c>
      <c r="O30" s="17" t="str">
        <f>_xll.BDH("XOM US Equity","IS_BASIC_EPS_CONT_OPS","FQ1 1993","FQ1 1993","Currency=USD","Period=FQ","BEST_FPERIOD_OVERRIDE=FQ","FILING_STATUS=OR","Sort=A","Dates=H","DateFormat=P","Fill=—","Direction=H","UseDPDF=Y")</f>
        <v>—</v>
      </c>
      <c r="P30" s="17" t="str">
        <f>_xll.BDH("XOM US Equity","IS_BASIC_EPS_CONT_OPS","FQ2 1993","FQ2 1993","Currency=USD","Period=FQ","BEST_FPERIOD_OVERRIDE=FQ","FILING_STATUS=OR","Sort=A","Dates=H","DateFormat=P","Fill=—","Direction=H","UseDPDF=Y")</f>
        <v>—</v>
      </c>
      <c r="Q30" s="17">
        <f>_xll.BDH("XOM US Equity","IS_BASIC_EPS_CONT_OPS","FQ3 1993","FQ3 1993","Currency=USD","Period=FQ","BEST_FPERIOD_OVERRIDE=FQ","FILING_STATUS=OR","Sort=A","Dates=H","DateFormat=P","Fill=—","Direction=H","UseDPDF=Y")</f>
        <v>0.27250000000000002</v>
      </c>
      <c r="R30" s="17">
        <f>_xll.BDH("XOM US Equity","IS_BASIC_EPS_CONT_OPS","FQ4 1993","FQ4 1993","Currency=USD","Period=FQ","BEST_FPERIOD_OVERRIDE=FQ","FILING_STATUS=OR","Sort=A","Dates=H","DateFormat=P","Fill=—","Direction=H","UseDPDF=Y")</f>
        <v>0.3</v>
      </c>
      <c r="S30" s="17">
        <f>_xll.BDH("XOM US Equity","IS_BASIC_EPS_CONT_OPS","FQ1 1994","FQ1 1994","Currency=USD","Period=FQ","BEST_FPERIOD_OVERRIDE=FQ","FILING_STATUS=OR","Sort=A","Dates=H","DateFormat=P","Fill=—","Direction=H","UseDPDF=Y")</f>
        <v>0.23</v>
      </c>
      <c r="T30" s="17">
        <f>_xll.BDH("XOM US Equity","IS_BASIC_EPS_CONT_OPS","FQ2 1994","FQ2 1994","Currency=USD","Period=FQ","BEST_FPERIOD_OVERRIDE=FQ","FILING_STATUS=OR","Sort=A","Dates=H","DateFormat=P","Fill=—","Direction=H","UseDPDF=Y")</f>
        <v>0.17499999999999999</v>
      </c>
      <c r="U30" s="17">
        <f>_xll.BDH("XOM US Equity","IS_BASIC_EPS_CONT_OPS","FQ3 1994","FQ3 1994","Currency=USD","Period=FQ","BEST_FPERIOD_OVERRIDE=FQ","FILING_STATUS=OR","Sort=A","Dates=H","DateFormat=P","Fill=—","Direction=H","UseDPDF=Y")</f>
        <v>0.23</v>
      </c>
      <c r="V30" s="17">
        <f>_xll.BDH("XOM US Equity","IS_BASIC_EPS_CONT_OPS","FQ4 1994","FQ4 1994","Currency=USD","Period=FQ","BEST_FPERIOD_OVERRIDE=FQ","FILING_STATUS=OR","Sort=A","Dates=H","DateFormat=P","Fill=—","Direction=H","UseDPDF=Y")</f>
        <v>0.38250000000000001</v>
      </c>
      <c r="W30" s="17" t="str">
        <f>_xll.BDH("XOM US Equity","IS_BASIC_EPS_CONT_OPS","FQ1 1995","FQ1 1995","Currency=USD","Period=FQ","BEST_FPERIOD_OVERRIDE=FQ","FILING_STATUS=OR","Sort=A","Dates=H","DateFormat=P","Fill=—","Direction=H","UseDPDF=Y")</f>
        <v>—</v>
      </c>
      <c r="X30" s="17" t="str">
        <f>_xll.BDH("XOM US Equity","IS_BASIC_EPS_CONT_OPS","FQ2 1995","FQ2 1995","Currency=USD","Period=FQ","BEST_FPERIOD_OVERRIDE=FQ","FILING_STATUS=OR","Sort=A","Dates=H","DateFormat=P","Fill=—","Direction=H","UseDPDF=Y")</f>
        <v>—</v>
      </c>
      <c r="Y30" s="17">
        <f>_xll.BDH("XOM US Equity","IS_BASIC_EPS_CONT_OPS","FQ3 1995","FQ3 1995","Currency=USD","Period=FQ","BEST_FPERIOD_OVERRIDE=FQ","FILING_STATUS=OR","Sort=A","Dates=H","DateFormat=P","Fill=—","Direction=H","UseDPDF=Y")</f>
        <v>0.3</v>
      </c>
      <c r="Z30" s="17">
        <f>_xll.BDH("XOM US Equity","IS_BASIC_EPS_CONT_OPS","FQ4 1995","FQ4 1995","Currency=USD","Period=FQ","BEST_FPERIOD_OVERRIDE=FQ","FILING_STATUS=OR","Sort=A","Dates=H","DateFormat=P","Fill=—","Direction=H","UseDPDF=Y")</f>
        <v>0.33750000000000002</v>
      </c>
      <c r="AA30" s="17">
        <f>_xll.BDH("XOM US Equity","IS_BASIC_EPS_CONT_OPS","FQ1 1996","FQ1 1996","Currency=USD","Period=FQ","BEST_FPERIOD_OVERRIDE=FQ","FILING_STATUS=OR","Sort=A","Dates=H","DateFormat=P","Fill=—","Direction=H","UseDPDF=Y")</f>
        <v>0.35249999999999998</v>
      </c>
      <c r="AB30" s="17">
        <f>_xll.BDH("XOM US Equity","IS_BASIC_EPS_CONT_OPS","FQ2 1996","FQ2 1996","Currency=USD","Period=FQ","BEST_FPERIOD_OVERRIDE=FQ","FILING_STATUS=OR","Sort=A","Dates=H","DateFormat=P","Fill=—","Direction=H","UseDPDF=Y")</f>
        <v>0.315</v>
      </c>
      <c r="AC30" s="17">
        <f>_xll.BDH("XOM US Equity","IS_BASIC_EPS_CONT_OPS","FQ3 1996","FQ3 1996","Currency=USD","Period=FQ","BEST_FPERIOD_OVERRIDE=FQ","FILING_STATUS=OR","Sort=A","Dates=H","DateFormat=P","Fill=—","Direction=H","UseDPDF=Y")</f>
        <v>0.31</v>
      </c>
      <c r="AD30" s="17">
        <f>_xll.BDH("XOM US Equity","IS_BASIC_EPS_CONT_OPS","FQ4 1996","FQ4 1996","Currency=USD","Period=FQ","BEST_FPERIOD_OVERRIDE=FQ","FILING_STATUS=OR","Sort=A","Dates=H","DateFormat=P","Fill=—","Direction=H","UseDPDF=Y")</f>
        <v>0.5</v>
      </c>
      <c r="AE30" s="17">
        <f>_xll.BDH("XOM US Equity","IS_BASIC_EPS_CONT_OPS","FQ1 1997","FQ1 1997","Currency=USD","Period=FQ","BEST_FPERIOD_OVERRIDE=FQ","FILING_STATUS=OR","Sort=A","Dates=H","DateFormat=P","Fill=—","Direction=H","UseDPDF=Y")</f>
        <v>0.435</v>
      </c>
      <c r="AF30" s="17">
        <f>_xll.BDH("XOM US Equity","IS_BASIC_EPS_CONT_OPS","FQ2 1997","FQ2 1997","Currency=USD","Period=FQ","BEST_FPERIOD_OVERRIDE=FQ","FILING_STATUS=OR","Sort=A","Dates=H","DateFormat=P","Fill=—","Direction=H","UseDPDF=Y")</f>
        <v>0.39500000000000002</v>
      </c>
      <c r="AG30" s="17">
        <f>_xll.BDH("XOM US Equity","IS_BASIC_EPS_CONT_OPS","FQ3 1997","FQ3 1997","Currency=USD","Period=FQ","BEST_FPERIOD_OVERRIDE=FQ","FILING_STATUS=OR","Sort=A","Dates=H","DateFormat=P","Fill=—","Direction=H","UseDPDF=Y")</f>
        <v>0.37</v>
      </c>
      <c r="AH30" s="17">
        <f>_xll.BDH("XOM US Equity","IS_BASIC_EPS_CONT_OPS","FQ4 1997","FQ4 1997","Currency=USD","Period=FQ","BEST_FPERIOD_OVERRIDE=FQ","FILING_STATUS=OR","Sort=A","Dates=H","DateFormat=P","Fill=—","Direction=H","UseDPDF=Y")</f>
        <v>0.44500000000000001</v>
      </c>
      <c r="AI30" s="17">
        <f>_xll.BDH("XOM US Equity","IS_BASIC_EPS_CONT_OPS","FQ1 1998","FQ1 1998","Currency=USD","Period=FQ","BEST_FPERIOD_OVERRIDE=FQ","FILING_STATUS=OR","Sort=A","Dates=H","DateFormat=P","Fill=—","Direction=H","UseDPDF=Y")</f>
        <v>0.38500000000000001</v>
      </c>
      <c r="AJ30" s="17">
        <f>_xll.BDH("XOM US Equity","IS_BASIC_EPS_CONT_OPS","FQ2 1998","FQ2 1998","Currency=USD","Period=FQ","BEST_FPERIOD_OVERRIDE=FQ","FILING_STATUS=OR","Sort=A","Dates=H","DateFormat=P","Fill=—","Direction=H","UseDPDF=Y")</f>
        <v>0.33</v>
      </c>
    </row>
    <row r="31" spans="1:36" x14ac:dyDescent="0.25">
      <c r="A31" s="6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</row>
    <row r="32" spans="1:36" x14ac:dyDescent="0.25">
      <c r="A32" s="10" t="s">
        <v>117</v>
      </c>
      <c r="B32" s="10" t="s">
        <v>118</v>
      </c>
      <c r="C32" s="13">
        <f>_xll.BDH("XOM US Equity","IS_SH_FOR_DILUTED_EPS","FQ1 1990","FQ1 1990","Currency=USD","Period=FQ","BEST_FPERIOD_OVERRIDE=FQ","FILING_STATUS=OR","Sort=A","Dates=H","DateFormat=P","Fill=—","Direction=H","UseDPDF=Y")</f>
        <v>4998.1758</v>
      </c>
      <c r="D32" s="13">
        <f>_xll.BDH("XOM US Equity","IS_SH_FOR_DILUTED_EPS","FQ2 1990","FQ2 1990","Currency=USD","Period=FQ","BEST_FPERIOD_OVERRIDE=FQ","FILING_STATUS=OR","Sort=A","Dates=H","DateFormat=P","Fill=—","Direction=H","UseDPDF=Y")</f>
        <v>4991.6318000000001</v>
      </c>
      <c r="E32" s="13">
        <f>_xll.BDH("XOM US Equity","IS_SH_FOR_DILUTED_EPS","FQ3 1990","FQ3 1990","Currency=USD","Period=FQ","BEST_FPERIOD_OVERRIDE=FQ","FILING_STATUS=OR","Sort=A","Dates=H","DateFormat=P","Fill=—","Direction=H","UseDPDF=Y")</f>
        <v>4987.2002000000002</v>
      </c>
      <c r="F32" s="13">
        <f>_xll.BDH("XOM US Equity","IS_SH_FOR_DILUTED_EPS","FQ4 1990","FQ4 1990","Currency=USD","Period=FQ","BEST_FPERIOD_OVERRIDE=FQ","FILING_STATUS=OR","Sort=A","Dates=H","DateFormat=P","Fill=—","Direction=H","UseDPDF=Y")</f>
        <v>4983.2002000000002</v>
      </c>
      <c r="G32" s="13">
        <f>_xll.BDH("XOM US Equity","IS_SH_FOR_DILUTED_EPS","FQ1 1991","FQ1 1991","Currency=USD","Period=FQ","BEST_FPERIOD_OVERRIDE=FQ","FILING_STATUS=OR","Sort=A","Dates=H","DateFormat=P","Fill=—","Direction=H","UseDPDF=Y")</f>
        <v>4980.0962</v>
      </c>
      <c r="H32" s="13">
        <f>_xll.BDH("XOM US Equity","IS_SH_FOR_DILUTED_EPS","FQ2 1991","FQ2 1991","Currency=USD","Period=FQ","BEST_FPERIOD_OVERRIDE=FQ","FILING_STATUS=OR","Sort=A","Dates=H","DateFormat=P","Fill=—","Direction=H","UseDPDF=Y")</f>
        <v>4977.0518000000002</v>
      </c>
      <c r="I32" s="13">
        <f>_xll.BDH("XOM US Equity","IS_SH_FOR_DILUTED_EPS","FQ3 1991","FQ3 1991","Currency=USD","Period=FQ","BEST_FPERIOD_OVERRIDE=FQ","FILING_STATUS=OR","Sort=A","Dates=H","DateFormat=P","Fill=—","Direction=H","UseDPDF=Y")</f>
        <v>4973.2002000000002</v>
      </c>
      <c r="J32" s="13">
        <f>_xll.BDH("XOM US Equity","IS_SH_FOR_DILUTED_EPS","FQ4 1991","FQ4 1991","Currency=USD","Period=FQ","BEST_FPERIOD_OVERRIDE=FQ","FILING_STATUS=OR","Sort=A","Dates=H","DateFormat=P","Fill=—","Direction=H","UseDPDF=Y")</f>
        <v>4969.2002000000002</v>
      </c>
      <c r="K32" s="13">
        <f>_xll.BDH("XOM US Equity","IS_SH_FOR_DILUTED_EPS","FQ1 1992","FQ1 1992","Currency=USD","Period=FQ","BEST_FPERIOD_OVERRIDE=FQ","FILING_STATUS=OR","Sort=A","Dates=H","DateFormat=P","Fill=—","Direction=H","UseDPDF=Y")</f>
        <v>4966.6958000000004</v>
      </c>
      <c r="L32" s="13">
        <f>_xll.BDH("XOM US Equity","IS_SH_FOR_DILUTED_EPS","FQ2 1992","FQ2 1992","Currency=USD","Period=FQ","BEST_FPERIOD_OVERRIDE=FQ","FILING_STATUS=OR","Sort=A","Dates=H","DateFormat=P","Fill=—","Direction=H","UseDPDF=Y")</f>
        <v>4965.8959999999997</v>
      </c>
      <c r="M32" s="13">
        <f>_xll.BDH("XOM US Equity","IS_SH_FOR_DILUTED_EPS","FQ3 1992","FQ3 1992","Currency=USD","Period=FQ","BEST_FPERIOD_OVERRIDE=FQ","FILING_STATUS=OR","Sort=A","Dates=H","DateFormat=P","Fill=—","Direction=H","UseDPDF=Y")</f>
        <v>4966.1518999999998</v>
      </c>
      <c r="N32" s="13">
        <f>_xll.BDH("XOM US Equity","IS_SH_FOR_DILUTED_EPS","FQ4 1992","FQ4 1992","Currency=USD","Period=FQ","BEST_FPERIOD_OVERRIDE=FQ","FILING_STATUS=OR","Sort=A","Dates=H","DateFormat=P","Fill=—","Direction=H","UseDPDF=Y")</f>
        <v>4966</v>
      </c>
      <c r="O32" s="13">
        <f>_xll.BDH("XOM US Equity","IS_SH_FOR_DILUTED_EPS","FQ1 1993","FQ1 1993","Currency=USD","Period=FQ","BEST_FPERIOD_OVERRIDE=FQ","FILING_STATUS=OR","Sort=A","Dates=H","DateFormat=P","Fill=—","Direction=H","UseDPDF=Y")</f>
        <v>4966.7440999999999</v>
      </c>
      <c r="P32" s="13">
        <f>_xll.BDH("XOM US Equity","IS_SH_FOR_DILUTED_EPS","FQ2 1993","FQ2 1993","Currency=USD","Period=FQ","BEST_FPERIOD_OVERRIDE=FQ","FILING_STATUS=OR","Sort=A","Dates=H","DateFormat=P","Fill=—","Direction=H","UseDPDF=Y")</f>
        <v>4967.6000999999997</v>
      </c>
      <c r="Q32" s="13">
        <f>_xll.BDH("XOM US Equity","IS_SH_FOR_DILUTED_EPS","FQ3 1993","FQ3 1993","Currency=USD","Period=FQ","BEST_FPERIOD_OVERRIDE=FQ","FILING_STATUS=OR","Sort=A","Dates=H","DateFormat=P","Fill=—","Direction=H","UseDPDF=Y")</f>
        <v>4966.3999000000003</v>
      </c>
      <c r="R32" s="13">
        <f>_xll.BDH("XOM US Equity","IS_SH_FOR_DILUTED_EPS","FQ4 1993","FQ4 1993","Currency=USD","Period=FQ","BEST_FPERIOD_OVERRIDE=FQ","FILING_STATUS=OR","Sort=A","Dates=H","DateFormat=P","Fill=—","Direction=H","UseDPDF=Y")</f>
        <v>4966</v>
      </c>
      <c r="S32" s="13">
        <f>_xll.BDH("XOM US Equity","IS_SH_FOR_DILUTED_EPS","FQ1 1994","FQ1 1994","Currency=USD","Period=FQ","BEST_FPERIOD_OVERRIDE=FQ","FILING_STATUS=OR","Sort=A","Dates=H","DateFormat=P","Fill=—","Direction=H","UseDPDF=Y")</f>
        <v>4967.6000999999997</v>
      </c>
      <c r="T32" s="13">
        <f>_xll.BDH("XOM US Equity","IS_SH_FOR_DILUTED_EPS","FQ2 1994","FQ2 1994","Currency=USD","Period=FQ","BEST_FPERIOD_OVERRIDE=FQ","FILING_STATUS=OR","Sort=A","Dates=H","DateFormat=P","Fill=—","Direction=H","UseDPDF=Y")</f>
        <v>4966.3999000000003</v>
      </c>
      <c r="U32" s="13">
        <f>_xll.BDH("XOM US Equity","IS_SH_FOR_DILUTED_EPS","FQ3 1994","FQ3 1994","Currency=USD","Period=FQ","BEST_FPERIOD_OVERRIDE=FQ","FILING_STATUS=OR","Sort=A","Dates=H","DateFormat=P","Fill=—","Direction=H","UseDPDF=Y")</f>
        <v>4965.6000999999997</v>
      </c>
      <c r="V32" s="13">
        <f>_xll.BDH("XOM US Equity","IS_SH_FOR_DILUTED_EPS","FQ4 1994","FQ4 1994","Currency=USD","Period=FQ","BEST_FPERIOD_OVERRIDE=FQ","FILING_STATUS=OR","Sort=A","Dates=H","DateFormat=P","Fill=—","Direction=H","UseDPDF=Y")</f>
        <v>4966.7997999999998</v>
      </c>
      <c r="W32" s="13">
        <f>_xll.BDH("XOM US Equity","IS_SH_FOR_DILUTED_EPS","FQ1 1995","FQ1 1995","Currency=USD","Period=FQ","BEST_FPERIOD_OVERRIDE=FQ","FILING_STATUS=OR","Sort=A","Dates=H","DateFormat=P","Fill=—","Direction=H","UseDPDF=Y")</f>
        <v>4967.6000999999997</v>
      </c>
      <c r="X32" s="13">
        <f>_xll.BDH("XOM US Equity","IS_SH_FOR_DILUTED_EPS","FQ2 1995","FQ2 1995","Currency=USD","Period=FQ","BEST_FPERIOD_OVERRIDE=FQ","FILING_STATUS=OR","Sort=A","Dates=H","DateFormat=P","Fill=—","Direction=H","UseDPDF=Y")</f>
        <v>4970</v>
      </c>
      <c r="Y32" s="13">
        <f>_xll.BDH("XOM US Equity","IS_SH_FOR_DILUTED_EPS","FQ3 1995","FQ3 1995","Currency=USD","Period=FQ","BEST_FPERIOD_OVERRIDE=FQ","FILING_STATUS=OR","Sort=A","Dates=H","DateFormat=P","Fill=—","Direction=H","UseDPDF=Y")</f>
        <v>4967.2002000000002</v>
      </c>
      <c r="Z32" s="13">
        <f>_xll.BDH("XOM US Equity","IS_SH_FOR_DILUTED_EPS","FQ4 1995","FQ4 1995","Currency=USD","Period=FQ","BEST_FPERIOD_OVERRIDE=FQ","FILING_STATUS=OR","Sort=A","Dates=H","DateFormat=P","Fill=—","Direction=H","UseDPDF=Y")</f>
        <v>4966</v>
      </c>
      <c r="AA32" s="13">
        <f>_xll.BDH("XOM US Equity","IS_SH_FOR_DILUTED_EPS","FQ1 1996","FQ1 1996","Currency=USD","Period=FQ","BEST_FPERIOD_OVERRIDE=FQ","FILING_STATUS=OR","Sort=A","Dates=H","DateFormat=P","Fill=—","Direction=H","UseDPDF=Y")</f>
        <v>5024</v>
      </c>
      <c r="AB32" s="13">
        <f>_xll.BDH("XOM US Equity","IS_SH_FOR_DILUTED_EPS","FQ2 1996","FQ2 1996","Currency=USD","Period=FQ","BEST_FPERIOD_OVERRIDE=FQ","FILING_STATUS=OR","Sort=A","Dates=H","DateFormat=P","Fill=—","Direction=H","UseDPDF=Y")</f>
        <v>5024</v>
      </c>
      <c r="AC32" s="13">
        <f>_xll.BDH("XOM US Equity","IS_SH_FOR_DILUTED_EPS","FQ3 1996","FQ3 1996","Currency=USD","Period=FQ","BEST_FPERIOD_OVERRIDE=FQ","FILING_STATUS=OR","Sort=A","Dates=H","DateFormat=P","Fill=—","Direction=H","UseDPDF=Y")</f>
        <v>5024</v>
      </c>
      <c r="AD32" s="13">
        <f>_xll.BDH("XOM US Equity","IS_SH_FOR_DILUTED_EPS","FQ4 1996","FQ4 1996","Currency=USD","Period=FQ","BEST_FPERIOD_OVERRIDE=FQ","FILING_STATUS=OR","Sort=A","Dates=H","DateFormat=P","Fill=—","Direction=H","UseDPDF=Y")</f>
        <v>4968</v>
      </c>
      <c r="AE32" s="13">
        <f>_xll.BDH("XOM US Equity","IS_SH_FOR_DILUTED_EPS","FQ1 1997","FQ1 1997","Currency=USD","Period=FQ","BEST_FPERIOD_OVERRIDE=FQ","FILING_STATUS=OR","Sort=A","Dates=H","DateFormat=P","Fill=—","Direction=H","UseDPDF=Y")</f>
        <v>5034</v>
      </c>
      <c r="AF32" s="13">
        <f>_xll.BDH("XOM US Equity","IS_SH_FOR_DILUTED_EPS","FQ2 1997","FQ2 1997","Currency=USD","Period=FQ","BEST_FPERIOD_OVERRIDE=FQ","FILING_STATUS=OR","Sort=A","Dates=H","DateFormat=P","Fill=—","Direction=H","UseDPDF=Y")</f>
        <v>5027.5640000000003</v>
      </c>
      <c r="AG32" s="13">
        <f>_xll.BDH("XOM US Equity","IS_SH_FOR_DILUTED_EPS","FQ3 1997","FQ3 1997","Currency=USD","Period=FQ","BEST_FPERIOD_OVERRIDE=FQ","FILING_STATUS=OR","Sort=A","Dates=H","DateFormat=P","Fill=—","Direction=H","UseDPDF=Y")</f>
        <v>5012</v>
      </c>
      <c r="AH32" s="13">
        <f>_xll.BDH("XOM US Equity","IS_SH_FOR_DILUTED_EPS","FQ4 1997","FQ4 1997","Currency=USD","Period=FQ","BEST_FPERIOD_OVERRIDE=FQ","FILING_STATUS=OR","Sort=A","Dates=H","DateFormat=P","Fill=—","Direction=H","UseDPDF=Y")</f>
        <v>4922.3999999999996</v>
      </c>
      <c r="AI32" s="13">
        <f>_xll.BDH("XOM US Equity","IS_SH_FOR_DILUTED_EPS","FQ1 1998","FQ1 1998","Currency=USD","Period=FQ","BEST_FPERIOD_OVERRIDE=FQ","FILING_STATUS=OR","Sort=A","Dates=H","DateFormat=P","Fill=—","Direction=H","UseDPDF=Y")</f>
        <v>4966</v>
      </c>
      <c r="AJ32" s="13">
        <f>_xll.BDH("XOM US Equity","IS_SH_FOR_DILUTED_EPS","FQ2 1998","FQ2 1998","Currency=USD","Period=FQ","BEST_FPERIOD_OVERRIDE=FQ","FILING_STATUS=OR","Sort=A","Dates=H","DateFormat=P","Fill=—","Direction=H","UseDPDF=Y")</f>
        <v>4950</v>
      </c>
    </row>
    <row r="33" spans="1:36" x14ac:dyDescent="0.25">
      <c r="A33" s="6" t="s">
        <v>119</v>
      </c>
      <c r="B33" s="6" t="s">
        <v>120</v>
      </c>
      <c r="C33" s="17">
        <f>_xll.BDH("XOM US Equity","IS_DILUTED_EPS","FQ1 1990","FQ1 1990","Currency=USD","Period=FQ","BEST_FPERIOD_OVERRIDE=FQ","FILING_STATUS=OR","FA_ADJUSTED=GAAP","Sort=A","Dates=H","DateFormat=P","Fill=—","Direction=H","UseDPDF=Y")</f>
        <v>0.2525</v>
      </c>
      <c r="D33" s="17">
        <f>_xll.BDH("XOM US Equity","IS_DILUTED_EPS","FQ2 1990","FQ2 1990","Currency=USD","Period=FQ","BEST_FPERIOD_OVERRIDE=FQ","FILING_STATUS=OR","FA_ADJUSTED=GAAP","Sort=A","Dates=H","DateFormat=P","Fill=—","Direction=H","UseDPDF=Y")</f>
        <v>0.2175</v>
      </c>
      <c r="E33" s="17">
        <f>_xll.BDH("XOM US Equity","IS_DILUTED_EPS","FQ3 1990","FQ3 1990","Currency=USD","Period=FQ","BEST_FPERIOD_OVERRIDE=FQ","FILING_STATUS=OR","FA_ADJUSTED=GAAP","Sort=A","Dates=H","DateFormat=P","Fill=—","Direction=H","UseDPDF=Y")</f>
        <v>0.21249999999999999</v>
      </c>
      <c r="F33" s="17">
        <f>_xll.BDH("XOM US Equity","IS_DILUTED_EPS","FQ4 1990","FQ4 1990","Currency=USD","Period=FQ","BEST_FPERIOD_OVERRIDE=FQ","FILING_STATUS=OR","FA_ADJUSTED=GAAP","Sort=A","Dates=H","DateFormat=P","Fill=—","Direction=H","UseDPDF=Y")</f>
        <v>0.3075</v>
      </c>
      <c r="G33" s="17">
        <f>_xll.BDH("XOM US Equity","IS_DILUTED_EPS","FQ1 1991","FQ1 1991","Currency=USD","Period=FQ","BEST_FPERIOD_OVERRIDE=FQ","FILING_STATUS=OR","FA_ADJUSTED=GAAP","Sort=A","Dates=H","DateFormat=P","Fill=—","Direction=H","UseDPDF=Y")</f>
        <v>0.44500000000000001</v>
      </c>
      <c r="H33" s="17">
        <f>_xll.BDH("XOM US Equity","IS_DILUTED_EPS","FQ2 1991","FQ2 1991","Currency=USD","Period=FQ","BEST_FPERIOD_OVERRIDE=FQ","FILING_STATUS=OR","FA_ADJUSTED=GAAP","Sort=A","Dates=H","DateFormat=P","Fill=—","Direction=H","UseDPDF=Y")</f>
        <v>0.22500000000000001</v>
      </c>
      <c r="I33" s="17">
        <f>_xll.BDH("XOM US Equity","IS_DILUTED_EPS","FQ3 1991","FQ3 1991","Currency=USD","Period=FQ","BEST_FPERIOD_OVERRIDE=FQ","FILING_STATUS=OR","FA_ADJUSTED=GAAP","Sort=A","Dates=H","DateFormat=P","Fill=—","Direction=H","UseDPDF=Y")</f>
        <v>0.22</v>
      </c>
      <c r="J33" s="17">
        <f>_xll.BDH("XOM US Equity","IS_DILUTED_EPS","FQ4 1991","FQ4 1991","Currency=USD","Period=FQ","BEST_FPERIOD_OVERRIDE=FQ","FILING_STATUS=OR","FA_ADJUSTED=GAAP","Sort=A","Dates=H","DateFormat=P","Fill=—","Direction=H","UseDPDF=Y")</f>
        <v>0.2225</v>
      </c>
      <c r="K33" s="17">
        <f>_xll.BDH("XOM US Equity","IS_DILUTED_EPS","FQ1 1992","FQ1 1992","Currency=USD","Period=FQ","BEST_FPERIOD_OVERRIDE=FQ","FILING_STATUS=OR","FA_ADJUSTED=GAAP","Sort=A","Dates=H","DateFormat=P","Fill=—","Direction=H","UseDPDF=Y")</f>
        <v>0.26750000000000002</v>
      </c>
      <c r="L33" s="17">
        <f>_xll.BDH("XOM US Equity","IS_DILUTED_EPS","FQ2 1992","FQ2 1992","Currency=USD","Period=FQ","BEST_FPERIOD_OVERRIDE=FQ","FILING_STATUS=OR","FA_ADJUSTED=GAAP","Sort=A","Dates=H","DateFormat=P","Fill=—","Direction=H","UseDPDF=Y")</f>
        <v>0.19</v>
      </c>
      <c r="M33" s="17">
        <f>_xll.BDH("XOM US Equity","IS_DILUTED_EPS","FQ3 1992","FQ3 1992","Currency=USD","Period=FQ","BEST_FPERIOD_OVERRIDE=FQ","FILING_STATUS=OR","FA_ADJUSTED=GAAP","Sort=A","Dates=H","DateFormat=P","Fill=—","Direction=H","UseDPDF=Y")</f>
        <v>0.22500000000000001</v>
      </c>
      <c r="N33" s="17">
        <f>_xll.BDH("XOM US Equity","IS_DILUTED_EPS","FQ4 1992","FQ4 1992","Currency=USD","Period=FQ","BEST_FPERIOD_OVERRIDE=FQ","FILING_STATUS=OR","FA_ADJUSTED=GAAP","Sort=A","Dates=H","DateFormat=P","Fill=—","Direction=H","UseDPDF=Y")</f>
        <v>0.31</v>
      </c>
      <c r="O33" s="17">
        <f>_xll.BDH("XOM US Equity","IS_DILUTED_EPS","FQ1 1993","FQ1 1993","Currency=USD","Period=FQ","BEST_FPERIOD_OVERRIDE=FQ","FILING_STATUS=OR","FA_ADJUSTED=GAAP","Sort=A","Dates=H","DateFormat=P","Fill=—","Direction=H","UseDPDF=Y")</f>
        <v>0.23499999999999999</v>
      </c>
      <c r="P33" s="17">
        <f>_xll.BDH("XOM US Equity","IS_DILUTED_EPS","FQ2 1993","FQ2 1993","Currency=USD","Period=FQ","BEST_FPERIOD_OVERRIDE=FQ","FILING_STATUS=OR","FA_ADJUSTED=GAAP","Sort=A","Dates=H","DateFormat=P","Fill=—","Direction=H","UseDPDF=Y")</f>
        <v>0.245</v>
      </c>
      <c r="Q33" s="17">
        <f>_xll.BDH("XOM US Equity","IS_DILUTED_EPS","FQ3 1993","FQ3 1993","Currency=USD","Period=FQ","BEST_FPERIOD_OVERRIDE=FQ","FILING_STATUS=OR","FA_ADJUSTED=GAAP","Sort=A","Dates=H","DateFormat=P","Fill=—","Direction=H","UseDPDF=Y")</f>
        <v>0.27250000000000002</v>
      </c>
      <c r="R33" s="17">
        <f>_xll.BDH("XOM US Equity","IS_DILUTED_EPS","FQ4 1993","FQ4 1993","Currency=USD","Period=FQ","BEST_FPERIOD_OVERRIDE=FQ","FILING_STATUS=OR","FA_ADJUSTED=GAAP","Sort=A","Dates=H","DateFormat=P","Fill=—","Direction=H","UseDPDF=Y")</f>
        <v>0.3</v>
      </c>
      <c r="S33" s="17">
        <f>_xll.BDH("XOM US Equity","IS_DILUTED_EPS","FQ1 1994","FQ1 1994","Currency=USD","Period=FQ","BEST_FPERIOD_OVERRIDE=FQ","FILING_STATUS=OR","FA_ADJUSTED=GAAP","Sort=A","Dates=H","DateFormat=P","Fill=—","Direction=H","UseDPDF=Y")</f>
        <v>0.23</v>
      </c>
      <c r="T33" s="17">
        <f>_xll.BDH("XOM US Equity","IS_DILUTED_EPS","FQ2 1994","FQ2 1994","Currency=USD","Period=FQ","BEST_FPERIOD_OVERRIDE=FQ","FILING_STATUS=OR","FA_ADJUSTED=GAAP","Sort=A","Dates=H","DateFormat=P","Fill=—","Direction=H","UseDPDF=Y")</f>
        <v>0.17499999999999999</v>
      </c>
      <c r="U33" s="17">
        <f>_xll.BDH("XOM US Equity","IS_DILUTED_EPS","FQ3 1994","FQ3 1994","Currency=USD","Period=FQ","BEST_FPERIOD_OVERRIDE=FQ","FILING_STATUS=OR","FA_ADJUSTED=GAAP","Sort=A","Dates=H","DateFormat=P","Fill=—","Direction=H","UseDPDF=Y")</f>
        <v>0.23</v>
      </c>
      <c r="V33" s="17">
        <f>_xll.BDH("XOM US Equity","IS_DILUTED_EPS","FQ4 1994","FQ4 1994","Currency=USD","Period=FQ","BEST_FPERIOD_OVERRIDE=FQ","FILING_STATUS=OR","FA_ADJUSTED=GAAP","Sort=A","Dates=H","DateFormat=P","Fill=—","Direction=H","UseDPDF=Y")</f>
        <v>0.38250000000000001</v>
      </c>
      <c r="W33" s="17">
        <f>_xll.BDH("XOM US Equity","IS_DILUTED_EPS","FQ1 1995","FQ1 1995","Currency=USD","Period=FQ","BEST_FPERIOD_OVERRIDE=FQ","FILING_STATUS=OR","FA_ADJUSTED=GAAP","Sort=A","Dates=H","DateFormat=P","Fill=—","Direction=H","UseDPDF=Y")</f>
        <v>0.33250000000000002</v>
      </c>
      <c r="X33" s="17">
        <f>_xll.BDH("XOM US Equity","IS_DILUTED_EPS","FQ2 1995","FQ2 1995","Currency=USD","Period=FQ","BEST_FPERIOD_OVERRIDE=FQ","FILING_STATUS=OR","FA_ADJUSTED=GAAP","Sort=A","Dates=H","DateFormat=P","Fill=—","Direction=H","UseDPDF=Y")</f>
        <v>0.32500000000000001</v>
      </c>
      <c r="Y33" s="17">
        <f>_xll.BDH("XOM US Equity","IS_DILUTED_EPS","FQ3 1995","FQ3 1995","Currency=USD","Period=FQ","BEST_FPERIOD_OVERRIDE=FQ","FILING_STATUS=OR","FA_ADJUSTED=GAAP","Sort=A","Dates=H","DateFormat=P","Fill=—","Direction=H","UseDPDF=Y")</f>
        <v>0.3</v>
      </c>
      <c r="Z33" s="17">
        <f>_xll.BDH("XOM US Equity","IS_DILUTED_EPS","FQ4 1995","FQ4 1995","Currency=USD","Period=FQ","BEST_FPERIOD_OVERRIDE=FQ","FILING_STATUS=OR","FA_ADJUSTED=GAAP","Sort=A","Dates=H","DateFormat=P","Fill=—","Direction=H","UseDPDF=Y")</f>
        <v>0.33750000000000002</v>
      </c>
      <c r="AA33" s="17">
        <f>_xll.BDH("XOM US Equity","IS_DILUTED_EPS","FQ1 1996","FQ1 1996","Currency=USD","Period=FQ","BEST_FPERIOD_OVERRIDE=FQ","FILING_STATUS=OR","FA_ADJUSTED=GAAP","Sort=A","Dates=H","DateFormat=P","Fill=—","Direction=H","UseDPDF=Y")</f>
        <v>0.375</v>
      </c>
      <c r="AB33" s="17">
        <f>_xll.BDH("XOM US Equity","IS_DILUTED_EPS","FQ2 1996","FQ2 1996","Currency=USD","Period=FQ","BEST_FPERIOD_OVERRIDE=FQ","FILING_STATUS=OR","FA_ADJUSTED=GAAP","Sort=A","Dates=H","DateFormat=P","Fill=—","Direction=H","UseDPDF=Y")</f>
        <v>0.31</v>
      </c>
      <c r="AC33" s="17">
        <f>_xll.BDH("XOM US Equity","IS_DILUTED_EPS","FQ3 1996","FQ3 1996","Currency=USD","Period=FQ","BEST_FPERIOD_OVERRIDE=FQ","FILING_STATUS=OR","FA_ADJUSTED=GAAP","Sort=A","Dates=H","DateFormat=P","Fill=—","Direction=H","UseDPDF=Y")</f>
        <v>0.31</v>
      </c>
      <c r="AD33" s="17">
        <f>_xll.BDH("XOM US Equity","IS_DILUTED_EPS","FQ4 1996","FQ4 1996","Currency=USD","Period=FQ","BEST_FPERIOD_OVERRIDE=FQ","FILING_STATUS=OR","FA_ADJUSTED=GAAP","Sort=A","Dates=H","DateFormat=P","Fill=—","Direction=H","UseDPDF=Y")</f>
        <v>0.5</v>
      </c>
      <c r="AE33" s="17">
        <f>_xll.BDH("XOM US Equity","IS_DILUTED_EPS","FQ1 1997","FQ1 1997","Currency=USD","Period=FQ","BEST_FPERIOD_OVERRIDE=FQ","FILING_STATUS=OR","FA_ADJUSTED=GAAP","Sort=A","Dates=H","DateFormat=P","Fill=—","Direction=H","UseDPDF=Y")</f>
        <v>0.43</v>
      </c>
      <c r="AF33" s="17">
        <f>_xll.BDH("XOM US Equity","IS_DILUTED_EPS","FQ2 1997","FQ2 1997","Currency=USD","Period=FQ","BEST_FPERIOD_OVERRIDE=FQ","FILING_STATUS=OR","FA_ADJUSTED=GAAP","Sort=A","Dates=H","DateFormat=P","Fill=—","Direction=H","UseDPDF=Y")</f>
        <v>0.39</v>
      </c>
      <c r="AG33" s="17">
        <f>_xll.BDH("XOM US Equity","IS_DILUTED_EPS","FQ3 1997","FQ3 1997","Currency=USD","Period=FQ","BEST_FPERIOD_OVERRIDE=FQ","FILING_STATUS=OR","FA_ADJUSTED=GAAP","Sort=A","Dates=H","DateFormat=P","Fill=—","Direction=H","UseDPDF=Y")</f>
        <v>0.36499999999999999</v>
      </c>
      <c r="AH33" s="17">
        <f>_xll.BDH("XOM US Equity","IS_DILUTED_EPS","FQ4 1997","FQ4 1997","Currency=USD","Period=FQ","BEST_FPERIOD_OVERRIDE=FQ","FILING_STATUS=OR","FA_ADJUSTED=GAAP","Sort=A","Dates=H","DateFormat=P","Fill=—","Direction=H","UseDPDF=Y")</f>
        <v>0.5</v>
      </c>
      <c r="AI33" s="17">
        <f>_xll.BDH("XOM US Equity","IS_DILUTED_EPS","FQ1 1998","FQ1 1998","Currency=USD","Period=FQ","BEST_FPERIOD_OVERRIDE=FQ","FILING_STATUS=OR","FA_ADJUSTED=GAAP","Sort=A","Dates=H","DateFormat=P","Fill=—","Direction=H","UseDPDF=Y")</f>
        <v>0.38</v>
      </c>
      <c r="AJ33" s="17">
        <f>_xll.BDH("XOM US Equity","IS_DILUTED_EPS","FQ2 1998","FQ2 1998","Currency=USD","Period=FQ","BEST_FPERIOD_OVERRIDE=FQ","FILING_STATUS=OR","FA_ADJUSTED=GAAP","Sort=A","Dates=H","DateFormat=P","Fill=—","Direction=H","UseDPDF=Y")</f>
        <v>0.32500000000000001</v>
      </c>
    </row>
    <row r="34" spans="1:36" x14ac:dyDescent="0.25">
      <c r="A34" s="6" t="s">
        <v>121</v>
      </c>
      <c r="B34" s="6" t="s">
        <v>122</v>
      </c>
      <c r="C34" s="17">
        <f>_xll.BDH("XOM US Equity","IS_DIL_EPS_BEF_XO","FQ1 1990","FQ1 1990","Currency=USD","Period=FQ","BEST_FPERIOD_OVERRIDE=FQ","FILING_STATUS=OR","Sort=A","Dates=H","DateFormat=P","Fill=—","Direction=H","UseDPDF=Y")</f>
        <v>0.2525</v>
      </c>
      <c r="D34" s="17">
        <f>_xll.BDH("XOM US Equity","IS_DIL_EPS_BEF_XO","FQ2 1990","FQ2 1990","Currency=USD","Period=FQ","BEST_FPERIOD_OVERRIDE=FQ","FILING_STATUS=OR","Sort=A","Dates=H","DateFormat=P","Fill=—","Direction=H","UseDPDF=Y")</f>
        <v>0.2175</v>
      </c>
      <c r="E34" s="17">
        <f>_xll.BDH("XOM US Equity","IS_DIL_EPS_BEF_XO","FQ3 1990","FQ3 1990","Currency=USD","Period=FQ","BEST_FPERIOD_OVERRIDE=FQ","FILING_STATUS=OR","Sort=A","Dates=H","DateFormat=P","Fill=—","Direction=H","UseDPDF=Y")</f>
        <v>0.21249999999999999</v>
      </c>
      <c r="F34" s="17">
        <f>_xll.BDH("XOM US Equity","IS_DIL_EPS_BEF_XO","FQ4 1990","FQ4 1990","Currency=USD","Period=FQ","BEST_FPERIOD_OVERRIDE=FQ","FILING_STATUS=OR","Sort=A","Dates=H","DateFormat=P","Fill=—","Direction=H","UseDPDF=Y")</f>
        <v>0.3075</v>
      </c>
      <c r="G34" s="17">
        <f>_xll.BDH("XOM US Equity","IS_DIL_EPS_BEF_XO","FQ1 1991","FQ1 1991","Currency=USD","Period=FQ","BEST_FPERIOD_OVERRIDE=FQ","FILING_STATUS=OR","Sort=A","Dates=H","DateFormat=P","Fill=—","Direction=H","UseDPDF=Y")</f>
        <v>0.44500000000000001</v>
      </c>
      <c r="H34" s="17">
        <f>_xll.BDH("XOM US Equity","IS_DIL_EPS_BEF_XO","FQ2 1991","FQ2 1991","Currency=USD","Period=FQ","BEST_FPERIOD_OVERRIDE=FQ","FILING_STATUS=OR","Sort=A","Dates=H","DateFormat=P","Fill=—","Direction=H","UseDPDF=Y")</f>
        <v>0.22500000000000001</v>
      </c>
      <c r="I34" s="17">
        <f>_xll.BDH("XOM US Equity","IS_DIL_EPS_BEF_XO","FQ3 1991","FQ3 1991","Currency=USD","Period=FQ","BEST_FPERIOD_OVERRIDE=FQ","FILING_STATUS=OR","Sort=A","Dates=H","DateFormat=P","Fill=—","Direction=H","UseDPDF=Y")</f>
        <v>0.22</v>
      </c>
      <c r="J34" s="17">
        <f>_xll.BDH("XOM US Equity","IS_DIL_EPS_BEF_XO","FQ4 1991","FQ4 1991","Currency=USD","Period=FQ","BEST_FPERIOD_OVERRIDE=FQ","FILING_STATUS=OR","Sort=A","Dates=H","DateFormat=P","Fill=—","Direction=H","UseDPDF=Y")</f>
        <v>0.2225</v>
      </c>
      <c r="K34" s="17">
        <f>_xll.BDH("XOM US Equity","IS_DIL_EPS_BEF_XO","FQ1 1992","FQ1 1992","Currency=USD","Period=FQ","BEST_FPERIOD_OVERRIDE=FQ","FILING_STATUS=OR","Sort=A","Dates=H","DateFormat=P","Fill=—","Direction=H","UseDPDF=Y")</f>
        <v>0.26750000000000002</v>
      </c>
      <c r="L34" s="17">
        <f>_xll.BDH("XOM US Equity","IS_DIL_EPS_BEF_XO","FQ2 1992","FQ2 1992","Currency=USD","Period=FQ","BEST_FPERIOD_OVERRIDE=FQ","FILING_STATUS=OR","Sort=A","Dates=H","DateFormat=P","Fill=—","Direction=H","UseDPDF=Y")</f>
        <v>0.19</v>
      </c>
      <c r="M34" s="17">
        <f>_xll.BDH("XOM US Equity","IS_DIL_EPS_BEF_XO","FQ3 1992","FQ3 1992","Currency=USD","Period=FQ","BEST_FPERIOD_OVERRIDE=FQ","FILING_STATUS=OR","Sort=A","Dates=H","DateFormat=P","Fill=—","Direction=H","UseDPDF=Y")</f>
        <v>0.22500000000000001</v>
      </c>
      <c r="N34" s="17">
        <f>_xll.BDH("XOM US Equity","IS_DIL_EPS_BEF_XO","FQ4 1992","FQ4 1992","Currency=USD","Period=FQ","BEST_FPERIOD_OVERRIDE=FQ","FILING_STATUS=OR","Sort=A","Dates=H","DateFormat=P","Fill=—","Direction=H","UseDPDF=Y")</f>
        <v>0.3175</v>
      </c>
      <c r="O34" s="17">
        <f>_xll.BDH("XOM US Equity","IS_DIL_EPS_BEF_XO","FQ1 1993","FQ1 1993","Currency=USD","Period=FQ","BEST_FPERIOD_OVERRIDE=FQ","FILING_STATUS=OR","Sort=A","Dates=H","DateFormat=P","Fill=—","Direction=H","UseDPDF=Y")</f>
        <v>0.23499999999999999</v>
      </c>
      <c r="P34" s="17">
        <f>_xll.BDH("XOM US Equity","IS_DIL_EPS_BEF_XO","FQ2 1993","FQ2 1993","Currency=USD","Period=FQ","BEST_FPERIOD_OVERRIDE=FQ","FILING_STATUS=OR","Sort=A","Dates=H","DateFormat=P","Fill=—","Direction=H","UseDPDF=Y")</f>
        <v>0.245</v>
      </c>
      <c r="Q34" s="17">
        <f>_xll.BDH("XOM US Equity","IS_DIL_EPS_BEF_XO","FQ3 1993","FQ3 1993","Currency=USD","Period=FQ","BEST_FPERIOD_OVERRIDE=FQ","FILING_STATUS=OR","Sort=A","Dates=H","DateFormat=P","Fill=—","Direction=H","UseDPDF=Y")</f>
        <v>0.27250000000000002</v>
      </c>
      <c r="R34" s="17">
        <f>_xll.BDH("XOM US Equity","IS_DIL_EPS_BEF_XO","FQ4 1993","FQ4 1993","Currency=USD","Period=FQ","BEST_FPERIOD_OVERRIDE=FQ","FILING_STATUS=OR","Sort=A","Dates=H","DateFormat=P","Fill=—","Direction=H","UseDPDF=Y")</f>
        <v>0.3</v>
      </c>
      <c r="S34" s="17">
        <f>_xll.BDH("XOM US Equity","IS_DIL_EPS_BEF_XO","FQ1 1994","FQ1 1994","Currency=USD","Period=FQ","BEST_FPERIOD_OVERRIDE=FQ","FILING_STATUS=OR","Sort=A","Dates=H","DateFormat=P","Fill=—","Direction=H","UseDPDF=Y")</f>
        <v>0.23</v>
      </c>
      <c r="T34" s="17">
        <f>_xll.BDH("XOM US Equity","IS_DIL_EPS_BEF_XO","FQ2 1994","FQ2 1994","Currency=USD","Period=FQ","BEST_FPERIOD_OVERRIDE=FQ","FILING_STATUS=OR","Sort=A","Dates=H","DateFormat=P","Fill=—","Direction=H","UseDPDF=Y")</f>
        <v>0.17499999999999999</v>
      </c>
      <c r="U34" s="17">
        <f>_xll.BDH("XOM US Equity","IS_DIL_EPS_BEF_XO","FQ3 1994","FQ3 1994","Currency=USD","Period=FQ","BEST_FPERIOD_OVERRIDE=FQ","FILING_STATUS=OR","Sort=A","Dates=H","DateFormat=P","Fill=—","Direction=H","UseDPDF=Y")</f>
        <v>0.23</v>
      </c>
      <c r="V34" s="17">
        <f>_xll.BDH("XOM US Equity","IS_DIL_EPS_BEF_XO","FQ4 1994","FQ4 1994","Currency=USD","Period=FQ","BEST_FPERIOD_OVERRIDE=FQ","FILING_STATUS=OR","Sort=A","Dates=H","DateFormat=P","Fill=—","Direction=H","UseDPDF=Y")</f>
        <v>0.38250000000000001</v>
      </c>
      <c r="W34" s="17">
        <f>_xll.BDH("XOM US Equity","IS_DIL_EPS_BEF_XO","FQ1 1995","FQ1 1995","Currency=USD","Period=FQ","BEST_FPERIOD_OVERRIDE=FQ","FILING_STATUS=OR","Sort=A","Dates=H","DateFormat=P","Fill=—","Direction=H","UseDPDF=Y")</f>
        <v>0.33250000000000002</v>
      </c>
      <c r="X34" s="17">
        <f>_xll.BDH("XOM US Equity","IS_DIL_EPS_BEF_XO","FQ2 1995","FQ2 1995","Currency=USD","Period=FQ","BEST_FPERIOD_OVERRIDE=FQ","FILING_STATUS=OR","Sort=A","Dates=H","DateFormat=P","Fill=—","Direction=H","UseDPDF=Y")</f>
        <v>0.32500000000000001</v>
      </c>
      <c r="Y34" s="17">
        <f>_xll.BDH("XOM US Equity","IS_DIL_EPS_BEF_XO","FQ3 1995","FQ3 1995","Currency=USD","Period=FQ","BEST_FPERIOD_OVERRIDE=FQ","FILING_STATUS=OR","Sort=A","Dates=H","DateFormat=P","Fill=—","Direction=H","UseDPDF=Y")</f>
        <v>0.3</v>
      </c>
      <c r="Z34" s="17">
        <f>_xll.BDH("XOM US Equity","IS_DIL_EPS_BEF_XO","FQ4 1995","FQ4 1995","Currency=USD","Period=FQ","BEST_FPERIOD_OVERRIDE=FQ","FILING_STATUS=OR","Sort=A","Dates=H","DateFormat=P","Fill=—","Direction=H","UseDPDF=Y")</f>
        <v>0.33750000000000002</v>
      </c>
      <c r="AA34" s="17">
        <f>_xll.BDH("XOM US Equity","IS_DIL_EPS_BEF_XO","FQ1 1996","FQ1 1996","Currency=USD","Period=FQ","BEST_FPERIOD_OVERRIDE=FQ","FILING_STATUS=OR","Sort=A","Dates=H","DateFormat=P","Fill=—","Direction=H","UseDPDF=Y")</f>
        <v>0.375</v>
      </c>
      <c r="AB34" s="17">
        <f>_xll.BDH("XOM US Equity","IS_DIL_EPS_BEF_XO","FQ2 1996","FQ2 1996","Currency=USD","Period=FQ","BEST_FPERIOD_OVERRIDE=FQ","FILING_STATUS=OR","Sort=A","Dates=H","DateFormat=P","Fill=—","Direction=H","UseDPDF=Y")</f>
        <v>0.31</v>
      </c>
      <c r="AC34" s="17">
        <f>_xll.BDH("XOM US Equity","IS_DIL_EPS_BEF_XO","FQ3 1996","FQ3 1996","Currency=USD","Period=FQ","BEST_FPERIOD_OVERRIDE=FQ","FILING_STATUS=OR","Sort=A","Dates=H","DateFormat=P","Fill=—","Direction=H","UseDPDF=Y")</f>
        <v>0.31</v>
      </c>
      <c r="AD34" s="17">
        <f>_xll.BDH("XOM US Equity","IS_DIL_EPS_BEF_XO","FQ4 1996","FQ4 1996","Currency=USD","Period=FQ","BEST_FPERIOD_OVERRIDE=FQ","FILING_STATUS=OR","Sort=A","Dates=H","DateFormat=P","Fill=—","Direction=H","UseDPDF=Y")</f>
        <v>0.5</v>
      </c>
      <c r="AE34" s="17">
        <f>_xll.BDH("XOM US Equity","IS_DIL_EPS_BEF_XO","FQ1 1997","FQ1 1997","Currency=USD","Period=FQ","BEST_FPERIOD_OVERRIDE=FQ","FILING_STATUS=OR","Sort=A","Dates=H","DateFormat=P","Fill=—","Direction=H","UseDPDF=Y")</f>
        <v>0.43</v>
      </c>
      <c r="AF34" s="17">
        <f>_xll.BDH("XOM US Equity","IS_DIL_EPS_BEF_XO","FQ2 1997","FQ2 1997","Currency=USD","Period=FQ","BEST_FPERIOD_OVERRIDE=FQ","FILING_STATUS=OR","Sort=A","Dates=H","DateFormat=P","Fill=—","Direction=H","UseDPDF=Y")</f>
        <v>0.39</v>
      </c>
      <c r="AG34" s="17">
        <f>_xll.BDH("XOM US Equity","IS_DIL_EPS_BEF_XO","FQ3 1997","FQ3 1997","Currency=USD","Period=FQ","BEST_FPERIOD_OVERRIDE=FQ","FILING_STATUS=OR","Sort=A","Dates=H","DateFormat=P","Fill=—","Direction=H","UseDPDF=Y")</f>
        <v>0.36499999999999999</v>
      </c>
      <c r="AH34" s="17">
        <f>_xll.BDH("XOM US Equity","IS_DIL_EPS_BEF_XO","FQ4 1997","FQ4 1997","Currency=USD","Period=FQ","BEST_FPERIOD_OVERRIDE=FQ","FILING_STATUS=OR","Sort=A","Dates=H","DateFormat=P","Fill=—","Direction=H","UseDPDF=Y")</f>
        <v>0.505</v>
      </c>
      <c r="AI34" s="17">
        <f>_xll.BDH("XOM US Equity","IS_DIL_EPS_BEF_XO","FQ1 1998","FQ1 1998","Currency=USD","Period=FQ","BEST_FPERIOD_OVERRIDE=FQ","FILING_STATUS=OR","Sort=A","Dates=H","DateFormat=P","Fill=—","Direction=H","UseDPDF=Y")</f>
        <v>0.38</v>
      </c>
      <c r="AJ34" s="17">
        <f>_xll.BDH("XOM US Equity","IS_DIL_EPS_BEF_XO","FQ2 1998","FQ2 1998","Currency=USD","Period=FQ","BEST_FPERIOD_OVERRIDE=FQ","FILING_STATUS=OR","Sort=A","Dates=H","DateFormat=P","Fill=—","Direction=H","UseDPDF=Y")</f>
        <v>0.32500000000000001</v>
      </c>
    </row>
    <row r="35" spans="1:36" x14ac:dyDescent="0.25">
      <c r="A35" s="6" t="s">
        <v>123</v>
      </c>
      <c r="B35" s="6" t="s">
        <v>124</v>
      </c>
      <c r="C35" s="17">
        <f>_xll.BDH("XOM US Equity","IS_DIL_EPS_CONT_OPS","FQ1 1990","FQ1 1990","Currency=USD","Period=FQ","BEST_FPERIOD_OVERRIDE=FQ","FILING_STATUS=OR","Sort=A","Dates=H","DateFormat=P","Fill=—","Direction=H","UseDPDF=Y")</f>
        <v>0.2525</v>
      </c>
      <c r="D35" s="17">
        <f>_xll.BDH("XOM US Equity","IS_DIL_EPS_CONT_OPS","FQ2 1990","FQ2 1990","Currency=USD","Period=FQ","BEST_FPERIOD_OVERRIDE=FQ","FILING_STATUS=OR","Sort=A","Dates=H","DateFormat=P","Fill=—","Direction=H","UseDPDF=Y")</f>
        <v>0.2175</v>
      </c>
      <c r="E35" s="17">
        <f>_xll.BDH("XOM US Equity","IS_DIL_EPS_CONT_OPS","FQ3 1990","FQ3 1990","Currency=USD","Period=FQ","BEST_FPERIOD_OVERRIDE=FQ","FILING_STATUS=OR","Sort=A","Dates=H","DateFormat=P","Fill=—","Direction=H","UseDPDF=Y")</f>
        <v>0.21249999999999999</v>
      </c>
      <c r="F35" s="17">
        <f>_xll.BDH("XOM US Equity","IS_DIL_EPS_CONT_OPS","FQ4 1990","FQ4 1990","Currency=USD","Period=FQ","BEST_FPERIOD_OVERRIDE=FQ","FILING_STATUS=OR","Sort=A","Dates=H","DateFormat=P","Fill=—","Direction=H","UseDPDF=Y")</f>
        <v>0.3075</v>
      </c>
      <c r="G35" s="17">
        <f>_xll.BDH("XOM US Equity","IS_DIL_EPS_CONT_OPS","FQ1 1991","FQ1 1991","Currency=USD","Period=FQ","BEST_FPERIOD_OVERRIDE=FQ","FILING_STATUS=OR","Sort=A","Dates=H","DateFormat=P","Fill=—","Direction=H","UseDPDF=Y")</f>
        <v>0.44500000000000001</v>
      </c>
      <c r="H35" s="17">
        <f>_xll.BDH("XOM US Equity","IS_DIL_EPS_CONT_OPS","FQ2 1991","FQ2 1991","Currency=USD","Period=FQ","BEST_FPERIOD_OVERRIDE=FQ","FILING_STATUS=OR","Sort=A","Dates=H","DateFormat=P","Fill=—","Direction=H","UseDPDF=Y")</f>
        <v>0.22500000000000001</v>
      </c>
      <c r="I35" s="17">
        <f>_xll.BDH("XOM US Equity","IS_DIL_EPS_CONT_OPS","FQ3 1991","FQ3 1991","Currency=USD","Period=FQ","BEST_FPERIOD_OVERRIDE=FQ","FILING_STATUS=OR","Sort=A","Dates=H","DateFormat=P","Fill=—","Direction=H","UseDPDF=Y")</f>
        <v>0.22</v>
      </c>
      <c r="J35" s="17">
        <f>_xll.BDH("XOM US Equity","IS_DIL_EPS_CONT_OPS","FQ4 1991","FQ4 1991","Currency=USD","Period=FQ","BEST_FPERIOD_OVERRIDE=FQ","FILING_STATUS=OR","Sort=A","Dates=H","DateFormat=P","Fill=—","Direction=H","UseDPDF=Y")</f>
        <v>0.2225</v>
      </c>
      <c r="K35" s="17">
        <f>_xll.BDH("XOM US Equity","IS_DIL_EPS_CONT_OPS","FQ1 1992","FQ1 1992","Currency=USD","Period=FQ","BEST_FPERIOD_OVERRIDE=FQ","FILING_STATUS=OR","Sort=A","Dates=H","DateFormat=P","Fill=—","Direction=H","UseDPDF=Y")</f>
        <v>0.26750000000000002</v>
      </c>
      <c r="L35" s="17">
        <f>_xll.BDH("XOM US Equity","IS_DIL_EPS_CONT_OPS","FQ2 1992","FQ2 1992","Currency=USD","Period=FQ","BEST_FPERIOD_OVERRIDE=FQ","FILING_STATUS=OR","Sort=A","Dates=H","DateFormat=P","Fill=—","Direction=H","UseDPDF=Y")</f>
        <v>0.19</v>
      </c>
      <c r="M35" s="17">
        <f>_xll.BDH("XOM US Equity","IS_DIL_EPS_CONT_OPS","FQ3 1992","FQ3 1992","Currency=USD","Period=FQ","BEST_FPERIOD_OVERRIDE=FQ","FILING_STATUS=OR","Sort=A","Dates=H","DateFormat=P","Fill=—","Direction=H","UseDPDF=Y")</f>
        <v>0.22500000000000001</v>
      </c>
      <c r="N35" s="17">
        <f>_xll.BDH("XOM US Equity","IS_DIL_EPS_CONT_OPS","FQ4 1992","FQ4 1992","Currency=USD","Period=FQ","BEST_FPERIOD_OVERRIDE=FQ","FILING_STATUS=OR","Sort=A","Dates=H","DateFormat=P","Fill=—","Direction=H","UseDPDF=Y")</f>
        <v>0.3175</v>
      </c>
      <c r="O35" s="17">
        <f>_xll.BDH("XOM US Equity","IS_DIL_EPS_CONT_OPS","FQ1 1993","FQ1 1993","Currency=USD","Period=FQ","BEST_FPERIOD_OVERRIDE=FQ","FILING_STATUS=OR","Sort=A","Dates=H","DateFormat=P","Fill=—","Direction=H","UseDPDF=Y")</f>
        <v>0.23499999999999999</v>
      </c>
      <c r="P35" s="17">
        <f>_xll.BDH("XOM US Equity","IS_DIL_EPS_CONT_OPS","FQ2 1993","FQ2 1993","Currency=USD","Period=FQ","BEST_FPERIOD_OVERRIDE=FQ","FILING_STATUS=OR","Sort=A","Dates=H","DateFormat=P","Fill=—","Direction=H","UseDPDF=Y")</f>
        <v>0.245</v>
      </c>
      <c r="Q35" s="17">
        <f>_xll.BDH("XOM US Equity","IS_DIL_EPS_CONT_OPS","FQ3 1993","FQ3 1993","Currency=USD","Period=FQ","BEST_FPERIOD_OVERRIDE=FQ","FILING_STATUS=OR","Sort=A","Dates=H","DateFormat=P","Fill=—","Direction=H","UseDPDF=Y")</f>
        <v>0.27250000000000002</v>
      </c>
      <c r="R35" s="17">
        <f>_xll.BDH("XOM US Equity","IS_DIL_EPS_CONT_OPS","FQ4 1993","FQ4 1993","Currency=USD","Period=FQ","BEST_FPERIOD_OVERRIDE=FQ","FILING_STATUS=OR","Sort=A","Dates=H","DateFormat=P","Fill=—","Direction=H","UseDPDF=Y")</f>
        <v>0.3</v>
      </c>
      <c r="S35" s="17">
        <f>_xll.BDH("XOM US Equity","IS_DIL_EPS_CONT_OPS","FQ1 1994","FQ1 1994","Currency=USD","Period=FQ","BEST_FPERIOD_OVERRIDE=FQ","FILING_STATUS=OR","Sort=A","Dates=H","DateFormat=P","Fill=—","Direction=H","UseDPDF=Y")</f>
        <v>0.23</v>
      </c>
      <c r="T35" s="17">
        <f>_xll.BDH("XOM US Equity","IS_DIL_EPS_CONT_OPS","FQ2 1994","FQ2 1994","Currency=USD","Period=FQ","BEST_FPERIOD_OVERRIDE=FQ","FILING_STATUS=OR","Sort=A","Dates=H","DateFormat=P","Fill=—","Direction=H","UseDPDF=Y")</f>
        <v>0.17499999999999999</v>
      </c>
      <c r="U35" s="17">
        <f>_xll.BDH("XOM US Equity","IS_DIL_EPS_CONT_OPS","FQ3 1994","FQ3 1994","Currency=USD","Period=FQ","BEST_FPERIOD_OVERRIDE=FQ","FILING_STATUS=OR","Sort=A","Dates=H","DateFormat=P","Fill=—","Direction=H","UseDPDF=Y")</f>
        <v>0.23</v>
      </c>
      <c r="V35" s="17">
        <f>_xll.BDH("XOM US Equity","IS_DIL_EPS_CONT_OPS","FQ4 1994","FQ4 1994","Currency=USD","Period=FQ","BEST_FPERIOD_OVERRIDE=FQ","FILING_STATUS=OR","Sort=A","Dates=H","DateFormat=P","Fill=—","Direction=H","UseDPDF=Y")</f>
        <v>0.38250000000000001</v>
      </c>
      <c r="W35" s="17">
        <f>_xll.BDH("XOM US Equity","IS_DIL_EPS_CONT_OPS","FQ1 1995","FQ1 1995","Currency=USD","Period=FQ","BEST_FPERIOD_OVERRIDE=FQ","FILING_STATUS=OR","Sort=A","Dates=H","DateFormat=P","Fill=—","Direction=H","UseDPDF=Y")</f>
        <v>0.33250000000000002</v>
      </c>
      <c r="X35" s="17">
        <f>_xll.BDH("XOM US Equity","IS_DIL_EPS_CONT_OPS","FQ2 1995","FQ2 1995","Currency=USD","Period=FQ","BEST_FPERIOD_OVERRIDE=FQ","FILING_STATUS=OR","Sort=A","Dates=H","DateFormat=P","Fill=—","Direction=H","UseDPDF=Y")</f>
        <v>0.32500000000000001</v>
      </c>
      <c r="Y35" s="17">
        <f>_xll.BDH("XOM US Equity","IS_DIL_EPS_CONT_OPS","FQ3 1995","FQ3 1995","Currency=USD","Period=FQ","BEST_FPERIOD_OVERRIDE=FQ","FILING_STATUS=OR","Sort=A","Dates=H","DateFormat=P","Fill=—","Direction=H","UseDPDF=Y")</f>
        <v>0.3</v>
      </c>
      <c r="Z35" s="17">
        <f>_xll.BDH("XOM US Equity","IS_DIL_EPS_CONT_OPS","FQ4 1995","FQ4 1995","Currency=USD","Period=FQ","BEST_FPERIOD_OVERRIDE=FQ","FILING_STATUS=OR","Sort=A","Dates=H","DateFormat=P","Fill=—","Direction=H","UseDPDF=Y")</f>
        <v>0.33750000000000002</v>
      </c>
      <c r="AA35" s="17">
        <f>_xll.BDH("XOM US Equity","IS_DIL_EPS_CONT_OPS","FQ1 1996","FQ1 1996","Currency=USD","Period=FQ","BEST_FPERIOD_OVERRIDE=FQ","FILING_STATUS=OR","Sort=A","Dates=H","DateFormat=P","Fill=—","Direction=H","UseDPDF=Y")</f>
        <v>0.34749999999999998</v>
      </c>
      <c r="AB35" s="17">
        <f>_xll.BDH("XOM US Equity","IS_DIL_EPS_CONT_OPS","FQ2 1996","FQ2 1996","Currency=USD","Period=FQ","BEST_FPERIOD_OVERRIDE=FQ","FILING_STATUS=OR","Sort=A","Dates=H","DateFormat=P","Fill=—","Direction=H","UseDPDF=Y")</f>
        <v>0.31</v>
      </c>
      <c r="AC35" s="17">
        <f>_xll.BDH("XOM US Equity","IS_DIL_EPS_CONT_OPS","FQ3 1996","FQ3 1996","Currency=USD","Period=FQ","BEST_FPERIOD_OVERRIDE=FQ","FILING_STATUS=OR","Sort=A","Dates=H","DateFormat=P","Fill=—","Direction=H","UseDPDF=Y")</f>
        <v>0.31</v>
      </c>
      <c r="AD35" s="17">
        <f>_xll.BDH("XOM US Equity","IS_DIL_EPS_CONT_OPS","FQ4 1996","FQ4 1996","Currency=USD","Period=FQ","BEST_FPERIOD_OVERRIDE=FQ","FILING_STATUS=OR","Sort=A","Dates=H","DateFormat=P","Fill=—","Direction=H","UseDPDF=Y")</f>
        <v>0.5</v>
      </c>
      <c r="AE35" s="17">
        <f>_xll.BDH("XOM US Equity","IS_DIL_EPS_CONT_OPS","FQ1 1997","FQ1 1997","Currency=USD","Period=FQ","BEST_FPERIOD_OVERRIDE=FQ","FILING_STATUS=OR","Sort=A","Dates=H","DateFormat=P","Fill=—","Direction=H","UseDPDF=Y")</f>
        <v>0.43</v>
      </c>
      <c r="AF35" s="17">
        <f>_xll.BDH("XOM US Equity","IS_DIL_EPS_CONT_OPS","FQ2 1997","FQ2 1997","Currency=USD","Period=FQ","BEST_FPERIOD_OVERRIDE=FQ","FILING_STATUS=OR","Sort=A","Dates=H","DateFormat=P","Fill=—","Direction=H","UseDPDF=Y")</f>
        <v>0.39</v>
      </c>
      <c r="AG35" s="17">
        <f>_xll.BDH("XOM US Equity","IS_DIL_EPS_CONT_OPS","FQ3 1997","FQ3 1997","Currency=USD","Period=FQ","BEST_FPERIOD_OVERRIDE=FQ","FILING_STATUS=OR","Sort=A","Dates=H","DateFormat=P","Fill=—","Direction=H","UseDPDF=Y")</f>
        <v>0.36499999999999999</v>
      </c>
      <c r="AH35" s="17">
        <f>_xll.BDH("XOM US Equity","IS_DIL_EPS_CONT_OPS","FQ4 1997","FQ4 1997","Currency=USD","Period=FQ","BEST_FPERIOD_OVERRIDE=FQ","FILING_STATUS=OR","Sort=A","Dates=H","DateFormat=P","Fill=—","Direction=H","UseDPDF=Y")</f>
        <v>0.44500000000000001</v>
      </c>
      <c r="AI35" s="17">
        <f>_xll.BDH("XOM US Equity","IS_DIL_EPS_CONT_OPS","FQ1 1998","FQ1 1998","Currency=USD","Period=FQ","BEST_FPERIOD_OVERRIDE=FQ","FILING_STATUS=OR","Sort=A","Dates=H","DateFormat=P","Fill=—","Direction=H","UseDPDF=Y")</f>
        <v>0.38</v>
      </c>
      <c r="AJ35" s="17">
        <f>_xll.BDH("XOM US Equity","IS_DIL_EPS_CONT_OPS","FQ2 1998","FQ2 1998","Currency=USD","Period=FQ","BEST_FPERIOD_OVERRIDE=FQ","FILING_STATUS=OR","Sort=A","Dates=H","DateFormat=P","Fill=—","Direction=H","UseDPDF=Y")</f>
        <v>0.32500000000000001</v>
      </c>
    </row>
    <row r="36" spans="1:36" x14ac:dyDescent="0.25">
      <c r="A36" s="6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</row>
    <row r="37" spans="1:36" x14ac:dyDescent="0.25">
      <c r="A37" s="6" t="s">
        <v>3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</row>
    <row r="38" spans="1:36" x14ac:dyDescent="0.25">
      <c r="A38" s="10" t="s">
        <v>125</v>
      </c>
      <c r="B38" s="10" t="s">
        <v>126</v>
      </c>
      <c r="C38" s="12" t="s">
        <v>127</v>
      </c>
      <c r="D38" s="12" t="s">
        <v>127</v>
      </c>
      <c r="E38" s="12" t="s">
        <v>127</v>
      </c>
      <c r="F38" s="12" t="s">
        <v>127</v>
      </c>
      <c r="G38" s="12" t="s">
        <v>127</v>
      </c>
      <c r="H38" s="12" t="s">
        <v>127</v>
      </c>
      <c r="I38" s="12" t="s">
        <v>127</v>
      </c>
      <c r="J38" s="12" t="s">
        <v>127</v>
      </c>
      <c r="K38" s="12" t="s">
        <v>127</v>
      </c>
      <c r="L38" s="12" t="s">
        <v>127</v>
      </c>
      <c r="M38" s="12" t="s">
        <v>127</v>
      </c>
      <c r="N38" s="12" t="s">
        <v>127</v>
      </c>
      <c r="O38" s="12" t="s">
        <v>127</v>
      </c>
      <c r="P38" s="12" t="s">
        <v>127</v>
      </c>
      <c r="Q38" s="12" t="s">
        <v>127</v>
      </c>
      <c r="R38" s="12" t="s">
        <v>127</v>
      </c>
      <c r="S38" s="12" t="s">
        <v>127</v>
      </c>
      <c r="T38" s="12" t="s">
        <v>127</v>
      </c>
      <c r="U38" s="12" t="s">
        <v>127</v>
      </c>
      <c r="V38" s="12" t="s">
        <v>127</v>
      </c>
      <c r="W38" s="12" t="s">
        <v>127</v>
      </c>
      <c r="X38" s="12" t="s">
        <v>127</v>
      </c>
      <c r="Y38" s="12" t="s">
        <v>127</v>
      </c>
      <c r="Z38" s="12" t="s">
        <v>127</v>
      </c>
      <c r="AA38" s="12" t="s">
        <v>127</v>
      </c>
      <c r="AB38" s="12" t="s">
        <v>127</v>
      </c>
      <c r="AC38" s="12" t="s">
        <v>127</v>
      </c>
      <c r="AD38" s="12" t="s">
        <v>127</v>
      </c>
      <c r="AE38" s="12" t="s">
        <v>127</v>
      </c>
      <c r="AF38" s="12" t="s">
        <v>127</v>
      </c>
      <c r="AG38" s="12" t="s">
        <v>127</v>
      </c>
      <c r="AH38" s="12" t="s">
        <v>127</v>
      </c>
      <c r="AI38" s="12" t="s">
        <v>127</v>
      </c>
      <c r="AJ38" s="12" t="s">
        <v>127</v>
      </c>
    </row>
    <row r="39" spans="1:36" x14ac:dyDescent="0.25">
      <c r="A39" s="10" t="s">
        <v>128</v>
      </c>
      <c r="B39" s="10" t="s">
        <v>128</v>
      </c>
      <c r="C39" s="13">
        <f>_xll.BDH("XOM US Equity","EBITDA","FQ1 1990","FQ1 1990","Currency=USD","Period=FQ","BEST_FPERIOD_OVERRIDE=FQ","FILING_STATUS=OR","SCALING_FORMAT=MLN","FA_ADJUSTED=Adjusted","Sort=A","Dates=H","DateFormat=P","Fill=—","Direction=H","UseDPDF=Y")</f>
        <v>3608</v>
      </c>
      <c r="D39" s="13">
        <f>_xll.BDH("XOM US Equity","EBITDA","FQ2 1990","FQ2 1990","Currency=USD","Period=FQ","BEST_FPERIOD_OVERRIDE=FQ","FILING_STATUS=OR","SCALING_FORMAT=MLN","FA_ADJUSTED=Adjusted","Sort=A","Dates=H","DateFormat=P","Fill=—","Direction=H","UseDPDF=Y")</f>
        <v>3204</v>
      </c>
      <c r="E39" s="13">
        <f>_xll.BDH("XOM US Equity","EBITDA","FQ3 1990","FQ3 1990","Currency=USD","Period=FQ","BEST_FPERIOD_OVERRIDE=FQ","FILING_STATUS=OR","SCALING_FORMAT=MLN","FA_ADJUSTED=Adjusted","Sort=A","Dates=H","DateFormat=P","Fill=—","Direction=H","UseDPDF=Y")</f>
        <v>3148</v>
      </c>
      <c r="F39" s="13">
        <f>_xll.BDH("XOM US Equity","EBITDA","FQ4 1990","FQ4 1990","Currency=USD","Period=FQ","BEST_FPERIOD_OVERRIDE=FQ","FILING_STATUS=OR","SCALING_FORMAT=MLN","FA_ADJUSTED=Adjusted","Sort=A","Dates=H","DateFormat=P","Fill=—","Direction=H","UseDPDF=Y")</f>
        <v>7451</v>
      </c>
      <c r="G39" s="13">
        <f>_xll.BDH("XOM US Equity","EBITDA","FQ1 1991","FQ1 1991","Currency=USD","Period=FQ","BEST_FPERIOD_OVERRIDE=FQ","FILING_STATUS=OR","SCALING_FORMAT=MLN","FA_ADJUSTED=Adjusted","Sort=A","Dates=H","DateFormat=P","Fill=—","Direction=H","UseDPDF=Y")</f>
        <v>4483</v>
      </c>
      <c r="H39" s="13">
        <f>_xll.BDH("XOM US Equity","EBITDA","FQ2 1991","FQ2 1991","Currency=USD","Period=FQ","BEST_FPERIOD_OVERRIDE=FQ","FILING_STATUS=OR","SCALING_FORMAT=MLN","FA_ADJUSTED=Adjusted","Sort=A","Dates=H","DateFormat=P","Fill=—","Direction=H","UseDPDF=Y")</f>
        <v>2910</v>
      </c>
      <c r="I39" s="13">
        <f>_xll.BDH("XOM US Equity","EBITDA","FQ3 1991","FQ3 1991","Currency=USD","Period=FQ","BEST_FPERIOD_OVERRIDE=FQ","FILING_STATUS=OR","SCALING_FORMAT=MLN","FA_ADJUSTED=Adjusted","Sort=A","Dates=H","DateFormat=P","Fill=—","Direction=H","UseDPDF=Y")</f>
        <v>2814</v>
      </c>
      <c r="J39" s="13">
        <f>_xll.BDH("XOM US Equity","EBITDA","FQ4 1991","FQ4 1991","Currency=USD","Period=FQ","BEST_FPERIOD_OVERRIDE=FQ","FILING_STATUS=OR","SCALING_FORMAT=MLN","FA_ADJUSTED=Adjusted","Sort=A","Dates=H","DateFormat=P","Fill=—","Direction=H","UseDPDF=Y")</f>
        <v>6587</v>
      </c>
      <c r="K39" s="13">
        <f>_xll.BDH("XOM US Equity","EBITDA","FQ1 1992","FQ1 1992","Currency=USD","Period=FQ","BEST_FPERIOD_OVERRIDE=FQ","FILING_STATUS=OR","SCALING_FORMAT=MLN","FA_ADJUSTED=Adjusted","Sort=A","Dates=H","DateFormat=P","Fill=—","Direction=H","UseDPDF=Y")</f>
        <v>3086</v>
      </c>
      <c r="L39" s="13">
        <f>_xll.BDH("XOM US Equity","EBITDA","FQ2 1992","FQ2 1992","Currency=USD","Period=FQ","BEST_FPERIOD_OVERRIDE=FQ","FILING_STATUS=OR","SCALING_FORMAT=MLN","FA_ADJUSTED=Adjusted","Sort=A","Dates=H","DateFormat=P","Fill=—","Direction=H","UseDPDF=Y")</f>
        <v>2529</v>
      </c>
      <c r="M39" s="13">
        <f>_xll.BDH("XOM US Equity","EBITDA","FQ3 1992","FQ3 1992","Currency=USD","Period=FQ","BEST_FPERIOD_OVERRIDE=FQ","FILING_STATUS=OR","SCALING_FORMAT=MLN","FA_ADJUSTED=Adjusted","Sort=A","Dates=H","DateFormat=P","Fill=—","Direction=H","UseDPDF=Y")</f>
        <v>3089</v>
      </c>
      <c r="N39" s="13">
        <f>_xll.BDH("XOM US Equity","EBITDA","FQ4 1992","FQ4 1992","Currency=USD","Period=FQ","BEST_FPERIOD_OVERRIDE=FQ","FILING_STATUS=OR","SCALING_FORMAT=MLN","FA_ADJUSTED=Adjusted","Sort=A","Dates=H","DateFormat=P","Fill=—","Direction=H","UseDPDF=Y")</f>
        <v>6448</v>
      </c>
      <c r="O39" s="13">
        <f>_xll.BDH("XOM US Equity","EBITDA","FQ1 1993","FQ1 1993","Currency=USD","Period=FQ","BEST_FPERIOD_OVERRIDE=FQ","FILING_STATUS=OR","SCALING_FORMAT=MLN","FA_ADJUSTED=Adjusted","Sort=A","Dates=H","DateFormat=P","Fill=—","Direction=H","UseDPDF=Y")</f>
        <v>2915</v>
      </c>
      <c r="P39" s="13">
        <f>_xll.BDH("XOM US Equity","EBITDA","FQ2 1993","FQ2 1993","Currency=USD","Period=FQ","BEST_FPERIOD_OVERRIDE=FQ","FILING_STATUS=OR","SCALING_FORMAT=MLN","FA_ADJUSTED=Adjusted","Sort=A","Dates=H","DateFormat=P","Fill=—","Direction=H","UseDPDF=Y")</f>
        <v>2900</v>
      </c>
      <c r="Q39" s="13">
        <f>_xll.BDH("XOM US Equity","EBITDA","FQ3 1993","FQ3 1993","Currency=USD","Period=FQ","BEST_FPERIOD_OVERRIDE=FQ","FILING_STATUS=OR","SCALING_FORMAT=MLN","FA_ADJUSTED=Adjusted","Sort=A","Dates=H","DateFormat=P","Fill=—","Direction=H","UseDPDF=Y")</f>
        <v>2964</v>
      </c>
      <c r="R39" s="13">
        <f>_xll.BDH("XOM US Equity","EBITDA","FQ4 1993","FQ4 1993","Currency=USD","Period=FQ","BEST_FPERIOD_OVERRIDE=FQ","FILING_STATUS=OR","SCALING_FORMAT=MLN","FA_ADJUSTED=Adjusted","Sort=A","Dates=H","DateFormat=P","Fill=—","Direction=H","UseDPDF=Y")</f>
        <v>6723</v>
      </c>
      <c r="S39" s="13">
        <f>_xll.BDH("XOM US Equity","EBITDA","FQ1 1994","FQ1 1994","Currency=USD","Period=FQ","BEST_FPERIOD_OVERRIDE=FQ","FILING_STATUS=OR","SCALING_FORMAT=MLN","FA_ADJUSTED=Adjusted","Sort=A","Dates=H","DateFormat=P","Fill=—","Direction=H","UseDPDF=Y")</f>
        <v>3012</v>
      </c>
      <c r="T39" s="13">
        <f>_xll.BDH("XOM US Equity","EBITDA","FQ2 1994","FQ2 1994","Currency=USD","Period=FQ","BEST_FPERIOD_OVERRIDE=FQ","FILING_STATUS=OR","SCALING_FORMAT=MLN","FA_ADJUSTED=Adjusted","Sort=A","Dates=H","DateFormat=P","Fill=—","Direction=H","UseDPDF=Y")</f>
        <v>2598</v>
      </c>
      <c r="U39" s="13">
        <f>_xll.BDH("XOM US Equity","EBITDA","FQ3 1994","FQ3 1994","Currency=USD","Period=FQ","BEST_FPERIOD_OVERRIDE=FQ","FILING_STATUS=OR","SCALING_FORMAT=MLN","FA_ADJUSTED=Adjusted","Sort=A","Dates=H","DateFormat=P","Fill=—","Direction=H","UseDPDF=Y")</f>
        <v>3024</v>
      </c>
      <c r="V39" s="13">
        <f>_xll.BDH("XOM US Equity","EBITDA","FQ4 1994","FQ4 1994","Currency=USD","Period=FQ","BEST_FPERIOD_OVERRIDE=FQ","FILING_STATUS=OR","SCALING_FORMAT=MLN","FA_ADJUSTED=Adjusted","Sort=A","Dates=H","DateFormat=P","Fill=—","Direction=H","UseDPDF=Y")</f>
        <v>7469</v>
      </c>
      <c r="W39" s="13">
        <f>_xll.BDH("XOM US Equity","EBITDA","FQ1 1995","FQ1 1995","Currency=USD","Period=FQ","BEST_FPERIOD_OVERRIDE=FQ","FILING_STATUS=OR","SCALING_FORMAT=MLN","FA_ADJUSTED=Adjusted","Sort=A","Dates=H","DateFormat=P","Fill=—","Direction=H","UseDPDF=Y")</f>
        <v>3482</v>
      </c>
      <c r="X39" s="13">
        <f>_xll.BDH("XOM US Equity","EBITDA","FQ2 1995","FQ2 1995","Currency=USD","Period=FQ","BEST_FPERIOD_OVERRIDE=FQ","FILING_STATUS=OR","SCALING_FORMAT=MLN","FA_ADJUSTED=Adjusted","Sort=A","Dates=H","DateFormat=P","Fill=—","Direction=H","UseDPDF=Y")</f>
        <v>3681</v>
      </c>
      <c r="Y39" s="13">
        <f>_xll.BDH("XOM US Equity","EBITDA","FQ3 1995","FQ3 1995","Currency=USD","Period=FQ","BEST_FPERIOD_OVERRIDE=FQ","FILING_STATUS=OR","SCALING_FORMAT=MLN","FA_ADJUSTED=Adjusted","Sort=A","Dates=H","DateFormat=P","Fill=—","Direction=H","UseDPDF=Y")</f>
        <v>3715</v>
      </c>
      <c r="Z39" s="13">
        <f>_xll.BDH("XOM US Equity","EBITDA","FQ4 1995","FQ4 1995","Currency=USD","Period=FQ","BEST_FPERIOD_OVERRIDE=FQ","FILING_STATUS=OR","SCALING_FORMAT=MLN","FA_ADJUSTED=Adjusted","Sort=A","Dates=H","DateFormat=P","Fill=—","Direction=H","UseDPDF=Y")</f>
        <v>6477</v>
      </c>
      <c r="AA39" s="13">
        <f>_xll.BDH("XOM US Equity","EBITDA","FQ1 1996","FQ1 1996","Currency=USD","Period=FQ","BEST_FPERIOD_OVERRIDE=FQ","FILING_STATUS=OR","SCALING_FORMAT=MLN","FA_ADJUSTED=Adjusted","Sort=A","Dates=H","DateFormat=P","Fill=—","Direction=H","UseDPDF=Y")</f>
        <v>3697</v>
      </c>
      <c r="AB39" s="13">
        <f>_xll.BDH("XOM US Equity","EBITDA","FQ2 1996","FQ2 1996","Currency=USD","Period=FQ","BEST_FPERIOD_OVERRIDE=FQ","FILING_STATUS=OR","SCALING_FORMAT=MLN","FA_ADJUSTED=Adjusted","Sort=A","Dates=H","DateFormat=P","Fill=—","Direction=H","UseDPDF=Y")</f>
        <v>3588</v>
      </c>
      <c r="AC39" s="13">
        <f>_xll.BDH("XOM US Equity","EBITDA","FQ3 1996","FQ3 1996","Currency=USD","Period=FQ","BEST_FPERIOD_OVERRIDE=FQ","FILING_STATUS=OR","SCALING_FORMAT=MLN","FA_ADJUSTED=Adjusted","Sort=A","Dates=H","DateFormat=P","Fill=—","Direction=H","UseDPDF=Y")</f>
        <v>3640</v>
      </c>
      <c r="AD39" s="13">
        <f>_xll.BDH("XOM US Equity","EBITDA","FQ4 1996","FQ4 1996","Currency=USD","Period=FQ","BEST_FPERIOD_OVERRIDE=FQ","FILING_STATUS=OR","SCALING_FORMAT=MLN","FA_ADJUSTED=Adjusted","Sort=A","Dates=H","DateFormat=P","Fill=—","Direction=H","UseDPDF=Y")</f>
        <v>9579</v>
      </c>
      <c r="AE39" s="13">
        <f>_xll.BDH("XOM US Equity","EBITDA","FQ1 1997","FQ1 1997","Currency=USD","Period=FQ","BEST_FPERIOD_OVERRIDE=FQ","FILING_STATUS=OR","SCALING_FORMAT=MLN","FA_ADJUSTED=Adjusted","Sort=A","Dates=H","DateFormat=P","Fill=—","Direction=H","UseDPDF=Y")</f>
        <v>4569</v>
      </c>
      <c r="AF39" s="13">
        <f>_xll.BDH("XOM US Equity","EBITDA","FQ2 1997","FQ2 1997","Currency=USD","Period=FQ","BEST_FPERIOD_OVERRIDE=FQ","FILING_STATUS=OR","SCALING_FORMAT=MLN","FA_ADJUSTED=Adjusted","Sort=A","Dates=H","DateFormat=P","Fill=—","Direction=H","UseDPDF=Y")</f>
        <v>4171</v>
      </c>
      <c r="AG39" s="13">
        <f>_xll.BDH("XOM US Equity","EBITDA","FQ3 1997","FQ3 1997","Currency=USD","Period=FQ","BEST_FPERIOD_OVERRIDE=FQ","FILING_STATUS=OR","SCALING_FORMAT=MLN","FA_ADJUSTED=Adjusted","Sort=A","Dates=H","DateFormat=P","Fill=—","Direction=H","UseDPDF=Y")</f>
        <v>3962</v>
      </c>
      <c r="AH39" s="13">
        <f>_xll.BDH("XOM US Equity","EBITDA","FQ4 1997","FQ4 1997","Currency=USD","Period=FQ","BEST_FPERIOD_OVERRIDE=FQ","FILING_STATUS=OR","SCALING_FORMAT=MLN","FA_ADJUSTED=Adjusted","Sort=A","Dates=H","DateFormat=P","Fill=—","Direction=H","UseDPDF=Y")</f>
        <v>7176</v>
      </c>
      <c r="AI39" s="13">
        <f>_xll.BDH("XOM US Equity","EBITDA","FQ1 1998","FQ1 1998","Currency=USD","Period=FQ","BEST_FPERIOD_OVERRIDE=FQ","FILING_STATUS=OR","SCALING_FORMAT=MLN","FA_ADJUSTED=Adjusted","Sort=A","Dates=H","DateFormat=P","Fill=—","Direction=H","UseDPDF=Y")</f>
        <v>3724</v>
      </c>
      <c r="AJ39" s="13">
        <f>_xll.BDH("XOM US Equity","EBITDA","FQ2 1998","FQ2 1998","Currency=USD","Period=FQ","BEST_FPERIOD_OVERRIDE=FQ","FILING_STATUS=OR","SCALING_FORMAT=MLN","FA_ADJUSTED=Adjusted","Sort=A","Dates=H","DateFormat=P","Fill=—","Direction=H","UseDPDF=Y")</f>
        <v>3304</v>
      </c>
    </row>
    <row r="40" spans="1:36" x14ac:dyDescent="0.25">
      <c r="A40" s="10" t="s">
        <v>129</v>
      </c>
      <c r="B40" s="10" t="s">
        <v>130</v>
      </c>
      <c r="C40" s="14" t="str">
        <f>_xll.BDH("XOM US Equity","EBITDA_MARGIN","FQ1 1990","FQ1 1990","Currency=USD","Period=FQ","BEST_FPERIOD_OVERRIDE=FQ","FILING_STATUS=OR","FA_ADJUSTED=Adjusted","Sort=A","Dates=H","DateFormat=P","Fill=—","Direction=H","UseDPDF=Y")</f>
        <v>—</v>
      </c>
      <c r="D40" s="14" t="str">
        <f>_xll.BDH("XOM US Equity","EBITDA_MARGIN","FQ2 1990","FQ2 1990","Currency=USD","Period=FQ","BEST_FPERIOD_OVERRIDE=FQ","FILING_STATUS=OR","FA_ADJUSTED=Adjusted","Sort=A","Dates=H","DateFormat=P","Fill=—","Direction=H","UseDPDF=Y")</f>
        <v>—</v>
      </c>
      <c r="E40" s="14" t="str">
        <f>_xll.BDH("XOM US Equity","EBITDA_MARGIN","FQ3 1990","FQ3 1990","Currency=USD","Period=FQ","BEST_FPERIOD_OVERRIDE=FQ","FILING_STATUS=OR","FA_ADJUSTED=Adjusted","Sort=A","Dates=H","DateFormat=P","Fill=—","Direction=H","UseDPDF=Y")</f>
        <v>—</v>
      </c>
      <c r="F40" s="14">
        <f>_xll.BDH("XOM US Equity","EBITDA_MARGIN","FQ4 1990","FQ4 1990","Currency=USD","Period=FQ","BEST_FPERIOD_OVERRIDE=FQ","FILING_STATUS=OR","FA_ADJUSTED=Adjusted","Sort=A","Dates=H","DateFormat=P","Fill=—","Direction=H","UseDPDF=Y")</f>
        <v>16.005800000000001</v>
      </c>
      <c r="G40" s="14">
        <f>_xll.BDH("XOM US Equity","EBITDA_MARGIN","FQ1 1991","FQ1 1991","Currency=USD","Period=FQ","BEST_FPERIOD_OVERRIDE=FQ","FILING_STATUS=OR","FA_ADJUSTED=Adjusted","Sort=A","Dates=H","DateFormat=P","Fill=—","Direction=H","UseDPDF=Y")</f>
        <v>13.8324</v>
      </c>
      <c r="H40" s="14">
        <f>_xll.BDH("XOM US Equity","EBITDA_MARGIN","FQ2 1991","FQ2 1991","Currency=USD","Period=FQ","BEST_FPERIOD_OVERRIDE=FQ","FILING_STATUS=OR","FA_ADJUSTED=Adjusted","Sort=A","Dates=H","DateFormat=P","Fill=—","Direction=H","UseDPDF=Y")</f>
        <v>13.4617</v>
      </c>
      <c r="I40" s="14">
        <f>_xll.BDH("XOM US Equity","EBITDA_MARGIN","FQ3 1991","FQ3 1991","Currency=USD","Period=FQ","BEST_FPERIOD_OVERRIDE=FQ","FILING_STATUS=OR","FA_ADJUSTED=Adjusted","Sort=A","Dates=H","DateFormat=P","Fill=—","Direction=H","UseDPDF=Y")</f>
        <v>13.3825</v>
      </c>
      <c r="J40" s="14">
        <f>_xll.BDH("XOM US Equity","EBITDA_MARGIN","FQ4 1991","FQ4 1991","Currency=USD","Period=FQ","BEST_FPERIOD_OVERRIDE=FQ","FILING_STATUS=OR","FA_ADJUSTED=Adjusted","Sort=A","Dates=H","DateFormat=P","Fill=—","Direction=H","UseDPDF=Y")</f>
        <v>15.732699999999999</v>
      </c>
      <c r="K40" s="14">
        <f>_xll.BDH("XOM US Equity","EBITDA_MARGIN","FQ1 1992","FQ1 1992","Currency=USD","Period=FQ","BEST_FPERIOD_OVERRIDE=FQ","FILING_STATUS=OR","FA_ADJUSTED=Adjusted","Sort=A","Dates=H","DateFormat=P","Fill=—","Direction=H","UseDPDF=Y")</f>
        <v>11.488200000000001</v>
      </c>
      <c r="L40" s="14">
        <f>_xll.BDH("XOM US Equity","EBITDA_MARGIN","FQ2 1992","FQ2 1992","Currency=USD","Period=FQ","BEST_FPERIOD_OVERRIDE=FQ","FILING_STATUS=OR","FA_ADJUSTED=Adjusted","Sort=A","Dates=H","DateFormat=P","Fill=—","Direction=H","UseDPDF=Y")</f>
        <v>11.072800000000001</v>
      </c>
      <c r="M40" s="14">
        <f>_xll.BDH("XOM US Equity","EBITDA_MARGIN","FQ3 1992","FQ3 1992","Currency=USD","Period=FQ","BEST_FPERIOD_OVERRIDE=FQ","FILING_STATUS=OR","FA_ADJUSTED=Adjusted","Sort=A","Dates=H","DateFormat=P","Fill=—","Direction=H","UseDPDF=Y")</f>
        <v>11.0162</v>
      </c>
      <c r="N40" s="14">
        <f>_xll.BDH("XOM US Equity","EBITDA_MARGIN","FQ4 1992","FQ4 1992","Currency=USD","Period=FQ","BEST_FPERIOD_OVERRIDE=FQ","FILING_STATUS=OR","FA_ADJUSTED=Adjusted","Sort=A","Dates=H","DateFormat=P","Fill=—","Direction=H","UseDPDF=Y")</f>
        <v>14.2346</v>
      </c>
      <c r="O40" s="14">
        <f>_xll.BDH("XOM US Equity","EBITDA_MARGIN","FQ1 1993","FQ1 1993","Currency=USD","Period=FQ","BEST_FPERIOD_OVERRIDE=FQ","FILING_STATUS=OR","FA_ADJUSTED=Adjusted","Sort=A","Dates=H","DateFormat=P","Fill=—","Direction=H","UseDPDF=Y")</f>
        <v>11.436</v>
      </c>
      <c r="P40" s="14">
        <f>_xll.BDH("XOM US Equity","EBITDA_MARGIN","FQ2 1993","FQ2 1993","Currency=USD","Period=FQ","BEST_FPERIOD_OVERRIDE=FQ","FILING_STATUS=OR","FA_ADJUSTED=Adjusted","Sort=A","Dates=H","DateFormat=P","Fill=—","Direction=H","UseDPDF=Y")</f>
        <v>11.780100000000001</v>
      </c>
      <c r="Q40" s="14">
        <f>_xll.BDH("XOM US Equity","EBITDA_MARGIN","FQ3 1993","FQ3 1993","Currency=USD","Period=FQ","BEST_FPERIOD_OVERRIDE=FQ","FILING_STATUS=OR","FA_ADJUSTED=Adjusted","Sort=A","Dates=H","DateFormat=P","Fill=—","Direction=H","UseDPDF=Y")</f>
        <v>11.982900000000001</v>
      </c>
      <c r="R40" s="14">
        <f>_xll.BDH("XOM US Equity","EBITDA_MARGIN","FQ4 1993","FQ4 1993","Currency=USD","Period=FQ","BEST_FPERIOD_OVERRIDE=FQ","FILING_STATUS=OR","FA_ADJUSTED=Adjusted","Sort=A","Dates=H","DateFormat=P","Fill=—","Direction=H","UseDPDF=Y")</f>
        <v>15.327400000000001</v>
      </c>
      <c r="S40" s="14">
        <f>_xll.BDH("XOM US Equity","EBITDA_MARGIN","FQ1 1994","FQ1 1994","Currency=USD","Period=FQ","BEST_FPERIOD_OVERRIDE=FQ","FILING_STATUS=OR","FA_ADJUSTED=Adjusted","Sort=A","Dates=H","DateFormat=P","Fill=—","Direction=H","UseDPDF=Y")</f>
        <v>12.721500000000001</v>
      </c>
      <c r="T40" s="14">
        <f>_xll.BDH("XOM US Equity","EBITDA_MARGIN","FQ2 1994","FQ2 1994","Currency=USD","Period=FQ","BEST_FPERIOD_OVERRIDE=FQ","FILING_STATUS=OR","FA_ADJUSTED=Adjusted","Sort=A","Dates=H","DateFormat=P","Fill=—","Direction=H","UseDPDF=Y")</f>
        <v>12.467600000000001</v>
      </c>
      <c r="U40" s="14">
        <f>_xll.BDH("XOM US Equity","EBITDA_MARGIN","FQ3 1994","FQ3 1994","Currency=USD","Period=FQ","BEST_FPERIOD_OVERRIDE=FQ","FILING_STATUS=OR","FA_ADJUSTED=Adjusted","Sort=A","Dates=H","DateFormat=P","Fill=—","Direction=H","UseDPDF=Y")</f>
        <v>12.325900000000001</v>
      </c>
      <c r="V40" s="14">
        <f>_xll.BDH("XOM US Equity","EBITDA_MARGIN","FQ4 1994","FQ4 1994","Currency=USD","Period=FQ","BEST_FPERIOD_OVERRIDE=FQ","FILING_STATUS=OR","FA_ADJUSTED=Adjusted","Sort=A","Dates=H","DateFormat=P","Fill=—","Direction=H","UseDPDF=Y")</f>
        <v>15.5229</v>
      </c>
      <c r="W40" s="14">
        <f>_xll.BDH("XOM US Equity","EBITDA_MARGIN","FQ1 1995","FQ1 1995","Currency=USD","Period=FQ","BEST_FPERIOD_OVERRIDE=FQ","FILING_STATUS=OR","FA_ADJUSTED=Adjusted","Sort=A","Dates=H","DateFormat=P","Fill=—","Direction=H","UseDPDF=Y")</f>
        <v>12.163</v>
      </c>
      <c r="X40" s="14">
        <f>_xll.BDH("XOM US Equity","EBITDA_MARGIN","FQ2 1995","FQ2 1995","Currency=USD","Period=FQ","BEST_FPERIOD_OVERRIDE=FQ","FILING_STATUS=OR","FA_ADJUSTED=Adjusted","Sort=A","Dates=H","DateFormat=P","Fill=—","Direction=H","UseDPDF=Y")</f>
        <v>12.768599999999999</v>
      </c>
      <c r="Y40" s="14">
        <f>_xll.BDH("XOM US Equity","EBITDA_MARGIN","FQ3 1995","FQ3 1995","Currency=USD","Period=FQ","BEST_FPERIOD_OVERRIDE=FQ","FILING_STATUS=OR","FA_ADJUSTED=Adjusted","Sort=A","Dates=H","DateFormat=P","Fill=—","Direction=H","UseDPDF=Y")</f>
        <v>13.295199999999999</v>
      </c>
      <c r="Z40" s="14">
        <f>_xll.BDH("XOM US Equity","EBITDA_MARGIN","FQ4 1995","FQ4 1995","Currency=USD","Period=FQ","BEST_FPERIOD_OVERRIDE=FQ","FILING_STATUS=OR","FA_ADJUSTED=Adjusted","Sort=A","Dates=H","DateFormat=P","Fill=—","Direction=H","UseDPDF=Y")</f>
        <v>15.542199999999999</v>
      </c>
      <c r="AA40" s="14">
        <f>_xll.BDH("XOM US Equity","EBITDA_MARGIN","FQ1 1996","FQ1 1996","Currency=USD","Period=FQ","BEST_FPERIOD_OVERRIDE=FQ","FILING_STATUS=OR","FA_ADJUSTED=Adjusted","Sort=A","Dates=H","DateFormat=P","Fill=—","Direction=H","UseDPDF=Y")</f>
        <v>13.585800000000001</v>
      </c>
      <c r="AB40" s="14">
        <f>_xll.BDH("XOM US Equity","EBITDA_MARGIN","FQ2 1996","FQ2 1996","Currency=USD","Period=FQ","BEST_FPERIOD_OVERRIDE=FQ","FILING_STATUS=OR","FA_ADJUSTED=Adjusted","Sort=A","Dates=H","DateFormat=P","Fill=—","Direction=H","UseDPDF=Y")</f>
        <v>13.484400000000001</v>
      </c>
      <c r="AC40" s="14">
        <f>_xll.BDH("XOM US Equity","EBITDA_MARGIN","FQ3 1996","FQ3 1996","Currency=USD","Period=FQ","BEST_FPERIOD_OVERRIDE=FQ","FILING_STATUS=OR","FA_ADJUSTED=Adjusted","Sort=A","Dates=H","DateFormat=P","Fill=—","Direction=H","UseDPDF=Y")</f>
        <v>13.1668</v>
      </c>
      <c r="AD40" s="14">
        <f>_xll.BDH("XOM US Equity","EBITDA_MARGIN","FQ4 1996","FQ4 1996","Currency=USD","Period=FQ","BEST_FPERIOD_OVERRIDE=FQ","FILING_STATUS=OR","FA_ADJUSTED=Adjusted","Sort=A","Dates=H","DateFormat=P","Fill=—","Direction=H","UseDPDF=Y")</f>
        <v>16.8279</v>
      </c>
      <c r="AE40" s="14">
        <f>_xll.BDH("XOM US Equity","EBITDA_MARGIN","FQ1 1997","FQ1 1997","Currency=USD","Period=FQ","BEST_FPERIOD_OVERRIDE=FQ","FILING_STATUS=OR","FA_ADJUSTED=Adjusted","Sort=A","Dates=H","DateFormat=P","Fill=—","Direction=H","UseDPDF=Y")</f>
        <v>13.6493</v>
      </c>
      <c r="AF40" s="14">
        <f>_xll.BDH("XOM US Equity","EBITDA_MARGIN","FQ2 1997","FQ2 1997","Currency=USD","Period=FQ","BEST_FPERIOD_OVERRIDE=FQ","FILING_STATUS=OR","FA_ADJUSTED=Adjusted","Sort=A","Dates=H","DateFormat=P","Fill=—","Direction=H","UseDPDF=Y")</f>
        <v>13.9275</v>
      </c>
      <c r="AG40" s="14">
        <f>_xll.BDH("XOM US Equity","EBITDA_MARGIN","FQ3 1997","FQ3 1997","Currency=USD","Period=FQ","BEST_FPERIOD_OVERRIDE=FQ","FILING_STATUS=OR","FA_ADJUSTED=Adjusted","Sort=A","Dates=H","DateFormat=P","Fill=—","Direction=H","UseDPDF=Y")</f>
        <v>18.845600000000001</v>
      </c>
      <c r="AH40" s="14">
        <f>_xll.BDH("XOM US Equity","EBITDA_MARGIN","FQ4 1997","FQ4 1997","Currency=USD","Period=FQ","BEST_FPERIOD_OVERRIDE=FQ","FILING_STATUS=OR","FA_ADJUSTED=Adjusted","Sort=A","Dates=H","DateFormat=P","Fill=—","Direction=H","UseDPDF=Y")</f>
        <v>20.725899999999999</v>
      </c>
      <c r="AI40" s="14">
        <f>_xll.BDH("XOM US Equity","EBITDA_MARGIN","FQ1 1998","FQ1 1998","Currency=USD","Period=FQ","BEST_FPERIOD_OVERRIDE=FQ","FILING_STATUS=OR","FA_ADJUSTED=Adjusted","Sort=A","Dates=H","DateFormat=P","Fill=—","Direction=H","UseDPDF=Y")</f>
        <v>20.815999999999999</v>
      </c>
      <c r="AJ40" s="14">
        <f>_xll.BDH("XOM US Equity","EBITDA_MARGIN","FQ2 1998","FQ2 1998","Currency=USD","Period=FQ","BEST_FPERIOD_OVERRIDE=FQ","FILING_STATUS=OR","FA_ADJUSTED=Adjusted","Sort=A","Dates=H","DateFormat=P","Fill=—","Direction=H","UseDPDF=Y")</f>
        <v>15.6632</v>
      </c>
    </row>
    <row r="41" spans="1:36" x14ac:dyDescent="0.25">
      <c r="A41" s="10" t="s">
        <v>131</v>
      </c>
      <c r="B41" s="10" t="s">
        <v>131</v>
      </c>
      <c r="C41" s="13">
        <f>_xll.BDH("XOM US Equity","EBIT","FQ1 1990","FQ1 1990","Currency=USD","Period=FQ","BEST_FPERIOD_OVERRIDE=FQ","FILING_STATUS=OR","SCALING_FORMAT=MLN","FA_ADJUSTED=Adjusted","Sort=A","Dates=H","DateFormat=P","Fill=—","Direction=H","UseDPDF=Y")</f>
        <v>2322</v>
      </c>
      <c r="D41" s="13">
        <f>_xll.BDH("XOM US Equity","EBIT","FQ2 1990","FQ2 1990","Currency=USD","Period=FQ","BEST_FPERIOD_OVERRIDE=FQ","FILING_STATUS=OR","SCALING_FORMAT=MLN","FA_ADJUSTED=Adjusted","Sort=A","Dates=H","DateFormat=P","Fill=—","Direction=H","UseDPDF=Y")</f>
        <v>1881</v>
      </c>
      <c r="E41" s="13">
        <f>_xll.BDH("XOM US Equity","EBIT","FQ3 1990","FQ3 1990","Currency=USD","Period=FQ","BEST_FPERIOD_OVERRIDE=FQ","FILING_STATUS=OR","SCALING_FORMAT=MLN","FA_ADJUSTED=Adjusted","Sort=A","Dates=H","DateFormat=P","Fill=—","Direction=H","UseDPDF=Y")</f>
        <v>1963</v>
      </c>
      <c r="F41" s="13">
        <f>_xll.BDH("XOM US Equity","EBIT","FQ4 1990","FQ4 1990","Currency=USD","Period=FQ","BEST_FPERIOD_OVERRIDE=FQ","FILING_STATUS=OR","SCALING_FORMAT=MLN","FA_ADJUSTED=Adjusted","Sort=A","Dates=H","DateFormat=P","Fill=—","Direction=H","UseDPDF=Y")</f>
        <v>5700</v>
      </c>
      <c r="G41" s="13">
        <f>_xll.BDH("XOM US Equity","EBIT","FQ1 1991","FQ1 1991","Currency=USD","Period=FQ","BEST_FPERIOD_OVERRIDE=FQ","FILING_STATUS=OR","SCALING_FORMAT=MLN","FA_ADJUSTED=Adjusted","Sort=A","Dates=H","DateFormat=P","Fill=—","Direction=H","UseDPDF=Y")</f>
        <v>3278</v>
      </c>
      <c r="H41" s="13">
        <f>_xll.BDH("XOM US Equity","EBIT","FQ2 1991","FQ2 1991","Currency=USD","Period=FQ","BEST_FPERIOD_OVERRIDE=FQ","FILING_STATUS=OR","SCALING_FORMAT=MLN","FA_ADJUSTED=Adjusted","Sort=A","Dates=H","DateFormat=P","Fill=—","Direction=H","UseDPDF=Y")</f>
        <v>1722</v>
      </c>
      <c r="I41" s="13">
        <f>_xll.BDH("XOM US Equity","EBIT","FQ3 1991","FQ3 1991","Currency=USD","Period=FQ","BEST_FPERIOD_OVERRIDE=FQ","FILING_STATUS=OR","SCALING_FORMAT=MLN","FA_ADJUSTED=Adjusted","Sort=A","Dates=H","DateFormat=P","Fill=—","Direction=H","UseDPDF=Y")</f>
        <v>1620</v>
      </c>
      <c r="J41" s="13">
        <f>_xll.BDH("XOM US Equity","EBIT","FQ4 1991","FQ4 1991","Currency=USD","Period=FQ","BEST_FPERIOD_OVERRIDE=FQ","FILING_STATUS=OR","SCALING_FORMAT=MLN","FA_ADJUSTED=Adjusted","Sort=A","Dates=H","DateFormat=P","Fill=—","Direction=H","UseDPDF=Y")</f>
        <v>5350</v>
      </c>
      <c r="K41" s="13">
        <f>_xll.BDH("XOM US Equity","EBIT","FQ1 1992","FQ1 1992","Currency=USD","Period=FQ","BEST_FPERIOD_OVERRIDE=FQ","FILING_STATUS=OR","SCALING_FORMAT=MLN","FA_ADJUSTED=Adjusted","Sort=A","Dates=H","DateFormat=P","Fill=—","Direction=H","UseDPDF=Y")</f>
        <v>1784</v>
      </c>
      <c r="L41" s="13">
        <f>_xll.BDH("XOM US Equity","EBIT","FQ2 1992","FQ2 1992","Currency=USD","Period=FQ","BEST_FPERIOD_OVERRIDE=FQ","FILING_STATUS=OR","SCALING_FORMAT=MLN","FA_ADJUSTED=Adjusted","Sort=A","Dates=H","DateFormat=P","Fill=—","Direction=H","UseDPDF=Y")</f>
        <v>1306</v>
      </c>
      <c r="M41" s="13">
        <f>_xll.BDH("XOM US Equity","EBIT","FQ3 1992","FQ3 1992","Currency=USD","Period=FQ","BEST_FPERIOD_OVERRIDE=FQ","FILING_STATUS=OR","SCALING_FORMAT=MLN","FA_ADJUSTED=Adjusted","Sort=A","Dates=H","DateFormat=P","Fill=—","Direction=H","UseDPDF=Y")</f>
        <v>2054</v>
      </c>
      <c r="N41" s="13">
        <f>_xll.BDH("XOM US Equity","EBIT","FQ4 1992","FQ4 1992","Currency=USD","Period=FQ","BEST_FPERIOD_OVERRIDE=FQ","FILING_STATUS=OR","SCALING_FORMAT=MLN","FA_ADJUSTED=Adjusted","Sort=A","Dates=H","DateFormat=P","Fill=—","Direction=H","UseDPDF=Y")</f>
        <v>5004</v>
      </c>
      <c r="O41" s="13">
        <f>_xll.BDH("XOM US Equity","EBIT","FQ1 1993","FQ1 1993","Currency=USD","Period=FQ","BEST_FPERIOD_OVERRIDE=FQ","FILING_STATUS=OR","SCALING_FORMAT=MLN","FA_ADJUSTED=Adjusted","Sort=A","Dates=H","DateFormat=P","Fill=—","Direction=H","UseDPDF=Y")</f>
        <v>1721</v>
      </c>
      <c r="P41" s="13">
        <f>_xll.BDH("XOM US Equity","EBIT","FQ2 1993","FQ2 1993","Currency=USD","Period=FQ","BEST_FPERIOD_OVERRIDE=FQ","FILING_STATUS=OR","SCALING_FORMAT=MLN","FA_ADJUSTED=Adjusted","Sort=A","Dates=H","DateFormat=P","Fill=—","Direction=H","UseDPDF=Y")</f>
        <v>1664</v>
      </c>
      <c r="Q41" s="13">
        <f>_xll.BDH("XOM US Equity","EBIT","FQ3 1993","FQ3 1993","Currency=USD","Period=FQ","BEST_FPERIOD_OVERRIDE=FQ","FILING_STATUS=OR","SCALING_FORMAT=MLN","FA_ADJUSTED=Adjusted","Sort=A","Dates=H","DateFormat=P","Fill=—","Direction=H","UseDPDF=Y")</f>
        <v>1754</v>
      </c>
      <c r="R41" s="13">
        <f>_xll.BDH("XOM US Equity","EBIT","FQ4 1993","FQ4 1993","Currency=USD","Period=FQ","BEST_FPERIOD_OVERRIDE=FQ","FILING_STATUS=OR","SCALING_FORMAT=MLN","FA_ADJUSTED=Adjusted","Sort=A","Dates=H","DateFormat=P","Fill=—","Direction=H","UseDPDF=Y")</f>
        <v>5479</v>
      </c>
      <c r="S41" s="13">
        <f>_xll.BDH("XOM US Equity","EBIT","FQ1 1994","FQ1 1994","Currency=USD","Period=FQ","BEST_FPERIOD_OVERRIDE=FQ","FILING_STATUS=OR","SCALING_FORMAT=MLN","FA_ADJUSTED=Adjusted","Sort=A","Dates=H","DateFormat=P","Fill=—","Direction=H","UseDPDF=Y")</f>
        <v>1723</v>
      </c>
      <c r="T41" s="13">
        <f>_xll.BDH("XOM US Equity","EBIT","FQ2 1994","FQ2 1994","Currency=USD","Period=FQ","BEST_FPERIOD_OVERRIDE=FQ","FILING_STATUS=OR","SCALING_FORMAT=MLN","FA_ADJUSTED=Adjusted","Sort=A","Dates=H","DateFormat=P","Fill=—","Direction=H","UseDPDF=Y")</f>
        <v>1365</v>
      </c>
      <c r="U41" s="13">
        <f>_xll.BDH("XOM US Equity","EBIT","FQ3 1994","FQ3 1994","Currency=USD","Period=FQ","BEST_FPERIOD_OVERRIDE=FQ","FILING_STATUS=OR","SCALING_FORMAT=MLN","FA_ADJUSTED=Adjusted","Sort=A","Dates=H","DateFormat=P","Fill=—","Direction=H","UseDPDF=Y")</f>
        <v>1837</v>
      </c>
      <c r="V41" s="13">
        <f>_xll.BDH("XOM US Equity","EBIT","FQ4 1994","FQ4 1994","Currency=USD","Period=FQ","BEST_FPERIOD_OVERRIDE=FQ","FILING_STATUS=OR","SCALING_FORMAT=MLN","FA_ADJUSTED=Adjusted","Sort=A","Dates=H","DateFormat=P","Fill=—","Direction=H","UseDPDF=Y")</f>
        <v>6163</v>
      </c>
      <c r="W41" s="13">
        <f>_xll.BDH("XOM US Equity","EBIT","FQ1 1995","FQ1 1995","Currency=USD","Period=FQ","BEST_FPERIOD_OVERRIDE=FQ","FILING_STATUS=OR","SCALING_FORMAT=MLN","FA_ADJUSTED=Adjusted","Sort=A","Dates=H","DateFormat=P","Fill=—","Direction=H","UseDPDF=Y")</f>
        <v>2146</v>
      </c>
      <c r="X41" s="13">
        <f>_xll.BDH("XOM US Equity","EBIT","FQ2 1995","FQ2 1995","Currency=USD","Period=FQ","BEST_FPERIOD_OVERRIDE=FQ","FILING_STATUS=OR","SCALING_FORMAT=MLN","FA_ADJUSTED=Adjusted","Sort=A","Dates=H","DateFormat=P","Fill=—","Direction=H","UseDPDF=Y")</f>
        <v>2353</v>
      </c>
      <c r="Y41" s="13">
        <f>_xll.BDH("XOM US Equity","EBIT","FQ3 1995","FQ3 1995","Currency=USD","Period=FQ","BEST_FPERIOD_OVERRIDE=FQ","FILING_STATUS=OR","SCALING_FORMAT=MLN","FA_ADJUSTED=Adjusted","Sort=A","Dates=H","DateFormat=P","Fill=—","Direction=H","UseDPDF=Y")</f>
        <v>2375</v>
      </c>
      <c r="Z41" s="13">
        <f>_xll.BDH("XOM US Equity","EBIT","FQ4 1995","FQ4 1995","Currency=USD","Period=FQ","BEST_FPERIOD_OVERRIDE=FQ","FILING_STATUS=OR","SCALING_FORMAT=MLN","FA_ADJUSTED=Adjusted","Sort=A","Dates=H","DateFormat=P","Fill=—","Direction=H","UseDPDF=Y")</f>
        <v>5095</v>
      </c>
      <c r="AA41" s="13">
        <f>_xll.BDH("XOM US Equity","EBIT","FQ1 1996","FQ1 1996","Currency=USD","Period=FQ","BEST_FPERIOD_OVERRIDE=FQ","FILING_STATUS=OR","SCALING_FORMAT=MLN","FA_ADJUSTED=Adjusted","Sort=A","Dates=H","DateFormat=P","Fill=—","Direction=H","UseDPDF=Y")</f>
        <v>2325</v>
      </c>
      <c r="AB41" s="13">
        <f>_xll.BDH("XOM US Equity","EBIT","FQ2 1996","FQ2 1996","Currency=USD","Period=FQ","BEST_FPERIOD_OVERRIDE=FQ","FILING_STATUS=OR","SCALING_FORMAT=MLN","FA_ADJUSTED=Adjusted","Sort=A","Dates=H","DateFormat=P","Fill=—","Direction=H","UseDPDF=Y")</f>
        <v>2282</v>
      </c>
      <c r="AC41" s="13">
        <f>_xll.BDH("XOM US Equity","EBIT","FQ3 1996","FQ3 1996","Currency=USD","Period=FQ","BEST_FPERIOD_OVERRIDE=FQ","FILING_STATUS=OR","SCALING_FORMAT=MLN","FA_ADJUSTED=Adjusted","Sort=A","Dates=H","DateFormat=P","Fill=—","Direction=H","UseDPDF=Y")</f>
        <v>2333</v>
      </c>
      <c r="AD41" s="13">
        <f>_xll.BDH("XOM US Equity","EBIT","FQ4 1996","FQ4 1996","Currency=USD","Period=FQ","BEST_FPERIOD_OVERRIDE=FQ","FILING_STATUS=OR","SCALING_FORMAT=MLN","FA_ADJUSTED=Adjusted","Sort=A","Dates=H","DateFormat=P","Fill=—","Direction=H","UseDPDF=Y")</f>
        <v>8235</v>
      </c>
      <c r="AE41" s="13">
        <f>_xll.BDH("XOM US Equity","EBIT","FQ1 1997","FQ1 1997","Currency=USD","Period=FQ","BEST_FPERIOD_OVERRIDE=FQ","FILING_STATUS=OR","SCALING_FORMAT=MLN","FA_ADJUSTED=Adjusted","Sort=A","Dates=H","DateFormat=P","Fill=—","Direction=H","UseDPDF=Y")</f>
        <v>3204</v>
      </c>
      <c r="AF41" s="13">
        <f>_xll.BDH("XOM US Equity","EBIT","FQ2 1997","FQ2 1997","Currency=USD","Period=FQ","BEST_FPERIOD_OVERRIDE=FQ","FILING_STATUS=OR","SCALING_FORMAT=MLN","FA_ADJUSTED=Adjusted","Sort=A","Dates=H","DateFormat=P","Fill=—","Direction=H","UseDPDF=Y")</f>
        <v>2829</v>
      </c>
      <c r="AG41" s="13">
        <f>_xll.BDH("XOM US Equity","EBIT","FQ3 1997","FQ3 1997","Currency=USD","Period=FQ","BEST_FPERIOD_OVERRIDE=FQ","FILING_STATUS=OR","SCALING_FORMAT=MLN","FA_ADJUSTED=Adjusted","Sort=A","Dates=H","DateFormat=P","Fill=—","Direction=H","UseDPDF=Y")</f>
        <v>2601</v>
      </c>
      <c r="AH41" s="13">
        <f>_xll.BDH("XOM US Equity","EBIT","FQ4 1997","FQ4 1997","Currency=USD","Period=FQ","BEST_FPERIOD_OVERRIDE=FQ","FILING_STATUS=OR","SCALING_FORMAT=MLN","FA_ADJUSTED=Adjusted","Sort=A","Dates=H","DateFormat=P","Fill=—","Direction=H","UseDPDF=Y")</f>
        <v>5770</v>
      </c>
      <c r="AI41" s="13">
        <f>_xll.BDH("XOM US Equity","EBIT","FQ1 1998","FQ1 1998","Currency=USD","Period=FQ","BEST_FPERIOD_OVERRIDE=FQ","FILING_STATUS=OR","SCALING_FORMAT=MLN","FA_ADJUSTED=Adjusted","Sort=A","Dates=H","DateFormat=P","Fill=—","Direction=H","UseDPDF=Y")</f>
        <v>2336</v>
      </c>
      <c r="AJ41" s="13">
        <f>_xll.BDH("XOM US Equity","EBIT","FQ2 1998","FQ2 1998","Currency=USD","Period=FQ","BEST_FPERIOD_OVERRIDE=FQ","FILING_STATUS=OR","SCALING_FORMAT=MLN","FA_ADJUSTED=Adjusted","Sort=A","Dates=H","DateFormat=P","Fill=—","Direction=H","UseDPDF=Y")</f>
        <v>1914</v>
      </c>
    </row>
    <row r="42" spans="1:36" x14ac:dyDescent="0.25">
      <c r="A42" s="10" t="s">
        <v>132</v>
      </c>
      <c r="B42" s="10" t="s">
        <v>133</v>
      </c>
      <c r="C42" s="14">
        <f>_xll.BDH("XOM US Equity","GROSS_MARGIN","FQ1 1990","FQ1 1990","Currency=USD","Period=FQ","BEST_FPERIOD_OVERRIDE=FQ","FILING_STATUS=OR","FA_ADJUSTED=Adjusted","Sort=A","Dates=H","DateFormat=P","Fill=—","Direction=H","UseDPDF=Y")</f>
        <v>35.611600000000003</v>
      </c>
      <c r="D42" s="14">
        <f>_xll.BDH("XOM US Equity","GROSS_MARGIN","FQ2 1990","FQ2 1990","Currency=USD","Period=FQ","BEST_FPERIOD_OVERRIDE=FQ","FILING_STATUS=OR","FA_ADJUSTED=Adjusted","Sort=A","Dates=H","DateFormat=P","Fill=—","Direction=H","UseDPDF=Y")</f>
        <v>37.246200000000002</v>
      </c>
      <c r="E42" s="14">
        <f>_xll.BDH("XOM US Equity","GROSS_MARGIN","FQ3 1990","FQ3 1990","Currency=USD","Period=FQ","BEST_FPERIOD_OVERRIDE=FQ","FILING_STATUS=OR","FA_ADJUSTED=Adjusted","Sort=A","Dates=H","DateFormat=P","Fill=—","Direction=H","UseDPDF=Y")</f>
        <v>35.337000000000003</v>
      </c>
      <c r="F42" s="14">
        <f>_xll.BDH("XOM US Equity","GROSS_MARGIN","FQ4 1990","FQ4 1990","Currency=USD","Period=FQ","BEST_FPERIOD_OVERRIDE=FQ","FILING_STATUS=OR","FA_ADJUSTED=Adjusted","Sort=A","Dates=H","DateFormat=P","Fill=—","Direction=H","UseDPDF=Y")</f>
        <v>39.721499999999999</v>
      </c>
      <c r="G42" s="14">
        <f>_xll.BDH("XOM US Equity","GROSS_MARGIN","FQ1 1991","FQ1 1991","Currency=USD","Period=FQ","BEST_FPERIOD_OVERRIDE=FQ","FILING_STATUS=OR","FA_ADJUSTED=Adjusted","Sort=A","Dates=H","DateFormat=P","Fill=—","Direction=H","UseDPDF=Y")</f>
        <v>38.381599999999999</v>
      </c>
      <c r="H42" s="14">
        <f>_xll.BDH("XOM US Equity","GROSS_MARGIN","FQ2 1991","FQ2 1991","Currency=USD","Period=FQ","BEST_FPERIOD_OVERRIDE=FQ","FILING_STATUS=OR","FA_ADJUSTED=Adjusted","Sort=A","Dates=H","DateFormat=P","Fill=—","Direction=H","UseDPDF=Y")</f>
        <v>36.839700000000001</v>
      </c>
      <c r="I42" s="14">
        <f>_xll.BDH("XOM US Equity","GROSS_MARGIN","FQ3 1991","FQ3 1991","Currency=USD","Period=FQ","BEST_FPERIOD_OVERRIDE=FQ","FILING_STATUS=OR","FA_ADJUSTED=Adjusted","Sort=A","Dates=H","DateFormat=P","Fill=—","Direction=H","UseDPDF=Y")</f>
        <v>36.2117</v>
      </c>
      <c r="J42" s="14">
        <f>_xll.BDH("XOM US Equity","GROSS_MARGIN","FQ4 1991","FQ4 1991","Currency=USD","Period=FQ","BEST_FPERIOD_OVERRIDE=FQ","FILING_STATUS=OR","FA_ADJUSTED=Adjusted","Sort=A","Dates=H","DateFormat=P","Fill=—","Direction=H","UseDPDF=Y")</f>
        <v>43.272100000000002</v>
      </c>
      <c r="K42" s="14">
        <f>_xll.BDH("XOM US Equity","GROSS_MARGIN","FQ1 1992","FQ1 1992","Currency=USD","Period=FQ","BEST_FPERIOD_OVERRIDE=FQ","FILING_STATUS=OR","FA_ADJUSTED=Adjusted","Sort=A","Dates=H","DateFormat=P","Fill=—","Direction=H","UseDPDF=Y")</f>
        <v>37.213500000000003</v>
      </c>
      <c r="L42" s="14">
        <f>_xll.BDH("XOM US Equity","GROSS_MARGIN","FQ2 1992","FQ2 1992","Currency=USD","Period=FQ","BEST_FPERIOD_OVERRIDE=FQ","FILING_STATUS=OR","FA_ADJUSTED=Adjusted","Sort=A","Dates=H","DateFormat=P","Fill=—","Direction=H","UseDPDF=Y")</f>
        <v>34.765999999999998</v>
      </c>
      <c r="M42" s="14">
        <f>_xll.BDH("XOM US Equity","GROSS_MARGIN","FQ3 1992","FQ3 1992","Currency=USD","Period=FQ","BEST_FPERIOD_OVERRIDE=FQ","FILING_STATUS=OR","FA_ADJUSTED=Adjusted","Sort=A","Dates=H","DateFormat=P","Fill=—","Direction=H","UseDPDF=Y")</f>
        <v>36.2652</v>
      </c>
      <c r="N42" s="14">
        <f>_xll.BDH("XOM US Equity","GROSS_MARGIN","FQ4 1992","FQ4 1992","Currency=USD","Period=FQ","BEST_FPERIOD_OVERRIDE=FQ","FILING_STATUS=OR","FA_ADJUSTED=Adjusted","Sort=A","Dates=H","DateFormat=P","Fill=—","Direction=H","UseDPDF=Y")</f>
        <v>41.046399999999998</v>
      </c>
      <c r="O42" s="14">
        <f>_xll.BDH("XOM US Equity","GROSS_MARGIN","FQ1 1993","FQ1 1993","Currency=USD","Period=FQ","BEST_FPERIOD_OVERRIDE=FQ","FILING_STATUS=OR","FA_ADJUSTED=Adjusted","Sort=A","Dates=H","DateFormat=P","Fill=—","Direction=H","UseDPDF=Y")</f>
        <v>33.307099999999998</v>
      </c>
      <c r="P42" s="14">
        <f>_xll.BDH("XOM US Equity","GROSS_MARGIN","FQ2 1993","FQ2 1993","Currency=USD","Period=FQ","BEST_FPERIOD_OVERRIDE=FQ","FILING_STATUS=OR","FA_ADJUSTED=Adjusted","Sort=A","Dates=H","DateFormat=P","Fill=—","Direction=H","UseDPDF=Y")</f>
        <v>34.640900000000002</v>
      </c>
      <c r="Q42" s="14">
        <f>_xll.BDH("XOM US Equity","GROSS_MARGIN","FQ3 1993","FQ3 1993","Currency=USD","Period=FQ","BEST_FPERIOD_OVERRIDE=FQ","FILING_STATUS=OR","FA_ADJUSTED=Adjusted","Sort=A","Dates=H","DateFormat=P","Fill=—","Direction=H","UseDPDF=Y")</f>
        <v>35.150300000000001</v>
      </c>
      <c r="R42" s="14">
        <f>_xll.BDH("XOM US Equity","GROSS_MARGIN","FQ4 1993","FQ4 1993","Currency=USD","Period=FQ","BEST_FPERIOD_OVERRIDE=FQ","FILING_STATUS=OR","FA_ADJUSTED=Adjusted","Sort=A","Dates=H","DateFormat=P","Fill=—","Direction=H","UseDPDF=Y")</f>
        <v>46.069000000000003</v>
      </c>
      <c r="S42" s="14">
        <f>_xll.BDH("XOM US Equity","GROSS_MARGIN","FQ1 1994","FQ1 1994","Currency=USD","Period=FQ","BEST_FPERIOD_OVERRIDE=FQ","FILING_STATUS=OR","FA_ADJUSTED=Adjusted","Sort=A","Dates=H","DateFormat=P","Fill=—","Direction=H","UseDPDF=Y")</f>
        <v>36.136000000000003</v>
      </c>
      <c r="T42" s="14">
        <f>_xll.BDH("XOM US Equity","GROSS_MARGIN","FQ2 1994","FQ2 1994","Currency=USD","Period=FQ","BEST_FPERIOD_OVERRIDE=FQ","FILING_STATUS=OR","FA_ADJUSTED=Adjusted","Sort=A","Dates=H","DateFormat=P","Fill=—","Direction=H","UseDPDF=Y")</f>
        <v>34.566499999999998</v>
      </c>
      <c r="U42" s="14">
        <f>_xll.BDH("XOM US Equity","GROSS_MARGIN","FQ3 1994","FQ3 1994","Currency=USD","Period=FQ","BEST_FPERIOD_OVERRIDE=FQ","FILING_STATUS=OR","FA_ADJUSTED=Adjusted","Sort=A","Dates=H","DateFormat=P","Fill=—","Direction=H","UseDPDF=Y")</f>
        <v>36.111600000000003</v>
      </c>
      <c r="V42" s="14">
        <f>_xll.BDH("XOM US Equity","GROSS_MARGIN","FQ4 1994","FQ4 1994","Currency=USD","Period=FQ","BEST_FPERIOD_OVERRIDE=FQ","FILING_STATUS=OR","FA_ADJUSTED=Adjusted","Sort=A","Dates=H","DateFormat=P","Fill=—","Direction=H","UseDPDF=Y")</f>
        <v>46.163400000000003</v>
      </c>
      <c r="W42" s="14">
        <f>_xll.BDH("XOM US Equity","GROSS_MARGIN","FQ1 1995","FQ1 1995","Currency=USD","Period=FQ","BEST_FPERIOD_OVERRIDE=FQ","FILING_STATUS=OR","FA_ADJUSTED=Adjusted","Sort=A","Dates=H","DateFormat=P","Fill=—","Direction=H","UseDPDF=Y")</f>
        <v>36.395299999999999</v>
      </c>
      <c r="X42" s="14">
        <f>_xll.BDH("XOM US Equity","GROSS_MARGIN","FQ2 1995","FQ2 1995","Currency=USD","Period=FQ","BEST_FPERIOD_OVERRIDE=FQ","FILING_STATUS=OR","FA_ADJUSTED=Adjusted","Sort=A","Dates=H","DateFormat=P","Fill=—","Direction=H","UseDPDF=Y")</f>
        <v>36.324800000000003</v>
      </c>
      <c r="Y42" s="14">
        <f>_xll.BDH("XOM US Equity","GROSS_MARGIN","FQ3 1995","FQ3 1995","Currency=USD","Period=FQ","BEST_FPERIOD_OVERRIDE=FQ","FILING_STATUS=OR","FA_ADJUSTED=Adjusted","Sort=A","Dates=H","DateFormat=P","Fill=—","Direction=H","UseDPDF=Y")</f>
        <v>38.401499999999999</v>
      </c>
      <c r="Z42" s="14">
        <f>_xll.BDH("XOM US Equity","GROSS_MARGIN","FQ4 1995","FQ4 1995","Currency=USD","Period=FQ","BEST_FPERIOD_OVERRIDE=FQ","FILING_STATUS=OR","FA_ADJUSTED=Adjusted","Sort=A","Dates=H","DateFormat=P","Fill=—","Direction=H","UseDPDF=Y")</f>
        <v>47.665199999999999</v>
      </c>
      <c r="AA42" s="14">
        <f>_xll.BDH("XOM US Equity","GROSS_MARGIN","FQ1 1996","FQ1 1996","Currency=USD","Period=FQ","BEST_FPERIOD_OVERRIDE=FQ","FILING_STATUS=OR","FA_ADJUSTED=Adjusted","Sort=A","Dates=H","DateFormat=P","Fill=—","Direction=H","UseDPDF=Y")</f>
        <v>36.4711</v>
      </c>
      <c r="AB42" s="14">
        <f>_xll.BDH("XOM US Equity","GROSS_MARGIN","FQ2 1996","FQ2 1996","Currency=USD","Period=FQ","BEST_FPERIOD_OVERRIDE=FQ","FILING_STATUS=OR","FA_ADJUSTED=Adjusted","Sort=A","Dates=H","DateFormat=P","Fill=—","Direction=H","UseDPDF=Y")</f>
        <v>36.0107</v>
      </c>
      <c r="AC42" s="14">
        <f>_xll.BDH("XOM US Equity","GROSS_MARGIN","FQ3 1996","FQ3 1996","Currency=USD","Period=FQ","BEST_FPERIOD_OVERRIDE=FQ","FILING_STATUS=OR","FA_ADJUSTED=Adjusted","Sort=A","Dates=H","DateFormat=P","Fill=—","Direction=H","UseDPDF=Y")</f>
        <v>36.275199999999998</v>
      </c>
      <c r="AD42" s="14">
        <f>_xll.BDH("XOM US Equity","GROSS_MARGIN","FQ4 1996","FQ4 1996","Currency=USD","Period=FQ","BEST_FPERIOD_OVERRIDE=FQ","FILING_STATUS=OR","FA_ADJUSTED=Adjusted","Sort=A","Dates=H","DateFormat=P","Fill=—","Direction=H","UseDPDF=Y")</f>
        <v>43.389200000000002</v>
      </c>
      <c r="AE42" s="14">
        <f>_xll.BDH("XOM US Equity","GROSS_MARGIN","FQ1 1997","FQ1 1997","Currency=USD","Period=FQ","BEST_FPERIOD_OVERRIDE=FQ","FILING_STATUS=OR","FA_ADJUSTED=Adjusted","Sort=A","Dates=H","DateFormat=P","Fill=—","Direction=H","UseDPDF=Y")</f>
        <v>35.3262</v>
      </c>
      <c r="AF42" s="14">
        <f>_xll.BDH("XOM US Equity","GROSS_MARGIN","FQ2 1997","FQ2 1997","Currency=USD","Period=FQ","BEST_FPERIOD_OVERRIDE=FQ","FILING_STATUS=OR","FA_ADJUSTED=Adjusted","Sort=A","Dates=H","DateFormat=P","Fill=—","Direction=H","UseDPDF=Y")</f>
        <v>36.366500000000002</v>
      </c>
      <c r="AG42" s="14">
        <f>_xll.BDH("XOM US Equity","GROSS_MARGIN","FQ3 1997","FQ3 1997","Currency=USD","Period=FQ","BEST_FPERIOD_OVERRIDE=FQ","FILING_STATUS=OR","FA_ADJUSTED=Adjusted","Sort=A","Dates=H","DateFormat=P","Fill=—","Direction=H","UseDPDF=Y")</f>
        <v>37.062399999999997</v>
      </c>
      <c r="AH42" s="14">
        <f>_xll.BDH("XOM US Equity","GROSS_MARGIN","FQ4 1997","FQ4 1997","Currency=USD","Period=FQ","BEST_FPERIOD_OVERRIDE=FQ","FILING_STATUS=OR","FA_ADJUSTED=Adjusted","Sort=A","Dates=H","DateFormat=P","Fill=—","Direction=H","UseDPDF=Y")</f>
        <v>39.066499999999998</v>
      </c>
      <c r="AI42" s="14">
        <f>_xll.BDH("XOM US Equity","GROSS_MARGIN","FQ1 1998","FQ1 1998","Currency=USD","Period=FQ","BEST_FPERIOD_OVERRIDE=FQ","FILING_STATUS=OR","FA_ADJUSTED=Adjusted","Sort=A","Dates=H","DateFormat=P","Fill=—","Direction=H","UseDPDF=Y")</f>
        <v>36.999699999999997</v>
      </c>
      <c r="AJ42" s="14">
        <f>_xll.BDH("XOM US Equity","GROSS_MARGIN","FQ2 1998","FQ2 1998","Currency=USD","Period=FQ","BEST_FPERIOD_OVERRIDE=FQ","FILING_STATUS=OR","FA_ADJUSTED=Adjusted","Sort=A","Dates=H","DateFormat=P","Fill=—","Direction=H","UseDPDF=Y")</f>
        <v>38.6601</v>
      </c>
    </row>
    <row r="43" spans="1:36" x14ac:dyDescent="0.25">
      <c r="A43" s="10" t="s">
        <v>134</v>
      </c>
      <c r="B43" s="10" t="s">
        <v>135</v>
      </c>
      <c r="C43" s="14">
        <f>_xll.BDH("XOM US Equity","OPER_MARGIN","FQ1 1990","FQ1 1990","Currency=USD","Period=FQ","BEST_FPERIOD_OVERRIDE=FQ","FILING_STATUS=OR","FA_ADJUSTED=Adjusted","Sort=A","Dates=H","DateFormat=P","Fill=—","Direction=H","UseDPDF=Y")</f>
        <v>9.6241000000000003</v>
      </c>
      <c r="D43" s="14">
        <f>_xll.BDH("XOM US Equity","OPER_MARGIN","FQ2 1990","FQ2 1990","Currency=USD","Period=FQ","BEST_FPERIOD_OVERRIDE=FQ","FILING_STATUS=OR","FA_ADJUSTED=Adjusted","Sort=A","Dates=H","DateFormat=P","Fill=—","Direction=H","UseDPDF=Y")</f>
        <v>8.0234000000000005</v>
      </c>
      <c r="E43" s="14">
        <f>_xll.BDH("XOM US Equity","OPER_MARGIN","FQ3 1990","FQ3 1990","Currency=USD","Period=FQ","BEST_FPERIOD_OVERRIDE=FQ","FILING_STATUS=OR","FA_ADJUSTED=Adjusted","Sort=A","Dates=H","DateFormat=P","Fill=—","Direction=H","UseDPDF=Y")</f>
        <v>7.5251000000000001</v>
      </c>
      <c r="F43" s="14">
        <f>_xll.BDH("XOM US Equity","OPER_MARGIN","FQ4 1990","FQ4 1990","Currency=USD","Period=FQ","BEST_FPERIOD_OVERRIDE=FQ","FILING_STATUS=OR","FA_ADJUSTED=Adjusted","Sort=A","Dates=H","DateFormat=P","Fill=—","Direction=H","UseDPDF=Y")</f>
        <v>16.229099999999999</v>
      </c>
      <c r="G43" s="14">
        <f>_xll.BDH("XOM US Equity","OPER_MARGIN","FQ1 1991","FQ1 1991","Currency=USD","Period=FQ","BEST_FPERIOD_OVERRIDE=FQ","FILING_STATUS=OR","FA_ADJUSTED=Adjusted","Sort=A","Dates=H","DateFormat=P","Fill=—","Direction=H","UseDPDF=Y")</f>
        <v>12.0351</v>
      </c>
      <c r="H43" s="14">
        <f>_xll.BDH("XOM US Equity","OPER_MARGIN","FQ2 1991","FQ2 1991","Currency=USD","Period=FQ","BEST_FPERIOD_OVERRIDE=FQ","FILING_STATUS=OR","FA_ADJUSTED=Adjusted","Sort=A","Dates=H","DateFormat=P","Fill=—","Direction=H","UseDPDF=Y")</f>
        <v>7.1006999999999998</v>
      </c>
      <c r="I43" s="14">
        <f>_xll.BDH("XOM US Equity","OPER_MARGIN","FQ3 1991","FQ3 1991","Currency=USD","Period=FQ","BEST_FPERIOD_OVERRIDE=FQ","FILING_STATUS=OR","FA_ADJUSTED=Adjusted","Sort=A","Dates=H","DateFormat=P","Fill=—","Direction=H","UseDPDF=Y")</f>
        <v>6.6837</v>
      </c>
      <c r="J43" s="14">
        <f>_xll.BDH("XOM US Equity","OPER_MARGIN","FQ4 1991","FQ4 1991","Currency=USD","Period=FQ","BEST_FPERIOD_OVERRIDE=FQ","FILING_STATUS=OR","FA_ADJUSTED=Adjusted","Sort=A","Dates=H","DateFormat=P","Fill=—","Direction=H","UseDPDF=Y")</f>
        <v>17.2469</v>
      </c>
      <c r="K43" s="14">
        <f>_xll.BDH("XOM US Equity","OPER_MARGIN","FQ1 1992","FQ1 1992","Currency=USD","Period=FQ","BEST_FPERIOD_OVERRIDE=FQ","FILING_STATUS=OR","FA_ADJUSTED=Adjusted","Sort=A","Dates=H","DateFormat=P","Fill=—","Direction=H","UseDPDF=Y")</f>
        <v>7.2891000000000004</v>
      </c>
      <c r="L43" s="14">
        <f>_xll.BDH("XOM US Equity","OPER_MARGIN","FQ2 1992","FQ2 1992","Currency=USD","Period=FQ","BEST_FPERIOD_OVERRIDE=FQ","FILING_STATUS=OR","FA_ADJUSTED=Adjusted","Sort=A","Dates=H","DateFormat=P","Fill=—","Direction=H","UseDPDF=Y")</f>
        <v>5.3204000000000002</v>
      </c>
      <c r="M43" s="14">
        <f>_xll.BDH("XOM US Equity","OPER_MARGIN","FQ3 1992","FQ3 1992","Currency=USD","Period=FQ","BEST_FPERIOD_OVERRIDE=FQ","FILING_STATUS=OR","FA_ADJUSTED=Adjusted","Sort=A","Dates=H","DateFormat=P","Fill=—","Direction=H","UseDPDF=Y")</f>
        <v>7.5400999999999998</v>
      </c>
      <c r="N43" s="14">
        <f>_xll.BDH("XOM US Equity","OPER_MARGIN","FQ4 1992","FQ4 1992","Currency=USD","Period=FQ","BEST_FPERIOD_OVERRIDE=FQ","FILING_STATUS=OR","FA_ADJUSTED=Adjusted","Sort=A","Dates=H","DateFormat=P","Fill=—","Direction=H","UseDPDF=Y")</f>
        <v>16.591000000000001</v>
      </c>
      <c r="O43" s="14">
        <f>_xll.BDH("XOM US Equity","OPER_MARGIN","FQ1 1993","FQ1 1993","Currency=USD","Period=FQ","BEST_FPERIOD_OVERRIDE=FQ","FILING_STATUS=OR","FA_ADJUSTED=Adjusted","Sort=A","Dates=H","DateFormat=P","Fill=—","Direction=H","UseDPDF=Y")</f>
        <v>7.1295000000000002</v>
      </c>
      <c r="P43" s="14">
        <f>_xll.BDH("XOM US Equity","OPER_MARGIN","FQ2 1993","FQ2 1993","Currency=USD","Period=FQ","BEST_FPERIOD_OVERRIDE=FQ","FILING_STATUS=OR","FA_ADJUSTED=Adjusted","Sort=A","Dates=H","DateFormat=P","Fill=—","Direction=H","UseDPDF=Y")</f>
        <v>6.7363</v>
      </c>
      <c r="Q43" s="14">
        <f>_xll.BDH("XOM US Equity","OPER_MARGIN","FQ3 1993","FQ3 1993","Currency=USD","Period=FQ","BEST_FPERIOD_OVERRIDE=FQ","FILING_STATUS=OR","FA_ADJUSTED=Adjusted","Sort=A","Dates=H","DateFormat=P","Fill=—","Direction=H","UseDPDF=Y")</f>
        <v>7.1723999999999997</v>
      </c>
      <c r="R43" s="14">
        <f>_xll.BDH("XOM US Equity","OPER_MARGIN","FQ4 1993","FQ4 1993","Currency=USD","Period=FQ","BEST_FPERIOD_OVERRIDE=FQ","FILING_STATUS=OR","FA_ADJUSTED=Adjusted","Sort=A","Dates=H","DateFormat=P","Fill=—","Direction=H","UseDPDF=Y")</f>
        <v>19.6782</v>
      </c>
      <c r="S43" s="14">
        <f>_xll.BDH("XOM US Equity","OPER_MARGIN","FQ1 1994","FQ1 1994","Currency=USD","Period=FQ","BEST_FPERIOD_OVERRIDE=FQ","FILING_STATUS=OR","FA_ADJUSTED=Adjusted","Sort=A","Dates=H","DateFormat=P","Fill=—","Direction=H","UseDPDF=Y")</f>
        <v>7.5296000000000003</v>
      </c>
      <c r="T43" s="14">
        <f>_xll.BDH("XOM US Equity","OPER_MARGIN","FQ2 1994","FQ2 1994","Currency=USD","Period=FQ","BEST_FPERIOD_OVERRIDE=FQ","FILING_STATUS=OR","FA_ADJUSTED=Adjusted","Sort=A","Dates=H","DateFormat=P","Fill=—","Direction=H","UseDPDF=Y")</f>
        <v>5.6298000000000004</v>
      </c>
      <c r="U43" s="14">
        <f>_xll.BDH("XOM US Equity","OPER_MARGIN","FQ3 1994","FQ3 1994","Currency=USD","Period=FQ","BEST_FPERIOD_OVERRIDE=FQ","FILING_STATUS=OR","FA_ADJUSTED=Adjusted","Sort=A","Dates=H","DateFormat=P","Fill=—","Direction=H","UseDPDF=Y")</f>
        <v>7.0526</v>
      </c>
      <c r="V43" s="14">
        <f>_xll.BDH("XOM US Equity","OPER_MARGIN","FQ4 1994","FQ4 1994","Currency=USD","Period=FQ","BEST_FPERIOD_OVERRIDE=FQ","FILING_STATUS=OR","FA_ADJUSTED=Adjusted","Sort=A","Dates=H","DateFormat=P","Fill=—","Direction=H","UseDPDF=Y")</f>
        <v>20.1662</v>
      </c>
      <c r="W43" s="14">
        <f>_xll.BDH("XOM US Equity","OPER_MARGIN","FQ1 1995","FQ1 1995","Currency=USD","Period=FQ","BEST_FPERIOD_OVERRIDE=FQ","FILING_STATUS=OR","FA_ADJUSTED=Adjusted","Sort=A","Dates=H","DateFormat=P","Fill=—","Direction=H","UseDPDF=Y")</f>
        <v>8.2136999999999993</v>
      </c>
      <c r="X43" s="14">
        <f>_xll.BDH("XOM US Equity","OPER_MARGIN","FQ2 1995","FQ2 1995","Currency=USD","Period=FQ","BEST_FPERIOD_OVERRIDE=FQ","FILING_STATUS=OR","FA_ADJUSTED=Adjusted","Sort=A","Dates=H","DateFormat=P","Fill=—","Direction=H","UseDPDF=Y")</f>
        <v>8.4499999999999993</v>
      </c>
      <c r="Y43" s="14">
        <f>_xll.BDH("XOM US Equity","OPER_MARGIN","FQ3 1995","FQ3 1995","Currency=USD","Period=FQ","BEST_FPERIOD_OVERRIDE=FQ","FILING_STATUS=OR","FA_ADJUSTED=Adjusted","Sort=A","Dates=H","DateFormat=P","Fill=—","Direction=H","UseDPDF=Y")</f>
        <v>8.7881999999999998</v>
      </c>
      <c r="Z43" s="14">
        <f>_xll.BDH("XOM US Equity","OPER_MARGIN","FQ4 1995","FQ4 1995","Currency=USD","Period=FQ","BEST_FPERIOD_OVERRIDE=FQ","FILING_STATUS=OR","FA_ADJUSTED=Adjusted","Sort=A","Dates=H","DateFormat=P","Fill=—","Direction=H","UseDPDF=Y")</f>
        <v>16.6145</v>
      </c>
      <c r="AA43" s="14">
        <f>_xll.BDH("XOM US Equity","OPER_MARGIN","FQ1 1996","FQ1 1996","Currency=USD","Period=FQ","BEST_FPERIOD_OVERRIDE=FQ","FILING_STATUS=OR","FA_ADJUSTED=Adjusted","Sort=A","Dates=H","DateFormat=P","Fill=—","Direction=H","UseDPDF=Y")</f>
        <v>8.5591000000000008</v>
      </c>
      <c r="AB43" s="14">
        <f>_xll.BDH("XOM US Equity","OPER_MARGIN","FQ2 1996","FQ2 1996","Currency=USD","Period=FQ","BEST_FPERIOD_OVERRIDE=FQ","FILING_STATUS=OR","FA_ADJUSTED=Adjusted","Sort=A","Dates=H","DateFormat=P","Fill=—","Direction=H","UseDPDF=Y")</f>
        <v>8.1572999999999993</v>
      </c>
      <c r="AC43" s="14">
        <f>_xll.BDH("XOM US Equity","OPER_MARGIN","FQ3 1996","FQ3 1996","Currency=USD","Period=FQ","BEST_FPERIOD_OVERRIDE=FQ","FILING_STATUS=OR","FA_ADJUSTED=Adjusted","Sort=A","Dates=H","DateFormat=P","Fill=—","Direction=H","UseDPDF=Y")</f>
        <v>8.0210000000000008</v>
      </c>
      <c r="AD43" s="14">
        <f>_xll.BDH("XOM US Equity","OPER_MARGIN","FQ4 1996","FQ4 1996","Currency=USD","Period=FQ","BEST_FPERIOD_OVERRIDE=FQ","FILING_STATUS=OR","FA_ADJUSTED=Adjusted","Sort=A","Dates=H","DateFormat=P","Fill=—","Direction=H","UseDPDF=Y")</f>
        <v>21.89</v>
      </c>
      <c r="AE43" s="14">
        <f>_xll.BDH("XOM US Equity","OPER_MARGIN","FQ1 1997","FQ1 1997","Currency=USD","Period=FQ","BEST_FPERIOD_OVERRIDE=FQ","FILING_STATUS=OR","FA_ADJUSTED=Adjusted","Sort=A","Dates=H","DateFormat=P","Fill=—","Direction=H","UseDPDF=Y")</f>
        <v>10.840400000000001</v>
      </c>
      <c r="AF43" s="14">
        <f>_xll.BDH("XOM US Equity","OPER_MARGIN","FQ2 1997","FQ2 1997","Currency=USD","Period=FQ","BEST_FPERIOD_OVERRIDE=FQ","FILING_STATUS=OR","FA_ADJUSTED=Adjusted","Sort=A","Dates=H","DateFormat=P","Fill=—","Direction=H","UseDPDF=Y")</f>
        <v>9.8629999999999995</v>
      </c>
      <c r="AG43" s="14">
        <f>_xll.BDH("XOM US Equity","OPER_MARGIN","FQ3 1997","FQ3 1997","Currency=USD","Period=FQ","BEST_FPERIOD_OVERRIDE=FQ","FILING_STATUS=OR","FA_ADJUSTED=Adjusted","Sort=A","Dates=H","DateFormat=P","Fill=—","Direction=H","UseDPDF=Y")</f>
        <v>9.0421999999999993</v>
      </c>
      <c r="AH43" s="14">
        <f>_xll.BDH("XOM US Equity","OPER_MARGIN","FQ4 1997","FQ4 1997","Currency=USD","Period=FQ","BEST_FPERIOD_OVERRIDE=FQ","FILING_STATUS=OR","FA_ADJUSTED=Adjusted","Sort=A","Dates=H","DateFormat=P","Fill=—","Direction=H","UseDPDF=Y")</f>
        <v>16.7271</v>
      </c>
      <c r="AI43" s="14">
        <f>_xll.BDH("XOM US Equity","OPER_MARGIN","FQ1 1998","FQ1 1998","Currency=USD","Period=FQ","BEST_FPERIOD_OVERRIDE=FQ","FILING_STATUS=OR","FA_ADJUSTED=Adjusted","Sort=A","Dates=H","DateFormat=P","Fill=—","Direction=H","UseDPDF=Y")</f>
        <v>8.9123000000000001</v>
      </c>
      <c r="AJ43" s="14">
        <f>_xll.BDH("XOM US Equity","OPER_MARGIN","FQ2 1998","FQ2 1998","Currency=USD","Period=FQ","BEST_FPERIOD_OVERRIDE=FQ","FILING_STATUS=OR","FA_ADJUSTED=Adjusted","Sort=A","Dates=H","DateFormat=P","Fill=—","Direction=H","UseDPDF=Y")</f>
        <v>7.4984999999999999</v>
      </c>
    </row>
    <row r="44" spans="1:36" x14ac:dyDescent="0.25">
      <c r="A44" s="10" t="s">
        <v>136</v>
      </c>
      <c r="B44" s="10" t="s">
        <v>137</v>
      </c>
      <c r="C44" s="14">
        <f>_xll.BDH("XOM US Equity","PROF_MARGIN","FQ1 1990","FQ1 1990","Currency=USD","Period=FQ","BEST_FPERIOD_OVERRIDE=FQ","FILING_STATUS=OR","FA_ADJUSTED=Adjusted","Sort=A","Dates=H","DateFormat=P","Fill=—","Direction=H","UseDPDF=Y")</f>
        <v>5.3052999999999999</v>
      </c>
      <c r="D44" s="14">
        <f>_xll.BDH("XOM US Equity","PROF_MARGIN","FQ2 1990","FQ2 1990","Currency=USD","Period=FQ","BEST_FPERIOD_OVERRIDE=FQ","FILING_STATUS=OR","FA_ADJUSTED=Adjusted","Sort=A","Dates=H","DateFormat=P","Fill=—","Direction=H","UseDPDF=Y")</f>
        <v>4.6920000000000002</v>
      </c>
      <c r="E44" s="14">
        <f>_xll.BDH("XOM US Equity","PROF_MARGIN","FQ3 1990","FQ3 1990","Currency=USD","Period=FQ","BEST_FPERIOD_OVERRIDE=FQ","FILING_STATUS=OR","FA_ADJUSTED=Adjusted","Sort=A","Dates=H","DateFormat=P","Fill=—","Direction=H","UseDPDF=Y")</f>
        <v>4.1210000000000004</v>
      </c>
      <c r="F44" s="14">
        <f>_xll.BDH("XOM US Equity","PROF_MARGIN","FQ4 1990","FQ4 1990","Currency=USD","Period=FQ","BEST_FPERIOD_OVERRIDE=FQ","FILING_STATUS=OR","FA_ADJUSTED=Adjusted","Sort=A","Dates=H","DateFormat=P","Fill=—","Direction=H","UseDPDF=Y")</f>
        <v>4.4274000000000004</v>
      </c>
      <c r="G44" s="14">
        <f>_xll.BDH("XOM US Equity","PROF_MARGIN","FQ1 1991","FQ1 1991","Currency=USD","Period=FQ","BEST_FPERIOD_OVERRIDE=FQ","FILING_STATUS=OR","FA_ADJUSTED=Adjusted","Sort=A","Dates=H","DateFormat=P","Fill=—","Direction=H","UseDPDF=Y")</f>
        <v>8.2241</v>
      </c>
      <c r="H44" s="14">
        <f>_xll.BDH("XOM US Equity","PROF_MARGIN","FQ2 1991","FQ2 1991","Currency=USD","Period=FQ","BEST_FPERIOD_OVERRIDE=FQ","FILING_STATUS=OR","FA_ADJUSTED=Adjusted","Sort=A","Dates=H","DateFormat=P","Fill=—","Direction=H","UseDPDF=Y")</f>
        <v>4.6390000000000002</v>
      </c>
      <c r="I44" s="14">
        <f>_xll.BDH("XOM US Equity","PROF_MARGIN","FQ3 1991","FQ3 1991","Currency=USD","Period=FQ","BEST_FPERIOD_OVERRIDE=FQ","FILING_STATUS=OR","FA_ADJUSTED=Adjusted","Sort=A","Dates=H","DateFormat=P","Fill=—","Direction=H","UseDPDF=Y")</f>
        <v>4.6002000000000001</v>
      </c>
      <c r="J44" s="14">
        <f>_xll.BDH("XOM US Equity","PROF_MARGIN","FQ4 1991","FQ4 1991","Currency=USD","Period=FQ","BEST_FPERIOD_OVERRIDE=FQ","FILING_STATUS=OR","FA_ADJUSTED=Adjusted","Sort=A","Dates=H","DateFormat=P","Fill=—","Direction=H","UseDPDF=Y")</f>
        <v>3.6105999999999998</v>
      </c>
      <c r="K44" s="14">
        <f>_xll.BDH("XOM US Equity","PROF_MARGIN","FQ1 1992","FQ1 1992","Currency=USD","Period=FQ","BEST_FPERIOD_OVERRIDE=FQ","FILING_STATUS=OR","FA_ADJUSTED=Adjusted","Sort=A","Dates=H","DateFormat=P","Fill=—","Direction=H","UseDPDF=Y")</f>
        <v>5.5158000000000005</v>
      </c>
      <c r="L44" s="14">
        <f>_xll.BDH("XOM US Equity","PROF_MARGIN","FQ2 1992","FQ2 1992","Currency=USD","Period=FQ","BEST_FPERIOD_OVERRIDE=FQ","FILING_STATUS=OR","FA_ADJUSTED=Adjusted","Sort=A","Dates=H","DateFormat=P","Fill=—","Direction=H","UseDPDF=Y")</f>
        <v>3.8904999999999998</v>
      </c>
      <c r="M44" s="14">
        <f>_xll.BDH("XOM US Equity","PROF_MARGIN","FQ3 1992","FQ3 1992","Currency=USD","Period=FQ","BEST_FPERIOD_OVERRIDE=FQ","FILING_STATUS=OR","FA_ADJUSTED=Adjusted","Sort=A","Dates=H","DateFormat=P","Fill=—","Direction=H","UseDPDF=Y")</f>
        <v>4.1665000000000001</v>
      </c>
      <c r="N44" s="14">
        <f>_xll.BDH("XOM US Equity","PROF_MARGIN","FQ4 1992","FQ4 1992","Currency=USD","Period=FQ","BEST_FPERIOD_OVERRIDE=FQ","FILING_STATUS=OR","FA_ADJUSTED=Adjusted","Sort=A","Dates=H","DateFormat=P","Fill=—","Direction=H","UseDPDF=Y")</f>
        <v>5.1722000000000001</v>
      </c>
      <c r="O44" s="14">
        <f>_xll.BDH("XOM US Equity","PROF_MARGIN","FQ1 1993","FQ1 1993","Currency=USD","Period=FQ","BEST_FPERIOD_OVERRIDE=FQ","FILING_STATUS=OR","FA_ADJUSTED=Adjusted","Sort=A","Dates=H","DateFormat=P","Fill=—","Direction=H","UseDPDF=Y")</f>
        <v>4.9091000000000005</v>
      </c>
      <c r="P44" s="14">
        <f>_xll.BDH("XOM US Equity","PROF_MARGIN","FQ2 1993","FQ2 1993","Currency=USD","Period=FQ","BEST_FPERIOD_OVERRIDE=FQ","FILING_STATUS=OR","FA_ADJUSTED=Adjusted","Sort=A","Dates=H","DateFormat=P","Fill=—","Direction=H","UseDPDF=Y")</f>
        <v>4.9996</v>
      </c>
      <c r="Q44" s="14">
        <f>_xll.BDH("XOM US Equity","PROF_MARGIN","FQ3 1993","FQ3 1993","Currency=USD","Period=FQ","BEST_FPERIOD_OVERRIDE=FQ","FILING_STATUS=OR","FA_ADJUSTED=Adjusted","Sort=A","Dates=H","DateFormat=P","Fill=—","Direction=H","UseDPDF=Y")</f>
        <v>5.5612000000000004</v>
      </c>
      <c r="R44" s="14">
        <f>_xll.BDH("XOM US Equity","PROF_MARGIN","FQ4 1993","FQ4 1993","Currency=USD","Period=FQ","BEST_FPERIOD_OVERRIDE=FQ","FILING_STATUS=OR","FA_ADJUSTED=Adjusted","Sort=A","Dates=H","DateFormat=P","Fill=—","Direction=H","UseDPDF=Y")</f>
        <v>5.3874000000000004</v>
      </c>
      <c r="S44" s="14">
        <f>_xll.BDH("XOM US Equity","PROF_MARGIN","FQ1 1994","FQ1 1994","Currency=USD","Period=FQ","BEST_FPERIOD_OVERRIDE=FQ","FILING_STATUS=OR","FA_ADJUSTED=Adjusted","Sort=A","Dates=H","DateFormat=P","Fill=—","Direction=H","UseDPDF=Y")</f>
        <v>5.0693000000000001</v>
      </c>
      <c r="T44" s="14">
        <f>_xll.BDH("XOM US Equity","PROF_MARGIN","FQ2 1994","FQ2 1994","Currency=USD","Period=FQ","BEST_FPERIOD_OVERRIDE=FQ","FILING_STATUS=OR","FA_ADJUSTED=Adjusted","Sort=A","Dates=H","DateFormat=P","Fill=—","Direction=H","UseDPDF=Y")</f>
        <v>3.6501000000000001</v>
      </c>
      <c r="U44" s="14">
        <f>_xll.BDH("XOM US Equity","PROF_MARGIN","FQ3 1994","FQ3 1994","Currency=USD","Period=FQ","BEST_FPERIOD_OVERRIDE=FQ","FILING_STATUS=OR","FA_ADJUSTED=Adjusted","Sort=A","Dates=H","DateFormat=P","Fill=—","Direction=H","UseDPDF=Y")</f>
        <v>4.4343000000000004</v>
      </c>
      <c r="V44" s="14">
        <f>_xll.BDH("XOM US Equity","PROF_MARGIN","FQ4 1994","FQ4 1994","Currency=USD","Period=FQ","BEST_FPERIOD_OVERRIDE=FQ","FILING_STATUS=OR","FA_ADJUSTED=Adjusted","Sort=A","Dates=H","DateFormat=P","Fill=—","Direction=H","UseDPDF=Y")</f>
        <v>6.2171000000000003</v>
      </c>
      <c r="W44" s="14">
        <f>_xll.BDH("XOM US Equity","PROF_MARGIN","FQ1 1995","FQ1 1995","Currency=USD","Period=FQ","BEST_FPERIOD_OVERRIDE=FQ","FILING_STATUS=OR","FA_ADJUSTED=Adjusted","Sort=A","Dates=H","DateFormat=P","Fill=—","Direction=H","UseDPDF=Y")</f>
        <v>6.3536000000000001</v>
      </c>
      <c r="X44" s="14">
        <f>_xll.BDH("XOM US Equity","PROF_MARGIN","FQ2 1995","FQ2 1995","Currency=USD","Period=FQ","BEST_FPERIOD_OVERRIDE=FQ","FILING_STATUS=OR","FA_ADJUSTED=Adjusted","Sort=A","Dates=H","DateFormat=P","Fill=—","Direction=H","UseDPDF=Y")</f>
        <v>5.8536000000000001</v>
      </c>
      <c r="Y44" s="14">
        <f>_xll.BDH("XOM US Equity","PROF_MARGIN","FQ3 1995","FQ3 1995","Currency=USD","Period=FQ","BEST_FPERIOD_OVERRIDE=FQ","FILING_STATUS=OR","FA_ADJUSTED=Adjusted","Sort=A","Dates=H","DateFormat=P","Fill=—","Direction=H","UseDPDF=Y")</f>
        <v>5.5503999999999998</v>
      </c>
      <c r="Z44" s="14">
        <f>_xll.BDH("XOM US Equity","PROF_MARGIN","FQ4 1995","FQ4 1995","Currency=USD","Period=FQ","BEST_FPERIOD_OVERRIDE=FQ","FILING_STATUS=OR","FA_ADJUSTED=Adjusted","Sort=A","Dates=H","DateFormat=P","Fill=—","Direction=H","UseDPDF=Y")</f>
        <v>5.4783999999999997</v>
      </c>
      <c r="AA44" s="14">
        <f>_xll.BDH("XOM US Equity","PROF_MARGIN","FQ1 1996","FQ1 1996","Currency=USD","Period=FQ","BEST_FPERIOD_OVERRIDE=FQ","FILING_STATUS=OR","FA_ADJUSTED=Adjusted","Sort=A","Dates=H","DateFormat=P","Fill=—","Direction=H","UseDPDF=Y")</f>
        <v>6.9393000000000002</v>
      </c>
      <c r="AB44" s="14">
        <f>_xll.BDH("XOM US Equity","PROF_MARGIN","FQ2 1996","FQ2 1996","Currency=USD","Period=FQ","BEST_FPERIOD_OVERRIDE=FQ","FILING_STATUS=OR","FA_ADJUSTED=Adjusted","Sort=A","Dates=H","DateFormat=P","Fill=—","Direction=H","UseDPDF=Y")</f>
        <v>5.6121999999999996</v>
      </c>
      <c r="AC44" s="14">
        <f>_xll.BDH("XOM US Equity","PROF_MARGIN","FQ3 1996","FQ3 1996","Currency=USD","Period=FQ","BEST_FPERIOD_OVERRIDE=FQ","FILING_STATUS=OR","FA_ADJUSTED=Adjusted","Sort=A","Dates=H","DateFormat=P","Fill=—","Direction=H","UseDPDF=Y")</f>
        <v>5.3634000000000004</v>
      </c>
      <c r="AD44" s="14">
        <f>_xll.BDH("XOM US Equity","PROF_MARGIN","FQ4 1996","FQ4 1996","Currency=USD","Period=FQ","BEST_FPERIOD_OVERRIDE=FQ","FILING_STATUS=OR","FA_ADJUSTED=Adjusted","Sort=A","Dates=H","DateFormat=P","Fill=—","Direction=H","UseDPDF=Y")</f>
        <v>6.6321000000000003</v>
      </c>
      <c r="AE44" s="14">
        <f>_xll.BDH("XOM US Equity","PROF_MARGIN","FQ1 1997","FQ1 1997","Currency=USD","Period=FQ","BEST_FPERIOD_OVERRIDE=FQ","FILING_STATUS=OR","FA_ADJUSTED=Adjusted","Sort=A","Dates=H","DateFormat=P","Fill=—","Direction=H","UseDPDF=Y")</f>
        <v>7.3589000000000002</v>
      </c>
      <c r="AF44" s="14">
        <f>_xll.BDH("XOM US Equity","PROF_MARGIN","FQ2 1997","FQ2 1997","Currency=USD","Period=FQ","BEST_FPERIOD_OVERRIDE=FQ","FILING_STATUS=OR","FA_ADJUSTED=Adjusted","Sort=A","Dates=H","DateFormat=P","Fill=—","Direction=H","UseDPDF=Y")</f>
        <v>6.8506999999999998</v>
      </c>
      <c r="AG44" s="14">
        <f>_xll.BDH("XOM US Equity","PROF_MARGIN","FQ3 1997","FQ3 1997","Currency=USD","Period=FQ","BEST_FPERIOD_OVERRIDE=FQ","FILING_STATUS=OR","FA_ADJUSTED=Adjusted","Sort=A","Dates=H","DateFormat=P","Fill=—","Direction=H","UseDPDF=Y")</f>
        <v>6.3270999999999997</v>
      </c>
      <c r="AH44" s="14">
        <f>_xll.BDH("XOM US Equity","PROF_MARGIN","FQ4 1997","FQ4 1997","Currency=USD","Period=FQ","BEST_FPERIOD_OVERRIDE=FQ","FILING_STATUS=OR","FA_ADJUSTED=Adjusted","Sort=A","Dates=H","DateFormat=P","Fill=—","Direction=H","UseDPDF=Y")</f>
        <v>7.2473999999999998</v>
      </c>
      <c r="AI44" s="14">
        <f>_xll.BDH("XOM US Equity","PROF_MARGIN","FQ1 1998","FQ1 1998","Currency=USD","Period=FQ","BEST_FPERIOD_OVERRIDE=FQ","FILING_STATUS=OR","FA_ADJUSTED=Adjusted","Sort=A","Dates=H","DateFormat=P","Fill=—","Direction=H","UseDPDF=Y")</f>
        <v>7.2107000000000001</v>
      </c>
      <c r="AJ44" s="14">
        <f>_xll.BDH("XOM US Equity","PROF_MARGIN","FQ2 1998","FQ2 1998","Currency=USD","Period=FQ","BEST_FPERIOD_OVERRIDE=FQ","FILING_STATUS=OR","FA_ADJUSTED=Adjusted","Sort=A","Dates=H","DateFormat=P","Fill=—","Direction=H","UseDPDF=Y")</f>
        <v>6.3467000000000002</v>
      </c>
    </row>
    <row r="45" spans="1:36" x14ac:dyDescent="0.25">
      <c r="A45" s="10" t="s">
        <v>138</v>
      </c>
      <c r="B45" s="10" t="s">
        <v>139</v>
      </c>
      <c r="C45" s="14" t="str">
        <f>_xll.BDH("XOM US Equity","ACTUAL_SALES_PER_EMPL","FQ1 1990","FQ1 1990","Currency=USD","Period=FQ","BEST_FPERIOD_OVERRIDE=FQ","FILING_STATUS=OR","FA_ADJUSTED=Adjusted","Sort=A","Dates=H","DateFormat=P","Fill=—","Direction=H","UseDPDF=Y")</f>
        <v>—</v>
      </c>
      <c r="D45" s="14" t="str">
        <f>_xll.BDH("XOM US Equity","ACTUAL_SALES_PER_EMPL","FQ2 1990","FQ2 1990","Currency=USD","Period=FQ","BEST_FPERIOD_OVERRIDE=FQ","FILING_STATUS=OR","FA_ADJUSTED=Adjusted","Sort=A","Dates=H","DateFormat=P","Fill=—","Direction=H","UseDPDF=Y")</f>
        <v>—</v>
      </c>
      <c r="E45" s="14" t="str">
        <f>_xll.BDH("XOM US Equity","ACTUAL_SALES_PER_EMPL","FQ3 1990","FQ3 1990","Currency=USD","Period=FQ","BEST_FPERIOD_OVERRIDE=FQ","FILING_STATUS=OR","FA_ADJUSTED=Adjusted","Sort=A","Dates=H","DateFormat=P","Fill=—","Direction=H","UseDPDF=Y")</f>
        <v>—</v>
      </c>
      <c r="F45" s="14">
        <f>_xll.BDH("XOM US Equity","ACTUAL_SALES_PER_EMPL","FQ4 1990","FQ4 1990","Currency=USD","Period=FQ","BEST_FPERIOD_OVERRIDE=FQ","FILING_STATUS=OR","FA_ADJUSTED=Adjusted","Sort=A","Dates=H","DateFormat=P","Fill=—","Direction=H","UseDPDF=Y")</f>
        <v>337711.53850000002</v>
      </c>
      <c r="G45" s="14" t="str">
        <f>_xll.BDH("XOM US Equity","ACTUAL_SALES_PER_EMPL","FQ1 1991","FQ1 1991","Currency=USD","Period=FQ","BEST_FPERIOD_OVERRIDE=FQ","FILING_STATUS=OR","FA_ADJUSTED=Adjusted","Sort=A","Dates=H","DateFormat=P","Fill=—","Direction=H","UseDPDF=Y")</f>
        <v>—</v>
      </c>
      <c r="H45" s="14" t="str">
        <f>_xll.BDH("XOM US Equity","ACTUAL_SALES_PER_EMPL","FQ2 1991","FQ2 1991","Currency=USD","Period=FQ","BEST_FPERIOD_OVERRIDE=FQ","FILING_STATUS=OR","FA_ADJUSTED=Adjusted","Sort=A","Dates=H","DateFormat=P","Fill=—","Direction=H","UseDPDF=Y")</f>
        <v>—</v>
      </c>
      <c r="I45" s="14" t="str">
        <f>_xll.BDH("XOM US Equity","ACTUAL_SALES_PER_EMPL","FQ3 1991","FQ3 1991","Currency=USD","Period=FQ","BEST_FPERIOD_OVERRIDE=FQ","FILING_STATUS=OR","FA_ADJUSTED=Adjusted","Sort=A","Dates=H","DateFormat=P","Fill=—","Direction=H","UseDPDF=Y")</f>
        <v>—</v>
      </c>
      <c r="J45" s="14">
        <f>_xll.BDH("XOM US Equity","ACTUAL_SALES_PER_EMPL","FQ4 1991","FQ4 1991","Currency=USD","Period=FQ","BEST_FPERIOD_OVERRIDE=FQ","FILING_STATUS=OR","FA_ADJUSTED=Adjusted","Sort=A","Dates=H","DateFormat=P","Fill=—","Direction=H","UseDPDF=Y")</f>
        <v>307128.71289999998</v>
      </c>
      <c r="K45" s="14" t="str">
        <f>_xll.BDH("XOM US Equity","ACTUAL_SALES_PER_EMPL","FQ1 1992","FQ1 1992","Currency=USD","Period=FQ","BEST_FPERIOD_OVERRIDE=FQ","FILING_STATUS=OR","FA_ADJUSTED=Adjusted","Sort=A","Dates=H","DateFormat=P","Fill=—","Direction=H","UseDPDF=Y")</f>
        <v>—</v>
      </c>
      <c r="L45" s="14" t="str">
        <f>_xll.BDH("XOM US Equity","ACTUAL_SALES_PER_EMPL","FQ2 1992","FQ2 1992","Currency=USD","Period=FQ","BEST_FPERIOD_OVERRIDE=FQ","FILING_STATUS=OR","FA_ADJUSTED=Adjusted","Sort=A","Dates=H","DateFormat=P","Fill=—","Direction=H","UseDPDF=Y")</f>
        <v>—</v>
      </c>
      <c r="M45" s="14" t="str">
        <f>_xll.BDH("XOM US Equity","ACTUAL_SALES_PER_EMPL","FQ3 1992","FQ3 1992","Currency=USD","Period=FQ","BEST_FPERIOD_OVERRIDE=FQ","FILING_STATUS=OR","FA_ADJUSTED=Adjusted","Sort=A","Dates=H","DateFormat=P","Fill=—","Direction=H","UseDPDF=Y")</f>
        <v>—</v>
      </c>
      <c r="N45" s="14">
        <f>_xll.BDH("XOM US Equity","ACTUAL_SALES_PER_EMPL","FQ4 1992","FQ4 1992","Currency=USD","Period=FQ","BEST_FPERIOD_OVERRIDE=FQ","FILING_STATUS=OR","FA_ADJUSTED=Adjusted","Sort=A","Dates=H","DateFormat=P","Fill=—","Direction=H","UseDPDF=Y")</f>
        <v>317484.21049999999</v>
      </c>
      <c r="O45" s="14" t="str">
        <f>_xll.BDH("XOM US Equity","ACTUAL_SALES_PER_EMPL","FQ1 1993","FQ1 1993","Currency=USD","Period=FQ","BEST_FPERIOD_OVERRIDE=FQ","FILING_STATUS=OR","FA_ADJUSTED=Adjusted","Sort=A","Dates=H","DateFormat=P","Fill=—","Direction=H","UseDPDF=Y")</f>
        <v>—</v>
      </c>
      <c r="P45" s="14" t="str">
        <f>_xll.BDH("XOM US Equity","ACTUAL_SALES_PER_EMPL","FQ2 1993","FQ2 1993","Currency=USD","Period=FQ","BEST_FPERIOD_OVERRIDE=FQ","FILING_STATUS=OR","FA_ADJUSTED=Adjusted","Sort=A","Dates=H","DateFormat=P","Fill=—","Direction=H","UseDPDF=Y")</f>
        <v>—</v>
      </c>
      <c r="Q45" s="14" t="str">
        <f>_xll.BDH("XOM US Equity","ACTUAL_SALES_PER_EMPL","FQ3 1993","FQ3 1993","Currency=USD","Period=FQ","BEST_FPERIOD_OVERRIDE=FQ","FILING_STATUS=OR","FA_ADJUSTED=Adjusted","Sort=A","Dates=H","DateFormat=P","Fill=—","Direction=H","UseDPDF=Y")</f>
        <v>—</v>
      </c>
      <c r="R45" s="14" t="str">
        <f>_xll.BDH("XOM US Equity","ACTUAL_SALES_PER_EMPL","FQ4 1993","FQ4 1993","Currency=USD","Period=FQ","BEST_FPERIOD_OVERRIDE=FQ","FILING_STATUS=OR","FA_ADJUSTED=Adjusted","Sort=A","Dates=H","DateFormat=P","Fill=—","Direction=H","UseDPDF=Y")</f>
        <v>—</v>
      </c>
      <c r="S45" s="14" t="str">
        <f>_xll.BDH("XOM US Equity","ACTUAL_SALES_PER_EMPL","FQ1 1994","FQ1 1994","Currency=USD","Period=FQ","BEST_FPERIOD_OVERRIDE=FQ","FILING_STATUS=OR","FA_ADJUSTED=Adjusted","Sort=A","Dates=H","DateFormat=P","Fill=—","Direction=H","UseDPDF=Y")</f>
        <v>—</v>
      </c>
      <c r="T45" s="14" t="str">
        <f>_xll.BDH("XOM US Equity","ACTUAL_SALES_PER_EMPL","FQ2 1994","FQ2 1994","Currency=USD","Period=FQ","BEST_FPERIOD_OVERRIDE=FQ","FILING_STATUS=OR","FA_ADJUSTED=Adjusted","Sort=A","Dates=H","DateFormat=P","Fill=—","Direction=H","UseDPDF=Y")</f>
        <v>—</v>
      </c>
      <c r="U45" s="14" t="str">
        <f>_xll.BDH("XOM US Equity","ACTUAL_SALES_PER_EMPL","FQ3 1994","FQ3 1994","Currency=USD","Period=FQ","BEST_FPERIOD_OVERRIDE=FQ","FILING_STATUS=OR","FA_ADJUSTED=Adjusted","Sort=A","Dates=H","DateFormat=P","Fill=—","Direction=H","UseDPDF=Y")</f>
        <v>—</v>
      </c>
      <c r="V45" s="14" t="str">
        <f>_xll.BDH("XOM US Equity","ACTUAL_SALES_PER_EMPL","FQ4 1994","FQ4 1994","Currency=USD","Period=FQ","BEST_FPERIOD_OVERRIDE=FQ","FILING_STATUS=OR","FA_ADJUSTED=Adjusted","Sort=A","Dates=H","DateFormat=P","Fill=—","Direction=H","UseDPDF=Y")</f>
        <v>—</v>
      </c>
      <c r="W45" s="14" t="str">
        <f>_xll.BDH("XOM US Equity","ACTUAL_SALES_PER_EMPL","FQ1 1995","FQ1 1995","Currency=USD","Period=FQ","BEST_FPERIOD_OVERRIDE=FQ","FILING_STATUS=OR","FA_ADJUSTED=Adjusted","Sort=A","Dates=H","DateFormat=P","Fill=—","Direction=H","UseDPDF=Y")</f>
        <v>—</v>
      </c>
      <c r="X45" s="14" t="str">
        <f>_xll.BDH("XOM US Equity","ACTUAL_SALES_PER_EMPL","FQ2 1995","FQ2 1995","Currency=USD","Period=FQ","BEST_FPERIOD_OVERRIDE=FQ","FILING_STATUS=OR","FA_ADJUSTED=Adjusted","Sort=A","Dates=H","DateFormat=P","Fill=—","Direction=H","UseDPDF=Y")</f>
        <v>—</v>
      </c>
      <c r="Y45" s="14" t="str">
        <f>_xll.BDH("XOM US Equity","ACTUAL_SALES_PER_EMPL","FQ3 1995","FQ3 1995","Currency=USD","Period=FQ","BEST_FPERIOD_OVERRIDE=FQ","FILING_STATUS=OR","FA_ADJUSTED=Adjusted","Sort=A","Dates=H","DateFormat=P","Fill=—","Direction=H","UseDPDF=Y")</f>
        <v>—</v>
      </c>
      <c r="Z45" s="14" t="str">
        <f>_xll.BDH("XOM US Equity","ACTUAL_SALES_PER_EMPL","FQ4 1995","FQ4 1995","Currency=USD","Period=FQ","BEST_FPERIOD_OVERRIDE=FQ","FILING_STATUS=OR","FA_ADJUSTED=Adjusted","Sort=A","Dates=H","DateFormat=P","Fill=—","Direction=H","UseDPDF=Y")</f>
        <v>—</v>
      </c>
      <c r="AA45" s="14" t="str">
        <f>_xll.BDH("XOM US Equity","ACTUAL_SALES_PER_EMPL","FQ1 1996","FQ1 1996","Currency=USD","Period=FQ","BEST_FPERIOD_OVERRIDE=FQ","FILING_STATUS=OR","FA_ADJUSTED=Adjusted","Sort=A","Dates=H","DateFormat=P","Fill=—","Direction=H","UseDPDF=Y")</f>
        <v>—</v>
      </c>
      <c r="AB45" s="14" t="str">
        <f>_xll.BDH("XOM US Equity","ACTUAL_SALES_PER_EMPL","FQ2 1996","FQ2 1996","Currency=USD","Period=FQ","BEST_FPERIOD_OVERRIDE=FQ","FILING_STATUS=OR","FA_ADJUSTED=Adjusted","Sort=A","Dates=H","DateFormat=P","Fill=—","Direction=H","UseDPDF=Y")</f>
        <v>—</v>
      </c>
      <c r="AC45" s="14" t="str">
        <f>_xll.BDH("XOM US Equity","ACTUAL_SALES_PER_EMPL","FQ3 1996","FQ3 1996","Currency=USD","Period=FQ","BEST_FPERIOD_OVERRIDE=FQ","FILING_STATUS=OR","FA_ADJUSTED=Adjusted","Sort=A","Dates=H","DateFormat=P","Fill=—","Direction=H","UseDPDF=Y")</f>
        <v>—</v>
      </c>
      <c r="AD45" s="14" t="str">
        <f>_xll.BDH("XOM US Equity","ACTUAL_SALES_PER_EMPL","FQ4 1996","FQ4 1996","Currency=USD","Period=FQ","BEST_FPERIOD_OVERRIDE=FQ","FILING_STATUS=OR","FA_ADJUSTED=Adjusted","Sort=A","Dates=H","DateFormat=P","Fill=—","Direction=H","UseDPDF=Y")</f>
        <v>—</v>
      </c>
      <c r="AE45" s="14" t="str">
        <f>_xll.BDH("XOM US Equity","ACTUAL_SALES_PER_EMPL","FQ1 1997","FQ1 1997","Currency=USD","Period=FQ","BEST_FPERIOD_OVERRIDE=FQ","FILING_STATUS=OR","FA_ADJUSTED=Adjusted","Sort=A","Dates=H","DateFormat=P","Fill=—","Direction=H","UseDPDF=Y")</f>
        <v>—</v>
      </c>
      <c r="AF45" s="14" t="str">
        <f>_xll.BDH("XOM US Equity","ACTUAL_SALES_PER_EMPL","FQ2 1997","FQ2 1997","Currency=USD","Period=FQ","BEST_FPERIOD_OVERRIDE=FQ","FILING_STATUS=OR","FA_ADJUSTED=Adjusted","Sort=A","Dates=H","DateFormat=P","Fill=—","Direction=H","UseDPDF=Y")</f>
        <v>—</v>
      </c>
      <c r="AG45" s="14" t="str">
        <f>_xll.BDH("XOM US Equity","ACTUAL_SALES_PER_EMPL","FQ3 1997","FQ3 1997","Currency=USD","Period=FQ","BEST_FPERIOD_OVERRIDE=FQ","FILING_STATUS=OR","FA_ADJUSTED=Adjusted","Sort=A","Dates=H","DateFormat=P","Fill=—","Direction=H","UseDPDF=Y")</f>
        <v>—</v>
      </c>
      <c r="AH45" s="14" t="str">
        <f>_xll.BDH("XOM US Equity","ACTUAL_SALES_PER_EMPL","FQ4 1997","FQ4 1997","Currency=USD","Period=FQ","BEST_FPERIOD_OVERRIDE=FQ","FILING_STATUS=OR","FA_ADJUSTED=Adjusted","Sort=A","Dates=H","DateFormat=P","Fill=—","Direction=H","UseDPDF=Y")</f>
        <v>—</v>
      </c>
      <c r="AI45" s="14" t="str">
        <f>_xll.BDH("XOM US Equity","ACTUAL_SALES_PER_EMPL","FQ1 1998","FQ1 1998","Currency=USD","Period=FQ","BEST_FPERIOD_OVERRIDE=FQ","FILING_STATUS=OR","FA_ADJUSTED=Adjusted","Sort=A","Dates=H","DateFormat=P","Fill=—","Direction=H","UseDPDF=Y")</f>
        <v>—</v>
      </c>
      <c r="AJ45" s="14" t="str">
        <f>_xll.BDH("XOM US Equity","ACTUAL_SALES_PER_EMPL","FQ2 1998","FQ2 1998","Currency=USD","Period=FQ","BEST_FPERIOD_OVERRIDE=FQ","FILING_STATUS=OR","FA_ADJUSTED=Adjusted","Sort=A","Dates=H","DateFormat=P","Fill=—","Direction=H","UseDPDF=Y")</f>
        <v>—</v>
      </c>
    </row>
    <row r="46" spans="1:36" x14ac:dyDescent="0.25">
      <c r="A46" s="10" t="s">
        <v>140</v>
      </c>
      <c r="B46" s="10" t="s">
        <v>141</v>
      </c>
      <c r="C46" s="14">
        <f>_xll.BDH("XOM US Equity","EQY_DPS","FQ1 1990","FQ1 1990","Currency=USD","Period=FQ","BEST_FPERIOD_OVERRIDE=FQ","FILING_STATUS=OR","Sort=A","Dates=H","DateFormat=P","Fill=—","Direction=H","UseDPDF=Y")</f>
        <v>0.15</v>
      </c>
      <c r="D46" s="14">
        <f>_xll.BDH("XOM US Equity","EQY_DPS","FQ2 1990","FQ2 1990","Currency=USD","Period=FQ","BEST_FPERIOD_OVERRIDE=FQ","FILING_STATUS=OR","Sort=A","Dates=H","DateFormat=P","Fill=—","Direction=H","UseDPDF=Y")</f>
        <v>0.15</v>
      </c>
      <c r="E46" s="14">
        <f>_xll.BDH("XOM US Equity","EQY_DPS","FQ3 1990","FQ3 1990","Currency=USD","Period=FQ","BEST_FPERIOD_OVERRIDE=FQ","FILING_STATUS=OR","Sort=A","Dates=H","DateFormat=P","Fill=—","Direction=H","UseDPDF=Y")</f>
        <v>0.15</v>
      </c>
      <c r="F46" s="14">
        <f>_xll.BDH("XOM US Equity","EQY_DPS","FQ4 1990","FQ4 1990","Currency=USD","Period=FQ","BEST_FPERIOD_OVERRIDE=FQ","FILING_STATUS=OR","Sort=A","Dates=H","DateFormat=P","Fill=—","Direction=H","UseDPDF=Y")</f>
        <v>0.16750000000000001</v>
      </c>
      <c r="G46" s="14">
        <f>_xll.BDH("XOM US Equity","EQY_DPS","FQ1 1991","FQ1 1991","Currency=USD","Period=FQ","BEST_FPERIOD_OVERRIDE=FQ","FILING_STATUS=OR","Sort=A","Dates=H","DateFormat=P","Fill=—","Direction=H","UseDPDF=Y")</f>
        <v>0.16750000000000001</v>
      </c>
      <c r="H46" s="14">
        <f>_xll.BDH("XOM US Equity","EQY_DPS","FQ2 1991","FQ2 1991","Currency=USD","Period=FQ","BEST_FPERIOD_OVERRIDE=FQ","FILING_STATUS=OR","Sort=A","Dates=H","DateFormat=P","Fill=—","Direction=H","UseDPDF=Y")</f>
        <v>0.16750000000000001</v>
      </c>
      <c r="I46" s="14">
        <f>_xll.BDH("XOM US Equity","EQY_DPS","FQ3 1991","FQ3 1991","Currency=USD","Period=FQ","BEST_FPERIOD_OVERRIDE=FQ","FILING_STATUS=OR","Sort=A","Dates=H","DateFormat=P","Fill=—","Direction=H","UseDPDF=Y")</f>
        <v>0.16750000000000001</v>
      </c>
      <c r="J46" s="14">
        <f>_xll.BDH("XOM US Equity","EQY_DPS","FQ4 1991","FQ4 1991","Currency=USD","Period=FQ","BEST_FPERIOD_OVERRIDE=FQ","FILING_STATUS=OR","Sort=A","Dates=H","DateFormat=P","Fill=—","Direction=H","UseDPDF=Y")</f>
        <v>0.16750000000000001</v>
      </c>
      <c r="K46" s="14" t="str">
        <f>_xll.BDH("XOM US Equity","EQY_DPS","FQ1 1992","FQ1 1992","Currency=USD","Period=FQ","BEST_FPERIOD_OVERRIDE=FQ","FILING_STATUS=OR","Sort=A","Dates=H","DateFormat=P","Fill=—","Direction=H","UseDPDF=Y")</f>
        <v>—</v>
      </c>
      <c r="L46" s="14" t="str">
        <f>_xll.BDH("XOM US Equity","EQY_DPS","FQ2 1992","FQ2 1992","Currency=USD","Period=FQ","BEST_FPERIOD_OVERRIDE=FQ","FILING_STATUS=OR","Sort=A","Dates=H","DateFormat=P","Fill=—","Direction=H","UseDPDF=Y")</f>
        <v>—</v>
      </c>
      <c r="M46" s="14" t="str">
        <f>_xll.BDH("XOM US Equity","EQY_DPS","FQ3 1992","FQ3 1992","Currency=USD","Period=FQ","BEST_FPERIOD_OVERRIDE=FQ","FILING_STATUS=OR","Sort=A","Dates=H","DateFormat=P","Fill=—","Direction=H","UseDPDF=Y")</f>
        <v>—</v>
      </c>
      <c r="N46" s="14">
        <f>_xll.BDH("XOM US Equity","EQY_DPS","FQ4 1992","FQ4 1992","Currency=USD","Period=FQ","BEST_FPERIOD_OVERRIDE=FQ","FILING_STATUS=OR","Sort=A","Dates=H","DateFormat=P","Fill=—","Direction=H","UseDPDF=Y")</f>
        <v>0.17499999999999999</v>
      </c>
      <c r="O46" s="14">
        <f>_xll.BDH("XOM US Equity","EQY_DPS","FQ1 1993","FQ1 1993","Currency=USD","Period=FQ","BEST_FPERIOD_OVERRIDE=FQ","FILING_STATUS=OR","Sort=A","Dates=H","DateFormat=P","Fill=—","Direction=H","UseDPDF=Y")</f>
        <v>0.18</v>
      </c>
      <c r="P46" s="14">
        <f>_xll.BDH("XOM US Equity","EQY_DPS","FQ2 1993","FQ2 1993","Currency=USD","Period=FQ","BEST_FPERIOD_OVERRIDE=FQ","FILING_STATUS=OR","Sort=A","Dates=H","DateFormat=P","Fill=—","Direction=H","UseDPDF=Y")</f>
        <v>0.18</v>
      </c>
      <c r="Q46" s="14">
        <f>_xll.BDH("XOM US Equity","EQY_DPS","FQ3 1993","FQ3 1993","Currency=USD","Period=FQ","BEST_FPERIOD_OVERRIDE=FQ","FILING_STATUS=OR","Sort=A","Dates=H","DateFormat=P","Fill=—","Direction=H","UseDPDF=Y")</f>
        <v>0.18</v>
      </c>
      <c r="R46" s="14">
        <f>_xll.BDH("XOM US Equity","EQY_DPS","FQ4 1993","FQ4 1993","Currency=USD","Period=FQ","BEST_FPERIOD_OVERRIDE=FQ","FILING_STATUS=OR","Sort=A","Dates=H","DateFormat=P","Fill=—","Direction=H","UseDPDF=Y")</f>
        <v>0.18</v>
      </c>
      <c r="S46" s="14">
        <f>_xll.BDH("XOM US Equity","EQY_DPS","FQ1 1994","FQ1 1994","Currency=USD","Period=FQ","BEST_FPERIOD_OVERRIDE=FQ","FILING_STATUS=OR","Sort=A","Dates=H","DateFormat=P","Fill=—","Direction=H","UseDPDF=Y")</f>
        <v>0.18</v>
      </c>
      <c r="T46" s="14">
        <f>_xll.BDH("XOM US Equity","EQY_DPS","FQ2 1994","FQ2 1994","Currency=USD","Period=FQ","BEST_FPERIOD_OVERRIDE=FQ","FILING_STATUS=OR","Sort=A","Dates=H","DateFormat=P","Fill=—","Direction=H","UseDPDF=Y")</f>
        <v>0.18</v>
      </c>
      <c r="U46" s="14">
        <f>_xll.BDH("XOM US Equity","EQY_DPS","FQ3 1994","FQ3 1994","Currency=USD","Period=FQ","BEST_FPERIOD_OVERRIDE=FQ","FILING_STATUS=OR","Sort=A","Dates=H","DateFormat=P","Fill=—","Direction=H","UseDPDF=Y")</f>
        <v>0.18</v>
      </c>
      <c r="V46" s="14">
        <f>_xll.BDH("XOM US Equity","EQY_DPS","FQ4 1994","FQ4 1994","Currency=USD","Period=FQ","BEST_FPERIOD_OVERRIDE=FQ","FILING_STATUS=OR","Sort=A","Dates=H","DateFormat=P","Fill=—","Direction=H","UseDPDF=Y")</f>
        <v>0.1875</v>
      </c>
      <c r="W46" s="14">
        <f>_xll.BDH("XOM US Equity","EQY_DPS","FQ1 1995","FQ1 1995","Currency=USD","Period=FQ","BEST_FPERIOD_OVERRIDE=FQ","FILING_STATUS=OR","Sort=A","Dates=H","DateFormat=P","Fill=—","Direction=H","UseDPDF=Y")</f>
        <v>0.1875</v>
      </c>
      <c r="X46" s="14">
        <f>_xll.BDH("XOM US Equity","EQY_DPS","FQ2 1995","FQ2 1995","Currency=USD","Period=FQ","BEST_FPERIOD_OVERRIDE=FQ","FILING_STATUS=OR","Sort=A","Dates=H","DateFormat=P","Fill=—","Direction=H","UseDPDF=Y")</f>
        <v>0.1875</v>
      </c>
      <c r="Y46" s="14">
        <f>_xll.BDH("XOM US Equity","EQY_DPS","FQ3 1995","FQ3 1995","Currency=USD","Period=FQ","BEST_FPERIOD_OVERRIDE=FQ","FILING_STATUS=OR","Sort=A","Dates=H","DateFormat=P","Fill=—","Direction=H","UseDPDF=Y")</f>
        <v>0.1875</v>
      </c>
      <c r="Z46" s="14">
        <f>_xll.BDH("XOM US Equity","EQY_DPS","FQ4 1995","FQ4 1995","Currency=USD","Period=FQ","BEST_FPERIOD_OVERRIDE=FQ","FILING_STATUS=OR","Sort=A","Dates=H","DateFormat=P","Fill=—","Direction=H","UseDPDF=Y")</f>
        <v>0.1875</v>
      </c>
      <c r="AA46" s="14">
        <f>_xll.BDH("XOM US Equity","EQY_DPS","FQ1 1996","FQ1 1996","Currency=USD","Period=FQ","BEST_FPERIOD_OVERRIDE=FQ","FILING_STATUS=OR","Sort=A","Dates=H","DateFormat=P","Fill=—","Direction=H","UseDPDF=Y")</f>
        <v>0.1875</v>
      </c>
      <c r="AB46" s="14">
        <f>_xll.BDH("XOM US Equity","EQY_DPS","FQ2 1996","FQ2 1996","Currency=USD","Period=FQ","BEST_FPERIOD_OVERRIDE=FQ","FILING_STATUS=OR","Sort=A","Dates=H","DateFormat=P","Fill=—","Direction=H","UseDPDF=Y")</f>
        <v>0.19750000000000001</v>
      </c>
      <c r="AC46" s="14">
        <f>_xll.BDH("XOM US Equity","EQY_DPS","FQ3 1996","FQ3 1996","Currency=USD","Period=FQ","BEST_FPERIOD_OVERRIDE=FQ","FILING_STATUS=OR","Sort=A","Dates=H","DateFormat=P","Fill=—","Direction=H","UseDPDF=Y")</f>
        <v>0.19750000000000001</v>
      </c>
      <c r="AD46" s="14">
        <f>_xll.BDH("XOM US Equity","EQY_DPS","FQ4 1996","FQ4 1996","Currency=USD","Period=FQ","BEST_FPERIOD_OVERRIDE=FQ","FILING_STATUS=OR","Sort=A","Dates=H","DateFormat=P","Fill=—","Direction=H","UseDPDF=Y")</f>
        <v>0.19750000000000001</v>
      </c>
      <c r="AE46" s="14" t="str">
        <f>_xll.BDH("XOM US Equity","EQY_DPS","FQ1 1997","FQ1 1997","Currency=USD","Period=FQ","BEST_FPERIOD_OVERRIDE=FQ","FILING_STATUS=OR","Sort=A","Dates=H","DateFormat=P","Fill=—","Direction=H","UseDPDF=Y")</f>
        <v>—</v>
      </c>
      <c r="AF46" s="14" t="str">
        <f>_xll.BDH("XOM US Equity","EQY_DPS","FQ2 1997","FQ2 1997","Currency=USD","Period=FQ","BEST_FPERIOD_OVERRIDE=FQ","FILING_STATUS=OR","Sort=A","Dates=H","DateFormat=P","Fill=—","Direction=H","UseDPDF=Y")</f>
        <v>—</v>
      </c>
      <c r="AG46" s="14">
        <f>_xll.BDH("XOM US Equity","EQY_DPS","FQ3 1997","FQ3 1997","Currency=USD","Period=FQ","BEST_FPERIOD_OVERRIDE=FQ","FILING_STATUS=OR","Sort=A","Dates=H","DateFormat=P","Fill=—","Direction=H","UseDPDF=Y")</f>
        <v>0.20499999999999999</v>
      </c>
      <c r="AH46" s="14">
        <f>_xll.BDH("XOM US Equity","EQY_DPS","FQ4 1997","FQ4 1997","Currency=USD","Period=FQ","BEST_FPERIOD_OVERRIDE=FQ","FILING_STATUS=OR","Sort=A","Dates=H","DateFormat=P","Fill=—","Direction=H","UseDPDF=Y")</f>
        <v>0.20499999999999999</v>
      </c>
      <c r="AI46" s="14">
        <f>_xll.BDH("XOM US Equity","EQY_DPS","FQ1 1998","FQ1 1998","Currency=USD","Period=FQ","BEST_FPERIOD_OVERRIDE=FQ","FILING_STATUS=OR","Sort=A","Dates=H","DateFormat=P","Fill=—","Direction=H","UseDPDF=Y")</f>
        <v>0.20499999999999999</v>
      </c>
      <c r="AJ46" s="14">
        <f>_xll.BDH("XOM US Equity","EQY_DPS","FQ2 1998","FQ2 1998","Currency=USD","Period=FQ","BEST_FPERIOD_OVERRIDE=FQ","FILING_STATUS=OR","Sort=A","Dates=H","DateFormat=P","Fill=—","Direction=H","UseDPDF=Y")</f>
        <v>0.20499999999999999</v>
      </c>
    </row>
    <row r="47" spans="1:36" x14ac:dyDescent="0.25">
      <c r="A47" s="10" t="s">
        <v>142</v>
      </c>
      <c r="B47" s="10" t="s">
        <v>143</v>
      </c>
      <c r="C47" s="13">
        <f>_xll.BDH("XOM US Equity","IS_TOT_CASH_COM_DVD","FQ1 1990","FQ1 1990","Currency=USD","Period=FQ","BEST_FPERIOD_OVERRIDE=FQ","FILING_STATUS=OR","SCALING_FORMAT=MLN","Sort=A","Dates=H","DateFormat=P","Fill=—","Direction=H","UseDPDF=Y")</f>
        <v>750</v>
      </c>
      <c r="D47" s="13">
        <f>_xll.BDH("XOM US Equity","IS_TOT_CASH_COM_DVD","FQ2 1990","FQ2 1990","Currency=USD","Period=FQ","BEST_FPERIOD_OVERRIDE=FQ","FILING_STATUS=OR","SCALING_FORMAT=MLN","Sort=A","Dates=H","DateFormat=P","Fill=—","Direction=H","UseDPDF=Y")</f>
        <v>749</v>
      </c>
      <c r="E47" s="13">
        <f>_xll.BDH("XOM US Equity","IS_TOT_CASH_COM_DVD","FQ3 1990","FQ3 1990","Currency=USD","Period=FQ","BEST_FPERIOD_OVERRIDE=FQ","FILING_STATUS=OR","SCALING_FORMAT=MLN","Sort=A","Dates=H","DateFormat=P","Fill=—","Direction=H","UseDPDF=Y")</f>
        <v>747</v>
      </c>
      <c r="F47" s="13">
        <f>_xll.BDH("XOM US Equity","IS_TOT_CASH_COM_DVD","FQ4 1990","FQ4 1990","Currency=USD","Period=FQ","BEST_FPERIOD_OVERRIDE=FQ","FILING_STATUS=OR","SCALING_FORMAT=MLN","Sort=A","Dates=H","DateFormat=P","Fill=—","Direction=H","UseDPDF=Y")</f>
        <v>836</v>
      </c>
      <c r="G47" s="13">
        <f>_xll.BDH("XOM US Equity","IS_TOT_CASH_COM_DVD","FQ1 1991","FQ1 1991","Currency=USD","Period=FQ","BEST_FPERIOD_OVERRIDE=FQ","FILING_STATUS=OR","SCALING_FORMAT=MLN","Sort=A","Dates=H","DateFormat=P","Fill=—","Direction=H","UseDPDF=Y")</f>
        <v>751</v>
      </c>
      <c r="H47" s="13">
        <f>_xll.BDH("XOM US Equity","IS_TOT_CASH_COM_DVD","FQ2 1991","FQ2 1991","Currency=USD","Period=FQ","BEST_FPERIOD_OVERRIDE=FQ","FILING_STATUS=OR","SCALING_FORMAT=MLN","Sort=A","Dates=H","DateFormat=P","Fill=—","Direction=H","UseDPDF=Y")</f>
        <v>751</v>
      </c>
      <c r="I47" s="13">
        <f>_xll.BDH("XOM US Equity","IS_TOT_CASH_COM_DVD","FQ3 1991","FQ3 1991","Currency=USD","Period=FQ","BEST_FPERIOD_OVERRIDE=FQ","FILING_STATUS=OR","SCALING_FORMAT=MLN","Sort=A","Dates=H","DateFormat=P","Fill=—","Direction=H","UseDPDF=Y")</f>
        <v>1000</v>
      </c>
      <c r="J47" s="13">
        <f>_xll.BDH("XOM US Equity","IS_TOT_CASH_COM_DVD","FQ4 1991","FQ4 1991","Currency=USD","Period=FQ","BEST_FPERIOD_OVERRIDE=FQ","FILING_STATUS=OR","SCALING_FORMAT=MLN","Sort=A","Dates=H","DateFormat=P","Fill=—","Direction=H","UseDPDF=Y")</f>
        <v>832</v>
      </c>
      <c r="K47" s="13">
        <f>_xll.BDH("XOM US Equity","IS_TOT_CASH_COM_DVD","FQ1 1992","FQ1 1992","Currency=USD","Period=FQ","BEST_FPERIOD_OVERRIDE=FQ","FILING_STATUS=OR","SCALING_FORMAT=MLN","Sort=A","Dates=H","DateFormat=P","Fill=—","Direction=H","UseDPDF=Y")</f>
        <v>832</v>
      </c>
      <c r="L47" s="13">
        <f>_xll.BDH("XOM US Equity","IS_TOT_CASH_COM_DVD","FQ2 1992","FQ2 1992","Currency=USD","Period=FQ","BEST_FPERIOD_OVERRIDE=FQ","FILING_STATUS=OR","SCALING_FORMAT=MLN","Sort=A","Dates=H","DateFormat=P","Fill=—","Direction=H","UseDPDF=Y")</f>
        <v>895</v>
      </c>
      <c r="M47" s="13">
        <f>_xll.BDH("XOM US Equity","IS_TOT_CASH_COM_DVD","FQ3 1992","FQ3 1992","Currency=USD","Period=FQ","BEST_FPERIOD_OVERRIDE=FQ","FILING_STATUS=OR","SCALING_FORMAT=MLN","Sort=A","Dates=H","DateFormat=P","Fill=—","Direction=H","UseDPDF=Y")</f>
        <v>894</v>
      </c>
      <c r="N47" s="13">
        <f>_xll.BDH("XOM US Equity","IS_TOT_CASH_COM_DVD","FQ4 1992","FQ4 1992","Currency=USD","Period=FQ","BEST_FPERIOD_OVERRIDE=FQ","FILING_STATUS=OR","SCALING_FORMAT=MLN","Sort=A","Dates=H","DateFormat=P","Fill=—","Direction=H","UseDPDF=Y")</f>
        <v>874</v>
      </c>
      <c r="O47" s="13">
        <f>_xll.BDH("XOM US Equity","IS_TOT_CASH_COM_DVD","FQ1 1993","FQ1 1993","Currency=USD","Period=FQ","BEST_FPERIOD_OVERRIDE=FQ","FILING_STATUS=OR","SCALING_FORMAT=MLN","Sort=A","Dates=H","DateFormat=P","Fill=—","Direction=H","UseDPDF=Y")</f>
        <v>894</v>
      </c>
      <c r="P47" s="13">
        <f>_xll.BDH("XOM US Equity","IS_TOT_CASH_COM_DVD","FQ2 1993","FQ2 1993","Currency=USD","Period=FQ","BEST_FPERIOD_OVERRIDE=FQ","FILING_STATUS=OR","SCALING_FORMAT=MLN","Sort=A","Dates=H","DateFormat=P","Fill=—","Direction=H","UseDPDF=Y")</f>
        <v>894</v>
      </c>
      <c r="Q47" s="13">
        <f>_xll.BDH("XOM US Equity","IS_TOT_CASH_COM_DVD","FQ3 1993","FQ3 1993","Currency=USD","Period=FQ","BEST_FPERIOD_OVERRIDE=FQ","FILING_STATUS=OR","SCALING_FORMAT=MLN","Sort=A","Dates=H","DateFormat=P","Fill=—","Direction=H","UseDPDF=Y")</f>
        <v>893</v>
      </c>
      <c r="R47" s="13">
        <f>_xll.BDH("XOM US Equity","IS_TOT_CASH_COM_DVD","FQ4 1993","FQ4 1993","Currency=USD","Period=FQ","BEST_FPERIOD_OVERRIDE=FQ","FILING_STATUS=OR","SCALING_FORMAT=MLN","Sort=A","Dates=H","DateFormat=P","Fill=—","Direction=H","UseDPDF=Y")</f>
        <v>877</v>
      </c>
      <c r="S47" s="13">
        <f>_xll.BDH("XOM US Equity","IS_TOT_CASH_COM_DVD","FQ1 1994","FQ1 1994","Currency=USD","Period=FQ","BEST_FPERIOD_OVERRIDE=FQ","FILING_STATUS=OR","SCALING_FORMAT=MLN","Sort=A","Dates=H","DateFormat=P","Fill=—","Direction=H","UseDPDF=Y")</f>
        <v>894.5</v>
      </c>
      <c r="T47" s="13">
        <f>_xll.BDH("XOM US Equity","IS_TOT_CASH_COM_DVD","FQ2 1994","FQ2 1994","Currency=USD","Period=FQ","BEST_FPERIOD_OVERRIDE=FQ","FILING_STATUS=OR","SCALING_FORMAT=MLN","Sort=A","Dates=H","DateFormat=P","Fill=—","Direction=H","UseDPDF=Y")</f>
        <v>894.5</v>
      </c>
      <c r="U47" s="13">
        <f>_xll.BDH("XOM US Equity","IS_TOT_CASH_COM_DVD","FQ3 1994","FQ3 1994","Currency=USD","Period=FQ","BEST_FPERIOD_OVERRIDE=FQ","FILING_STATUS=OR","SCALING_FORMAT=MLN","Sort=A","Dates=H","DateFormat=P","Fill=—","Direction=H","UseDPDF=Y")</f>
        <v>893.5</v>
      </c>
      <c r="V47" s="13">
        <f>_xll.BDH("XOM US Equity","IS_TOT_CASH_COM_DVD","FQ4 1994","FQ4 1994","Currency=USD","Period=FQ","BEST_FPERIOD_OVERRIDE=FQ","FILING_STATUS=OR","SCALING_FORMAT=MLN","Sort=A","Dates=H","DateFormat=P","Fill=—","Direction=H","UseDPDF=Y")</f>
        <v>915.5</v>
      </c>
      <c r="W47" s="13">
        <f>_xll.BDH("XOM US Equity","IS_TOT_CASH_COM_DVD","FQ1 1995","FQ1 1995","Currency=USD","Period=FQ","BEST_FPERIOD_OVERRIDE=FQ","FILING_STATUS=OR","SCALING_FORMAT=MLN","Sort=A","Dates=H","DateFormat=P","Fill=—","Direction=H","UseDPDF=Y")</f>
        <v>930.5</v>
      </c>
      <c r="X47" s="13">
        <f>_xll.BDH("XOM US Equity","IS_TOT_CASH_COM_DVD","FQ2 1995","FQ2 1995","Currency=USD","Period=FQ","BEST_FPERIOD_OVERRIDE=FQ","FILING_STATUS=OR","SCALING_FORMAT=MLN","Sort=A","Dates=H","DateFormat=P","Fill=—","Direction=H","UseDPDF=Y")</f>
        <v>930.5</v>
      </c>
      <c r="Y47" s="13">
        <f>_xll.BDH("XOM US Equity","IS_TOT_CASH_COM_DVD","FQ3 1995","FQ3 1995","Currency=USD","Period=FQ","BEST_FPERIOD_OVERRIDE=FQ","FILING_STATUS=OR","SCALING_FORMAT=MLN","Sort=A","Dates=H","DateFormat=P","Fill=—","Direction=H","UseDPDF=Y")</f>
        <v>928.5</v>
      </c>
      <c r="Z47" s="13">
        <f>_xll.BDH("XOM US Equity","IS_TOT_CASH_COM_DVD","FQ4 1995","FQ4 1995","Currency=USD","Period=FQ","BEST_FPERIOD_OVERRIDE=FQ","FILING_STATUS=OR","SCALING_FORMAT=MLN","Sort=A","Dates=H","DateFormat=P","Fill=—","Direction=H","UseDPDF=Y")</f>
        <v>924.5</v>
      </c>
      <c r="AA47" s="13">
        <f>_xll.BDH("XOM US Equity","IS_TOT_CASH_COM_DVD","FQ1 1996","FQ1 1996","Currency=USD","Period=FQ","BEST_FPERIOD_OVERRIDE=FQ","FILING_STATUS=OR","SCALING_FORMAT=MLN","Sort=A","Dates=H","DateFormat=P","Fill=—","Direction=H","UseDPDF=Y")</f>
        <v>930.5</v>
      </c>
      <c r="AB47" s="13">
        <f>_xll.BDH("XOM US Equity","IS_TOT_CASH_COM_DVD","FQ2 1996","FQ2 1996","Currency=USD","Period=FQ","BEST_FPERIOD_OVERRIDE=FQ","FILING_STATUS=OR","SCALING_FORMAT=MLN","Sort=A","Dates=H","DateFormat=P","Fill=—","Direction=H","UseDPDF=Y")</f>
        <v>978.5</v>
      </c>
      <c r="AC47" s="13">
        <f>_xll.BDH("XOM US Equity","IS_TOT_CASH_COM_DVD","FQ3 1996","FQ3 1996","Currency=USD","Period=FQ","BEST_FPERIOD_OVERRIDE=FQ","FILING_STATUS=OR","SCALING_FORMAT=MLN","Sort=A","Dates=H","DateFormat=P","Fill=—","Direction=H","UseDPDF=Y")</f>
        <v>977.5</v>
      </c>
      <c r="AD47" s="13">
        <f>_xll.BDH("XOM US Equity","IS_TOT_CASH_COM_DVD","FQ4 1996","FQ4 1996","Currency=USD","Period=FQ","BEST_FPERIOD_OVERRIDE=FQ","FILING_STATUS=OR","SCALING_FORMAT=MLN","Sort=A","Dates=H","DateFormat=P","Fill=—","Direction=H","UseDPDF=Y")</f>
        <v>979.5</v>
      </c>
      <c r="AE47" s="13">
        <f>_xll.BDH("XOM US Equity","IS_TOT_CASH_COM_DVD","FQ1 1997","FQ1 1997","Currency=USD","Period=FQ","BEST_FPERIOD_OVERRIDE=FQ","FILING_STATUS=OR","SCALING_FORMAT=MLN","Sort=A","Dates=H","DateFormat=P","Fill=—","Direction=H","UseDPDF=Y")</f>
        <v>979.25</v>
      </c>
      <c r="AF47" s="13">
        <f>_xll.BDH("XOM US Equity","IS_TOT_CASH_COM_DVD","FQ2 1997","FQ2 1997","Currency=USD","Period=FQ","BEST_FPERIOD_OVERRIDE=FQ","FILING_STATUS=OR","SCALING_FORMAT=MLN","Sort=A","Dates=H","DateFormat=P","Fill=—","Direction=H","UseDPDF=Y")</f>
        <v>1014.25</v>
      </c>
      <c r="AG47" s="13">
        <f>_xll.BDH("XOM US Equity","IS_TOT_CASH_COM_DVD","FQ3 1997","FQ3 1997","Currency=USD","Period=FQ","BEST_FPERIOD_OVERRIDE=FQ","FILING_STATUS=OR","SCALING_FORMAT=MLN","Sort=A","Dates=H","DateFormat=P","Fill=—","Direction=H","UseDPDF=Y")</f>
        <v>1010.25</v>
      </c>
      <c r="AH47" s="13">
        <f>_xll.BDH("XOM US Equity","IS_TOT_CASH_COM_DVD","FQ4 1997","FQ4 1997","Currency=USD","Period=FQ","BEST_FPERIOD_OVERRIDE=FQ","FILING_STATUS=OR","SCALING_FORMAT=MLN","Sort=A","Dates=H","DateFormat=P","Fill=—","Direction=H","UseDPDF=Y")</f>
        <v>1009.092</v>
      </c>
      <c r="AI47" s="13">
        <f>_xll.BDH("XOM US Equity","IS_TOT_CASH_COM_DVD","FQ1 1998","FQ1 1998","Currency=USD","Period=FQ","BEST_FPERIOD_OVERRIDE=FQ","FILING_STATUS=OR","SCALING_FORMAT=MLN","Sort=A","Dates=H","DateFormat=P","Fill=—","Direction=H","UseDPDF=Y")</f>
        <v>1005</v>
      </c>
      <c r="AJ47" s="13">
        <f>_xll.BDH("XOM US Equity","IS_TOT_CASH_COM_DVD","FQ2 1998","FQ2 1998","Currency=USD","Period=FQ","BEST_FPERIOD_OVERRIDE=FQ","FILING_STATUS=OR","SCALING_FORMAT=MLN","Sort=A","Dates=H","DateFormat=P","Fill=—","Direction=H","UseDPDF=Y")</f>
        <v>1000</v>
      </c>
    </row>
    <row r="48" spans="1:36" x14ac:dyDescent="0.25">
      <c r="A48" s="7" t="s">
        <v>144</v>
      </c>
      <c r="B48" s="7"/>
      <c r="C48" s="7" t="s">
        <v>4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6"/>
  <sheetViews>
    <sheetView topLeftCell="O13" workbookViewId="0"/>
  </sheetViews>
  <sheetFormatPr defaultRowHeight="15" x14ac:dyDescent="0.25"/>
  <cols>
    <col min="1" max="1" width="35.140625" customWidth="1"/>
    <col min="2" max="2" width="0" hidden="1" customWidth="1"/>
    <col min="3" max="36" width="11.85546875" customWidth="1"/>
  </cols>
  <sheetData>
    <row r="1" spans="1:3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20.25" x14ac:dyDescent="0.25">
      <c r="A2" s="8" t="s">
        <v>145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</row>
    <row r="3" spans="1:36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25">
      <c r="A4" s="3" t="s">
        <v>6</v>
      </c>
      <c r="B4" s="3"/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23</v>
      </c>
      <c r="T4" s="4" t="s">
        <v>24</v>
      </c>
      <c r="U4" s="4" t="s">
        <v>25</v>
      </c>
      <c r="V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31</v>
      </c>
      <c r="AB4" s="4" t="s">
        <v>32</v>
      </c>
      <c r="AC4" s="4" t="s">
        <v>33</v>
      </c>
      <c r="AD4" s="4" t="s">
        <v>34</v>
      </c>
      <c r="AE4" s="4" t="s">
        <v>35</v>
      </c>
      <c r="AF4" s="4" t="s">
        <v>36</v>
      </c>
      <c r="AG4" s="4" t="s">
        <v>37</v>
      </c>
      <c r="AH4" s="4" t="s">
        <v>38</v>
      </c>
      <c r="AI4" s="4" t="s">
        <v>39</v>
      </c>
      <c r="AJ4" s="4" t="s">
        <v>40</v>
      </c>
    </row>
    <row r="5" spans="1:36" x14ac:dyDescent="0.25">
      <c r="A5" s="9" t="s">
        <v>41</v>
      </c>
      <c r="B5" s="9"/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  <c r="L5" s="5" t="s">
        <v>51</v>
      </c>
      <c r="M5" s="5" t="s">
        <v>52</v>
      </c>
      <c r="N5" s="5" t="s">
        <v>53</v>
      </c>
      <c r="O5" s="5" t="s">
        <v>54</v>
      </c>
      <c r="P5" s="5" t="s">
        <v>55</v>
      </c>
      <c r="Q5" s="5" t="s">
        <v>56</v>
      </c>
      <c r="R5" s="5" t="s">
        <v>57</v>
      </c>
      <c r="S5" s="5" t="s">
        <v>58</v>
      </c>
      <c r="T5" s="5" t="s">
        <v>59</v>
      </c>
      <c r="U5" s="5" t="s">
        <v>60</v>
      </c>
      <c r="V5" s="5" t="s">
        <v>61</v>
      </c>
      <c r="W5" s="5" t="s">
        <v>62</v>
      </c>
      <c r="X5" s="5" t="s">
        <v>63</v>
      </c>
      <c r="Y5" s="5" t="s">
        <v>64</v>
      </c>
      <c r="Z5" s="5" t="s">
        <v>65</v>
      </c>
      <c r="AA5" s="5" t="s">
        <v>66</v>
      </c>
      <c r="AB5" s="5" t="s">
        <v>67</v>
      </c>
      <c r="AC5" s="5" t="s">
        <v>68</v>
      </c>
      <c r="AD5" s="5" t="s">
        <v>69</v>
      </c>
      <c r="AE5" s="5" t="s">
        <v>70</v>
      </c>
      <c r="AF5" s="5" t="s">
        <v>71</v>
      </c>
      <c r="AG5" s="5" t="s">
        <v>72</v>
      </c>
      <c r="AH5" s="5" t="s">
        <v>73</v>
      </c>
      <c r="AI5" s="5" t="s">
        <v>74</v>
      </c>
      <c r="AJ5" s="5" t="s">
        <v>75</v>
      </c>
    </row>
    <row r="6" spans="1:36" x14ac:dyDescent="0.25">
      <c r="A6" s="6" t="s">
        <v>146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</row>
    <row r="7" spans="1:36" x14ac:dyDescent="0.25">
      <c r="A7" s="10" t="s">
        <v>147</v>
      </c>
      <c r="B7" s="10" t="s">
        <v>148</v>
      </c>
      <c r="C7" s="13">
        <f>_xll.BDH("XOM US Equity","C&amp;CE_AND_STI_DETAILED","FQ1 1990","FQ1 1990","Currency=USD","Period=FQ","BEST_FPERIOD_OVERRIDE=FQ","FILING_STATUS=OR","SCALING_FORMAT=MLN","Sort=A","Dates=H","DateFormat=P","Fill=—","Direction=H","UseDPDF=Y")</f>
        <v>1852</v>
      </c>
      <c r="D7" s="13">
        <f>_xll.BDH("XOM US Equity","C&amp;CE_AND_STI_DETAILED","FQ2 1990","FQ2 1990","Currency=USD","Period=FQ","BEST_FPERIOD_OVERRIDE=FQ","FILING_STATUS=OR","SCALING_FORMAT=MLN","Sort=A","Dates=H","DateFormat=P","Fill=—","Direction=H","UseDPDF=Y")</f>
        <v>1687</v>
      </c>
      <c r="E7" s="13">
        <f>_xll.BDH("XOM US Equity","C&amp;CE_AND_STI_DETAILED","FQ3 1990","FQ3 1990","Currency=USD","Period=FQ","BEST_FPERIOD_OVERRIDE=FQ","FILING_STATUS=OR","SCALING_FORMAT=MLN","Sort=A","Dates=H","DateFormat=P","Fill=—","Direction=H","UseDPDF=Y")</f>
        <v>1409</v>
      </c>
      <c r="F7" s="13">
        <f>_xll.BDH("XOM US Equity","C&amp;CE_AND_STI_DETAILED","FQ4 1990","FQ4 1990","Currency=USD","Period=FQ","BEST_FPERIOD_OVERRIDE=FQ","FILING_STATUS=OR","SCALING_FORMAT=MLN","Sort=A","Dates=H","DateFormat=P","Fill=—","Direction=H","UseDPDF=Y")</f>
        <v>1379</v>
      </c>
      <c r="G7" s="13">
        <f>_xll.BDH("XOM US Equity","C&amp;CE_AND_STI_DETAILED","FQ1 1991","FQ1 1991","Currency=USD","Period=FQ","BEST_FPERIOD_OVERRIDE=FQ","FILING_STATUS=OR","SCALING_FORMAT=MLN","Sort=A","Dates=H","DateFormat=P","Fill=—","Direction=H","UseDPDF=Y")</f>
        <v>1687</v>
      </c>
      <c r="H7" s="13">
        <f>_xll.BDH("XOM US Equity","C&amp;CE_AND_STI_DETAILED","FQ2 1991","FQ2 1991","Currency=USD","Period=FQ","BEST_FPERIOD_OVERRIDE=FQ","FILING_STATUS=OR","SCALING_FORMAT=MLN","Sort=A","Dates=H","DateFormat=P","Fill=—","Direction=H","UseDPDF=Y")</f>
        <v>1088</v>
      </c>
      <c r="I7" s="13">
        <f>_xll.BDH("XOM US Equity","C&amp;CE_AND_STI_DETAILED","FQ3 1991","FQ3 1991","Currency=USD","Period=FQ","BEST_FPERIOD_OVERRIDE=FQ","FILING_STATUS=OR","SCALING_FORMAT=MLN","Sort=A","Dates=H","DateFormat=P","Fill=—","Direction=H","UseDPDF=Y")</f>
        <v>1469</v>
      </c>
      <c r="J7" s="13">
        <f>_xll.BDH("XOM US Equity","C&amp;CE_AND_STI_DETAILED","FQ4 1991","FQ4 1991","Currency=USD","Period=FQ","BEST_FPERIOD_OVERRIDE=FQ","FILING_STATUS=OR","SCALING_FORMAT=MLN","Sort=A","Dates=H","DateFormat=P","Fill=—","Direction=H","UseDPDF=Y")</f>
        <v>1587</v>
      </c>
      <c r="K7" s="13">
        <f>_xll.BDH("XOM US Equity","C&amp;CE_AND_STI_DETAILED","FQ1 1992","FQ1 1992","Currency=USD","Period=FQ","BEST_FPERIOD_OVERRIDE=FQ","FILING_STATUS=OR","SCALING_FORMAT=MLN","Sort=A","Dates=H","DateFormat=P","Fill=—","Direction=H","UseDPDF=Y")</f>
        <v>1691</v>
      </c>
      <c r="L7" s="13">
        <f>_xll.BDH("XOM US Equity","C&amp;CE_AND_STI_DETAILED","FQ2 1992","FQ2 1992","Currency=USD","Period=FQ","BEST_FPERIOD_OVERRIDE=FQ","FILING_STATUS=OR","SCALING_FORMAT=MLN","Sort=A","Dates=H","DateFormat=P","Fill=—","Direction=H","UseDPDF=Y")</f>
        <v>1621</v>
      </c>
      <c r="M7" s="13">
        <f>_xll.BDH("XOM US Equity","C&amp;CE_AND_STI_DETAILED","FQ3 1992","FQ3 1992","Currency=USD","Period=FQ","BEST_FPERIOD_OVERRIDE=FQ","FILING_STATUS=OR","SCALING_FORMAT=MLN","Sort=A","Dates=H","DateFormat=P","Fill=—","Direction=H","UseDPDF=Y")</f>
        <v>1567</v>
      </c>
      <c r="N7" s="13">
        <f>_xll.BDH("XOM US Equity","C&amp;CE_AND_STI_DETAILED","FQ4 1992","FQ4 1992","Currency=USD","Period=FQ","BEST_FPERIOD_OVERRIDE=FQ","FILING_STATUS=OR","SCALING_FORMAT=MLN","Sort=A","Dates=H","DateFormat=P","Fill=—","Direction=H","UseDPDF=Y")</f>
        <v>1515</v>
      </c>
      <c r="O7" s="13">
        <f>_xll.BDH("XOM US Equity","C&amp;CE_AND_STI_DETAILED","FQ1 1993","FQ1 1993","Currency=USD","Period=FQ","BEST_FPERIOD_OVERRIDE=FQ","FILING_STATUS=OR","SCALING_FORMAT=MLN","Sort=A","Dates=H","DateFormat=P","Fill=—","Direction=H","UseDPDF=Y")</f>
        <v>1752</v>
      </c>
      <c r="P7" s="13">
        <f>_xll.BDH("XOM US Equity","C&amp;CE_AND_STI_DETAILED","FQ2 1993","FQ2 1993","Currency=USD","Period=FQ","BEST_FPERIOD_OVERRIDE=FQ","FILING_STATUS=OR","SCALING_FORMAT=MLN","Sort=A","Dates=H","DateFormat=P","Fill=—","Direction=H","UseDPDF=Y")</f>
        <v>2169</v>
      </c>
      <c r="Q7" s="13">
        <f>_xll.BDH("XOM US Equity","C&amp;CE_AND_STI_DETAILED","FQ3 1993","FQ3 1993","Currency=USD","Period=FQ","BEST_FPERIOD_OVERRIDE=FQ","FILING_STATUS=OR","SCALING_FORMAT=MLN","Sort=A","Dates=H","DateFormat=P","Fill=—","Direction=H","UseDPDF=Y")</f>
        <v>2280</v>
      </c>
      <c r="R7" s="13">
        <f>_xll.BDH("XOM US Equity","C&amp;CE_AND_STI_DETAILED","FQ4 1993","FQ4 1993","Currency=USD","Period=FQ","BEST_FPERIOD_OVERRIDE=FQ","FILING_STATUS=OR","SCALING_FORMAT=MLN","Sort=A","Dates=H","DateFormat=P","Fill=—","Direction=H","UseDPDF=Y")</f>
        <v>1652</v>
      </c>
      <c r="S7" s="13">
        <f>_xll.BDH("XOM US Equity","C&amp;CE_AND_STI_DETAILED","FQ1 1994","FQ1 1994","Currency=USD","Period=FQ","BEST_FPERIOD_OVERRIDE=FQ","FILING_STATUS=OR","SCALING_FORMAT=MLN","Sort=A","Dates=H","DateFormat=P","Fill=—","Direction=H","UseDPDF=Y")</f>
        <v>2116</v>
      </c>
      <c r="T7" s="13">
        <f>_xll.BDH("XOM US Equity","C&amp;CE_AND_STI_DETAILED","FQ2 1994","FQ2 1994","Currency=USD","Period=FQ","BEST_FPERIOD_OVERRIDE=FQ","FILING_STATUS=OR","SCALING_FORMAT=MLN","Sort=A","Dates=H","DateFormat=P","Fill=—","Direction=H","UseDPDF=Y")</f>
        <v>2121</v>
      </c>
      <c r="U7" s="13">
        <f>_xll.BDH("XOM US Equity","C&amp;CE_AND_STI_DETAILED","FQ3 1994","FQ3 1994","Currency=USD","Period=FQ","BEST_FPERIOD_OVERRIDE=FQ","FILING_STATUS=OR","SCALING_FORMAT=MLN","Sort=A","Dates=H","DateFormat=P","Fill=—","Direction=H","UseDPDF=Y")</f>
        <v>2425</v>
      </c>
      <c r="V7" s="13">
        <f>_xll.BDH("XOM US Equity","C&amp;CE_AND_STI_DETAILED","FQ4 1994","FQ4 1994","Currency=USD","Period=FQ","BEST_FPERIOD_OVERRIDE=FQ","FILING_STATUS=OR","SCALING_FORMAT=MLN","Sort=A","Dates=H","DateFormat=P","Fill=—","Direction=H","UseDPDF=Y")</f>
        <v>1775</v>
      </c>
      <c r="W7" s="13">
        <f>_xll.BDH("XOM US Equity","C&amp;CE_AND_STI_DETAILED","FQ1 1995","FQ1 1995","Currency=USD","Period=FQ","BEST_FPERIOD_OVERRIDE=FQ","FILING_STATUS=OR","SCALING_FORMAT=MLN","Sort=A","Dates=H","DateFormat=P","Fill=—","Direction=H","UseDPDF=Y")</f>
        <v>3174</v>
      </c>
      <c r="X7" s="13">
        <f>_xll.BDH("XOM US Equity","C&amp;CE_AND_STI_DETAILED","FQ2 1995","FQ2 1995","Currency=USD","Period=FQ","BEST_FPERIOD_OVERRIDE=FQ","FILING_STATUS=OR","SCALING_FORMAT=MLN","Sort=A","Dates=H","DateFormat=P","Fill=—","Direction=H","UseDPDF=Y")</f>
        <v>2734</v>
      </c>
      <c r="Y7" s="13">
        <f>_xll.BDH("XOM US Equity","C&amp;CE_AND_STI_DETAILED","FQ3 1995","FQ3 1995","Currency=USD","Period=FQ","BEST_FPERIOD_OVERRIDE=FQ","FILING_STATUS=OR","SCALING_FORMAT=MLN","Sort=A","Dates=H","DateFormat=P","Fill=—","Direction=H","UseDPDF=Y")</f>
        <v>2537</v>
      </c>
      <c r="Z7" s="13">
        <f>_xll.BDH("XOM US Equity","C&amp;CE_AND_STI_DETAILED","FQ4 1995","FQ4 1995","Currency=USD","Period=FQ","BEST_FPERIOD_OVERRIDE=FQ","FILING_STATUS=OR","SCALING_FORMAT=MLN","Sort=A","Dates=H","DateFormat=P","Fill=—","Direction=H","UseDPDF=Y")</f>
        <v>1789</v>
      </c>
      <c r="AA7" s="13">
        <f>_xll.BDH("XOM US Equity","C&amp;CE_AND_STI_DETAILED","FQ1 1996","FQ1 1996","Currency=USD","Period=FQ","BEST_FPERIOD_OVERRIDE=FQ","FILING_STATUS=OR","SCALING_FORMAT=MLN","Sort=A","Dates=H","DateFormat=P","Fill=—","Direction=H","UseDPDF=Y")</f>
        <v>3663</v>
      </c>
      <c r="AB7" s="13">
        <f>_xll.BDH("XOM US Equity","C&amp;CE_AND_STI_DETAILED","FQ2 1996","FQ2 1996","Currency=USD","Period=FQ","BEST_FPERIOD_OVERRIDE=FQ","FILING_STATUS=OR","SCALING_FORMAT=MLN","Sort=A","Dates=H","DateFormat=P","Fill=—","Direction=H","UseDPDF=Y")</f>
        <v>3324</v>
      </c>
      <c r="AC7" s="13">
        <f>_xll.BDH("XOM US Equity","C&amp;CE_AND_STI_DETAILED","FQ3 1996","FQ3 1996","Currency=USD","Period=FQ","BEST_FPERIOD_OVERRIDE=FQ","FILING_STATUS=OR","SCALING_FORMAT=MLN","Sort=A","Dates=H","DateFormat=P","Fill=—","Direction=H","UseDPDF=Y")</f>
        <v>2933</v>
      </c>
      <c r="AD7" s="13">
        <f>_xll.BDH("XOM US Equity","C&amp;CE_AND_STI_DETAILED","FQ4 1996","FQ4 1996","Currency=USD","Period=FQ","BEST_FPERIOD_OVERRIDE=FQ","FILING_STATUS=OR","SCALING_FORMAT=MLN","Sort=A","Dates=H","DateFormat=P","Fill=—","Direction=H","UseDPDF=Y")</f>
        <v>2969</v>
      </c>
      <c r="AE7" s="13">
        <f>_xll.BDH("XOM US Equity","C&amp;CE_AND_STI_DETAILED","FQ1 1997","FQ1 1997","Currency=USD","Period=FQ","BEST_FPERIOD_OVERRIDE=FQ","FILING_STATUS=OR","SCALING_FORMAT=MLN","Sort=A","Dates=H","DateFormat=P","Fill=—","Direction=H","UseDPDF=Y")</f>
        <v>5282</v>
      </c>
      <c r="AF7" s="13">
        <f>_xll.BDH("XOM US Equity","C&amp;CE_AND_STI_DETAILED","FQ2 1997","FQ2 1997","Currency=USD","Period=FQ","BEST_FPERIOD_OVERRIDE=FQ","FILING_STATUS=OR","SCALING_FORMAT=MLN","Sort=A","Dates=H","DateFormat=P","Fill=—","Direction=H","UseDPDF=Y")</f>
        <v>4742</v>
      </c>
      <c r="AG7" s="13">
        <f>_xll.BDH("XOM US Equity","C&amp;CE_AND_STI_DETAILED","FQ3 1997","FQ3 1997","Currency=USD","Period=FQ","BEST_FPERIOD_OVERRIDE=FQ","FILING_STATUS=OR","SCALING_FORMAT=MLN","Sort=A","Dates=H","DateFormat=P","Fill=—","Direction=H","UseDPDF=Y")</f>
        <v>4799</v>
      </c>
      <c r="AH7" s="13">
        <f>_xll.BDH("XOM US Equity","C&amp;CE_AND_STI_DETAILED","FQ4 1997","FQ4 1997","Currency=USD","Period=FQ","BEST_FPERIOD_OVERRIDE=FQ","FILING_STATUS=OR","SCALING_FORMAT=MLN","Sort=A","Dates=H","DateFormat=P","Fill=—","Direction=H","UseDPDF=Y")</f>
        <v>4062</v>
      </c>
      <c r="AI7" s="13">
        <f>_xll.BDH("XOM US Equity","C&amp;CE_AND_STI_DETAILED","FQ1 1998","FQ1 1998","Currency=USD","Period=FQ","BEST_FPERIOD_OVERRIDE=FQ","FILING_STATUS=OR","SCALING_FORMAT=MLN","Sort=A","Dates=H","DateFormat=P","Fill=—","Direction=H","UseDPDF=Y")</f>
        <v>3861</v>
      </c>
      <c r="AJ7" s="13">
        <f>_xll.BDH("XOM US Equity","C&amp;CE_AND_STI_DETAILED","FQ2 1998","FQ2 1998","Currency=USD","Period=FQ","BEST_FPERIOD_OVERRIDE=FQ","FILING_STATUS=OR","SCALING_FORMAT=MLN","Sort=A","Dates=H","DateFormat=P","Fill=—","Direction=H","UseDPDF=Y")</f>
        <v>2710</v>
      </c>
    </row>
    <row r="8" spans="1:36" x14ac:dyDescent="0.25">
      <c r="A8" s="10" t="s">
        <v>149</v>
      </c>
      <c r="B8" s="10" t="s">
        <v>150</v>
      </c>
      <c r="C8" s="13">
        <f>_xll.BDH("XOM US Equity","BS_CASH_NEAR_CASH_ITEM","FQ1 1990","FQ1 1990","Currency=USD","Period=FQ","BEST_FPERIOD_OVERRIDE=FQ","FILING_STATUS=OR","SCALING_FORMAT=MLN","Sort=A","Dates=H","DateFormat=P","Fill=—","Direction=H","UseDPDF=Y")</f>
        <v>1684</v>
      </c>
      <c r="D8" s="13">
        <f>_xll.BDH("XOM US Equity","BS_CASH_NEAR_CASH_ITEM","FQ2 1990","FQ2 1990","Currency=USD","Period=FQ","BEST_FPERIOD_OVERRIDE=FQ","FILING_STATUS=OR","SCALING_FORMAT=MLN","Sort=A","Dates=H","DateFormat=P","Fill=—","Direction=H","UseDPDF=Y")</f>
        <v>1530</v>
      </c>
      <c r="E8" s="13">
        <f>_xll.BDH("XOM US Equity","BS_CASH_NEAR_CASH_ITEM","FQ3 1990","FQ3 1990","Currency=USD","Period=FQ","BEST_FPERIOD_OVERRIDE=FQ","FILING_STATUS=OR","SCALING_FORMAT=MLN","Sort=A","Dates=H","DateFormat=P","Fill=—","Direction=H","UseDPDF=Y")</f>
        <v>1340</v>
      </c>
      <c r="F8" s="13">
        <f>_xll.BDH("XOM US Equity","BS_CASH_NEAR_CASH_ITEM","FQ4 1990","FQ4 1990","Currency=USD","Period=FQ","BEST_FPERIOD_OVERRIDE=FQ","FILING_STATUS=OR","SCALING_FORMAT=MLN","Sort=A","Dates=H","DateFormat=P","Fill=—","Direction=H","UseDPDF=Y")</f>
        <v>1332</v>
      </c>
      <c r="G8" s="13">
        <f>_xll.BDH("XOM US Equity","BS_CASH_NEAR_CASH_ITEM","FQ1 1991","FQ1 1991","Currency=USD","Period=FQ","BEST_FPERIOD_OVERRIDE=FQ","FILING_STATUS=OR","SCALING_FORMAT=MLN","Sort=A","Dates=H","DateFormat=P","Fill=—","Direction=H","UseDPDF=Y")</f>
        <v>1635</v>
      </c>
      <c r="H8" s="13">
        <f>_xll.BDH("XOM US Equity","BS_CASH_NEAR_CASH_ITEM","FQ2 1991","FQ2 1991","Currency=USD","Period=FQ","BEST_FPERIOD_OVERRIDE=FQ","FILING_STATUS=OR","SCALING_FORMAT=MLN","Sort=A","Dates=H","DateFormat=P","Fill=—","Direction=H","UseDPDF=Y")</f>
        <v>1036</v>
      </c>
      <c r="I8" s="13">
        <f>_xll.BDH("XOM US Equity","BS_CASH_NEAR_CASH_ITEM","FQ3 1991","FQ3 1991","Currency=USD","Period=FQ","BEST_FPERIOD_OVERRIDE=FQ","FILING_STATUS=OR","SCALING_FORMAT=MLN","Sort=A","Dates=H","DateFormat=P","Fill=—","Direction=H","UseDPDF=Y")</f>
        <v>1417</v>
      </c>
      <c r="J8" s="13">
        <f>_xll.BDH("XOM US Equity","BS_CASH_NEAR_CASH_ITEM","FQ4 1991","FQ4 1991","Currency=USD","Period=FQ","BEST_FPERIOD_OVERRIDE=FQ","FILING_STATUS=OR","SCALING_FORMAT=MLN","Sort=A","Dates=H","DateFormat=P","Fill=—","Direction=H","UseDPDF=Y")</f>
        <v>1496</v>
      </c>
      <c r="K8" s="13">
        <f>_xll.BDH("XOM US Equity","BS_CASH_NEAR_CASH_ITEM","FQ1 1992","FQ1 1992","Currency=USD","Period=FQ","BEST_FPERIOD_OVERRIDE=FQ","FILING_STATUS=OR","SCALING_FORMAT=MLN","Sort=A","Dates=H","DateFormat=P","Fill=—","Direction=H","UseDPDF=Y")</f>
        <v>1627</v>
      </c>
      <c r="L8" s="13">
        <f>_xll.BDH("XOM US Equity","BS_CASH_NEAR_CASH_ITEM","FQ2 1992","FQ2 1992","Currency=USD","Period=FQ","BEST_FPERIOD_OVERRIDE=FQ","FILING_STATUS=OR","SCALING_FORMAT=MLN","Sort=A","Dates=H","DateFormat=P","Fill=—","Direction=H","UseDPDF=Y")</f>
        <v>1320</v>
      </c>
      <c r="M8" s="13">
        <f>_xll.BDH("XOM US Equity","BS_CASH_NEAR_CASH_ITEM","FQ3 1992","FQ3 1992","Currency=USD","Period=FQ","BEST_FPERIOD_OVERRIDE=FQ","FILING_STATUS=OR","SCALING_FORMAT=MLN","Sort=A","Dates=H","DateFormat=P","Fill=—","Direction=H","UseDPDF=Y")</f>
        <v>994</v>
      </c>
      <c r="N8" s="13">
        <f>_xll.BDH("XOM US Equity","BS_CASH_NEAR_CASH_ITEM","FQ4 1992","FQ4 1992","Currency=USD","Period=FQ","BEST_FPERIOD_OVERRIDE=FQ","FILING_STATUS=OR","SCALING_FORMAT=MLN","Sort=A","Dates=H","DateFormat=P","Fill=—","Direction=H","UseDPDF=Y")</f>
        <v>898</v>
      </c>
      <c r="O8" s="13">
        <f>_xll.BDH("XOM US Equity","BS_CASH_NEAR_CASH_ITEM","FQ1 1993","FQ1 1993","Currency=USD","Period=FQ","BEST_FPERIOD_OVERRIDE=FQ","FILING_STATUS=OR","SCALING_FORMAT=MLN","Sort=A","Dates=H","DateFormat=P","Fill=—","Direction=H","UseDPDF=Y")</f>
        <v>1109</v>
      </c>
      <c r="P8" s="13">
        <f>_xll.BDH("XOM US Equity","BS_CASH_NEAR_CASH_ITEM","FQ2 1993","FQ2 1993","Currency=USD","Period=FQ","BEST_FPERIOD_OVERRIDE=FQ","FILING_STATUS=OR","SCALING_FORMAT=MLN","Sort=A","Dates=H","DateFormat=P","Fill=—","Direction=H","UseDPDF=Y")</f>
        <v>1387</v>
      </c>
      <c r="Q8" s="13">
        <f>_xll.BDH("XOM US Equity","BS_CASH_NEAR_CASH_ITEM","FQ3 1993","FQ3 1993","Currency=USD","Period=FQ","BEST_FPERIOD_OVERRIDE=FQ","FILING_STATUS=OR","SCALING_FORMAT=MLN","Sort=A","Dates=H","DateFormat=P","Fill=—","Direction=H","UseDPDF=Y")</f>
        <v>1552</v>
      </c>
      <c r="R8" s="13">
        <f>_xll.BDH("XOM US Equity","BS_CASH_NEAR_CASH_ITEM","FQ4 1993","FQ4 1993","Currency=USD","Period=FQ","BEST_FPERIOD_OVERRIDE=FQ","FILING_STATUS=OR","SCALING_FORMAT=MLN","Sort=A","Dates=H","DateFormat=P","Fill=—","Direction=H","UseDPDF=Y")</f>
        <v>983</v>
      </c>
      <c r="S8" s="13">
        <f>_xll.BDH("XOM US Equity","BS_CASH_NEAR_CASH_ITEM","FQ1 1994","FQ1 1994","Currency=USD","Period=FQ","BEST_FPERIOD_OVERRIDE=FQ","FILING_STATUS=OR","SCALING_FORMAT=MLN","Sort=A","Dates=H","DateFormat=P","Fill=—","Direction=H","UseDPDF=Y")</f>
        <v>1648</v>
      </c>
      <c r="T8" s="13">
        <f>_xll.BDH("XOM US Equity","BS_CASH_NEAR_CASH_ITEM","FQ2 1994","FQ2 1994","Currency=USD","Period=FQ","BEST_FPERIOD_OVERRIDE=FQ","FILING_STATUS=OR","SCALING_FORMAT=MLN","Sort=A","Dates=H","DateFormat=P","Fill=—","Direction=H","UseDPDF=Y")</f>
        <v>1879</v>
      </c>
      <c r="U8" s="13">
        <f>_xll.BDH("XOM US Equity","BS_CASH_NEAR_CASH_ITEM","FQ3 1994","FQ3 1994","Currency=USD","Period=FQ","BEST_FPERIOD_OVERRIDE=FQ","FILING_STATUS=OR","SCALING_FORMAT=MLN","Sort=A","Dates=H","DateFormat=P","Fill=—","Direction=H","UseDPDF=Y")</f>
        <v>1700</v>
      </c>
      <c r="V8" s="13">
        <f>_xll.BDH("XOM US Equity","BS_CASH_NEAR_CASH_ITEM","FQ4 1994","FQ4 1994","Currency=USD","Period=FQ","BEST_FPERIOD_OVERRIDE=FQ","FILING_STATUS=OR","SCALING_FORMAT=MLN","Sort=A","Dates=H","DateFormat=P","Fill=—","Direction=H","UseDPDF=Y")</f>
        <v>1157</v>
      </c>
      <c r="W8" s="13">
        <f>_xll.BDH("XOM US Equity","BS_CASH_NEAR_CASH_ITEM","FQ1 1995","FQ1 1995","Currency=USD","Period=FQ","BEST_FPERIOD_OVERRIDE=FQ","FILING_STATUS=OR","SCALING_FORMAT=MLN","Sort=A","Dates=H","DateFormat=P","Fill=—","Direction=H","UseDPDF=Y")</f>
        <v>2770</v>
      </c>
      <c r="X8" s="13">
        <f>_xll.BDH("XOM US Equity","BS_CASH_NEAR_CASH_ITEM","FQ2 1995","FQ2 1995","Currency=USD","Period=FQ","BEST_FPERIOD_OVERRIDE=FQ","FILING_STATUS=OR","SCALING_FORMAT=MLN","Sort=A","Dates=H","DateFormat=P","Fill=—","Direction=H","UseDPDF=Y")</f>
        <v>2577</v>
      </c>
      <c r="Y8" s="13">
        <f>_xll.BDH("XOM US Equity","BS_CASH_NEAR_CASH_ITEM","FQ3 1995","FQ3 1995","Currency=USD","Period=FQ","BEST_FPERIOD_OVERRIDE=FQ","FILING_STATUS=OR","SCALING_FORMAT=MLN","Sort=A","Dates=H","DateFormat=P","Fill=—","Direction=H","UseDPDF=Y")</f>
        <v>2200</v>
      </c>
      <c r="Z8" s="13">
        <f>_xll.BDH("XOM US Equity","BS_CASH_NEAR_CASH_ITEM","FQ4 1995","FQ4 1995","Currency=USD","Period=FQ","BEST_FPERIOD_OVERRIDE=FQ","FILING_STATUS=OR","SCALING_FORMAT=MLN","Sort=A","Dates=H","DateFormat=P","Fill=—","Direction=H","UseDPDF=Y")</f>
        <v>1508</v>
      </c>
      <c r="AA8" s="13">
        <f>_xll.BDH("XOM US Equity","BS_CASH_NEAR_CASH_ITEM","FQ1 1996","FQ1 1996","Currency=USD","Period=FQ","BEST_FPERIOD_OVERRIDE=FQ","FILING_STATUS=OR","SCALING_FORMAT=MLN","Sort=A","Dates=H","DateFormat=P","Fill=—","Direction=H","UseDPDF=Y")</f>
        <v>3523</v>
      </c>
      <c r="AB8" s="13">
        <f>_xll.BDH("XOM US Equity","BS_CASH_NEAR_CASH_ITEM","FQ2 1996","FQ2 1996","Currency=USD","Period=FQ","BEST_FPERIOD_OVERRIDE=FQ","FILING_STATUS=OR","SCALING_FORMAT=MLN","Sort=A","Dates=H","DateFormat=P","Fill=—","Direction=H","UseDPDF=Y")</f>
        <v>3222</v>
      </c>
      <c r="AC8" s="13">
        <f>_xll.BDH("XOM US Equity","BS_CASH_NEAR_CASH_ITEM","FQ3 1996","FQ3 1996","Currency=USD","Period=FQ","BEST_FPERIOD_OVERRIDE=FQ","FILING_STATUS=OR","SCALING_FORMAT=MLN","Sort=A","Dates=H","DateFormat=P","Fill=—","Direction=H","UseDPDF=Y")</f>
        <v>2910</v>
      </c>
      <c r="AD8" s="13">
        <f>_xll.BDH("XOM US Equity","BS_CASH_NEAR_CASH_ITEM","FQ4 1996","FQ4 1996","Currency=USD","Period=FQ","BEST_FPERIOD_OVERRIDE=FQ","FILING_STATUS=OR","SCALING_FORMAT=MLN","Sort=A","Dates=H","DateFormat=P","Fill=—","Direction=H","UseDPDF=Y")</f>
        <v>2951</v>
      </c>
      <c r="AE8" s="13">
        <f>_xll.BDH("XOM US Equity","BS_CASH_NEAR_CASH_ITEM","FQ1 1997","FQ1 1997","Currency=USD","Period=FQ","BEST_FPERIOD_OVERRIDE=FQ","FILING_STATUS=OR","SCALING_FORMAT=MLN","Sort=A","Dates=H","DateFormat=P","Fill=—","Direction=H","UseDPDF=Y")</f>
        <v>5263</v>
      </c>
      <c r="AF8" s="13">
        <f>_xll.BDH("XOM US Equity","BS_CASH_NEAR_CASH_ITEM","FQ2 1997","FQ2 1997","Currency=USD","Period=FQ","BEST_FPERIOD_OVERRIDE=FQ","FILING_STATUS=OR","SCALING_FORMAT=MLN","Sort=A","Dates=H","DateFormat=P","Fill=—","Direction=H","UseDPDF=Y")</f>
        <v>4720</v>
      </c>
      <c r="AG8" s="13">
        <f>_xll.BDH("XOM US Equity","BS_CASH_NEAR_CASH_ITEM","FQ3 1997","FQ3 1997","Currency=USD","Period=FQ","BEST_FPERIOD_OVERRIDE=FQ","FILING_STATUS=OR","SCALING_FORMAT=MLN","Sort=A","Dates=H","DateFormat=P","Fill=—","Direction=H","UseDPDF=Y")</f>
        <v>4781</v>
      </c>
      <c r="AH8" s="13">
        <f>_xll.BDH("XOM US Equity","BS_CASH_NEAR_CASH_ITEM","FQ4 1997","FQ4 1997","Currency=USD","Period=FQ","BEST_FPERIOD_OVERRIDE=FQ","FILING_STATUS=OR","SCALING_FORMAT=MLN","Sort=A","Dates=H","DateFormat=P","Fill=—","Direction=H","UseDPDF=Y")</f>
        <v>4047</v>
      </c>
      <c r="AI8" s="13">
        <f>_xll.BDH("XOM US Equity","BS_CASH_NEAR_CASH_ITEM","FQ1 1998","FQ1 1998","Currency=USD","Period=FQ","BEST_FPERIOD_OVERRIDE=FQ","FILING_STATUS=OR","SCALING_FORMAT=MLN","Sort=A","Dates=H","DateFormat=P","Fill=—","Direction=H","UseDPDF=Y")</f>
        <v>3841</v>
      </c>
      <c r="AJ8" s="13">
        <f>_xll.BDH("XOM US Equity","BS_CASH_NEAR_CASH_ITEM","FQ2 1998","FQ2 1998","Currency=USD","Period=FQ","BEST_FPERIOD_OVERRIDE=FQ","FILING_STATUS=OR","SCALING_FORMAT=MLN","Sort=A","Dates=H","DateFormat=P","Fill=—","Direction=H","UseDPDF=Y")</f>
        <v>2689</v>
      </c>
    </row>
    <row r="9" spans="1:36" x14ac:dyDescent="0.25">
      <c r="A9" s="10" t="s">
        <v>151</v>
      </c>
      <c r="B9" s="10" t="s">
        <v>152</v>
      </c>
      <c r="C9" s="13">
        <f>_xll.BDH("XOM US Equity","BS_MKT_SEC_OTHER_ST_INVEST","FQ1 1990","FQ1 1990","Currency=USD","Period=FQ","BEST_FPERIOD_OVERRIDE=FQ","FILING_STATUS=OR","SCALING_FORMAT=MLN","Sort=A","Dates=H","DateFormat=P","Fill=—","Direction=H","UseDPDF=Y")</f>
        <v>168</v>
      </c>
      <c r="D9" s="13">
        <f>_xll.BDH("XOM US Equity","BS_MKT_SEC_OTHER_ST_INVEST","FQ2 1990","FQ2 1990","Currency=USD","Period=FQ","BEST_FPERIOD_OVERRIDE=FQ","FILING_STATUS=OR","SCALING_FORMAT=MLN","Sort=A","Dates=H","DateFormat=P","Fill=—","Direction=H","UseDPDF=Y")</f>
        <v>157</v>
      </c>
      <c r="E9" s="13">
        <f>_xll.BDH("XOM US Equity","BS_MKT_SEC_OTHER_ST_INVEST","FQ3 1990","FQ3 1990","Currency=USD","Period=FQ","BEST_FPERIOD_OVERRIDE=FQ","FILING_STATUS=OR","SCALING_FORMAT=MLN","Sort=A","Dates=H","DateFormat=P","Fill=—","Direction=H","UseDPDF=Y")</f>
        <v>69</v>
      </c>
      <c r="F9" s="13">
        <f>_xll.BDH("XOM US Equity","BS_MKT_SEC_OTHER_ST_INVEST","FQ4 1990","FQ4 1990","Currency=USD","Period=FQ","BEST_FPERIOD_OVERRIDE=FQ","FILING_STATUS=OR","SCALING_FORMAT=MLN","Sort=A","Dates=H","DateFormat=P","Fill=—","Direction=H","UseDPDF=Y")</f>
        <v>47</v>
      </c>
      <c r="G9" s="13">
        <f>_xll.BDH("XOM US Equity","BS_MKT_SEC_OTHER_ST_INVEST","FQ1 1991","FQ1 1991","Currency=USD","Period=FQ","BEST_FPERIOD_OVERRIDE=FQ","FILING_STATUS=OR","SCALING_FORMAT=MLN","Sort=A","Dates=H","DateFormat=P","Fill=—","Direction=H","UseDPDF=Y")</f>
        <v>52</v>
      </c>
      <c r="H9" s="13">
        <f>_xll.BDH("XOM US Equity","BS_MKT_SEC_OTHER_ST_INVEST","FQ2 1991","FQ2 1991","Currency=USD","Period=FQ","BEST_FPERIOD_OVERRIDE=FQ","FILING_STATUS=OR","SCALING_FORMAT=MLN","Sort=A","Dates=H","DateFormat=P","Fill=—","Direction=H","UseDPDF=Y")</f>
        <v>52</v>
      </c>
      <c r="I9" s="13">
        <f>_xll.BDH("XOM US Equity","BS_MKT_SEC_OTHER_ST_INVEST","FQ3 1991","FQ3 1991","Currency=USD","Period=FQ","BEST_FPERIOD_OVERRIDE=FQ","FILING_STATUS=OR","SCALING_FORMAT=MLN","Sort=A","Dates=H","DateFormat=P","Fill=—","Direction=H","UseDPDF=Y")</f>
        <v>52</v>
      </c>
      <c r="J9" s="13">
        <f>_xll.BDH("XOM US Equity","BS_MKT_SEC_OTHER_ST_INVEST","FQ4 1991","FQ4 1991","Currency=USD","Period=FQ","BEST_FPERIOD_OVERRIDE=FQ","FILING_STATUS=OR","SCALING_FORMAT=MLN","Sort=A","Dates=H","DateFormat=P","Fill=—","Direction=H","UseDPDF=Y")</f>
        <v>91</v>
      </c>
      <c r="K9" s="13">
        <f>_xll.BDH("XOM US Equity","BS_MKT_SEC_OTHER_ST_INVEST","FQ1 1992","FQ1 1992","Currency=USD","Period=FQ","BEST_FPERIOD_OVERRIDE=FQ","FILING_STATUS=OR","SCALING_FORMAT=MLN","Sort=A","Dates=H","DateFormat=P","Fill=—","Direction=H","UseDPDF=Y")</f>
        <v>64</v>
      </c>
      <c r="L9" s="13">
        <f>_xll.BDH("XOM US Equity","BS_MKT_SEC_OTHER_ST_INVEST","FQ2 1992","FQ2 1992","Currency=USD","Period=FQ","BEST_FPERIOD_OVERRIDE=FQ","FILING_STATUS=OR","SCALING_FORMAT=MLN","Sort=A","Dates=H","DateFormat=P","Fill=—","Direction=H","UseDPDF=Y")</f>
        <v>301</v>
      </c>
      <c r="M9" s="13">
        <f>_xll.BDH("XOM US Equity","BS_MKT_SEC_OTHER_ST_INVEST","FQ3 1992","FQ3 1992","Currency=USD","Period=FQ","BEST_FPERIOD_OVERRIDE=FQ","FILING_STATUS=OR","SCALING_FORMAT=MLN","Sort=A","Dates=H","DateFormat=P","Fill=—","Direction=H","UseDPDF=Y")</f>
        <v>573</v>
      </c>
      <c r="N9" s="13">
        <f>_xll.BDH("XOM US Equity","BS_MKT_SEC_OTHER_ST_INVEST","FQ4 1992","FQ4 1992","Currency=USD","Period=FQ","BEST_FPERIOD_OVERRIDE=FQ","FILING_STATUS=OR","SCALING_FORMAT=MLN","Sort=A","Dates=H","DateFormat=P","Fill=—","Direction=H","UseDPDF=Y")</f>
        <v>617</v>
      </c>
      <c r="O9" s="13">
        <f>_xll.BDH("XOM US Equity","BS_MKT_SEC_OTHER_ST_INVEST","FQ1 1993","FQ1 1993","Currency=USD","Period=FQ","BEST_FPERIOD_OVERRIDE=FQ","FILING_STATUS=OR","SCALING_FORMAT=MLN","Sort=A","Dates=H","DateFormat=P","Fill=—","Direction=H","UseDPDF=Y")</f>
        <v>643</v>
      </c>
      <c r="P9" s="13">
        <f>_xll.BDH("XOM US Equity","BS_MKT_SEC_OTHER_ST_INVEST","FQ2 1993","FQ2 1993","Currency=USD","Period=FQ","BEST_FPERIOD_OVERRIDE=FQ","FILING_STATUS=OR","SCALING_FORMAT=MLN","Sort=A","Dates=H","DateFormat=P","Fill=—","Direction=H","UseDPDF=Y")</f>
        <v>782</v>
      </c>
      <c r="Q9" s="13">
        <f>_xll.BDH("XOM US Equity","BS_MKT_SEC_OTHER_ST_INVEST","FQ3 1993","FQ3 1993","Currency=USD","Period=FQ","BEST_FPERIOD_OVERRIDE=FQ","FILING_STATUS=OR","SCALING_FORMAT=MLN","Sort=A","Dates=H","DateFormat=P","Fill=—","Direction=H","UseDPDF=Y")</f>
        <v>728</v>
      </c>
      <c r="R9" s="13">
        <f>_xll.BDH("XOM US Equity","BS_MKT_SEC_OTHER_ST_INVEST","FQ4 1993","FQ4 1993","Currency=USD","Period=FQ","BEST_FPERIOD_OVERRIDE=FQ","FILING_STATUS=OR","SCALING_FORMAT=MLN","Sort=A","Dates=H","DateFormat=P","Fill=—","Direction=H","UseDPDF=Y")</f>
        <v>669</v>
      </c>
      <c r="S9" s="13">
        <f>_xll.BDH("XOM US Equity","BS_MKT_SEC_OTHER_ST_INVEST","FQ1 1994","FQ1 1994","Currency=USD","Period=FQ","BEST_FPERIOD_OVERRIDE=FQ","FILING_STATUS=OR","SCALING_FORMAT=MLN","Sort=A","Dates=H","DateFormat=P","Fill=—","Direction=H","UseDPDF=Y")</f>
        <v>468</v>
      </c>
      <c r="T9" s="13">
        <f>_xll.BDH("XOM US Equity","BS_MKT_SEC_OTHER_ST_INVEST","FQ2 1994","FQ2 1994","Currency=USD","Period=FQ","BEST_FPERIOD_OVERRIDE=FQ","FILING_STATUS=OR","SCALING_FORMAT=MLN","Sort=A","Dates=H","DateFormat=P","Fill=—","Direction=H","UseDPDF=Y")</f>
        <v>242</v>
      </c>
      <c r="U9" s="13">
        <f>_xll.BDH("XOM US Equity","BS_MKT_SEC_OTHER_ST_INVEST","FQ3 1994","FQ3 1994","Currency=USD","Period=FQ","BEST_FPERIOD_OVERRIDE=FQ","FILING_STATUS=OR","SCALING_FORMAT=MLN","Sort=A","Dates=H","DateFormat=P","Fill=—","Direction=H","UseDPDF=Y")</f>
        <v>725</v>
      </c>
      <c r="V9" s="13">
        <f>_xll.BDH("XOM US Equity","BS_MKT_SEC_OTHER_ST_INVEST","FQ4 1994","FQ4 1994","Currency=USD","Period=FQ","BEST_FPERIOD_OVERRIDE=FQ","FILING_STATUS=OR","SCALING_FORMAT=MLN","Sort=A","Dates=H","DateFormat=P","Fill=—","Direction=H","UseDPDF=Y")</f>
        <v>618</v>
      </c>
      <c r="W9" s="13">
        <f>_xll.BDH("XOM US Equity","BS_MKT_SEC_OTHER_ST_INVEST","FQ1 1995","FQ1 1995","Currency=USD","Period=FQ","BEST_FPERIOD_OVERRIDE=FQ","FILING_STATUS=OR","SCALING_FORMAT=MLN","Sort=A","Dates=H","DateFormat=P","Fill=—","Direction=H","UseDPDF=Y")</f>
        <v>404</v>
      </c>
      <c r="X9" s="13">
        <f>_xll.BDH("XOM US Equity","BS_MKT_SEC_OTHER_ST_INVEST","FQ2 1995","FQ2 1995","Currency=USD","Period=FQ","BEST_FPERIOD_OVERRIDE=FQ","FILING_STATUS=OR","SCALING_FORMAT=MLN","Sort=A","Dates=H","DateFormat=P","Fill=—","Direction=H","UseDPDF=Y")</f>
        <v>157</v>
      </c>
      <c r="Y9" s="13">
        <f>_xll.BDH("XOM US Equity","BS_MKT_SEC_OTHER_ST_INVEST","FQ3 1995","FQ3 1995","Currency=USD","Period=FQ","BEST_FPERIOD_OVERRIDE=FQ","FILING_STATUS=OR","SCALING_FORMAT=MLN","Sort=A","Dates=H","DateFormat=P","Fill=—","Direction=H","UseDPDF=Y")</f>
        <v>337</v>
      </c>
      <c r="Z9" s="13">
        <f>_xll.BDH("XOM US Equity","BS_MKT_SEC_OTHER_ST_INVEST","FQ4 1995","FQ4 1995","Currency=USD","Period=FQ","BEST_FPERIOD_OVERRIDE=FQ","FILING_STATUS=OR","SCALING_FORMAT=MLN","Sort=A","Dates=H","DateFormat=P","Fill=—","Direction=H","UseDPDF=Y")</f>
        <v>281</v>
      </c>
      <c r="AA9" s="13">
        <f>_xll.BDH("XOM US Equity","BS_MKT_SEC_OTHER_ST_INVEST","FQ1 1996","FQ1 1996","Currency=USD","Period=FQ","BEST_FPERIOD_OVERRIDE=FQ","FILING_STATUS=OR","SCALING_FORMAT=MLN","Sort=A","Dates=H","DateFormat=P","Fill=—","Direction=H","UseDPDF=Y")</f>
        <v>140</v>
      </c>
      <c r="AB9" s="13">
        <f>_xll.BDH("XOM US Equity","BS_MKT_SEC_OTHER_ST_INVEST","FQ2 1996","FQ2 1996","Currency=USD","Period=FQ","BEST_FPERIOD_OVERRIDE=FQ","FILING_STATUS=OR","SCALING_FORMAT=MLN","Sort=A","Dates=H","DateFormat=P","Fill=—","Direction=H","UseDPDF=Y")</f>
        <v>102</v>
      </c>
      <c r="AC9" s="13">
        <f>_xll.BDH("XOM US Equity","BS_MKT_SEC_OTHER_ST_INVEST","FQ3 1996","FQ3 1996","Currency=USD","Period=FQ","BEST_FPERIOD_OVERRIDE=FQ","FILING_STATUS=OR","SCALING_FORMAT=MLN","Sort=A","Dates=H","DateFormat=P","Fill=—","Direction=H","UseDPDF=Y")</f>
        <v>23</v>
      </c>
      <c r="AD9" s="13">
        <f>_xll.BDH("XOM US Equity","BS_MKT_SEC_OTHER_ST_INVEST","FQ4 1996","FQ4 1996","Currency=USD","Period=FQ","BEST_FPERIOD_OVERRIDE=FQ","FILING_STATUS=OR","SCALING_FORMAT=MLN","Sort=A","Dates=H","DateFormat=P","Fill=—","Direction=H","UseDPDF=Y")</f>
        <v>18</v>
      </c>
      <c r="AE9" s="13">
        <f>_xll.BDH("XOM US Equity","BS_MKT_SEC_OTHER_ST_INVEST","FQ1 1997","FQ1 1997","Currency=USD","Period=FQ","BEST_FPERIOD_OVERRIDE=FQ","FILING_STATUS=OR","SCALING_FORMAT=MLN","Sort=A","Dates=H","DateFormat=P","Fill=—","Direction=H","UseDPDF=Y")</f>
        <v>19</v>
      </c>
      <c r="AF9" s="13">
        <f>_xll.BDH("XOM US Equity","BS_MKT_SEC_OTHER_ST_INVEST","FQ2 1997","FQ2 1997","Currency=USD","Period=FQ","BEST_FPERIOD_OVERRIDE=FQ","FILING_STATUS=OR","SCALING_FORMAT=MLN","Sort=A","Dates=H","DateFormat=P","Fill=—","Direction=H","UseDPDF=Y")</f>
        <v>22</v>
      </c>
      <c r="AG9" s="13">
        <f>_xll.BDH("XOM US Equity","BS_MKT_SEC_OTHER_ST_INVEST","FQ3 1997","FQ3 1997","Currency=USD","Period=FQ","BEST_FPERIOD_OVERRIDE=FQ","FILING_STATUS=OR","SCALING_FORMAT=MLN","Sort=A","Dates=H","DateFormat=P","Fill=—","Direction=H","UseDPDF=Y")</f>
        <v>18</v>
      </c>
      <c r="AH9" s="13">
        <f>_xll.BDH("XOM US Equity","BS_MKT_SEC_OTHER_ST_INVEST","FQ4 1997","FQ4 1997","Currency=USD","Period=FQ","BEST_FPERIOD_OVERRIDE=FQ","FILING_STATUS=OR","SCALING_FORMAT=MLN","Sort=A","Dates=H","DateFormat=P","Fill=—","Direction=H","UseDPDF=Y")</f>
        <v>15</v>
      </c>
      <c r="AI9" s="13">
        <f>_xll.BDH("XOM US Equity","BS_MKT_SEC_OTHER_ST_INVEST","FQ1 1998","FQ1 1998","Currency=USD","Period=FQ","BEST_FPERIOD_OVERRIDE=FQ","FILING_STATUS=OR","SCALING_FORMAT=MLN","Sort=A","Dates=H","DateFormat=P","Fill=—","Direction=H","UseDPDF=Y")</f>
        <v>20</v>
      </c>
      <c r="AJ9" s="13">
        <f>_xll.BDH("XOM US Equity","BS_MKT_SEC_OTHER_ST_INVEST","FQ2 1998","FQ2 1998","Currency=USD","Period=FQ","BEST_FPERIOD_OVERRIDE=FQ","FILING_STATUS=OR","SCALING_FORMAT=MLN","Sort=A","Dates=H","DateFormat=P","Fill=—","Direction=H","UseDPDF=Y")</f>
        <v>21</v>
      </c>
    </row>
    <row r="10" spans="1:36" x14ac:dyDescent="0.25">
      <c r="A10" s="10" t="s">
        <v>153</v>
      </c>
      <c r="B10" s="10" t="s">
        <v>154</v>
      </c>
      <c r="C10" s="13">
        <f>_xll.BDH("XOM US Equity","BS_ACCT_NOTE_RCV","FQ1 1990","FQ1 1990","Currency=USD","Period=FQ","BEST_FPERIOD_OVERRIDE=FQ","FILING_STATUS=OR","SCALING_FORMAT=MLN","Sort=A","Dates=H","DateFormat=P","Fill=—","Direction=H","UseDPDF=Y")</f>
        <v>7609</v>
      </c>
      <c r="D10" s="13">
        <f>_xll.BDH("XOM US Equity","BS_ACCT_NOTE_RCV","FQ2 1990","FQ2 1990","Currency=USD","Period=FQ","BEST_FPERIOD_OVERRIDE=FQ","FILING_STATUS=OR","SCALING_FORMAT=MLN","Sort=A","Dates=H","DateFormat=P","Fill=—","Direction=H","UseDPDF=Y")</f>
        <v>7050</v>
      </c>
      <c r="E10" s="13">
        <f>_xll.BDH("XOM US Equity","BS_ACCT_NOTE_RCV","FQ3 1990","FQ3 1990","Currency=USD","Period=FQ","BEST_FPERIOD_OVERRIDE=FQ","FILING_STATUS=OR","SCALING_FORMAT=MLN","Sort=A","Dates=H","DateFormat=P","Fill=—","Direction=H","UseDPDF=Y")</f>
        <v>8368</v>
      </c>
      <c r="F10" s="13">
        <f>_xll.BDH("XOM US Equity","BS_ACCT_NOTE_RCV","FQ4 1990","FQ4 1990","Currency=USD","Period=FQ","BEST_FPERIOD_OVERRIDE=FQ","FILING_STATUS=OR","SCALING_FORMAT=MLN","Sort=A","Dates=H","DateFormat=P","Fill=—","Direction=H","UseDPDF=Y")</f>
        <v>8045</v>
      </c>
      <c r="G10" s="13">
        <f>_xll.BDH("XOM US Equity","BS_ACCT_NOTE_RCV","FQ1 1991","FQ1 1991","Currency=USD","Period=FQ","BEST_FPERIOD_OVERRIDE=FQ","FILING_STATUS=OR","SCALING_FORMAT=MLN","Sort=A","Dates=H","DateFormat=P","Fill=—","Direction=H","UseDPDF=Y")</f>
        <v>8075</v>
      </c>
      <c r="H10" s="13">
        <f>_xll.BDH("XOM US Equity","BS_ACCT_NOTE_RCV","FQ2 1991","FQ2 1991","Currency=USD","Period=FQ","BEST_FPERIOD_OVERRIDE=FQ","FILING_STATUS=OR","SCALING_FORMAT=MLN","Sort=A","Dates=H","DateFormat=P","Fill=—","Direction=H","UseDPDF=Y")</f>
        <v>7681</v>
      </c>
      <c r="I10" s="13">
        <f>_xll.BDH("XOM US Equity","BS_ACCT_NOTE_RCV","FQ3 1991","FQ3 1991","Currency=USD","Period=FQ","BEST_FPERIOD_OVERRIDE=FQ","FILING_STATUS=OR","SCALING_FORMAT=MLN","Sort=A","Dates=H","DateFormat=P","Fill=—","Direction=H","UseDPDF=Y")</f>
        <v>7695</v>
      </c>
      <c r="J10" s="13">
        <f>_xll.BDH("XOM US Equity","BS_ACCT_NOTE_RCV","FQ4 1991","FQ4 1991","Currency=USD","Period=FQ","BEST_FPERIOD_OVERRIDE=FQ","FILING_STATUS=OR","SCALING_FORMAT=MLN","Sort=A","Dates=H","DateFormat=P","Fill=—","Direction=H","UseDPDF=Y")</f>
        <v>6733</v>
      </c>
      <c r="K10" s="13">
        <f>_xll.BDH("XOM US Equity","BS_ACCT_NOTE_RCV","FQ1 1992","FQ1 1992","Currency=USD","Period=FQ","BEST_FPERIOD_OVERRIDE=FQ","FILING_STATUS=OR","SCALING_FORMAT=MLN","Sort=A","Dates=H","DateFormat=P","Fill=—","Direction=H","UseDPDF=Y")</f>
        <v>7448</v>
      </c>
      <c r="L10" s="13">
        <f>_xll.BDH("XOM US Equity","BS_ACCT_NOTE_RCV","FQ2 1992","FQ2 1992","Currency=USD","Period=FQ","BEST_FPERIOD_OVERRIDE=FQ","FILING_STATUS=OR","SCALING_FORMAT=MLN","Sort=A","Dates=H","DateFormat=P","Fill=—","Direction=H","UseDPDF=Y")</f>
        <v>8020</v>
      </c>
      <c r="M10" s="13">
        <f>_xll.BDH("XOM US Equity","BS_ACCT_NOTE_RCV","FQ3 1992","FQ3 1992","Currency=USD","Period=FQ","BEST_FPERIOD_OVERRIDE=FQ","FILING_STATUS=OR","SCALING_FORMAT=MLN","Sort=A","Dates=H","DateFormat=P","Fill=—","Direction=H","UseDPDF=Y")</f>
        <v>8404</v>
      </c>
      <c r="N10" s="13">
        <f>_xll.BDH("XOM US Equity","BS_ACCT_NOTE_RCV","FQ4 1992","FQ4 1992","Currency=USD","Period=FQ","BEST_FPERIOD_OVERRIDE=FQ","FILING_STATUS=OR","SCALING_FORMAT=MLN","Sort=A","Dates=H","DateFormat=P","Fill=—","Direction=H","UseDPDF=Y")</f>
        <v>6392</v>
      </c>
      <c r="O10" s="13">
        <f>_xll.BDH("XOM US Equity","BS_ACCT_NOTE_RCV","FQ1 1993","FQ1 1993","Currency=USD","Period=FQ","BEST_FPERIOD_OVERRIDE=FQ","FILING_STATUS=OR","SCALING_FORMAT=MLN","Sort=A","Dates=H","DateFormat=P","Fill=—","Direction=H","UseDPDF=Y")</f>
        <v>7719</v>
      </c>
      <c r="P10" s="13">
        <f>_xll.BDH("XOM US Equity","BS_ACCT_NOTE_RCV","FQ2 1993","FQ2 1993","Currency=USD","Period=FQ","BEST_FPERIOD_OVERRIDE=FQ","FILING_STATUS=OR","SCALING_FORMAT=MLN","Sort=A","Dates=H","DateFormat=P","Fill=—","Direction=H","UseDPDF=Y")</f>
        <v>7488</v>
      </c>
      <c r="Q10" s="13">
        <f>_xll.BDH("XOM US Equity","BS_ACCT_NOTE_RCV","FQ3 1993","FQ3 1993","Currency=USD","Period=FQ","BEST_FPERIOD_OVERRIDE=FQ","FILING_STATUS=OR","SCALING_FORMAT=MLN","Sort=A","Dates=H","DateFormat=P","Fill=—","Direction=H","UseDPDF=Y")</f>
        <v>7415</v>
      </c>
      <c r="R10" s="13">
        <f>_xll.BDH("XOM US Equity","BS_ACCT_NOTE_RCV","FQ4 1993","FQ4 1993","Currency=USD","Period=FQ","BEST_FPERIOD_OVERRIDE=FQ","FILING_STATUS=OR","SCALING_FORMAT=MLN","Sort=A","Dates=H","DateFormat=P","Fill=—","Direction=H","UseDPDF=Y")</f>
        <v>5427</v>
      </c>
      <c r="S10" s="13">
        <f>_xll.BDH("XOM US Equity","BS_ACCT_NOTE_RCV","FQ1 1994","FQ1 1994","Currency=USD","Period=FQ","BEST_FPERIOD_OVERRIDE=FQ","FILING_STATUS=OR","SCALING_FORMAT=MLN","Sort=A","Dates=H","DateFormat=P","Fill=—","Direction=H","UseDPDF=Y")</f>
        <v>6972</v>
      </c>
      <c r="T10" s="13">
        <f>_xll.BDH("XOM US Equity","BS_ACCT_NOTE_RCV","FQ2 1994","FQ2 1994","Currency=USD","Period=FQ","BEST_FPERIOD_OVERRIDE=FQ","FILING_STATUS=OR","SCALING_FORMAT=MLN","Sort=A","Dates=H","DateFormat=P","Fill=—","Direction=H","UseDPDF=Y")</f>
        <v>7203</v>
      </c>
      <c r="U10" s="13">
        <f>_xll.BDH("XOM US Equity","BS_ACCT_NOTE_RCV","FQ3 1994","FQ3 1994","Currency=USD","Period=FQ","BEST_FPERIOD_OVERRIDE=FQ","FILING_STATUS=OR","SCALING_FORMAT=MLN","Sort=A","Dates=H","DateFormat=P","Fill=—","Direction=H","UseDPDF=Y")</f>
        <v>7315</v>
      </c>
      <c r="V10" s="13">
        <f>_xll.BDH("XOM US Equity","BS_ACCT_NOTE_RCV","FQ4 1994","FQ4 1994","Currency=USD","Period=FQ","BEST_FPERIOD_OVERRIDE=FQ","FILING_STATUS=OR","SCALING_FORMAT=MLN","Sort=A","Dates=H","DateFormat=P","Fill=—","Direction=H","UseDPDF=Y")</f>
        <v>6292</v>
      </c>
      <c r="W10" s="13">
        <f>_xll.BDH("XOM US Equity","BS_ACCT_NOTE_RCV","FQ1 1995","FQ1 1995","Currency=USD","Period=FQ","BEST_FPERIOD_OVERRIDE=FQ","FILING_STATUS=OR","SCALING_FORMAT=MLN","Sort=A","Dates=H","DateFormat=P","Fill=—","Direction=H","UseDPDF=Y")</f>
        <v>8431</v>
      </c>
      <c r="X10" s="13">
        <f>_xll.BDH("XOM US Equity","BS_ACCT_NOTE_RCV","FQ2 1995","FQ2 1995","Currency=USD","Period=FQ","BEST_FPERIOD_OVERRIDE=FQ","FILING_STATUS=OR","SCALING_FORMAT=MLN","Sort=A","Dates=H","DateFormat=P","Fill=—","Direction=H","UseDPDF=Y")</f>
        <v>8066</v>
      </c>
      <c r="Y10" s="13">
        <f>_xll.BDH("XOM US Equity","BS_ACCT_NOTE_RCV","FQ3 1995","FQ3 1995","Currency=USD","Period=FQ","BEST_FPERIOD_OVERRIDE=FQ","FILING_STATUS=OR","SCALING_FORMAT=MLN","Sort=A","Dates=H","DateFormat=P","Fill=—","Direction=H","UseDPDF=Y")</f>
        <v>8059</v>
      </c>
      <c r="Z10" s="13">
        <f>_xll.BDH("XOM US Equity","BS_ACCT_NOTE_RCV","FQ4 1995","FQ4 1995","Currency=USD","Period=FQ","BEST_FPERIOD_OVERRIDE=FQ","FILING_STATUS=OR","SCALING_FORMAT=MLN","Sort=A","Dates=H","DateFormat=P","Fill=—","Direction=H","UseDPDF=Y")</f>
        <v>6979</v>
      </c>
      <c r="AA10" s="13">
        <f>_xll.BDH("XOM US Equity","BS_ACCT_NOTE_RCV","FQ1 1996","FQ1 1996","Currency=USD","Period=FQ","BEST_FPERIOD_OVERRIDE=FQ","FILING_STATUS=OR","SCALING_FORMAT=MLN","Sort=A","Dates=H","DateFormat=P","Fill=—","Direction=H","UseDPDF=Y")</f>
        <v>8928</v>
      </c>
      <c r="AB10" s="13">
        <f>_xll.BDH("XOM US Equity","BS_ACCT_NOTE_RCV","FQ2 1996","FQ2 1996","Currency=USD","Period=FQ","BEST_FPERIOD_OVERRIDE=FQ","FILING_STATUS=OR","SCALING_FORMAT=MLN","Sort=A","Dates=H","DateFormat=P","Fill=—","Direction=H","UseDPDF=Y")</f>
        <v>8686</v>
      </c>
      <c r="AC10" s="13">
        <f>_xll.BDH("XOM US Equity","BS_ACCT_NOTE_RCV","FQ3 1996","FQ3 1996","Currency=USD","Period=FQ","BEST_FPERIOD_OVERRIDE=FQ","FILING_STATUS=OR","SCALING_FORMAT=MLN","Sort=A","Dates=H","DateFormat=P","Fill=—","Direction=H","UseDPDF=Y")</f>
        <v>9115</v>
      </c>
      <c r="AD10" s="13">
        <f>_xll.BDH("XOM US Equity","BS_ACCT_NOTE_RCV","FQ4 1996","FQ4 1996","Currency=USD","Period=FQ","BEST_FPERIOD_OVERRIDE=FQ","FILING_STATUS=OR","SCALING_FORMAT=MLN","Sort=A","Dates=H","DateFormat=P","Fill=—","Direction=H","UseDPDF=Y")</f>
        <v>7993</v>
      </c>
      <c r="AE10" s="13">
        <f>_xll.BDH("XOM US Equity","BS_ACCT_NOTE_RCV","FQ1 1997","FQ1 1997","Currency=USD","Period=FQ","BEST_FPERIOD_OVERRIDE=FQ","FILING_STATUS=OR","SCALING_FORMAT=MLN","Sort=A","Dates=H","DateFormat=P","Fill=—","Direction=H","UseDPDF=Y")</f>
        <v>10347</v>
      </c>
      <c r="AF10" s="13">
        <f>_xll.BDH("XOM US Equity","BS_ACCT_NOTE_RCV","FQ2 1997","FQ2 1997","Currency=USD","Period=FQ","BEST_FPERIOD_OVERRIDE=FQ","FILING_STATUS=OR","SCALING_FORMAT=MLN","Sort=A","Dates=H","DateFormat=P","Fill=—","Direction=H","UseDPDF=Y")</f>
        <v>9814</v>
      </c>
      <c r="AG10" s="13">
        <f>_xll.BDH("XOM US Equity","BS_ACCT_NOTE_RCV","FQ3 1997","FQ3 1997","Currency=USD","Period=FQ","BEST_FPERIOD_OVERRIDE=FQ","FILING_STATUS=OR","SCALING_FORMAT=MLN","Sort=A","Dates=H","DateFormat=P","Fill=—","Direction=H","UseDPDF=Y")</f>
        <v>10248</v>
      </c>
      <c r="AH10" s="13">
        <f>_xll.BDH("XOM US Equity","BS_ACCT_NOTE_RCV","FQ4 1997","FQ4 1997","Currency=USD","Period=FQ","BEST_FPERIOD_OVERRIDE=FQ","FILING_STATUS=OR","SCALING_FORMAT=MLN","Sort=A","Dates=H","DateFormat=P","Fill=—","Direction=H","UseDPDF=Y")</f>
        <v>7989</v>
      </c>
      <c r="AI10" s="13">
        <f>_xll.BDH("XOM US Equity","BS_ACCT_NOTE_RCV","FQ1 1998","FQ1 1998","Currency=USD","Period=FQ","BEST_FPERIOD_OVERRIDE=FQ","FILING_STATUS=OR","SCALING_FORMAT=MLN","Sort=A","Dates=H","DateFormat=P","Fill=—","Direction=H","UseDPDF=Y")</f>
        <v>7166</v>
      </c>
      <c r="AJ10" s="13">
        <f>_xll.BDH("XOM US Equity","BS_ACCT_NOTE_RCV","FQ2 1998","FQ2 1998","Currency=USD","Period=FQ","BEST_FPERIOD_OVERRIDE=FQ","FILING_STATUS=OR","SCALING_FORMAT=MLN","Sort=A","Dates=H","DateFormat=P","Fill=—","Direction=H","UseDPDF=Y")</f>
        <v>6522</v>
      </c>
    </row>
    <row r="11" spans="1:36" x14ac:dyDescent="0.25">
      <c r="A11" s="10" t="s">
        <v>155</v>
      </c>
      <c r="B11" s="10" t="s">
        <v>156</v>
      </c>
      <c r="C11" s="13">
        <f>_xll.BDH("XOM US Equity","BS_INVENTORIES","FQ1 1990","FQ1 1990","Currency=USD","Period=FQ","BEST_FPERIOD_OVERRIDE=FQ","FILING_STATUS=OR","SCALING_FORMAT=MLN","Sort=A","Dates=H","DateFormat=P","Fill=—","Direction=H","UseDPDF=Y")</f>
        <v>5624</v>
      </c>
      <c r="D11" s="13">
        <f>_xll.BDH("XOM US Equity","BS_INVENTORIES","FQ2 1990","FQ2 1990","Currency=USD","Period=FQ","BEST_FPERIOD_OVERRIDE=FQ","FILING_STATUS=OR","SCALING_FORMAT=MLN","Sort=A","Dates=H","DateFormat=P","Fill=—","Direction=H","UseDPDF=Y")</f>
        <v>5708</v>
      </c>
      <c r="E11" s="13">
        <f>_xll.BDH("XOM US Equity","BS_INVENTORIES","FQ3 1990","FQ3 1990","Currency=USD","Period=FQ","BEST_FPERIOD_OVERRIDE=FQ","FILING_STATUS=OR","SCALING_FORMAT=MLN","Sort=A","Dates=H","DateFormat=P","Fill=—","Direction=H","UseDPDF=Y")</f>
        <v>6277</v>
      </c>
      <c r="F11" s="13">
        <f>_xll.BDH("XOM US Equity","BS_INVENTORIES","FQ4 1990","FQ4 1990","Currency=USD","Period=FQ","BEST_FPERIOD_OVERRIDE=FQ","FILING_STATUS=OR","SCALING_FORMAT=MLN","Sort=A","Dates=H","DateFormat=P","Fill=—","Direction=H","UseDPDF=Y")</f>
        <v>6386</v>
      </c>
      <c r="G11" s="13">
        <f>_xll.BDH("XOM US Equity","BS_INVENTORIES","FQ1 1991","FQ1 1991","Currency=USD","Period=FQ","BEST_FPERIOD_OVERRIDE=FQ","FILING_STATUS=OR","SCALING_FORMAT=MLN","Sort=A","Dates=H","DateFormat=P","Fill=—","Direction=H","UseDPDF=Y")</f>
        <v>6088</v>
      </c>
      <c r="H11" s="13">
        <f>_xll.BDH("XOM US Equity","BS_INVENTORIES","FQ2 1991","FQ2 1991","Currency=USD","Period=FQ","BEST_FPERIOD_OVERRIDE=FQ","FILING_STATUS=OR","SCALING_FORMAT=MLN","Sort=A","Dates=H","DateFormat=P","Fill=—","Direction=H","UseDPDF=Y")</f>
        <v>5753</v>
      </c>
      <c r="I11" s="13">
        <f>_xll.BDH("XOM US Equity","BS_INVENTORIES","FQ3 1991","FQ3 1991","Currency=USD","Period=FQ","BEST_FPERIOD_OVERRIDE=FQ","FILING_STATUS=OR","SCALING_FORMAT=MLN","Sort=A","Dates=H","DateFormat=P","Fill=—","Direction=H","UseDPDF=Y")</f>
        <v>6135</v>
      </c>
      <c r="J11" s="13">
        <f>_xll.BDH("XOM US Equity","BS_INVENTORIES","FQ4 1991","FQ4 1991","Currency=USD","Period=FQ","BEST_FPERIOD_OVERRIDE=FQ","FILING_STATUS=OR","SCALING_FORMAT=MLN","Sort=A","Dates=H","DateFormat=P","Fill=—","Direction=H","UseDPDF=Y")</f>
        <v>6081</v>
      </c>
      <c r="K11" s="13">
        <f>_xll.BDH("XOM US Equity","BS_INVENTORIES","FQ1 1992","FQ1 1992","Currency=USD","Period=FQ","BEST_FPERIOD_OVERRIDE=FQ","FILING_STATUS=OR","SCALING_FORMAT=MLN","Sort=A","Dates=H","DateFormat=P","Fill=—","Direction=H","UseDPDF=Y")</f>
        <v>5722</v>
      </c>
      <c r="L11" s="13">
        <f>_xll.BDH("XOM US Equity","BS_INVENTORIES","FQ2 1992","FQ2 1992","Currency=USD","Period=FQ","BEST_FPERIOD_OVERRIDE=FQ","FILING_STATUS=OR","SCALING_FORMAT=MLN","Sort=A","Dates=H","DateFormat=P","Fill=—","Direction=H","UseDPDF=Y")</f>
        <v>6149</v>
      </c>
      <c r="M11" s="13">
        <f>_xll.BDH("XOM US Equity","BS_INVENTORIES","FQ3 1992","FQ3 1992","Currency=USD","Period=FQ","BEST_FPERIOD_OVERRIDE=FQ","FILING_STATUS=OR","SCALING_FORMAT=MLN","Sort=A","Dates=H","DateFormat=P","Fill=—","Direction=H","UseDPDF=Y")</f>
        <v>6357</v>
      </c>
      <c r="N11" s="13">
        <f>_xll.BDH("XOM US Equity","BS_INVENTORIES","FQ4 1992","FQ4 1992","Currency=USD","Period=FQ","BEST_FPERIOD_OVERRIDE=FQ","FILING_STATUS=OR","SCALING_FORMAT=MLN","Sort=A","Dates=H","DateFormat=P","Fill=—","Direction=H","UseDPDF=Y")</f>
        <v>5807</v>
      </c>
      <c r="O11" s="13">
        <f>_xll.BDH("XOM US Equity","BS_INVENTORIES","FQ1 1993","FQ1 1993","Currency=USD","Period=FQ","BEST_FPERIOD_OVERRIDE=FQ","FILING_STATUS=OR","SCALING_FORMAT=MLN","Sort=A","Dates=H","DateFormat=P","Fill=—","Direction=H","UseDPDF=Y")</f>
        <v>5582</v>
      </c>
      <c r="P11" s="13">
        <f>_xll.BDH("XOM US Equity","BS_INVENTORIES","FQ2 1993","FQ2 1993","Currency=USD","Period=FQ","BEST_FPERIOD_OVERRIDE=FQ","FILING_STATUS=OR","SCALING_FORMAT=MLN","Sort=A","Dates=H","DateFormat=P","Fill=—","Direction=H","UseDPDF=Y")</f>
        <v>5491</v>
      </c>
      <c r="Q11" s="13">
        <f>_xll.BDH("XOM US Equity","BS_INVENTORIES","FQ3 1993","FQ3 1993","Currency=USD","Period=FQ","BEST_FPERIOD_OVERRIDE=FQ","FILING_STATUS=OR","SCALING_FORMAT=MLN","Sort=A","Dates=H","DateFormat=P","Fill=—","Direction=H","UseDPDF=Y")</f>
        <v>5406</v>
      </c>
      <c r="R11" s="13">
        <f>_xll.BDH("XOM US Equity","BS_INVENTORIES","FQ4 1993","FQ4 1993","Currency=USD","Period=FQ","BEST_FPERIOD_OVERRIDE=FQ","FILING_STATUS=OR","SCALING_FORMAT=MLN","Sort=A","Dates=H","DateFormat=P","Fill=—","Direction=H","UseDPDF=Y")</f>
        <v>5472</v>
      </c>
      <c r="S11" s="13">
        <f>_xll.BDH("XOM US Equity","BS_INVENTORIES","FQ1 1994","FQ1 1994","Currency=USD","Period=FQ","BEST_FPERIOD_OVERRIDE=FQ","FILING_STATUS=OR","SCALING_FORMAT=MLN","Sort=A","Dates=H","DateFormat=P","Fill=—","Direction=H","UseDPDF=Y")</f>
        <v>5219</v>
      </c>
      <c r="T11" s="13">
        <f>_xll.BDH("XOM US Equity","BS_INVENTORIES","FQ2 1994","FQ2 1994","Currency=USD","Period=FQ","BEST_FPERIOD_OVERRIDE=FQ","FILING_STATUS=OR","SCALING_FORMAT=MLN","Sort=A","Dates=H","DateFormat=P","Fill=—","Direction=H","UseDPDF=Y")</f>
        <v>5469</v>
      </c>
      <c r="U11" s="13">
        <f>_xll.BDH("XOM US Equity","BS_INVENTORIES","FQ3 1994","FQ3 1994","Currency=USD","Period=FQ","BEST_FPERIOD_OVERRIDE=FQ","FILING_STATUS=OR","SCALING_FORMAT=MLN","Sort=A","Dates=H","DateFormat=P","Fill=—","Direction=H","UseDPDF=Y")</f>
        <v>5565</v>
      </c>
      <c r="V11" s="13">
        <f>_xll.BDH("XOM US Equity","BS_INVENTORIES","FQ4 1994","FQ4 1994","Currency=USD","Period=FQ","BEST_FPERIOD_OVERRIDE=FQ","FILING_STATUS=OR","SCALING_FORMAT=MLN","Sort=A","Dates=H","DateFormat=P","Fill=—","Direction=H","UseDPDF=Y")</f>
        <v>5541</v>
      </c>
      <c r="W11" s="13">
        <f>_xll.BDH("XOM US Equity","BS_INVENTORIES","FQ1 1995","FQ1 1995","Currency=USD","Period=FQ","BEST_FPERIOD_OVERRIDE=FQ","FILING_STATUS=OR","SCALING_FORMAT=MLN","Sort=A","Dates=H","DateFormat=P","Fill=—","Direction=H","UseDPDF=Y")</f>
        <v>5522</v>
      </c>
      <c r="X11" s="13">
        <f>_xll.BDH("XOM US Equity","BS_INVENTORIES","FQ2 1995","FQ2 1995","Currency=USD","Period=FQ","BEST_FPERIOD_OVERRIDE=FQ","FILING_STATUS=OR","SCALING_FORMAT=MLN","Sort=A","Dates=H","DateFormat=P","Fill=—","Direction=H","UseDPDF=Y")</f>
        <v>5897</v>
      </c>
      <c r="Y11" s="13">
        <f>_xll.BDH("XOM US Equity","BS_INVENTORIES","FQ3 1995","FQ3 1995","Currency=USD","Period=FQ","BEST_FPERIOD_OVERRIDE=FQ","FILING_STATUS=OR","SCALING_FORMAT=MLN","Sort=A","Dates=H","DateFormat=P","Fill=—","Direction=H","UseDPDF=Y")</f>
        <v>5877</v>
      </c>
      <c r="Z11" s="13">
        <f>_xll.BDH("XOM US Equity","BS_INVENTORIES","FQ4 1995","FQ4 1995","Currency=USD","Period=FQ","BEST_FPERIOD_OVERRIDE=FQ","FILING_STATUS=OR","SCALING_FORMAT=MLN","Sort=A","Dates=H","DateFormat=P","Fill=—","Direction=H","UseDPDF=Y")</f>
        <v>5681</v>
      </c>
      <c r="AA11" s="13">
        <f>_xll.BDH("XOM US Equity","BS_INVENTORIES","FQ1 1996","FQ1 1996","Currency=USD","Period=FQ","BEST_FPERIOD_OVERRIDE=FQ","FILING_STATUS=OR","SCALING_FORMAT=MLN","Sort=A","Dates=H","DateFormat=P","Fill=—","Direction=H","UseDPDF=Y")</f>
        <v>5339</v>
      </c>
      <c r="AB11" s="13">
        <f>_xll.BDH("XOM US Equity","BS_INVENTORIES","FQ2 1996","FQ2 1996","Currency=USD","Period=FQ","BEST_FPERIOD_OVERRIDE=FQ","FILING_STATUS=OR","SCALING_FORMAT=MLN","Sort=A","Dates=H","DateFormat=P","Fill=—","Direction=H","UseDPDF=Y")</f>
        <v>5355</v>
      </c>
      <c r="AC11" s="13">
        <f>_xll.BDH("XOM US Equity","BS_INVENTORIES","FQ3 1996","FQ3 1996","Currency=USD","Period=FQ","BEST_FPERIOD_OVERRIDE=FQ","FILING_STATUS=OR","SCALING_FORMAT=MLN","Sort=A","Dates=H","DateFormat=P","Fill=—","Direction=H","UseDPDF=Y")</f>
        <v>5468</v>
      </c>
      <c r="AD11" s="13">
        <f>_xll.BDH("XOM US Equity","BS_INVENTORIES","FQ4 1996","FQ4 1996","Currency=USD","Period=FQ","BEST_FPERIOD_OVERRIDE=FQ","FILING_STATUS=OR","SCALING_FORMAT=MLN","Sort=A","Dates=H","DateFormat=P","Fill=—","Direction=H","UseDPDF=Y")</f>
        <v>5285</v>
      </c>
      <c r="AE11" s="13">
        <f>_xll.BDH("XOM US Equity","BS_INVENTORIES","FQ1 1997","FQ1 1997","Currency=USD","Period=FQ","BEST_FPERIOD_OVERRIDE=FQ","FILING_STATUS=OR","SCALING_FORMAT=MLN","Sort=A","Dates=H","DateFormat=P","Fill=—","Direction=H","UseDPDF=Y")</f>
        <v>5064</v>
      </c>
      <c r="AF11" s="13">
        <f>_xll.BDH("XOM US Equity","BS_INVENTORIES","FQ2 1997","FQ2 1997","Currency=USD","Period=FQ","BEST_FPERIOD_OVERRIDE=FQ","FILING_STATUS=OR","SCALING_FORMAT=MLN","Sort=A","Dates=H","DateFormat=P","Fill=—","Direction=H","UseDPDF=Y")</f>
        <v>5136</v>
      </c>
      <c r="AG11" s="13">
        <f>_xll.BDH("XOM US Equity","BS_INVENTORIES","FQ3 1997","FQ3 1997","Currency=USD","Period=FQ","BEST_FPERIOD_OVERRIDE=FQ","FILING_STATUS=OR","SCALING_FORMAT=MLN","Sort=A","Dates=H","DateFormat=P","Fill=—","Direction=H","UseDPDF=Y")</f>
        <v>5486</v>
      </c>
      <c r="AH11" s="13">
        <f>_xll.BDH("XOM US Equity","BS_INVENTORIES","FQ4 1997","FQ4 1997","Currency=USD","Period=FQ","BEST_FPERIOD_OVERRIDE=FQ","FILING_STATUS=OR","SCALING_FORMAT=MLN","Sort=A","Dates=H","DateFormat=P","Fill=—","Direction=H","UseDPDF=Y")</f>
        <v>5487</v>
      </c>
      <c r="AI11" s="13">
        <f>_xll.BDH("XOM US Equity","BS_INVENTORIES","FQ1 1998","FQ1 1998","Currency=USD","Period=FQ","BEST_FPERIOD_OVERRIDE=FQ","FILING_STATUS=OR","SCALING_FORMAT=MLN","Sort=A","Dates=H","DateFormat=P","Fill=—","Direction=H","UseDPDF=Y")</f>
        <v>5209</v>
      </c>
      <c r="AJ11" s="13">
        <f>_xll.BDH("XOM US Equity","BS_INVENTORIES","FQ2 1998","FQ2 1998","Currency=USD","Period=FQ","BEST_FPERIOD_OVERRIDE=FQ","FILING_STATUS=OR","SCALING_FORMAT=MLN","Sort=A","Dates=H","DateFormat=P","Fill=—","Direction=H","UseDPDF=Y")</f>
        <v>5119</v>
      </c>
    </row>
    <row r="12" spans="1:36" x14ac:dyDescent="0.25">
      <c r="A12" s="10" t="s">
        <v>157</v>
      </c>
      <c r="B12" s="10" t="s">
        <v>158</v>
      </c>
      <c r="C12" s="13" t="str">
        <f>_xll.BDH("XOM US Equity","INVTRY_RAW_MATERIALS","FQ1 1990","FQ1 1990","Currency=USD","Period=FQ","BEST_FPERIOD_OVERRIDE=FQ","FILING_STATUS=OR","SCALING_FORMAT=MLN","Sort=A","Dates=H","DateFormat=P","Fill=—","Direction=H","UseDPDF=Y")</f>
        <v>—</v>
      </c>
      <c r="D12" s="13" t="str">
        <f>_xll.BDH("XOM US Equity","INVTRY_RAW_MATERIALS","FQ2 1990","FQ2 1990","Currency=USD","Period=FQ","BEST_FPERIOD_OVERRIDE=FQ","FILING_STATUS=OR","SCALING_FORMAT=MLN","Sort=A","Dates=H","DateFormat=P","Fill=—","Direction=H","UseDPDF=Y")</f>
        <v>—</v>
      </c>
      <c r="E12" s="13" t="str">
        <f>_xll.BDH("XOM US Equity","INVTRY_RAW_MATERIALS","FQ3 1990","FQ3 1990","Currency=USD","Period=FQ","BEST_FPERIOD_OVERRIDE=FQ","FILING_STATUS=OR","SCALING_FORMAT=MLN","Sort=A","Dates=H","DateFormat=P","Fill=—","Direction=H","UseDPDF=Y")</f>
        <v>—</v>
      </c>
      <c r="F12" s="13" t="str">
        <f>_xll.BDH("XOM US Equity","INVTRY_RAW_MATERIALS","FQ4 1990","FQ4 1990","Currency=USD","Period=FQ","BEST_FPERIOD_OVERRIDE=FQ","FILING_STATUS=OR","SCALING_FORMAT=MLN","Sort=A","Dates=H","DateFormat=P","Fill=—","Direction=H","UseDPDF=Y")</f>
        <v>—</v>
      </c>
      <c r="G12" s="13" t="str">
        <f>_xll.BDH("XOM US Equity","INVTRY_RAW_MATERIALS","FQ1 1991","FQ1 1991","Currency=USD","Period=FQ","BEST_FPERIOD_OVERRIDE=FQ","FILING_STATUS=OR","SCALING_FORMAT=MLN","Sort=A","Dates=H","DateFormat=P","Fill=—","Direction=H","UseDPDF=Y")</f>
        <v>—</v>
      </c>
      <c r="H12" s="13" t="str">
        <f>_xll.BDH("XOM US Equity","INVTRY_RAW_MATERIALS","FQ2 1991","FQ2 1991","Currency=USD","Period=FQ","BEST_FPERIOD_OVERRIDE=FQ","FILING_STATUS=OR","SCALING_FORMAT=MLN","Sort=A","Dates=H","DateFormat=P","Fill=—","Direction=H","UseDPDF=Y")</f>
        <v>—</v>
      </c>
      <c r="I12" s="13" t="str">
        <f>_xll.BDH("XOM US Equity","INVTRY_RAW_MATERIALS","FQ3 1991","FQ3 1991","Currency=USD","Period=FQ","BEST_FPERIOD_OVERRIDE=FQ","FILING_STATUS=OR","SCALING_FORMAT=MLN","Sort=A","Dates=H","DateFormat=P","Fill=—","Direction=H","UseDPDF=Y")</f>
        <v>—</v>
      </c>
      <c r="J12" s="13" t="str">
        <f>_xll.BDH("XOM US Equity","INVTRY_RAW_MATERIALS","FQ4 1991","FQ4 1991","Currency=USD","Period=FQ","BEST_FPERIOD_OVERRIDE=FQ","FILING_STATUS=OR","SCALING_FORMAT=MLN","Sort=A","Dates=H","DateFormat=P","Fill=—","Direction=H","UseDPDF=Y")</f>
        <v>—</v>
      </c>
      <c r="K12" s="13" t="str">
        <f>_xll.BDH("XOM US Equity","INVTRY_RAW_MATERIALS","FQ1 1992","FQ1 1992","Currency=USD","Period=FQ","BEST_FPERIOD_OVERRIDE=FQ","FILING_STATUS=OR","SCALING_FORMAT=MLN","Sort=A","Dates=H","DateFormat=P","Fill=—","Direction=H","UseDPDF=Y")</f>
        <v>—</v>
      </c>
      <c r="L12" s="13" t="str">
        <f>_xll.BDH("XOM US Equity","INVTRY_RAW_MATERIALS","FQ2 1992","FQ2 1992","Currency=USD","Period=FQ","BEST_FPERIOD_OVERRIDE=FQ","FILING_STATUS=OR","SCALING_FORMAT=MLN","Sort=A","Dates=H","DateFormat=P","Fill=—","Direction=H","UseDPDF=Y")</f>
        <v>—</v>
      </c>
      <c r="M12" s="13" t="str">
        <f>_xll.BDH("XOM US Equity","INVTRY_RAW_MATERIALS","FQ3 1992","FQ3 1992","Currency=USD","Period=FQ","BEST_FPERIOD_OVERRIDE=FQ","FILING_STATUS=OR","SCALING_FORMAT=MLN","Sort=A","Dates=H","DateFormat=P","Fill=—","Direction=H","UseDPDF=Y")</f>
        <v>—</v>
      </c>
      <c r="N12" s="13" t="str">
        <f>_xll.BDH("XOM US Equity","INVTRY_RAW_MATERIALS","FQ4 1992","FQ4 1992","Currency=USD","Period=FQ","BEST_FPERIOD_OVERRIDE=FQ","FILING_STATUS=OR","SCALING_FORMAT=MLN","Sort=A","Dates=H","DateFormat=P","Fill=—","Direction=H","UseDPDF=Y")</f>
        <v>—</v>
      </c>
      <c r="O12" s="13" t="str">
        <f>_xll.BDH("XOM US Equity","INVTRY_RAW_MATERIALS","FQ1 1993","FQ1 1993","Currency=USD","Period=FQ","BEST_FPERIOD_OVERRIDE=FQ","FILING_STATUS=OR","SCALING_FORMAT=MLN","Sort=A","Dates=H","DateFormat=P","Fill=—","Direction=H","UseDPDF=Y")</f>
        <v>—</v>
      </c>
      <c r="P12" s="13" t="str">
        <f>_xll.BDH("XOM US Equity","INVTRY_RAW_MATERIALS","FQ2 1993","FQ2 1993","Currency=USD","Period=FQ","BEST_FPERIOD_OVERRIDE=FQ","FILING_STATUS=OR","SCALING_FORMAT=MLN","Sort=A","Dates=H","DateFormat=P","Fill=—","Direction=H","UseDPDF=Y")</f>
        <v>—</v>
      </c>
      <c r="Q12" s="13" t="str">
        <f>_xll.BDH("XOM US Equity","INVTRY_RAW_MATERIALS","FQ3 1993","FQ3 1993","Currency=USD","Period=FQ","BEST_FPERIOD_OVERRIDE=FQ","FILING_STATUS=OR","SCALING_FORMAT=MLN","Sort=A","Dates=H","DateFormat=P","Fill=—","Direction=H","UseDPDF=Y")</f>
        <v>—</v>
      </c>
      <c r="R12" s="13" t="str">
        <f>_xll.BDH("XOM US Equity","INVTRY_RAW_MATERIALS","FQ4 1993","FQ4 1993","Currency=USD","Period=FQ","BEST_FPERIOD_OVERRIDE=FQ","FILING_STATUS=OR","SCALING_FORMAT=MLN","Sort=A","Dates=H","DateFormat=P","Fill=—","Direction=H","UseDPDF=Y")</f>
        <v>—</v>
      </c>
      <c r="S12" s="13" t="str">
        <f>_xll.BDH("XOM US Equity","INVTRY_RAW_MATERIALS","FQ1 1994","FQ1 1994","Currency=USD","Period=FQ","BEST_FPERIOD_OVERRIDE=FQ","FILING_STATUS=OR","SCALING_FORMAT=MLN","Sort=A","Dates=H","DateFormat=P","Fill=—","Direction=H","UseDPDF=Y")</f>
        <v>—</v>
      </c>
      <c r="T12" s="13" t="str">
        <f>_xll.BDH("XOM US Equity","INVTRY_RAW_MATERIALS","FQ2 1994","FQ2 1994","Currency=USD","Period=FQ","BEST_FPERIOD_OVERRIDE=FQ","FILING_STATUS=OR","SCALING_FORMAT=MLN","Sort=A","Dates=H","DateFormat=P","Fill=—","Direction=H","UseDPDF=Y")</f>
        <v>—</v>
      </c>
      <c r="U12" s="13" t="str">
        <f>_xll.BDH("XOM US Equity","INVTRY_RAW_MATERIALS","FQ3 1994","FQ3 1994","Currency=USD","Period=FQ","BEST_FPERIOD_OVERRIDE=FQ","FILING_STATUS=OR","SCALING_FORMAT=MLN","Sort=A","Dates=H","DateFormat=P","Fill=—","Direction=H","UseDPDF=Y")</f>
        <v>—</v>
      </c>
      <c r="V12" s="13" t="str">
        <f>_xll.BDH("XOM US Equity","INVTRY_RAW_MATERIALS","FQ4 1994","FQ4 1994","Currency=USD","Period=FQ","BEST_FPERIOD_OVERRIDE=FQ","FILING_STATUS=OR","SCALING_FORMAT=MLN","Sort=A","Dates=H","DateFormat=P","Fill=—","Direction=H","UseDPDF=Y")</f>
        <v>—</v>
      </c>
      <c r="W12" s="13" t="str">
        <f>_xll.BDH("XOM US Equity","INVTRY_RAW_MATERIALS","FQ1 1995","FQ1 1995","Currency=USD","Period=FQ","BEST_FPERIOD_OVERRIDE=FQ","FILING_STATUS=OR","SCALING_FORMAT=MLN","Sort=A","Dates=H","DateFormat=P","Fill=—","Direction=H","UseDPDF=Y")</f>
        <v>—</v>
      </c>
      <c r="X12" s="13" t="str">
        <f>_xll.BDH("XOM US Equity","INVTRY_RAW_MATERIALS","FQ2 1995","FQ2 1995","Currency=USD","Period=FQ","BEST_FPERIOD_OVERRIDE=FQ","FILING_STATUS=OR","SCALING_FORMAT=MLN","Sort=A","Dates=H","DateFormat=P","Fill=—","Direction=H","UseDPDF=Y")</f>
        <v>—</v>
      </c>
      <c r="Y12" s="13" t="str">
        <f>_xll.BDH("XOM US Equity","INVTRY_RAW_MATERIALS","FQ3 1995","FQ3 1995","Currency=USD","Period=FQ","BEST_FPERIOD_OVERRIDE=FQ","FILING_STATUS=OR","SCALING_FORMAT=MLN","Sort=A","Dates=H","DateFormat=P","Fill=—","Direction=H","UseDPDF=Y")</f>
        <v>—</v>
      </c>
      <c r="Z12" s="13" t="str">
        <f>_xll.BDH("XOM US Equity","INVTRY_RAW_MATERIALS","FQ4 1995","FQ4 1995","Currency=USD","Period=FQ","BEST_FPERIOD_OVERRIDE=FQ","FILING_STATUS=OR","SCALING_FORMAT=MLN","Sort=A","Dates=H","DateFormat=P","Fill=—","Direction=H","UseDPDF=Y")</f>
        <v>—</v>
      </c>
      <c r="AA12" s="13" t="str">
        <f>_xll.BDH("XOM US Equity","INVTRY_RAW_MATERIALS","FQ1 1996","FQ1 1996","Currency=USD","Period=FQ","BEST_FPERIOD_OVERRIDE=FQ","FILING_STATUS=OR","SCALING_FORMAT=MLN","Sort=A","Dates=H","DateFormat=P","Fill=—","Direction=H","UseDPDF=Y")</f>
        <v>—</v>
      </c>
      <c r="AB12" s="13" t="str">
        <f>_xll.BDH("XOM US Equity","INVTRY_RAW_MATERIALS","FQ2 1996","FQ2 1996","Currency=USD","Period=FQ","BEST_FPERIOD_OVERRIDE=FQ","FILING_STATUS=OR","SCALING_FORMAT=MLN","Sort=A","Dates=H","DateFormat=P","Fill=—","Direction=H","UseDPDF=Y")</f>
        <v>—</v>
      </c>
      <c r="AC12" s="13" t="str">
        <f>_xll.BDH("XOM US Equity","INVTRY_RAW_MATERIALS","FQ3 1996","FQ3 1996","Currency=USD","Period=FQ","BEST_FPERIOD_OVERRIDE=FQ","FILING_STATUS=OR","SCALING_FORMAT=MLN","Sort=A","Dates=H","DateFormat=P","Fill=—","Direction=H","UseDPDF=Y")</f>
        <v>—</v>
      </c>
      <c r="AD12" s="13" t="str">
        <f>_xll.BDH("XOM US Equity","INVTRY_RAW_MATERIALS","FQ4 1996","FQ4 1996","Currency=USD","Period=FQ","BEST_FPERIOD_OVERRIDE=FQ","FILING_STATUS=OR","SCALING_FORMAT=MLN","Sort=A","Dates=H","DateFormat=P","Fill=—","Direction=H","UseDPDF=Y")</f>
        <v>—</v>
      </c>
      <c r="AE12" s="13" t="str">
        <f>_xll.BDH("XOM US Equity","INVTRY_RAW_MATERIALS","FQ1 1997","FQ1 1997","Currency=USD","Period=FQ","BEST_FPERIOD_OVERRIDE=FQ","FILING_STATUS=OR","SCALING_FORMAT=MLN","Sort=A","Dates=H","DateFormat=P","Fill=—","Direction=H","UseDPDF=Y")</f>
        <v>—</v>
      </c>
      <c r="AF12" s="13" t="str">
        <f>_xll.BDH("XOM US Equity","INVTRY_RAW_MATERIALS","FQ2 1997","FQ2 1997","Currency=USD","Period=FQ","BEST_FPERIOD_OVERRIDE=FQ","FILING_STATUS=OR","SCALING_FORMAT=MLN","Sort=A","Dates=H","DateFormat=P","Fill=—","Direction=H","UseDPDF=Y")</f>
        <v>—</v>
      </c>
      <c r="AG12" s="13" t="str">
        <f>_xll.BDH("XOM US Equity","INVTRY_RAW_MATERIALS","FQ3 1997","FQ3 1997","Currency=USD","Period=FQ","BEST_FPERIOD_OVERRIDE=FQ","FILING_STATUS=OR","SCALING_FORMAT=MLN","Sort=A","Dates=H","DateFormat=P","Fill=—","Direction=H","UseDPDF=Y")</f>
        <v>—</v>
      </c>
      <c r="AH12" s="13" t="str">
        <f>_xll.BDH("XOM US Equity","INVTRY_RAW_MATERIALS","FQ4 1997","FQ4 1997","Currency=USD","Period=FQ","BEST_FPERIOD_OVERRIDE=FQ","FILING_STATUS=OR","SCALING_FORMAT=MLN","Sort=A","Dates=H","DateFormat=P","Fill=—","Direction=H","UseDPDF=Y")</f>
        <v>—</v>
      </c>
      <c r="AI12" s="13" t="str">
        <f>_xll.BDH("XOM US Equity","INVTRY_RAW_MATERIALS","FQ1 1998","FQ1 1998","Currency=USD","Period=FQ","BEST_FPERIOD_OVERRIDE=FQ","FILING_STATUS=OR","SCALING_FORMAT=MLN","Sort=A","Dates=H","DateFormat=P","Fill=—","Direction=H","UseDPDF=Y")</f>
        <v>—</v>
      </c>
      <c r="AJ12" s="13">
        <f>_xll.BDH("XOM US Equity","INVTRY_RAW_MATERIALS","FQ2 1998","FQ2 1998","Currency=USD","Period=FQ","BEST_FPERIOD_OVERRIDE=FQ","FILING_STATUS=OR","SCALING_FORMAT=MLN","Sort=A","Dates=H","DateFormat=P","Fill=—","Direction=H","UseDPDF=Y")</f>
        <v>736</v>
      </c>
    </row>
    <row r="13" spans="1:36" x14ac:dyDescent="0.25">
      <c r="A13" s="10" t="s">
        <v>159</v>
      </c>
      <c r="B13" s="10" t="s">
        <v>160</v>
      </c>
      <c r="C13" s="13" t="str">
        <f>_xll.BDH("XOM US Equity","INVTRY_IN_PROGRESS","FQ1 1990","FQ1 1990","Currency=USD","Period=FQ","BEST_FPERIOD_OVERRIDE=FQ","FILING_STATUS=OR","SCALING_FORMAT=MLN","Sort=A","Dates=H","DateFormat=P","Fill=—","Direction=H","UseDPDF=Y")</f>
        <v>—</v>
      </c>
      <c r="D13" s="13" t="str">
        <f>_xll.BDH("XOM US Equity","INVTRY_IN_PROGRESS","FQ2 1990","FQ2 1990","Currency=USD","Period=FQ","BEST_FPERIOD_OVERRIDE=FQ","FILING_STATUS=OR","SCALING_FORMAT=MLN","Sort=A","Dates=H","DateFormat=P","Fill=—","Direction=H","UseDPDF=Y")</f>
        <v>—</v>
      </c>
      <c r="E13" s="13" t="str">
        <f>_xll.BDH("XOM US Equity","INVTRY_IN_PROGRESS","FQ3 1990","FQ3 1990","Currency=USD","Period=FQ","BEST_FPERIOD_OVERRIDE=FQ","FILING_STATUS=OR","SCALING_FORMAT=MLN","Sort=A","Dates=H","DateFormat=P","Fill=—","Direction=H","UseDPDF=Y")</f>
        <v>—</v>
      </c>
      <c r="F13" s="13" t="str">
        <f>_xll.BDH("XOM US Equity","INVTRY_IN_PROGRESS","FQ4 1990","FQ4 1990","Currency=USD","Period=FQ","BEST_FPERIOD_OVERRIDE=FQ","FILING_STATUS=OR","SCALING_FORMAT=MLN","Sort=A","Dates=H","DateFormat=P","Fill=—","Direction=H","UseDPDF=Y")</f>
        <v>—</v>
      </c>
      <c r="G13" s="13" t="str">
        <f>_xll.BDH("XOM US Equity","INVTRY_IN_PROGRESS","FQ1 1991","FQ1 1991","Currency=USD","Period=FQ","BEST_FPERIOD_OVERRIDE=FQ","FILING_STATUS=OR","SCALING_FORMAT=MLN","Sort=A","Dates=H","DateFormat=P","Fill=—","Direction=H","UseDPDF=Y")</f>
        <v>—</v>
      </c>
      <c r="H13" s="13" t="str">
        <f>_xll.BDH("XOM US Equity","INVTRY_IN_PROGRESS","FQ2 1991","FQ2 1991","Currency=USD","Period=FQ","BEST_FPERIOD_OVERRIDE=FQ","FILING_STATUS=OR","SCALING_FORMAT=MLN","Sort=A","Dates=H","DateFormat=P","Fill=—","Direction=H","UseDPDF=Y")</f>
        <v>—</v>
      </c>
      <c r="I13" s="13" t="str">
        <f>_xll.BDH("XOM US Equity","INVTRY_IN_PROGRESS","FQ3 1991","FQ3 1991","Currency=USD","Period=FQ","BEST_FPERIOD_OVERRIDE=FQ","FILING_STATUS=OR","SCALING_FORMAT=MLN","Sort=A","Dates=H","DateFormat=P","Fill=—","Direction=H","UseDPDF=Y")</f>
        <v>—</v>
      </c>
      <c r="J13" s="13" t="str">
        <f>_xll.BDH("XOM US Equity","INVTRY_IN_PROGRESS","FQ4 1991","FQ4 1991","Currency=USD","Period=FQ","BEST_FPERIOD_OVERRIDE=FQ","FILING_STATUS=OR","SCALING_FORMAT=MLN","Sort=A","Dates=H","DateFormat=P","Fill=—","Direction=H","UseDPDF=Y")</f>
        <v>—</v>
      </c>
      <c r="K13" s="13" t="str">
        <f>_xll.BDH("XOM US Equity","INVTRY_IN_PROGRESS","FQ1 1992","FQ1 1992","Currency=USD","Period=FQ","BEST_FPERIOD_OVERRIDE=FQ","FILING_STATUS=OR","SCALING_FORMAT=MLN","Sort=A","Dates=H","DateFormat=P","Fill=—","Direction=H","UseDPDF=Y")</f>
        <v>—</v>
      </c>
      <c r="L13" s="13" t="str">
        <f>_xll.BDH("XOM US Equity","INVTRY_IN_PROGRESS","FQ2 1992","FQ2 1992","Currency=USD","Period=FQ","BEST_FPERIOD_OVERRIDE=FQ","FILING_STATUS=OR","SCALING_FORMAT=MLN","Sort=A","Dates=H","DateFormat=P","Fill=—","Direction=H","UseDPDF=Y")</f>
        <v>—</v>
      </c>
      <c r="M13" s="13" t="str">
        <f>_xll.BDH("XOM US Equity","INVTRY_IN_PROGRESS","FQ3 1992","FQ3 1992","Currency=USD","Period=FQ","BEST_FPERIOD_OVERRIDE=FQ","FILING_STATUS=OR","SCALING_FORMAT=MLN","Sort=A","Dates=H","DateFormat=P","Fill=—","Direction=H","UseDPDF=Y")</f>
        <v>—</v>
      </c>
      <c r="N13" s="13" t="str">
        <f>_xll.BDH("XOM US Equity","INVTRY_IN_PROGRESS","FQ4 1992","FQ4 1992","Currency=USD","Period=FQ","BEST_FPERIOD_OVERRIDE=FQ","FILING_STATUS=OR","SCALING_FORMAT=MLN","Sort=A","Dates=H","DateFormat=P","Fill=—","Direction=H","UseDPDF=Y")</f>
        <v>—</v>
      </c>
      <c r="O13" s="13" t="str">
        <f>_xll.BDH("XOM US Equity","INVTRY_IN_PROGRESS","FQ1 1993","FQ1 1993","Currency=USD","Period=FQ","BEST_FPERIOD_OVERRIDE=FQ","FILING_STATUS=OR","SCALING_FORMAT=MLN","Sort=A","Dates=H","DateFormat=P","Fill=—","Direction=H","UseDPDF=Y")</f>
        <v>—</v>
      </c>
      <c r="P13" s="13" t="str">
        <f>_xll.BDH("XOM US Equity","INVTRY_IN_PROGRESS","FQ2 1993","FQ2 1993","Currency=USD","Period=FQ","BEST_FPERIOD_OVERRIDE=FQ","FILING_STATUS=OR","SCALING_FORMAT=MLN","Sort=A","Dates=H","DateFormat=P","Fill=—","Direction=H","UseDPDF=Y")</f>
        <v>—</v>
      </c>
      <c r="Q13" s="13" t="str">
        <f>_xll.BDH("XOM US Equity","INVTRY_IN_PROGRESS","FQ3 1993","FQ3 1993","Currency=USD","Period=FQ","BEST_FPERIOD_OVERRIDE=FQ","FILING_STATUS=OR","SCALING_FORMAT=MLN","Sort=A","Dates=H","DateFormat=P","Fill=—","Direction=H","UseDPDF=Y")</f>
        <v>—</v>
      </c>
      <c r="R13" s="13" t="str">
        <f>_xll.BDH("XOM US Equity","INVTRY_IN_PROGRESS","FQ4 1993","FQ4 1993","Currency=USD","Period=FQ","BEST_FPERIOD_OVERRIDE=FQ","FILING_STATUS=OR","SCALING_FORMAT=MLN","Sort=A","Dates=H","DateFormat=P","Fill=—","Direction=H","UseDPDF=Y")</f>
        <v>—</v>
      </c>
      <c r="S13" s="13" t="str">
        <f>_xll.BDH("XOM US Equity","INVTRY_IN_PROGRESS","FQ1 1994","FQ1 1994","Currency=USD","Period=FQ","BEST_FPERIOD_OVERRIDE=FQ","FILING_STATUS=OR","SCALING_FORMAT=MLN","Sort=A","Dates=H","DateFormat=P","Fill=—","Direction=H","UseDPDF=Y")</f>
        <v>—</v>
      </c>
      <c r="T13" s="13" t="str">
        <f>_xll.BDH("XOM US Equity","INVTRY_IN_PROGRESS","FQ2 1994","FQ2 1994","Currency=USD","Period=FQ","BEST_FPERIOD_OVERRIDE=FQ","FILING_STATUS=OR","SCALING_FORMAT=MLN","Sort=A","Dates=H","DateFormat=P","Fill=—","Direction=H","UseDPDF=Y")</f>
        <v>—</v>
      </c>
      <c r="U13" s="13" t="str">
        <f>_xll.BDH("XOM US Equity","INVTRY_IN_PROGRESS","FQ3 1994","FQ3 1994","Currency=USD","Period=FQ","BEST_FPERIOD_OVERRIDE=FQ","FILING_STATUS=OR","SCALING_FORMAT=MLN","Sort=A","Dates=H","DateFormat=P","Fill=—","Direction=H","UseDPDF=Y")</f>
        <v>—</v>
      </c>
      <c r="V13" s="13" t="str">
        <f>_xll.BDH("XOM US Equity","INVTRY_IN_PROGRESS","FQ4 1994","FQ4 1994","Currency=USD","Period=FQ","BEST_FPERIOD_OVERRIDE=FQ","FILING_STATUS=OR","SCALING_FORMAT=MLN","Sort=A","Dates=H","DateFormat=P","Fill=—","Direction=H","UseDPDF=Y")</f>
        <v>—</v>
      </c>
      <c r="W13" s="13" t="str">
        <f>_xll.BDH("XOM US Equity","INVTRY_IN_PROGRESS","FQ1 1995","FQ1 1995","Currency=USD","Period=FQ","BEST_FPERIOD_OVERRIDE=FQ","FILING_STATUS=OR","SCALING_FORMAT=MLN","Sort=A","Dates=H","DateFormat=P","Fill=—","Direction=H","UseDPDF=Y")</f>
        <v>—</v>
      </c>
      <c r="X13" s="13" t="str">
        <f>_xll.BDH("XOM US Equity","INVTRY_IN_PROGRESS","FQ2 1995","FQ2 1995","Currency=USD","Period=FQ","BEST_FPERIOD_OVERRIDE=FQ","FILING_STATUS=OR","SCALING_FORMAT=MLN","Sort=A","Dates=H","DateFormat=P","Fill=—","Direction=H","UseDPDF=Y")</f>
        <v>—</v>
      </c>
      <c r="Y13" s="13" t="str">
        <f>_xll.BDH("XOM US Equity","INVTRY_IN_PROGRESS","FQ3 1995","FQ3 1995","Currency=USD","Period=FQ","BEST_FPERIOD_OVERRIDE=FQ","FILING_STATUS=OR","SCALING_FORMAT=MLN","Sort=A","Dates=H","DateFormat=P","Fill=—","Direction=H","UseDPDF=Y")</f>
        <v>—</v>
      </c>
      <c r="Z13" s="13" t="str">
        <f>_xll.BDH("XOM US Equity","INVTRY_IN_PROGRESS","FQ4 1995","FQ4 1995","Currency=USD","Period=FQ","BEST_FPERIOD_OVERRIDE=FQ","FILING_STATUS=OR","SCALING_FORMAT=MLN","Sort=A","Dates=H","DateFormat=P","Fill=—","Direction=H","UseDPDF=Y")</f>
        <v>—</v>
      </c>
      <c r="AA13" s="13" t="str">
        <f>_xll.BDH("XOM US Equity","INVTRY_IN_PROGRESS","FQ1 1996","FQ1 1996","Currency=USD","Period=FQ","BEST_FPERIOD_OVERRIDE=FQ","FILING_STATUS=OR","SCALING_FORMAT=MLN","Sort=A","Dates=H","DateFormat=P","Fill=—","Direction=H","UseDPDF=Y")</f>
        <v>—</v>
      </c>
      <c r="AB13" s="13" t="str">
        <f>_xll.BDH("XOM US Equity","INVTRY_IN_PROGRESS","FQ2 1996","FQ2 1996","Currency=USD","Period=FQ","BEST_FPERIOD_OVERRIDE=FQ","FILING_STATUS=OR","SCALING_FORMAT=MLN","Sort=A","Dates=H","DateFormat=P","Fill=—","Direction=H","UseDPDF=Y")</f>
        <v>—</v>
      </c>
      <c r="AC13" s="13" t="str">
        <f>_xll.BDH("XOM US Equity","INVTRY_IN_PROGRESS","FQ3 1996","FQ3 1996","Currency=USD","Period=FQ","BEST_FPERIOD_OVERRIDE=FQ","FILING_STATUS=OR","SCALING_FORMAT=MLN","Sort=A","Dates=H","DateFormat=P","Fill=—","Direction=H","UseDPDF=Y")</f>
        <v>—</v>
      </c>
      <c r="AD13" s="13" t="str">
        <f>_xll.BDH("XOM US Equity","INVTRY_IN_PROGRESS","FQ4 1996","FQ4 1996","Currency=USD","Period=FQ","BEST_FPERIOD_OVERRIDE=FQ","FILING_STATUS=OR","SCALING_FORMAT=MLN","Sort=A","Dates=H","DateFormat=P","Fill=—","Direction=H","UseDPDF=Y")</f>
        <v>—</v>
      </c>
      <c r="AE13" s="13" t="str">
        <f>_xll.BDH("XOM US Equity","INVTRY_IN_PROGRESS","FQ1 1997","FQ1 1997","Currency=USD","Period=FQ","BEST_FPERIOD_OVERRIDE=FQ","FILING_STATUS=OR","SCALING_FORMAT=MLN","Sort=A","Dates=H","DateFormat=P","Fill=—","Direction=H","UseDPDF=Y")</f>
        <v>—</v>
      </c>
      <c r="AF13" s="13" t="str">
        <f>_xll.BDH("XOM US Equity","INVTRY_IN_PROGRESS","FQ2 1997","FQ2 1997","Currency=USD","Period=FQ","BEST_FPERIOD_OVERRIDE=FQ","FILING_STATUS=OR","SCALING_FORMAT=MLN","Sort=A","Dates=H","DateFormat=P","Fill=—","Direction=H","UseDPDF=Y")</f>
        <v>—</v>
      </c>
      <c r="AG13" s="13" t="str">
        <f>_xll.BDH("XOM US Equity","INVTRY_IN_PROGRESS","FQ3 1997","FQ3 1997","Currency=USD","Period=FQ","BEST_FPERIOD_OVERRIDE=FQ","FILING_STATUS=OR","SCALING_FORMAT=MLN","Sort=A","Dates=H","DateFormat=P","Fill=—","Direction=H","UseDPDF=Y")</f>
        <v>—</v>
      </c>
      <c r="AH13" s="13" t="str">
        <f>_xll.BDH("XOM US Equity","INVTRY_IN_PROGRESS","FQ4 1997","FQ4 1997","Currency=USD","Period=FQ","BEST_FPERIOD_OVERRIDE=FQ","FILING_STATUS=OR","SCALING_FORMAT=MLN","Sort=A","Dates=H","DateFormat=P","Fill=—","Direction=H","UseDPDF=Y")</f>
        <v>—</v>
      </c>
      <c r="AI13" s="13" t="str">
        <f>_xll.BDH("XOM US Equity","INVTRY_IN_PROGRESS","FQ1 1998","FQ1 1998","Currency=USD","Period=FQ","BEST_FPERIOD_OVERRIDE=FQ","FILING_STATUS=OR","SCALING_FORMAT=MLN","Sort=A","Dates=H","DateFormat=P","Fill=—","Direction=H","UseDPDF=Y")</f>
        <v>—</v>
      </c>
      <c r="AJ13" s="13">
        <f>_xll.BDH("XOM US Equity","INVTRY_IN_PROGRESS","FQ2 1998","FQ2 1998","Currency=USD","Period=FQ","BEST_FPERIOD_OVERRIDE=FQ","FILING_STATUS=OR","SCALING_FORMAT=MLN","Sort=A","Dates=H","DateFormat=P","Fill=—","Direction=H","UseDPDF=Y")</f>
        <v>0</v>
      </c>
    </row>
    <row r="14" spans="1:36" x14ac:dyDescent="0.25">
      <c r="A14" s="10" t="s">
        <v>161</v>
      </c>
      <c r="B14" s="10" t="s">
        <v>162</v>
      </c>
      <c r="C14" s="13" t="str">
        <f>_xll.BDH("XOM US Equity","INVTRY_FINISHED_GOODS","FQ1 1990","FQ1 1990","Currency=USD","Period=FQ","BEST_FPERIOD_OVERRIDE=FQ","FILING_STATUS=OR","SCALING_FORMAT=MLN","Sort=A","Dates=H","DateFormat=P","Fill=—","Direction=H","UseDPDF=Y")</f>
        <v>—</v>
      </c>
      <c r="D14" s="13" t="str">
        <f>_xll.BDH("XOM US Equity","INVTRY_FINISHED_GOODS","FQ2 1990","FQ2 1990","Currency=USD","Period=FQ","BEST_FPERIOD_OVERRIDE=FQ","FILING_STATUS=OR","SCALING_FORMAT=MLN","Sort=A","Dates=H","DateFormat=P","Fill=—","Direction=H","UseDPDF=Y")</f>
        <v>—</v>
      </c>
      <c r="E14" s="13" t="str">
        <f>_xll.BDH("XOM US Equity","INVTRY_FINISHED_GOODS","FQ3 1990","FQ3 1990","Currency=USD","Period=FQ","BEST_FPERIOD_OVERRIDE=FQ","FILING_STATUS=OR","SCALING_FORMAT=MLN","Sort=A","Dates=H","DateFormat=P","Fill=—","Direction=H","UseDPDF=Y")</f>
        <v>—</v>
      </c>
      <c r="F14" s="13" t="str">
        <f>_xll.BDH("XOM US Equity","INVTRY_FINISHED_GOODS","FQ4 1990","FQ4 1990","Currency=USD","Period=FQ","BEST_FPERIOD_OVERRIDE=FQ","FILING_STATUS=OR","SCALING_FORMAT=MLN","Sort=A","Dates=H","DateFormat=P","Fill=—","Direction=H","UseDPDF=Y")</f>
        <v>—</v>
      </c>
      <c r="G14" s="13" t="str">
        <f>_xll.BDH("XOM US Equity","INVTRY_FINISHED_GOODS","FQ1 1991","FQ1 1991","Currency=USD","Period=FQ","BEST_FPERIOD_OVERRIDE=FQ","FILING_STATUS=OR","SCALING_FORMAT=MLN","Sort=A","Dates=H","DateFormat=P","Fill=—","Direction=H","UseDPDF=Y")</f>
        <v>—</v>
      </c>
      <c r="H14" s="13" t="str">
        <f>_xll.BDH("XOM US Equity","INVTRY_FINISHED_GOODS","FQ2 1991","FQ2 1991","Currency=USD","Period=FQ","BEST_FPERIOD_OVERRIDE=FQ","FILING_STATUS=OR","SCALING_FORMAT=MLN","Sort=A","Dates=H","DateFormat=P","Fill=—","Direction=H","UseDPDF=Y")</f>
        <v>—</v>
      </c>
      <c r="I14" s="13" t="str">
        <f>_xll.BDH("XOM US Equity","INVTRY_FINISHED_GOODS","FQ3 1991","FQ3 1991","Currency=USD","Period=FQ","BEST_FPERIOD_OVERRIDE=FQ","FILING_STATUS=OR","SCALING_FORMAT=MLN","Sort=A","Dates=H","DateFormat=P","Fill=—","Direction=H","UseDPDF=Y")</f>
        <v>—</v>
      </c>
      <c r="J14" s="13" t="str">
        <f>_xll.BDH("XOM US Equity","INVTRY_FINISHED_GOODS","FQ4 1991","FQ4 1991","Currency=USD","Period=FQ","BEST_FPERIOD_OVERRIDE=FQ","FILING_STATUS=OR","SCALING_FORMAT=MLN","Sort=A","Dates=H","DateFormat=P","Fill=—","Direction=H","UseDPDF=Y")</f>
        <v>—</v>
      </c>
      <c r="K14" s="13" t="str">
        <f>_xll.BDH("XOM US Equity","INVTRY_FINISHED_GOODS","FQ1 1992","FQ1 1992","Currency=USD","Period=FQ","BEST_FPERIOD_OVERRIDE=FQ","FILING_STATUS=OR","SCALING_FORMAT=MLN","Sort=A","Dates=H","DateFormat=P","Fill=—","Direction=H","UseDPDF=Y")</f>
        <v>—</v>
      </c>
      <c r="L14" s="13" t="str">
        <f>_xll.BDH("XOM US Equity","INVTRY_FINISHED_GOODS","FQ2 1992","FQ2 1992","Currency=USD","Period=FQ","BEST_FPERIOD_OVERRIDE=FQ","FILING_STATUS=OR","SCALING_FORMAT=MLN","Sort=A","Dates=H","DateFormat=P","Fill=—","Direction=H","UseDPDF=Y")</f>
        <v>—</v>
      </c>
      <c r="M14" s="13" t="str">
        <f>_xll.BDH("XOM US Equity","INVTRY_FINISHED_GOODS","FQ3 1992","FQ3 1992","Currency=USD","Period=FQ","BEST_FPERIOD_OVERRIDE=FQ","FILING_STATUS=OR","SCALING_FORMAT=MLN","Sort=A","Dates=H","DateFormat=P","Fill=—","Direction=H","UseDPDF=Y")</f>
        <v>—</v>
      </c>
      <c r="N14" s="13" t="str">
        <f>_xll.BDH("XOM US Equity","INVTRY_FINISHED_GOODS","FQ4 1992","FQ4 1992","Currency=USD","Period=FQ","BEST_FPERIOD_OVERRIDE=FQ","FILING_STATUS=OR","SCALING_FORMAT=MLN","Sort=A","Dates=H","DateFormat=P","Fill=—","Direction=H","UseDPDF=Y")</f>
        <v>—</v>
      </c>
      <c r="O14" s="13" t="str">
        <f>_xll.BDH("XOM US Equity","INVTRY_FINISHED_GOODS","FQ1 1993","FQ1 1993","Currency=USD","Period=FQ","BEST_FPERIOD_OVERRIDE=FQ","FILING_STATUS=OR","SCALING_FORMAT=MLN","Sort=A","Dates=H","DateFormat=P","Fill=—","Direction=H","UseDPDF=Y")</f>
        <v>—</v>
      </c>
      <c r="P14" s="13" t="str">
        <f>_xll.BDH("XOM US Equity","INVTRY_FINISHED_GOODS","FQ2 1993","FQ2 1993","Currency=USD","Period=FQ","BEST_FPERIOD_OVERRIDE=FQ","FILING_STATUS=OR","SCALING_FORMAT=MLN","Sort=A","Dates=H","DateFormat=P","Fill=—","Direction=H","UseDPDF=Y")</f>
        <v>—</v>
      </c>
      <c r="Q14" s="13" t="str">
        <f>_xll.BDH("XOM US Equity","INVTRY_FINISHED_GOODS","FQ3 1993","FQ3 1993","Currency=USD","Period=FQ","BEST_FPERIOD_OVERRIDE=FQ","FILING_STATUS=OR","SCALING_FORMAT=MLN","Sort=A","Dates=H","DateFormat=P","Fill=—","Direction=H","UseDPDF=Y")</f>
        <v>—</v>
      </c>
      <c r="R14" s="13" t="str">
        <f>_xll.BDH("XOM US Equity","INVTRY_FINISHED_GOODS","FQ4 1993","FQ4 1993","Currency=USD","Period=FQ","BEST_FPERIOD_OVERRIDE=FQ","FILING_STATUS=OR","SCALING_FORMAT=MLN","Sort=A","Dates=H","DateFormat=P","Fill=—","Direction=H","UseDPDF=Y")</f>
        <v>—</v>
      </c>
      <c r="S14" s="13" t="str">
        <f>_xll.BDH("XOM US Equity","INVTRY_FINISHED_GOODS","FQ1 1994","FQ1 1994","Currency=USD","Period=FQ","BEST_FPERIOD_OVERRIDE=FQ","FILING_STATUS=OR","SCALING_FORMAT=MLN","Sort=A","Dates=H","DateFormat=P","Fill=—","Direction=H","UseDPDF=Y")</f>
        <v>—</v>
      </c>
      <c r="T14" s="13" t="str">
        <f>_xll.BDH("XOM US Equity","INVTRY_FINISHED_GOODS","FQ2 1994","FQ2 1994","Currency=USD","Period=FQ","BEST_FPERIOD_OVERRIDE=FQ","FILING_STATUS=OR","SCALING_FORMAT=MLN","Sort=A","Dates=H","DateFormat=P","Fill=—","Direction=H","UseDPDF=Y")</f>
        <v>—</v>
      </c>
      <c r="U14" s="13" t="str">
        <f>_xll.BDH("XOM US Equity","INVTRY_FINISHED_GOODS","FQ3 1994","FQ3 1994","Currency=USD","Period=FQ","BEST_FPERIOD_OVERRIDE=FQ","FILING_STATUS=OR","SCALING_FORMAT=MLN","Sort=A","Dates=H","DateFormat=P","Fill=—","Direction=H","UseDPDF=Y")</f>
        <v>—</v>
      </c>
      <c r="V14" s="13" t="str">
        <f>_xll.BDH("XOM US Equity","INVTRY_FINISHED_GOODS","FQ4 1994","FQ4 1994","Currency=USD","Period=FQ","BEST_FPERIOD_OVERRIDE=FQ","FILING_STATUS=OR","SCALING_FORMAT=MLN","Sort=A","Dates=H","DateFormat=P","Fill=—","Direction=H","UseDPDF=Y")</f>
        <v>—</v>
      </c>
      <c r="W14" s="13" t="str">
        <f>_xll.BDH("XOM US Equity","INVTRY_FINISHED_GOODS","FQ1 1995","FQ1 1995","Currency=USD","Period=FQ","BEST_FPERIOD_OVERRIDE=FQ","FILING_STATUS=OR","SCALING_FORMAT=MLN","Sort=A","Dates=H","DateFormat=P","Fill=—","Direction=H","UseDPDF=Y")</f>
        <v>—</v>
      </c>
      <c r="X14" s="13" t="str">
        <f>_xll.BDH("XOM US Equity","INVTRY_FINISHED_GOODS","FQ2 1995","FQ2 1995","Currency=USD","Period=FQ","BEST_FPERIOD_OVERRIDE=FQ","FILING_STATUS=OR","SCALING_FORMAT=MLN","Sort=A","Dates=H","DateFormat=P","Fill=—","Direction=H","UseDPDF=Y")</f>
        <v>—</v>
      </c>
      <c r="Y14" s="13" t="str">
        <f>_xll.BDH("XOM US Equity","INVTRY_FINISHED_GOODS","FQ3 1995","FQ3 1995","Currency=USD","Period=FQ","BEST_FPERIOD_OVERRIDE=FQ","FILING_STATUS=OR","SCALING_FORMAT=MLN","Sort=A","Dates=H","DateFormat=P","Fill=—","Direction=H","UseDPDF=Y")</f>
        <v>—</v>
      </c>
      <c r="Z14" s="13" t="str">
        <f>_xll.BDH("XOM US Equity","INVTRY_FINISHED_GOODS","FQ4 1995","FQ4 1995","Currency=USD","Period=FQ","BEST_FPERIOD_OVERRIDE=FQ","FILING_STATUS=OR","SCALING_FORMAT=MLN","Sort=A","Dates=H","DateFormat=P","Fill=—","Direction=H","UseDPDF=Y")</f>
        <v>—</v>
      </c>
      <c r="AA14" s="13" t="str">
        <f>_xll.BDH("XOM US Equity","INVTRY_FINISHED_GOODS","FQ1 1996","FQ1 1996","Currency=USD","Period=FQ","BEST_FPERIOD_OVERRIDE=FQ","FILING_STATUS=OR","SCALING_FORMAT=MLN","Sort=A","Dates=H","DateFormat=P","Fill=—","Direction=H","UseDPDF=Y")</f>
        <v>—</v>
      </c>
      <c r="AB14" s="13" t="str">
        <f>_xll.BDH("XOM US Equity","INVTRY_FINISHED_GOODS","FQ2 1996","FQ2 1996","Currency=USD","Period=FQ","BEST_FPERIOD_OVERRIDE=FQ","FILING_STATUS=OR","SCALING_FORMAT=MLN","Sort=A","Dates=H","DateFormat=P","Fill=—","Direction=H","UseDPDF=Y")</f>
        <v>—</v>
      </c>
      <c r="AC14" s="13" t="str">
        <f>_xll.BDH("XOM US Equity","INVTRY_FINISHED_GOODS","FQ3 1996","FQ3 1996","Currency=USD","Period=FQ","BEST_FPERIOD_OVERRIDE=FQ","FILING_STATUS=OR","SCALING_FORMAT=MLN","Sort=A","Dates=H","DateFormat=P","Fill=—","Direction=H","UseDPDF=Y")</f>
        <v>—</v>
      </c>
      <c r="AD14" s="13" t="str">
        <f>_xll.BDH("XOM US Equity","INVTRY_FINISHED_GOODS","FQ4 1996","FQ4 1996","Currency=USD","Period=FQ","BEST_FPERIOD_OVERRIDE=FQ","FILING_STATUS=OR","SCALING_FORMAT=MLN","Sort=A","Dates=H","DateFormat=P","Fill=—","Direction=H","UseDPDF=Y")</f>
        <v>—</v>
      </c>
      <c r="AE14" s="13" t="str">
        <f>_xll.BDH("XOM US Equity","INVTRY_FINISHED_GOODS","FQ1 1997","FQ1 1997","Currency=USD","Period=FQ","BEST_FPERIOD_OVERRIDE=FQ","FILING_STATUS=OR","SCALING_FORMAT=MLN","Sort=A","Dates=H","DateFormat=P","Fill=—","Direction=H","UseDPDF=Y")</f>
        <v>—</v>
      </c>
      <c r="AF14" s="13" t="str">
        <f>_xll.BDH("XOM US Equity","INVTRY_FINISHED_GOODS","FQ2 1997","FQ2 1997","Currency=USD","Period=FQ","BEST_FPERIOD_OVERRIDE=FQ","FILING_STATUS=OR","SCALING_FORMAT=MLN","Sort=A","Dates=H","DateFormat=P","Fill=—","Direction=H","UseDPDF=Y")</f>
        <v>—</v>
      </c>
      <c r="AG14" s="13" t="str">
        <f>_xll.BDH("XOM US Equity","INVTRY_FINISHED_GOODS","FQ3 1997","FQ3 1997","Currency=USD","Period=FQ","BEST_FPERIOD_OVERRIDE=FQ","FILING_STATUS=OR","SCALING_FORMAT=MLN","Sort=A","Dates=H","DateFormat=P","Fill=—","Direction=H","UseDPDF=Y")</f>
        <v>—</v>
      </c>
      <c r="AH14" s="13" t="str">
        <f>_xll.BDH("XOM US Equity","INVTRY_FINISHED_GOODS","FQ4 1997","FQ4 1997","Currency=USD","Period=FQ","BEST_FPERIOD_OVERRIDE=FQ","FILING_STATUS=OR","SCALING_FORMAT=MLN","Sort=A","Dates=H","DateFormat=P","Fill=—","Direction=H","UseDPDF=Y")</f>
        <v>—</v>
      </c>
      <c r="AI14" s="13" t="str">
        <f>_xll.BDH("XOM US Equity","INVTRY_FINISHED_GOODS","FQ1 1998","FQ1 1998","Currency=USD","Period=FQ","BEST_FPERIOD_OVERRIDE=FQ","FILING_STATUS=OR","SCALING_FORMAT=MLN","Sort=A","Dates=H","DateFormat=P","Fill=—","Direction=H","UseDPDF=Y")</f>
        <v>—</v>
      </c>
      <c r="AJ14" s="13">
        <f>_xll.BDH("XOM US Equity","INVTRY_FINISHED_GOODS","FQ2 1998","FQ2 1998","Currency=USD","Period=FQ","BEST_FPERIOD_OVERRIDE=FQ","FILING_STATUS=OR","SCALING_FORMAT=MLN","Sort=A","Dates=H","DateFormat=P","Fill=—","Direction=H","UseDPDF=Y")</f>
        <v>4383</v>
      </c>
    </row>
    <row r="15" spans="1:36" x14ac:dyDescent="0.25">
      <c r="A15" s="10" t="s">
        <v>163</v>
      </c>
      <c r="B15" s="10" t="s">
        <v>164</v>
      </c>
      <c r="C15" s="13">
        <f>_xll.BDH("XOM US Equity","OTHER_CURRENT_ASSETS_DETAILED","FQ1 1990","FQ1 1990","Currency=USD","Period=FQ","BEST_FPERIOD_OVERRIDE=FQ","FILING_STATUS=OR","SCALING_FORMAT=MLN","Sort=A","Dates=H","DateFormat=P","Fill=—","Direction=H","UseDPDF=Y")</f>
        <v>1073</v>
      </c>
      <c r="D15" s="13">
        <f>_xll.BDH("XOM US Equity","OTHER_CURRENT_ASSETS_DETAILED","FQ2 1990","FQ2 1990","Currency=USD","Period=FQ","BEST_FPERIOD_OVERRIDE=FQ","FILING_STATUS=OR","SCALING_FORMAT=MLN","Sort=A","Dates=H","DateFormat=P","Fill=—","Direction=H","UseDPDF=Y")</f>
        <v>1252</v>
      </c>
      <c r="E15" s="13">
        <f>_xll.BDH("XOM US Equity","OTHER_CURRENT_ASSETS_DETAILED","FQ3 1990","FQ3 1990","Currency=USD","Period=FQ","BEST_FPERIOD_OVERRIDE=FQ","FILING_STATUS=OR","SCALING_FORMAT=MLN","Sort=A","Dates=H","DateFormat=P","Fill=—","Direction=H","UseDPDF=Y")</f>
        <v>1255</v>
      </c>
      <c r="F15" s="13">
        <f>_xll.BDH("XOM US Equity","OTHER_CURRENT_ASSETS_DETAILED","FQ4 1990","FQ4 1990","Currency=USD","Period=FQ","BEST_FPERIOD_OVERRIDE=FQ","FILING_STATUS=OR","SCALING_FORMAT=MLN","Sort=A","Dates=H","DateFormat=P","Fill=—","Direction=H","UseDPDF=Y")</f>
        <v>2526</v>
      </c>
      <c r="G15" s="13">
        <f>_xll.BDH("XOM US Equity","OTHER_CURRENT_ASSETS_DETAILED","FQ1 1991","FQ1 1991","Currency=USD","Period=FQ","BEST_FPERIOD_OVERRIDE=FQ","FILING_STATUS=OR","SCALING_FORMAT=MLN","Sort=A","Dates=H","DateFormat=P","Fill=—","Direction=H","UseDPDF=Y")</f>
        <v>993</v>
      </c>
      <c r="H15" s="13">
        <f>_xll.BDH("XOM US Equity","OTHER_CURRENT_ASSETS_DETAILED","FQ2 1991","FQ2 1991","Currency=USD","Period=FQ","BEST_FPERIOD_OVERRIDE=FQ","FILING_STATUS=OR","SCALING_FORMAT=MLN","Sort=A","Dates=H","DateFormat=P","Fill=—","Direction=H","UseDPDF=Y")</f>
        <v>989</v>
      </c>
      <c r="I15" s="13">
        <f>_xll.BDH("XOM US Equity","OTHER_CURRENT_ASSETS_DETAILED","FQ3 1991","FQ3 1991","Currency=USD","Period=FQ","BEST_FPERIOD_OVERRIDE=FQ","FILING_STATUS=OR","SCALING_FORMAT=MLN","Sort=A","Dates=H","DateFormat=P","Fill=—","Direction=H","UseDPDF=Y")</f>
        <v>869</v>
      </c>
      <c r="J15" s="13">
        <f>_xll.BDH("XOM US Equity","OTHER_CURRENT_ASSETS_DETAILED","FQ4 1991","FQ4 1991","Currency=USD","Period=FQ","BEST_FPERIOD_OVERRIDE=FQ","FILING_STATUS=OR","SCALING_FORMAT=MLN","Sort=A","Dates=H","DateFormat=P","Fill=—","Direction=H","UseDPDF=Y")</f>
        <v>2611</v>
      </c>
      <c r="K15" s="13">
        <f>_xll.BDH("XOM US Equity","OTHER_CURRENT_ASSETS_DETAILED","FQ1 1992","FQ1 1992","Currency=USD","Period=FQ","BEST_FPERIOD_OVERRIDE=FQ","FILING_STATUS=OR","SCALING_FORMAT=MLN","Sort=A","Dates=H","DateFormat=P","Fill=—","Direction=H","UseDPDF=Y")</f>
        <v>809</v>
      </c>
      <c r="L15" s="13">
        <f>_xll.BDH("XOM US Equity","OTHER_CURRENT_ASSETS_DETAILED","FQ2 1992","FQ2 1992","Currency=USD","Period=FQ","BEST_FPERIOD_OVERRIDE=FQ","FILING_STATUS=OR","SCALING_FORMAT=MLN","Sort=A","Dates=H","DateFormat=P","Fill=—","Direction=H","UseDPDF=Y")</f>
        <v>868</v>
      </c>
      <c r="M15" s="13">
        <f>_xll.BDH("XOM US Equity","OTHER_CURRENT_ASSETS_DETAILED","FQ3 1992","FQ3 1992","Currency=USD","Period=FQ","BEST_FPERIOD_OVERRIDE=FQ","FILING_STATUS=OR","SCALING_FORMAT=MLN","Sort=A","Dates=H","DateFormat=P","Fill=—","Direction=H","UseDPDF=Y")</f>
        <v>808</v>
      </c>
      <c r="N15" s="13">
        <f>_xll.BDH("XOM US Equity","OTHER_CURRENT_ASSETS_DETAILED","FQ4 1992","FQ4 1992","Currency=USD","Period=FQ","BEST_FPERIOD_OVERRIDE=FQ","FILING_STATUS=OR","SCALING_FORMAT=MLN","Sort=A","Dates=H","DateFormat=P","Fill=—","Direction=H","UseDPDF=Y")</f>
        <v>2710</v>
      </c>
      <c r="O15" s="13">
        <f>_xll.BDH("XOM US Equity","OTHER_CURRENT_ASSETS_DETAILED","FQ1 1993","FQ1 1993","Currency=USD","Period=FQ","BEST_FPERIOD_OVERRIDE=FQ","FILING_STATUS=OR","SCALING_FORMAT=MLN","Sort=A","Dates=H","DateFormat=P","Fill=—","Direction=H","UseDPDF=Y")</f>
        <v>1125</v>
      </c>
      <c r="P15" s="13">
        <f>_xll.BDH("XOM US Equity","OTHER_CURRENT_ASSETS_DETAILED","FQ2 1993","FQ2 1993","Currency=USD","Period=FQ","BEST_FPERIOD_OVERRIDE=FQ","FILING_STATUS=OR","SCALING_FORMAT=MLN","Sort=A","Dates=H","DateFormat=P","Fill=—","Direction=H","UseDPDF=Y")</f>
        <v>1108</v>
      </c>
      <c r="Q15" s="13">
        <f>_xll.BDH("XOM US Equity","OTHER_CURRENT_ASSETS_DETAILED","FQ3 1993","FQ3 1993","Currency=USD","Period=FQ","BEST_FPERIOD_OVERRIDE=FQ","FILING_STATUS=OR","SCALING_FORMAT=MLN","Sort=A","Dates=H","DateFormat=P","Fill=—","Direction=H","UseDPDF=Y")</f>
        <v>1127</v>
      </c>
      <c r="R15" s="13">
        <f>_xll.BDH("XOM US Equity","OTHER_CURRENT_ASSETS_DETAILED","FQ4 1993","FQ4 1993","Currency=USD","Period=FQ","BEST_FPERIOD_OVERRIDE=FQ","FILING_STATUS=OR","SCALING_FORMAT=MLN","Sort=A","Dates=H","DateFormat=P","Fill=—","Direction=H","UseDPDF=Y")</f>
        <v>2308</v>
      </c>
      <c r="S15" s="13">
        <f>_xll.BDH("XOM US Equity","OTHER_CURRENT_ASSETS_DETAILED","FQ1 1994","FQ1 1994","Currency=USD","Period=FQ","BEST_FPERIOD_OVERRIDE=FQ","FILING_STATUS=OR","SCALING_FORMAT=MLN","Sort=A","Dates=H","DateFormat=P","Fill=—","Direction=H","UseDPDF=Y")</f>
        <v>1181</v>
      </c>
      <c r="T15" s="13">
        <f>_xll.BDH("XOM US Equity","OTHER_CURRENT_ASSETS_DETAILED","FQ2 1994","FQ2 1994","Currency=USD","Period=FQ","BEST_FPERIOD_OVERRIDE=FQ","FILING_STATUS=OR","SCALING_FORMAT=MLN","Sort=A","Dates=H","DateFormat=P","Fill=—","Direction=H","UseDPDF=Y")</f>
        <v>1193</v>
      </c>
      <c r="U15" s="13">
        <f>_xll.BDH("XOM US Equity","OTHER_CURRENT_ASSETS_DETAILED","FQ3 1994","FQ3 1994","Currency=USD","Period=FQ","BEST_FPERIOD_OVERRIDE=FQ","FILING_STATUS=OR","SCALING_FORMAT=MLN","Sort=A","Dates=H","DateFormat=P","Fill=—","Direction=H","UseDPDF=Y")</f>
        <v>1145</v>
      </c>
      <c r="V15" s="13">
        <f>_xll.BDH("XOM US Equity","OTHER_CURRENT_ASSETS_DETAILED","FQ4 1994","FQ4 1994","Currency=USD","Period=FQ","BEST_FPERIOD_OVERRIDE=FQ","FILING_STATUS=OR","SCALING_FORMAT=MLN","Sort=A","Dates=H","DateFormat=P","Fill=—","Direction=H","UseDPDF=Y")</f>
        <v>2852</v>
      </c>
      <c r="W15" s="13">
        <f>_xll.BDH("XOM US Equity","OTHER_CURRENT_ASSETS_DETAILED","FQ1 1995","FQ1 1995","Currency=USD","Period=FQ","BEST_FPERIOD_OVERRIDE=FQ","FILING_STATUS=OR","SCALING_FORMAT=MLN","Sort=A","Dates=H","DateFormat=P","Fill=—","Direction=H","UseDPDF=Y")</f>
        <v>1325</v>
      </c>
      <c r="X15" s="13">
        <f>_xll.BDH("XOM US Equity","OTHER_CURRENT_ASSETS_DETAILED","FQ2 1995","FQ2 1995","Currency=USD","Period=FQ","BEST_FPERIOD_OVERRIDE=FQ","FILING_STATUS=OR","SCALING_FORMAT=MLN","Sort=A","Dates=H","DateFormat=P","Fill=—","Direction=H","UseDPDF=Y")</f>
        <v>1289</v>
      </c>
      <c r="Y15" s="13">
        <f>_xll.BDH("XOM US Equity","OTHER_CURRENT_ASSETS_DETAILED","FQ3 1995","FQ3 1995","Currency=USD","Period=FQ","BEST_FPERIOD_OVERRIDE=FQ","FILING_STATUS=OR","SCALING_FORMAT=MLN","Sort=A","Dates=H","DateFormat=P","Fill=—","Direction=H","UseDPDF=Y")</f>
        <v>1025</v>
      </c>
      <c r="Z15" s="13">
        <f>_xll.BDH("XOM US Equity","OTHER_CURRENT_ASSETS_DETAILED","FQ4 1995","FQ4 1995","Currency=USD","Period=FQ","BEST_FPERIOD_OVERRIDE=FQ","FILING_STATUS=OR","SCALING_FORMAT=MLN","Sort=A","Dates=H","DateFormat=P","Fill=—","Direction=H","UseDPDF=Y")</f>
        <v>2869</v>
      </c>
      <c r="AA15" s="13">
        <f>_xll.BDH("XOM US Equity","OTHER_CURRENT_ASSETS_DETAILED","FQ1 1996","FQ1 1996","Currency=USD","Period=FQ","BEST_FPERIOD_OVERRIDE=FQ","FILING_STATUS=OR","SCALING_FORMAT=MLN","Sort=A","Dates=H","DateFormat=P","Fill=—","Direction=H","UseDPDF=Y")</f>
        <v>1034</v>
      </c>
      <c r="AB15" s="13">
        <f>_xll.BDH("XOM US Equity","OTHER_CURRENT_ASSETS_DETAILED","FQ2 1996","FQ2 1996","Currency=USD","Period=FQ","BEST_FPERIOD_OVERRIDE=FQ","FILING_STATUS=OR","SCALING_FORMAT=MLN","Sort=A","Dates=H","DateFormat=P","Fill=—","Direction=H","UseDPDF=Y")</f>
        <v>1036</v>
      </c>
      <c r="AC15" s="13">
        <f>_xll.BDH("XOM US Equity","OTHER_CURRENT_ASSETS_DETAILED","FQ3 1996","FQ3 1996","Currency=USD","Period=FQ","BEST_FPERIOD_OVERRIDE=FQ","FILING_STATUS=OR","SCALING_FORMAT=MLN","Sort=A","Dates=H","DateFormat=P","Fill=—","Direction=H","UseDPDF=Y")</f>
        <v>1062</v>
      </c>
      <c r="AD15" s="13">
        <f>_xll.BDH("XOM US Equity","OTHER_CURRENT_ASSETS_DETAILED","FQ4 1996","FQ4 1996","Currency=USD","Period=FQ","BEST_FPERIOD_OVERRIDE=FQ","FILING_STATUS=OR","SCALING_FORMAT=MLN","Sort=A","Dates=H","DateFormat=P","Fill=—","Direction=H","UseDPDF=Y")</f>
        <v>3663</v>
      </c>
      <c r="AE15" s="13">
        <f>_xll.BDH("XOM US Equity","OTHER_CURRENT_ASSETS_DETAILED","FQ1 1997","FQ1 1997","Currency=USD","Period=FQ","BEST_FPERIOD_OVERRIDE=FQ","FILING_STATUS=OR","SCALING_FORMAT=MLN","Sort=A","Dates=H","DateFormat=P","Fill=—","Direction=H","UseDPDF=Y")</f>
        <v>1075</v>
      </c>
      <c r="AF15" s="13">
        <f>_xll.BDH("XOM US Equity","OTHER_CURRENT_ASSETS_DETAILED","FQ2 1997","FQ2 1997","Currency=USD","Period=FQ","BEST_FPERIOD_OVERRIDE=FQ","FILING_STATUS=OR","SCALING_FORMAT=MLN","Sort=A","Dates=H","DateFormat=P","Fill=—","Direction=H","UseDPDF=Y")</f>
        <v>1102</v>
      </c>
      <c r="AG15" s="13">
        <f>_xll.BDH("XOM US Equity","OTHER_CURRENT_ASSETS_DETAILED","FQ3 1997","FQ3 1997","Currency=USD","Period=FQ","BEST_FPERIOD_OVERRIDE=FQ","FILING_STATUS=OR","SCALING_FORMAT=MLN","Sort=A","Dates=H","DateFormat=P","Fill=—","Direction=H","UseDPDF=Y")</f>
        <v>1153</v>
      </c>
      <c r="AH15" s="13">
        <f>_xll.BDH("XOM US Equity","OTHER_CURRENT_ASSETS_DETAILED","FQ4 1997","FQ4 1997","Currency=USD","Period=FQ","BEST_FPERIOD_OVERRIDE=FQ","FILING_STATUS=OR","SCALING_FORMAT=MLN","Sort=A","Dates=H","DateFormat=P","Fill=—","Direction=H","UseDPDF=Y")</f>
        <v>3654</v>
      </c>
      <c r="AI15" s="13">
        <f>_xll.BDH("XOM US Equity","OTHER_CURRENT_ASSETS_DETAILED","FQ1 1998","FQ1 1998","Currency=USD","Period=FQ","BEST_FPERIOD_OVERRIDE=FQ","FILING_STATUS=OR","SCALING_FORMAT=MLN","Sort=A","Dates=H","DateFormat=P","Fill=—","Direction=H","UseDPDF=Y")</f>
        <v>3805</v>
      </c>
      <c r="AJ15" s="13">
        <f>_xll.BDH("XOM US Equity","OTHER_CURRENT_ASSETS_DETAILED","FQ2 1998","FQ2 1998","Currency=USD","Period=FQ","BEST_FPERIOD_OVERRIDE=FQ","FILING_STATUS=OR","SCALING_FORMAT=MLN","Sort=A","Dates=H","DateFormat=P","Fill=—","Direction=H","UseDPDF=Y")</f>
        <v>3929</v>
      </c>
    </row>
    <row r="16" spans="1:36" x14ac:dyDescent="0.25">
      <c r="A16" s="6" t="s">
        <v>165</v>
      </c>
      <c r="B16" s="6" t="s">
        <v>166</v>
      </c>
      <c r="C16" s="16">
        <f>_xll.BDH("XOM US Equity","BS_CUR_ASSET_REPORT","FQ1 1990","FQ1 1990","Currency=USD","Period=FQ","BEST_FPERIOD_OVERRIDE=FQ","FILING_STATUS=OR","SCALING_FORMAT=MLN","Sort=A","Dates=H","DateFormat=P","Fill=—","Direction=H","UseDPDF=Y")</f>
        <v>16158</v>
      </c>
      <c r="D16" s="16">
        <f>_xll.BDH("XOM US Equity","BS_CUR_ASSET_REPORT","FQ2 1990","FQ2 1990","Currency=USD","Period=FQ","BEST_FPERIOD_OVERRIDE=FQ","FILING_STATUS=OR","SCALING_FORMAT=MLN","Sort=A","Dates=H","DateFormat=P","Fill=—","Direction=H","UseDPDF=Y")</f>
        <v>15697</v>
      </c>
      <c r="E16" s="16">
        <f>_xll.BDH("XOM US Equity","BS_CUR_ASSET_REPORT","FQ3 1990","FQ3 1990","Currency=USD","Period=FQ","BEST_FPERIOD_OVERRIDE=FQ","FILING_STATUS=OR","SCALING_FORMAT=MLN","Sort=A","Dates=H","DateFormat=P","Fill=—","Direction=H","UseDPDF=Y")</f>
        <v>17309</v>
      </c>
      <c r="F16" s="16">
        <f>_xll.BDH("XOM US Equity","BS_CUR_ASSET_REPORT","FQ4 1990","FQ4 1990","Currency=USD","Period=FQ","BEST_FPERIOD_OVERRIDE=FQ","FILING_STATUS=OR","SCALING_FORMAT=MLN","Sort=A","Dates=H","DateFormat=P","Fill=—","Direction=H","UseDPDF=Y")</f>
        <v>18336</v>
      </c>
      <c r="G16" s="16">
        <f>_xll.BDH("XOM US Equity","BS_CUR_ASSET_REPORT","FQ1 1991","FQ1 1991","Currency=USD","Period=FQ","BEST_FPERIOD_OVERRIDE=FQ","FILING_STATUS=OR","SCALING_FORMAT=MLN","Sort=A","Dates=H","DateFormat=P","Fill=—","Direction=H","UseDPDF=Y")</f>
        <v>16843</v>
      </c>
      <c r="H16" s="16">
        <f>_xll.BDH("XOM US Equity","BS_CUR_ASSET_REPORT","FQ2 1991","FQ2 1991","Currency=USD","Period=FQ","BEST_FPERIOD_OVERRIDE=FQ","FILING_STATUS=OR","SCALING_FORMAT=MLN","Sort=A","Dates=H","DateFormat=P","Fill=—","Direction=H","UseDPDF=Y")</f>
        <v>15511</v>
      </c>
      <c r="I16" s="16">
        <f>_xll.BDH("XOM US Equity","BS_CUR_ASSET_REPORT","FQ3 1991","FQ3 1991","Currency=USD","Period=FQ","BEST_FPERIOD_OVERRIDE=FQ","FILING_STATUS=OR","SCALING_FORMAT=MLN","Sort=A","Dates=H","DateFormat=P","Fill=—","Direction=H","UseDPDF=Y")</f>
        <v>16168</v>
      </c>
      <c r="J16" s="16">
        <f>_xll.BDH("XOM US Equity","BS_CUR_ASSET_REPORT","FQ4 1991","FQ4 1991","Currency=USD","Period=FQ","BEST_FPERIOD_OVERRIDE=FQ","FILING_STATUS=OR","SCALING_FORMAT=MLN","Sort=A","Dates=H","DateFormat=P","Fill=—","Direction=H","UseDPDF=Y")</f>
        <v>17012</v>
      </c>
      <c r="K16" s="16">
        <f>_xll.BDH("XOM US Equity","BS_CUR_ASSET_REPORT","FQ1 1992","FQ1 1992","Currency=USD","Period=FQ","BEST_FPERIOD_OVERRIDE=FQ","FILING_STATUS=OR","SCALING_FORMAT=MLN","Sort=A","Dates=H","DateFormat=P","Fill=—","Direction=H","UseDPDF=Y")</f>
        <v>15670</v>
      </c>
      <c r="L16" s="16">
        <f>_xll.BDH("XOM US Equity","BS_CUR_ASSET_REPORT","FQ2 1992","FQ2 1992","Currency=USD","Period=FQ","BEST_FPERIOD_OVERRIDE=FQ","FILING_STATUS=OR","SCALING_FORMAT=MLN","Sort=A","Dates=H","DateFormat=P","Fill=—","Direction=H","UseDPDF=Y")</f>
        <v>16658</v>
      </c>
      <c r="M16" s="16">
        <f>_xll.BDH("XOM US Equity","BS_CUR_ASSET_REPORT","FQ3 1992","FQ3 1992","Currency=USD","Period=FQ","BEST_FPERIOD_OVERRIDE=FQ","FILING_STATUS=OR","SCALING_FORMAT=MLN","Sort=A","Dates=H","DateFormat=P","Fill=—","Direction=H","UseDPDF=Y")</f>
        <v>17136</v>
      </c>
      <c r="N16" s="16">
        <f>_xll.BDH("XOM US Equity","BS_CUR_ASSET_REPORT","FQ4 1992","FQ4 1992","Currency=USD","Period=FQ","BEST_FPERIOD_OVERRIDE=FQ","FILING_STATUS=OR","SCALING_FORMAT=MLN","Sort=A","Dates=H","DateFormat=P","Fill=—","Direction=H","UseDPDF=Y")</f>
        <v>16424</v>
      </c>
      <c r="O16" s="16">
        <f>_xll.BDH("XOM US Equity","BS_CUR_ASSET_REPORT","FQ1 1993","FQ1 1993","Currency=USD","Period=FQ","BEST_FPERIOD_OVERRIDE=FQ","FILING_STATUS=OR","SCALING_FORMAT=MLN","Sort=A","Dates=H","DateFormat=P","Fill=—","Direction=H","UseDPDF=Y")</f>
        <v>16178</v>
      </c>
      <c r="P16" s="16">
        <f>_xll.BDH("XOM US Equity","BS_CUR_ASSET_REPORT","FQ2 1993","FQ2 1993","Currency=USD","Period=FQ","BEST_FPERIOD_OVERRIDE=FQ","FILING_STATUS=OR","SCALING_FORMAT=MLN","Sort=A","Dates=H","DateFormat=P","Fill=—","Direction=H","UseDPDF=Y")</f>
        <v>16256</v>
      </c>
      <c r="Q16" s="16">
        <f>_xll.BDH("XOM US Equity","BS_CUR_ASSET_REPORT","FQ3 1993","FQ3 1993","Currency=USD","Period=FQ","BEST_FPERIOD_OVERRIDE=FQ","FILING_STATUS=OR","SCALING_FORMAT=MLN","Sort=A","Dates=H","DateFormat=P","Fill=—","Direction=H","UseDPDF=Y")</f>
        <v>16228</v>
      </c>
      <c r="R16" s="16">
        <f>_xll.BDH("XOM US Equity","BS_CUR_ASSET_REPORT","FQ4 1993","FQ4 1993","Currency=USD","Period=FQ","BEST_FPERIOD_OVERRIDE=FQ","FILING_STATUS=OR","SCALING_FORMAT=MLN","Sort=A","Dates=H","DateFormat=P","Fill=—","Direction=H","UseDPDF=Y")</f>
        <v>14859</v>
      </c>
      <c r="S16" s="16">
        <f>_xll.BDH("XOM US Equity","BS_CUR_ASSET_REPORT","FQ1 1994","FQ1 1994","Currency=USD","Period=FQ","BEST_FPERIOD_OVERRIDE=FQ","FILING_STATUS=OR","SCALING_FORMAT=MLN","Sort=A","Dates=H","DateFormat=P","Fill=—","Direction=H","UseDPDF=Y")</f>
        <v>15488</v>
      </c>
      <c r="T16" s="16">
        <f>_xll.BDH("XOM US Equity","BS_CUR_ASSET_REPORT","FQ2 1994","FQ2 1994","Currency=USD","Period=FQ","BEST_FPERIOD_OVERRIDE=FQ","FILING_STATUS=OR","SCALING_FORMAT=MLN","Sort=A","Dates=H","DateFormat=P","Fill=—","Direction=H","UseDPDF=Y")</f>
        <v>15986</v>
      </c>
      <c r="U16" s="16">
        <f>_xll.BDH("XOM US Equity","BS_CUR_ASSET_REPORT","FQ3 1994","FQ3 1994","Currency=USD","Period=FQ","BEST_FPERIOD_OVERRIDE=FQ","FILING_STATUS=OR","SCALING_FORMAT=MLN","Sort=A","Dates=H","DateFormat=P","Fill=—","Direction=H","UseDPDF=Y")</f>
        <v>16450</v>
      </c>
      <c r="V16" s="16">
        <f>_xll.BDH("XOM US Equity","BS_CUR_ASSET_REPORT","FQ4 1994","FQ4 1994","Currency=USD","Period=FQ","BEST_FPERIOD_OVERRIDE=FQ","FILING_STATUS=OR","SCALING_FORMAT=MLN","Sort=A","Dates=H","DateFormat=P","Fill=—","Direction=H","UseDPDF=Y")</f>
        <v>16460</v>
      </c>
      <c r="W16" s="16">
        <f>_xll.BDH("XOM US Equity","BS_CUR_ASSET_REPORT","FQ1 1995","FQ1 1995","Currency=USD","Period=FQ","BEST_FPERIOD_OVERRIDE=FQ","FILING_STATUS=OR","SCALING_FORMAT=MLN","Sort=A","Dates=H","DateFormat=P","Fill=—","Direction=H","UseDPDF=Y")</f>
        <v>18452</v>
      </c>
      <c r="X16" s="16">
        <f>_xll.BDH("XOM US Equity","BS_CUR_ASSET_REPORT","FQ2 1995","FQ2 1995","Currency=USD","Period=FQ","BEST_FPERIOD_OVERRIDE=FQ","FILING_STATUS=OR","SCALING_FORMAT=MLN","Sort=A","Dates=H","DateFormat=P","Fill=—","Direction=H","UseDPDF=Y")</f>
        <v>17986</v>
      </c>
      <c r="Y16" s="16">
        <f>_xll.BDH("XOM US Equity","BS_CUR_ASSET_REPORT","FQ3 1995","FQ3 1995","Currency=USD","Period=FQ","BEST_FPERIOD_OVERRIDE=FQ","FILING_STATUS=OR","SCALING_FORMAT=MLN","Sort=A","Dates=H","DateFormat=P","Fill=—","Direction=H","UseDPDF=Y")</f>
        <v>17498</v>
      </c>
      <c r="Z16" s="16">
        <f>_xll.BDH("XOM US Equity","BS_CUR_ASSET_REPORT","FQ4 1995","FQ4 1995","Currency=USD","Period=FQ","BEST_FPERIOD_OVERRIDE=FQ","FILING_STATUS=OR","SCALING_FORMAT=MLN","Sort=A","Dates=H","DateFormat=P","Fill=—","Direction=H","UseDPDF=Y")</f>
        <v>17318</v>
      </c>
      <c r="AA16" s="16">
        <f>_xll.BDH("XOM US Equity","BS_CUR_ASSET_REPORT","FQ1 1996","FQ1 1996","Currency=USD","Period=FQ","BEST_FPERIOD_OVERRIDE=FQ","FILING_STATUS=OR","SCALING_FORMAT=MLN","Sort=A","Dates=H","DateFormat=P","Fill=—","Direction=H","UseDPDF=Y")</f>
        <v>18964</v>
      </c>
      <c r="AB16" s="16">
        <f>_xll.BDH("XOM US Equity","BS_CUR_ASSET_REPORT","FQ2 1996","FQ2 1996","Currency=USD","Period=FQ","BEST_FPERIOD_OVERRIDE=FQ","FILING_STATUS=OR","SCALING_FORMAT=MLN","Sort=A","Dates=H","DateFormat=P","Fill=—","Direction=H","UseDPDF=Y")</f>
        <v>18401</v>
      </c>
      <c r="AC16" s="16">
        <f>_xll.BDH("XOM US Equity","BS_CUR_ASSET_REPORT","FQ3 1996","FQ3 1996","Currency=USD","Period=FQ","BEST_FPERIOD_OVERRIDE=FQ","FILING_STATUS=OR","SCALING_FORMAT=MLN","Sort=A","Dates=H","DateFormat=P","Fill=—","Direction=H","UseDPDF=Y")</f>
        <v>18578</v>
      </c>
      <c r="AD16" s="16">
        <f>_xll.BDH("XOM US Equity","BS_CUR_ASSET_REPORT","FQ4 1996","FQ4 1996","Currency=USD","Period=FQ","BEST_FPERIOD_OVERRIDE=FQ","FILING_STATUS=OR","SCALING_FORMAT=MLN","Sort=A","Dates=H","DateFormat=P","Fill=—","Direction=H","UseDPDF=Y")</f>
        <v>19910</v>
      </c>
      <c r="AE16" s="16">
        <f>_xll.BDH("XOM US Equity","BS_CUR_ASSET_REPORT","FQ1 1997","FQ1 1997","Currency=USD","Period=FQ","BEST_FPERIOD_OVERRIDE=FQ","FILING_STATUS=OR","SCALING_FORMAT=MLN","Sort=A","Dates=H","DateFormat=P","Fill=—","Direction=H","UseDPDF=Y")</f>
        <v>21768</v>
      </c>
      <c r="AF16" s="16">
        <f>_xll.BDH("XOM US Equity","BS_CUR_ASSET_REPORT","FQ2 1997","FQ2 1997","Currency=USD","Period=FQ","BEST_FPERIOD_OVERRIDE=FQ","FILING_STATUS=OR","SCALING_FORMAT=MLN","Sort=A","Dates=H","DateFormat=P","Fill=—","Direction=H","UseDPDF=Y")</f>
        <v>20794</v>
      </c>
      <c r="AG16" s="16">
        <f>_xll.BDH("XOM US Equity","BS_CUR_ASSET_REPORT","FQ3 1997","FQ3 1997","Currency=USD","Period=FQ","BEST_FPERIOD_OVERRIDE=FQ","FILING_STATUS=OR","SCALING_FORMAT=MLN","Sort=A","Dates=H","DateFormat=P","Fill=—","Direction=H","UseDPDF=Y")</f>
        <v>21686</v>
      </c>
      <c r="AH16" s="16">
        <f>_xll.BDH("XOM US Equity","BS_CUR_ASSET_REPORT","FQ4 1997","FQ4 1997","Currency=USD","Period=FQ","BEST_FPERIOD_OVERRIDE=FQ","FILING_STATUS=OR","SCALING_FORMAT=MLN","Sort=A","Dates=H","DateFormat=P","Fill=—","Direction=H","UseDPDF=Y")</f>
        <v>21192</v>
      </c>
      <c r="AI16" s="16">
        <f>_xll.BDH("XOM US Equity","BS_CUR_ASSET_REPORT","FQ1 1998","FQ1 1998","Currency=USD","Period=FQ","BEST_FPERIOD_OVERRIDE=FQ","FILING_STATUS=OR","SCALING_FORMAT=MLN","Sort=A","Dates=H","DateFormat=P","Fill=—","Direction=H","UseDPDF=Y")</f>
        <v>20041</v>
      </c>
      <c r="AJ16" s="16">
        <f>_xll.BDH("XOM US Equity","BS_CUR_ASSET_REPORT","FQ2 1998","FQ2 1998","Currency=USD","Period=FQ","BEST_FPERIOD_OVERRIDE=FQ","FILING_STATUS=OR","SCALING_FORMAT=MLN","Sort=A","Dates=H","DateFormat=P","Fill=—","Direction=H","UseDPDF=Y")</f>
        <v>18280</v>
      </c>
    </row>
    <row r="17" spans="1:36" x14ac:dyDescent="0.25">
      <c r="A17" s="10" t="s">
        <v>167</v>
      </c>
      <c r="B17" s="10" t="s">
        <v>168</v>
      </c>
      <c r="C17" s="13">
        <f>_xll.BDH("XOM US Equity","BS_NET_FIX_ASSET","FQ1 1990","FQ1 1990","Currency=USD","Period=FQ","BEST_FPERIOD_OVERRIDE=FQ","FILING_STATUS=OR","SCALING_FORMAT=MLN","Sort=A","Dates=H","DateFormat=P","Fill=—","Direction=H","UseDPDF=Y")</f>
        <v>60144</v>
      </c>
      <c r="D17" s="13">
        <f>_xll.BDH("XOM US Equity","BS_NET_FIX_ASSET","FQ2 1990","FQ2 1990","Currency=USD","Period=FQ","BEST_FPERIOD_OVERRIDE=FQ","FILING_STATUS=OR","SCALING_FORMAT=MLN","Sort=A","Dates=H","DateFormat=P","Fill=—","Direction=H","UseDPDF=Y")</f>
        <v>61008</v>
      </c>
      <c r="E17" s="13">
        <f>_xll.BDH("XOM US Equity","BS_NET_FIX_ASSET","FQ3 1990","FQ3 1990","Currency=USD","Period=FQ","BEST_FPERIOD_OVERRIDE=FQ","FILING_STATUS=OR","SCALING_FORMAT=MLN","Sort=A","Dates=H","DateFormat=P","Fill=—","Direction=H","UseDPDF=Y")</f>
        <v>62262</v>
      </c>
      <c r="F17" s="13">
        <f>_xll.BDH("XOM US Equity","BS_NET_FIX_ASSET","FQ4 1990","FQ4 1990","Currency=USD","Period=FQ","BEST_FPERIOD_OVERRIDE=FQ","FILING_STATUS=OR","SCALING_FORMAT=MLN","Sort=A","Dates=H","DateFormat=P","Fill=—","Direction=H","UseDPDF=Y")</f>
        <v>62688</v>
      </c>
      <c r="G17" s="13">
        <f>_xll.BDH("XOM US Equity","BS_NET_FIX_ASSET","FQ1 1991","FQ1 1991","Currency=USD","Period=FQ","BEST_FPERIOD_OVERRIDE=FQ","FILING_STATUS=OR","SCALING_FORMAT=MLN","Sort=A","Dates=H","DateFormat=P","Fill=—","Direction=H","UseDPDF=Y")</f>
        <v>60754</v>
      </c>
      <c r="H17" s="13">
        <f>_xll.BDH("XOM US Equity","BS_NET_FIX_ASSET","FQ2 1991","FQ2 1991","Currency=USD","Period=FQ","BEST_FPERIOD_OVERRIDE=FQ","FILING_STATUS=OR","SCALING_FORMAT=MLN","Sort=A","Dates=H","DateFormat=P","Fill=—","Direction=H","UseDPDF=Y")</f>
        <v>60324</v>
      </c>
      <c r="I17" s="13">
        <f>_xll.BDH("XOM US Equity","BS_NET_FIX_ASSET","FQ3 1991","FQ3 1991","Currency=USD","Period=FQ","BEST_FPERIOD_OVERRIDE=FQ","FILING_STATUS=OR","SCALING_FORMAT=MLN","Sort=A","Dates=H","DateFormat=P","Fill=—","Direction=H","UseDPDF=Y")</f>
        <v>62115</v>
      </c>
      <c r="J17" s="13">
        <f>_xll.BDH("XOM US Equity","BS_NET_FIX_ASSET","FQ4 1991","FQ4 1991","Currency=USD","Period=FQ","BEST_FPERIOD_OVERRIDE=FQ","FILING_STATUS=OR","SCALING_FORMAT=MLN","Sort=A","Dates=H","DateFormat=P","Fill=—","Direction=H","UseDPDF=Y")</f>
        <v>63864</v>
      </c>
      <c r="K17" s="13">
        <f>_xll.BDH("XOM US Equity","BS_NET_FIX_ASSET","FQ1 1992","FQ1 1992","Currency=USD","Period=FQ","BEST_FPERIOD_OVERRIDE=FQ","FILING_STATUS=OR","SCALING_FORMAT=MLN","Sort=A","Dates=H","DateFormat=P","Fill=—","Direction=H","UseDPDF=Y")</f>
        <v>62454</v>
      </c>
      <c r="L17" s="13">
        <f>_xll.BDH("XOM US Equity","BS_NET_FIX_ASSET","FQ2 1992","FQ2 1992","Currency=USD","Period=FQ","BEST_FPERIOD_OVERRIDE=FQ","FILING_STATUS=OR","SCALING_FORMAT=MLN","Sort=A","Dates=H","DateFormat=P","Fill=—","Direction=H","UseDPDF=Y")</f>
        <v>64115</v>
      </c>
      <c r="M17" s="13">
        <f>_xll.BDH("XOM US Equity","BS_NET_FIX_ASSET","FQ3 1992","FQ3 1992","Currency=USD","Period=FQ","BEST_FPERIOD_OVERRIDE=FQ","FILING_STATUS=OR","SCALING_FORMAT=MLN","Sort=A","Dates=H","DateFormat=P","Fill=—","Direction=H","UseDPDF=Y")</f>
        <v>63860</v>
      </c>
      <c r="N17" s="13">
        <f>_xll.BDH("XOM US Equity","BS_NET_FIX_ASSET","FQ4 1992","FQ4 1992","Currency=USD","Period=FQ","BEST_FPERIOD_OVERRIDE=FQ","FILING_STATUS=OR","SCALING_FORMAT=MLN","Sort=A","Dates=H","DateFormat=P","Fill=—","Direction=H","UseDPDF=Y")</f>
        <v>61799</v>
      </c>
      <c r="O17" s="13">
        <f>_xll.BDH("XOM US Equity","BS_NET_FIX_ASSET","FQ1 1993","FQ1 1993","Currency=USD","Period=FQ","BEST_FPERIOD_OVERRIDE=FQ","FILING_STATUS=OR","SCALING_FORMAT=MLN","Sort=A","Dates=H","DateFormat=P","Fill=—","Direction=H","UseDPDF=Y")</f>
        <v>61821</v>
      </c>
      <c r="P17" s="13">
        <f>_xll.BDH("XOM US Equity","BS_NET_FIX_ASSET","FQ2 1993","FQ2 1993","Currency=USD","Period=FQ","BEST_FPERIOD_OVERRIDE=FQ","FILING_STATUS=OR","SCALING_FORMAT=MLN","Sort=A","Dates=H","DateFormat=P","Fill=—","Direction=H","UseDPDF=Y")</f>
        <v>61608</v>
      </c>
      <c r="Q17" s="13">
        <f>_xll.BDH("XOM US Equity","BS_NET_FIX_ASSET","FQ3 1993","FQ3 1993","Currency=USD","Period=FQ","BEST_FPERIOD_OVERRIDE=FQ","FILING_STATUS=OR","SCALING_FORMAT=MLN","Sort=A","Dates=H","DateFormat=P","Fill=—","Direction=H","UseDPDF=Y")</f>
        <v>61722</v>
      </c>
      <c r="R17" s="13">
        <f>_xll.BDH("XOM US Equity","BS_NET_FIX_ASSET","FQ4 1993","FQ4 1993","Currency=USD","Period=FQ","BEST_FPERIOD_OVERRIDE=FQ","FILING_STATUS=OR","SCALING_FORMAT=MLN","Sort=A","Dates=H","DateFormat=P","Fill=—","Direction=H","UseDPDF=Y")</f>
        <v>61962</v>
      </c>
      <c r="S17" s="13">
        <f>_xll.BDH("XOM US Equity","BS_NET_FIX_ASSET","FQ1 1994","FQ1 1994","Currency=USD","Period=FQ","BEST_FPERIOD_OVERRIDE=FQ","FILING_STATUS=OR","SCALING_FORMAT=MLN","Sort=A","Dates=H","DateFormat=P","Fill=—","Direction=H","UseDPDF=Y")</f>
        <v>61777</v>
      </c>
      <c r="T17" s="13">
        <f>_xll.BDH("XOM US Equity","BS_NET_FIX_ASSET","FQ2 1994","FQ2 1994","Currency=USD","Period=FQ","BEST_FPERIOD_OVERRIDE=FQ","FILING_STATUS=OR","SCALING_FORMAT=MLN","Sort=A","Dates=H","DateFormat=P","Fill=—","Direction=H","UseDPDF=Y")</f>
        <v>62443</v>
      </c>
      <c r="U17" s="13">
        <f>_xll.BDH("XOM US Equity","BS_NET_FIX_ASSET","FQ3 1994","FQ3 1994","Currency=USD","Period=FQ","BEST_FPERIOD_OVERRIDE=FQ","FILING_STATUS=OR","SCALING_FORMAT=MLN","Sort=A","Dates=H","DateFormat=P","Fill=—","Direction=H","UseDPDF=Y")</f>
        <v>63454</v>
      </c>
      <c r="V17" s="13">
        <f>_xll.BDH("XOM US Equity","BS_NET_FIX_ASSET","FQ4 1994","FQ4 1994","Currency=USD","Period=FQ","BEST_FPERIOD_OVERRIDE=FQ","FILING_STATUS=OR","SCALING_FORMAT=MLN","Sort=A","Dates=H","DateFormat=P","Fill=—","Direction=H","UseDPDF=Y")</f>
        <v>63425</v>
      </c>
      <c r="W17" s="13">
        <f>_xll.BDH("XOM US Equity","BS_NET_FIX_ASSET","FQ1 1995","FQ1 1995","Currency=USD","Period=FQ","BEST_FPERIOD_OVERRIDE=FQ","FILING_STATUS=OR","SCALING_FORMAT=MLN","Sort=A","Dates=H","DateFormat=P","Fill=—","Direction=H","UseDPDF=Y")</f>
        <v>64535</v>
      </c>
      <c r="X17" s="13">
        <f>_xll.BDH("XOM US Equity","BS_NET_FIX_ASSET","FQ2 1995","FQ2 1995","Currency=USD","Period=FQ","BEST_FPERIOD_OVERRIDE=FQ","FILING_STATUS=OR","SCALING_FORMAT=MLN","Sort=A","Dates=H","DateFormat=P","Fill=—","Direction=H","UseDPDF=Y")</f>
        <v>64653</v>
      </c>
      <c r="Y17" s="13">
        <f>_xll.BDH("XOM US Equity","BS_NET_FIX_ASSET","FQ3 1995","FQ3 1995","Currency=USD","Period=FQ","BEST_FPERIOD_OVERRIDE=FQ","FILING_STATUS=OR","SCALING_FORMAT=MLN","Sort=A","Dates=H","DateFormat=P","Fill=—","Direction=H","UseDPDF=Y")</f>
        <v>64888</v>
      </c>
      <c r="Z17" s="13">
        <f>_xll.BDH("XOM US Equity","BS_NET_FIX_ASSET","FQ4 1995","FQ4 1995","Currency=USD","Period=FQ","BEST_FPERIOD_OVERRIDE=FQ","FILING_STATUS=OR","SCALING_FORMAT=MLN","Sort=A","Dates=H","DateFormat=P","Fill=—","Direction=H","UseDPDF=Y")</f>
        <v>65446</v>
      </c>
      <c r="AA17" s="13">
        <f>_xll.BDH("XOM US Equity","BS_NET_FIX_ASSET","FQ1 1996","FQ1 1996","Currency=USD","Period=FQ","BEST_FPERIOD_OVERRIDE=FQ","FILING_STATUS=OR","SCALING_FORMAT=MLN","Sort=A","Dates=H","DateFormat=P","Fill=—","Direction=H","UseDPDF=Y")</f>
        <v>65183</v>
      </c>
      <c r="AB17" s="13">
        <f>_xll.BDH("XOM US Equity","BS_NET_FIX_ASSET","FQ2 1996","FQ2 1996","Currency=USD","Period=FQ","BEST_FPERIOD_OVERRIDE=FQ","FILING_STATUS=OR","SCALING_FORMAT=MLN","Sort=A","Dates=H","DateFormat=P","Fill=—","Direction=H","UseDPDF=Y")</f>
        <v>65487</v>
      </c>
      <c r="AC17" s="13">
        <f>_xll.BDH("XOM US Equity","BS_NET_FIX_ASSET","FQ3 1996","FQ3 1996","Currency=USD","Period=FQ","BEST_FPERIOD_OVERRIDE=FQ","FILING_STATUS=OR","SCALING_FORMAT=MLN","Sort=A","Dates=H","DateFormat=P","Fill=—","Direction=H","UseDPDF=Y")</f>
        <v>65914</v>
      </c>
      <c r="AD17" s="13">
        <f>_xll.BDH("XOM US Equity","BS_NET_FIX_ASSET","FQ4 1996","FQ4 1996","Currency=USD","Period=FQ","BEST_FPERIOD_OVERRIDE=FQ","FILING_STATUS=OR","SCALING_FORMAT=MLN","Sort=A","Dates=H","DateFormat=P","Fill=—","Direction=H","UseDPDF=Y")</f>
        <v>66607</v>
      </c>
      <c r="AE17" s="13">
        <f>_xll.BDH("XOM US Equity","BS_NET_FIX_ASSET","FQ1 1997","FQ1 1997","Currency=USD","Period=FQ","BEST_FPERIOD_OVERRIDE=FQ","FILING_STATUS=OR","SCALING_FORMAT=MLN","Sort=A","Dates=H","DateFormat=P","Fill=—","Direction=H","UseDPDF=Y")</f>
        <v>65493</v>
      </c>
      <c r="AF17" s="13">
        <f>_xll.BDH("XOM US Equity","BS_NET_FIX_ASSET","FQ2 1997","FQ2 1997","Currency=USD","Period=FQ","BEST_FPERIOD_OVERRIDE=FQ","FILING_STATUS=OR","SCALING_FORMAT=MLN","Sort=A","Dates=H","DateFormat=P","Fill=—","Direction=H","UseDPDF=Y")</f>
        <v>65520</v>
      </c>
      <c r="AG17" s="13">
        <f>_xll.BDH("XOM US Equity","BS_NET_FIX_ASSET","FQ3 1997","FQ3 1997","Currency=USD","Period=FQ","BEST_FPERIOD_OVERRIDE=FQ","FILING_STATUS=OR","SCALING_FORMAT=MLN","Sort=A","Dates=H","DateFormat=P","Fill=—","Direction=H","UseDPDF=Y")</f>
        <v>67008</v>
      </c>
      <c r="AH17" s="13">
        <f>_xll.BDH("XOM US Equity","BS_NET_FIX_ASSET","FQ4 1997","FQ4 1997","Currency=USD","Period=FQ","BEST_FPERIOD_OVERRIDE=FQ","FILING_STATUS=OR","SCALING_FORMAT=MLN","Sort=A","Dates=H","DateFormat=P","Fill=—","Direction=H","UseDPDF=Y")</f>
        <v>66414</v>
      </c>
      <c r="AI17" s="13">
        <f>_xll.BDH("XOM US Equity","BS_NET_FIX_ASSET","FQ1 1998","FQ1 1998","Currency=USD","Period=FQ","BEST_FPERIOD_OVERRIDE=FQ","FILING_STATUS=OR","SCALING_FORMAT=MLN","Sort=A","Dates=H","DateFormat=P","Fill=—","Direction=H","UseDPDF=Y")</f>
        <v>66726</v>
      </c>
      <c r="AJ17" s="13">
        <f>_xll.BDH("XOM US Equity","BS_NET_FIX_ASSET","FQ2 1998","FQ2 1998","Currency=USD","Period=FQ","BEST_FPERIOD_OVERRIDE=FQ","FILING_STATUS=OR","SCALING_FORMAT=MLN","Sort=A","Dates=H","DateFormat=P","Fill=—","Direction=H","UseDPDF=Y")</f>
        <v>66752</v>
      </c>
    </row>
    <row r="18" spans="1:36" x14ac:dyDescent="0.25">
      <c r="A18" s="10" t="s">
        <v>169</v>
      </c>
      <c r="B18" s="10" t="s">
        <v>170</v>
      </c>
      <c r="C18" s="13" t="str">
        <f>_xll.BDH("XOM US Equity","BS_GROSS_FIX_ASSET","FQ1 1990","FQ1 1990","Currency=USD","Period=FQ","BEST_FPERIOD_OVERRIDE=FQ","FILING_STATUS=OR","SCALING_FORMAT=MLN","Sort=A","Dates=H","DateFormat=P","Fill=—","Direction=H","UseDPDF=Y")</f>
        <v>—</v>
      </c>
      <c r="D18" s="13" t="str">
        <f>_xll.BDH("XOM US Equity","BS_GROSS_FIX_ASSET","FQ2 1990","FQ2 1990","Currency=USD","Period=FQ","BEST_FPERIOD_OVERRIDE=FQ","FILING_STATUS=OR","SCALING_FORMAT=MLN","Sort=A","Dates=H","DateFormat=P","Fill=—","Direction=H","UseDPDF=Y")</f>
        <v>—</v>
      </c>
      <c r="E18" s="13" t="str">
        <f>_xll.BDH("XOM US Equity","BS_GROSS_FIX_ASSET","FQ3 1990","FQ3 1990","Currency=USD","Period=FQ","BEST_FPERIOD_OVERRIDE=FQ","FILING_STATUS=OR","SCALING_FORMAT=MLN","Sort=A","Dates=H","DateFormat=P","Fill=—","Direction=H","UseDPDF=Y")</f>
        <v>—</v>
      </c>
      <c r="F18" s="13">
        <f>_xll.BDH("XOM US Equity","BS_GROSS_FIX_ASSET","FQ4 1990","FQ4 1990","Currency=USD","Period=FQ","BEST_FPERIOD_OVERRIDE=FQ","FILING_STATUS=OR","SCALING_FORMAT=MLN","Sort=A","Dates=H","DateFormat=P","Fill=—","Direction=H","UseDPDF=Y")</f>
        <v>107599</v>
      </c>
      <c r="G18" s="13" t="str">
        <f>_xll.BDH("XOM US Equity","BS_GROSS_FIX_ASSET","FQ1 1991","FQ1 1991","Currency=USD","Period=FQ","BEST_FPERIOD_OVERRIDE=FQ","FILING_STATUS=OR","SCALING_FORMAT=MLN","Sort=A","Dates=H","DateFormat=P","Fill=—","Direction=H","UseDPDF=Y")</f>
        <v>—</v>
      </c>
      <c r="H18" s="13" t="str">
        <f>_xll.BDH("XOM US Equity","BS_GROSS_FIX_ASSET","FQ2 1991","FQ2 1991","Currency=USD","Period=FQ","BEST_FPERIOD_OVERRIDE=FQ","FILING_STATUS=OR","SCALING_FORMAT=MLN","Sort=A","Dates=H","DateFormat=P","Fill=—","Direction=H","UseDPDF=Y")</f>
        <v>—</v>
      </c>
      <c r="I18" s="13" t="str">
        <f>_xll.BDH("XOM US Equity","BS_GROSS_FIX_ASSET","FQ3 1991","FQ3 1991","Currency=USD","Period=FQ","BEST_FPERIOD_OVERRIDE=FQ","FILING_STATUS=OR","SCALING_FORMAT=MLN","Sort=A","Dates=H","DateFormat=P","Fill=—","Direction=H","UseDPDF=Y")</f>
        <v>—</v>
      </c>
      <c r="J18" s="13">
        <f>_xll.BDH("XOM US Equity","BS_GROSS_FIX_ASSET","FQ4 1991","FQ4 1991","Currency=USD","Period=FQ","BEST_FPERIOD_OVERRIDE=FQ","FILING_STATUS=OR","SCALING_FORMAT=MLN","Sort=A","Dates=H","DateFormat=P","Fill=—","Direction=H","UseDPDF=Y")</f>
        <v>112440</v>
      </c>
      <c r="K18" s="13" t="str">
        <f>_xll.BDH("XOM US Equity","BS_GROSS_FIX_ASSET","FQ1 1992","FQ1 1992","Currency=USD","Period=FQ","BEST_FPERIOD_OVERRIDE=FQ","FILING_STATUS=OR","SCALING_FORMAT=MLN","Sort=A","Dates=H","DateFormat=P","Fill=—","Direction=H","UseDPDF=Y")</f>
        <v>—</v>
      </c>
      <c r="L18" s="13" t="str">
        <f>_xll.BDH("XOM US Equity","BS_GROSS_FIX_ASSET","FQ2 1992","FQ2 1992","Currency=USD","Period=FQ","BEST_FPERIOD_OVERRIDE=FQ","FILING_STATUS=OR","SCALING_FORMAT=MLN","Sort=A","Dates=H","DateFormat=P","Fill=—","Direction=H","UseDPDF=Y")</f>
        <v>—</v>
      </c>
      <c r="M18" s="13" t="str">
        <f>_xll.BDH("XOM US Equity","BS_GROSS_FIX_ASSET","FQ3 1992","FQ3 1992","Currency=USD","Period=FQ","BEST_FPERIOD_OVERRIDE=FQ","FILING_STATUS=OR","SCALING_FORMAT=MLN","Sort=A","Dates=H","DateFormat=P","Fill=—","Direction=H","UseDPDF=Y")</f>
        <v>—</v>
      </c>
      <c r="N18" s="13">
        <f>_xll.BDH("XOM US Equity","BS_GROSS_FIX_ASSET","FQ4 1992","FQ4 1992","Currency=USD","Period=FQ","BEST_FPERIOD_OVERRIDE=FQ","FILING_STATUS=OR","SCALING_FORMAT=MLN","Sort=A","Dates=H","DateFormat=P","Fill=—","Direction=H","UseDPDF=Y")</f>
        <v>110738</v>
      </c>
      <c r="O18" s="13" t="str">
        <f>_xll.BDH("XOM US Equity","BS_GROSS_FIX_ASSET","FQ1 1993","FQ1 1993","Currency=USD","Period=FQ","BEST_FPERIOD_OVERRIDE=FQ","FILING_STATUS=OR","SCALING_FORMAT=MLN","Sort=A","Dates=H","DateFormat=P","Fill=—","Direction=H","UseDPDF=Y")</f>
        <v>—</v>
      </c>
      <c r="P18" s="13" t="str">
        <f>_xll.BDH("XOM US Equity","BS_GROSS_FIX_ASSET","FQ2 1993","FQ2 1993","Currency=USD","Period=FQ","BEST_FPERIOD_OVERRIDE=FQ","FILING_STATUS=OR","SCALING_FORMAT=MLN","Sort=A","Dates=H","DateFormat=P","Fill=—","Direction=H","UseDPDF=Y")</f>
        <v>—</v>
      </c>
      <c r="Q18" s="13" t="str">
        <f>_xll.BDH("XOM US Equity","BS_GROSS_FIX_ASSET","FQ3 1993","FQ3 1993","Currency=USD","Period=FQ","BEST_FPERIOD_OVERRIDE=FQ","FILING_STATUS=OR","SCALING_FORMAT=MLN","Sort=A","Dates=H","DateFormat=P","Fill=—","Direction=H","UseDPDF=Y")</f>
        <v>—</v>
      </c>
      <c r="R18" s="13">
        <f>_xll.BDH("XOM US Equity","BS_GROSS_FIX_ASSET","FQ4 1993","FQ4 1993","Currency=USD","Period=FQ","BEST_FPERIOD_OVERRIDE=FQ","FILING_STATUS=OR","SCALING_FORMAT=MLN","Sort=A","Dates=H","DateFormat=P","Fill=—","Direction=H","UseDPDF=Y")</f>
        <v>111135</v>
      </c>
      <c r="S18" s="13" t="str">
        <f>_xll.BDH("XOM US Equity","BS_GROSS_FIX_ASSET","FQ1 1994","FQ1 1994","Currency=USD","Period=FQ","BEST_FPERIOD_OVERRIDE=FQ","FILING_STATUS=OR","SCALING_FORMAT=MLN","Sort=A","Dates=H","DateFormat=P","Fill=—","Direction=H","UseDPDF=Y")</f>
        <v>—</v>
      </c>
      <c r="T18" s="13" t="str">
        <f>_xll.BDH("XOM US Equity","BS_GROSS_FIX_ASSET","FQ2 1994","FQ2 1994","Currency=USD","Period=FQ","BEST_FPERIOD_OVERRIDE=FQ","FILING_STATUS=OR","SCALING_FORMAT=MLN","Sort=A","Dates=H","DateFormat=P","Fill=—","Direction=H","UseDPDF=Y")</f>
        <v>—</v>
      </c>
      <c r="U18" s="13" t="str">
        <f>_xll.BDH("XOM US Equity","BS_GROSS_FIX_ASSET","FQ3 1994","FQ3 1994","Currency=USD","Period=FQ","BEST_FPERIOD_OVERRIDE=FQ","FILING_STATUS=OR","SCALING_FORMAT=MLN","Sort=A","Dates=H","DateFormat=P","Fill=—","Direction=H","UseDPDF=Y")</f>
        <v>—</v>
      </c>
      <c r="V18" s="13">
        <f>_xll.BDH("XOM US Equity","BS_GROSS_FIX_ASSET","FQ4 1994","FQ4 1994","Currency=USD","Period=FQ","BEST_FPERIOD_OVERRIDE=FQ","FILING_STATUS=OR","SCALING_FORMAT=MLN","Sort=A","Dates=H","DateFormat=P","Fill=—","Direction=H","UseDPDF=Y")</f>
        <v>116326</v>
      </c>
      <c r="W18" s="13" t="str">
        <f>_xll.BDH("XOM US Equity","BS_GROSS_FIX_ASSET","FQ1 1995","FQ1 1995","Currency=USD","Period=FQ","BEST_FPERIOD_OVERRIDE=FQ","FILING_STATUS=OR","SCALING_FORMAT=MLN","Sort=A","Dates=H","DateFormat=P","Fill=—","Direction=H","UseDPDF=Y")</f>
        <v>—</v>
      </c>
      <c r="X18" s="13" t="str">
        <f>_xll.BDH("XOM US Equity","BS_GROSS_FIX_ASSET","FQ2 1995","FQ2 1995","Currency=USD","Period=FQ","BEST_FPERIOD_OVERRIDE=FQ","FILING_STATUS=OR","SCALING_FORMAT=MLN","Sort=A","Dates=H","DateFormat=P","Fill=—","Direction=H","UseDPDF=Y")</f>
        <v>—</v>
      </c>
      <c r="Y18" s="13" t="str">
        <f>_xll.BDH("XOM US Equity","BS_GROSS_FIX_ASSET","FQ3 1995","FQ3 1995","Currency=USD","Period=FQ","BEST_FPERIOD_OVERRIDE=FQ","FILING_STATUS=OR","SCALING_FORMAT=MLN","Sort=A","Dates=H","DateFormat=P","Fill=—","Direction=H","UseDPDF=Y")</f>
        <v>—</v>
      </c>
      <c r="Z18" s="13">
        <f>_xll.BDH("XOM US Equity","BS_GROSS_FIX_ASSET","FQ4 1995","FQ4 1995","Currency=USD","Period=FQ","BEST_FPERIOD_OVERRIDE=FQ","FILING_STATUS=OR","SCALING_FORMAT=MLN","Sort=A","Dates=H","DateFormat=P","Fill=—","Direction=H","UseDPDF=Y")</f>
        <v>122337</v>
      </c>
      <c r="AA18" s="13" t="str">
        <f>_xll.BDH("XOM US Equity","BS_GROSS_FIX_ASSET","FQ1 1996","FQ1 1996","Currency=USD","Period=FQ","BEST_FPERIOD_OVERRIDE=FQ","FILING_STATUS=OR","SCALING_FORMAT=MLN","Sort=A","Dates=H","DateFormat=P","Fill=—","Direction=H","UseDPDF=Y")</f>
        <v>—</v>
      </c>
      <c r="AB18" s="13" t="str">
        <f>_xll.BDH("XOM US Equity","BS_GROSS_FIX_ASSET","FQ2 1996","FQ2 1996","Currency=USD","Period=FQ","BEST_FPERIOD_OVERRIDE=FQ","FILING_STATUS=OR","SCALING_FORMAT=MLN","Sort=A","Dates=H","DateFormat=P","Fill=—","Direction=H","UseDPDF=Y")</f>
        <v>—</v>
      </c>
      <c r="AC18" s="13" t="str">
        <f>_xll.BDH("XOM US Equity","BS_GROSS_FIX_ASSET","FQ3 1996","FQ3 1996","Currency=USD","Period=FQ","BEST_FPERIOD_OVERRIDE=FQ","FILING_STATUS=OR","SCALING_FORMAT=MLN","Sort=A","Dates=H","DateFormat=P","Fill=—","Direction=H","UseDPDF=Y")</f>
        <v>—</v>
      </c>
      <c r="AD18" s="13">
        <f>_xll.BDH("XOM US Equity","BS_GROSS_FIX_ASSET","FQ4 1996","FQ4 1996","Currency=USD","Period=FQ","BEST_FPERIOD_OVERRIDE=FQ","FILING_STATUS=OR","SCALING_FORMAT=MLN","Sort=A","Dates=H","DateFormat=P","Fill=—","Direction=H","UseDPDF=Y")</f>
        <v>126366</v>
      </c>
      <c r="AE18" s="13" t="str">
        <f>_xll.BDH("XOM US Equity","BS_GROSS_FIX_ASSET","FQ1 1997","FQ1 1997","Currency=USD","Period=FQ","BEST_FPERIOD_OVERRIDE=FQ","FILING_STATUS=OR","SCALING_FORMAT=MLN","Sort=A","Dates=H","DateFormat=P","Fill=—","Direction=H","UseDPDF=Y")</f>
        <v>—</v>
      </c>
      <c r="AF18" s="13">
        <f>_xll.BDH("XOM US Equity","BS_GROSS_FIX_ASSET","FQ2 1997","FQ2 1997","Currency=USD","Period=FQ","BEST_FPERIOD_OVERRIDE=FQ","FILING_STATUS=OR","SCALING_FORMAT=MLN","Sort=A","Dates=H","DateFormat=P","Fill=—","Direction=H","UseDPDF=Y")</f>
        <v>125695</v>
      </c>
      <c r="AG18" s="13">
        <f>_xll.BDH("XOM US Equity","BS_GROSS_FIX_ASSET","FQ3 1997","FQ3 1997","Currency=USD","Period=FQ","BEST_FPERIOD_OVERRIDE=FQ","FILING_STATUS=OR","SCALING_FORMAT=MLN","Sort=A","Dates=H","DateFormat=P","Fill=—","Direction=H","UseDPDF=Y")</f>
        <v>129176</v>
      </c>
      <c r="AH18" s="13">
        <f>_xll.BDH("XOM US Equity","BS_GROSS_FIX_ASSET","FQ4 1997","FQ4 1997","Currency=USD","Period=FQ","BEST_FPERIOD_OVERRIDE=FQ","FILING_STATUS=OR","SCALING_FORMAT=MLN","Sort=A","Dates=H","DateFormat=P","Fill=—","Direction=H","UseDPDF=Y")</f>
        <v>127778</v>
      </c>
      <c r="AI18" s="13">
        <f>_xll.BDH("XOM US Equity","BS_GROSS_FIX_ASSET","FQ1 1998","FQ1 1998","Currency=USD","Period=FQ","BEST_FPERIOD_OVERRIDE=FQ","FILING_STATUS=OR","SCALING_FORMAT=MLN","Sort=A","Dates=H","DateFormat=P","Fill=—","Direction=H","UseDPDF=Y")</f>
        <v>129161</v>
      </c>
      <c r="AJ18" s="13">
        <f>_xll.BDH("XOM US Equity","BS_GROSS_FIX_ASSET","FQ2 1998","FQ2 1998","Currency=USD","Period=FQ","BEST_FPERIOD_OVERRIDE=FQ","FILING_STATUS=OR","SCALING_FORMAT=MLN","Sort=A","Dates=H","DateFormat=P","Fill=—","Direction=H","UseDPDF=Y")</f>
        <v>129974</v>
      </c>
    </row>
    <row r="19" spans="1:36" x14ac:dyDescent="0.25">
      <c r="A19" s="10" t="s">
        <v>171</v>
      </c>
      <c r="B19" s="10" t="s">
        <v>172</v>
      </c>
      <c r="C19" s="13" t="str">
        <f>_xll.BDH("XOM US Equity","BS_ACCUM_DEPR","FQ1 1990","FQ1 1990","Currency=USD","Period=FQ","BEST_FPERIOD_OVERRIDE=FQ","FILING_STATUS=OR","SCALING_FORMAT=MLN","Sort=A","Dates=H","DateFormat=P","Fill=—","Direction=H","UseDPDF=Y")</f>
        <v>—</v>
      </c>
      <c r="D19" s="13" t="str">
        <f>_xll.BDH("XOM US Equity","BS_ACCUM_DEPR","FQ2 1990","FQ2 1990","Currency=USD","Period=FQ","BEST_FPERIOD_OVERRIDE=FQ","FILING_STATUS=OR","SCALING_FORMAT=MLN","Sort=A","Dates=H","DateFormat=P","Fill=—","Direction=H","UseDPDF=Y")</f>
        <v>—</v>
      </c>
      <c r="E19" s="13" t="str">
        <f>_xll.BDH("XOM US Equity","BS_ACCUM_DEPR","FQ3 1990","FQ3 1990","Currency=USD","Period=FQ","BEST_FPERIOD_OVERRIDE=FQ","FILING_STATUS=OR","SCALING_FORMAT=MLN","Sort=A","Dates=H","DateFormat=P","Fill=—","Direction=H","UseDPDF=Y")</f>
        <v>—</v>
      </c>
      <c r="F19" s="13">
        <f>_xll.BDH("XOM US Equity","BS_ACCUM_DEPR","FQ4 1990","FQ4 1990","Currency=USD","Period=FQ","BEST_FPERIOD_OVERRIDE=FQ","FILING_STATUS=OR","SCALING_FORMAT=MLN","Sort=A","Dates=H","DateFormat=P","Fill=—","Direction=H","UseDPDF=Y")</f>
        <v>44911</v>
      </c>
      <c r="G19" s="13" t="str">
        <f>_xll.BDH("XOM US Equity","BS_ACCUM_DEPR","FQ1 1991","FQ1 1991","Currency=USD","Period=FQ","BEST_FPERIOD_OVERRIDE=FQ","FILING_STATUS=OR","SCALING_FORMAT=MLN","Sort=A","Dates=H","DateFormat=P","Fill=—","Direction=H","UseDPDF=Y")</f>
        <v>—</v>
      </c>
      <c r="H19" s="13" t="str">
        <f>_xll.BDH("XOM US Equity","BS_ACCUM_DEPR","FQ2 1991","FQ2 1991","Currency=USD","Period=FQ","BEST_FPERIOD_OVERRIDE=FQ","FILING_STATUS=OR","SCALING_FORMAT=MLN","Sort=A","Dates=H","DateFormat=P","Fill=—","Direction=H","UseDPDF=Y")</f>
        <v>—</v>
      </c>
      <c r="I19" s="13" t="str">
        <f>_xll.BDH("XOM US Equity","BS_ACCUM_DEPR","FQ3 1991","FQ3 1991","Currency=USD","Period=FQ","BEST_FPERIOD_OVERRIDE=FQ","FILING_STATUS=OR","SCALING_FORMAT=MLN","Sort=A","Dates=H","DateFormat=P","Fill=—","Direction=H","UseDPDF=Y")</f>
        <v>—</v>
      </c>
      <c r="J19" s="13">
        <f>_xll.BDH("XOM US Equity","BS_ACCUM_DEPR","FQ4 1991","FQ4 1991","Currency=USD","Period=FQ","BEST_FPERIOD_OVERRIDE=FQ","FILING_STATUS=OR","SCALING_FORMAT=MLN","Sort=A","Dates=H","DateFormat=P","Fill=—","Direction=H","UseDPDF=Y")</f>
        <v>48576</v>
      </c>
      <c r="K19" s="13" t="str">
        <f>_xll.BDH("XOM US Equity","BS_ACCUM_DEPR","FQ1 1992","FQ1 1992","Currency=USD","Period=FQ","BEST_FPERIOD_OVERRIDE=FQ","FILING_STATUS=OR","SCALING_FORMAT=MLN","Sort=A","Dates=H","DateFormat=P","Fill=—","Direction=H","UseDPDF=Y")</f>
        <v>—</v>
      </c>
      <c r="L19" s="13" t="str">
        <f>_xll.BDH("XOM US Equity","BS_ACCUM_DEPR","FQ2 1992","FQ2 1992","Currency=USD","Period=FQ","BEST_FPERIOD_OVERRIDE=FQ","FILING_STATUS=OR","SCALING_FORMAT=MLN","Sort=A","Dates=H","DateFormat=P","Fill=—","Direction=H","UseDPDF=Y")</f>
        <v>—</v>
      </c>
      <c r="M19" s="13" t="str">
        <f>_xll.BDH("XOM US Equity","BS_ACCUM_DEPR","FQ3 1992","FQ3 1992","Currency=USD","Period=FQ","BEST_FPERIOD_OVERRIDE=FQ","FILING_STATUS=OR","SCALING_FORMAT=MLN","Sort=A","Dates=H","DateFormat=P","Fill=—","Direction=H","UseDPDF=Y")</f>
        <v>—</v>
      </c>
      <c r="N19" s="13">
        <f>_xll.BDH("XOM US Equity","BS_ACCUM_DEPR","FQ4 1992","FQ4 1992","Currency=USD","Period=FQ","BEST_FPERIOD_OVERRIDE=FQ","FILING_STATUS=OR","SCALING_FORMAT=MLN","Sort=A","Dates=H","DateFormat=P","Fill=—","Direction=H","UseDPDF=Y")</f>
        <v>48939</v>
      </c>
      <c r="O19" s="13" t="str">
        <f>_xll.BDH("XOM US Equity","BS_ACCUM_DEPR","FQ1 1993","FQ1 1993","Currency=USD","Period=FQ","BEST_FPERIOD_OVERRIDE=FQ","FILING_STATUS=OR","SCALING_FORMAT=MLN","Sort=A","Dates=H","DateFormat=P","Fill=—","Direction=H","UseDPDF=Y")</f>
        <v>—</v>
      </c>
      <c r="P19" s="13" t="str">
        <f>_xll.BDH("XOM US Equity","BS_ACCUM_DEPR","FQ2 1993","FQ2 1993","Currency=USD","Period=FQ","BEST_FPERIOD_OVERRIDE=FQ","FILING_STATUS=OR","SCALING_FORMAT=MLN","Sort=A","Dates=H","DateFormat=P","Fill=—","Direction=H","UseDPDF=Y")</f>
        <v>—</v>
      </c>
      <c r="Q19" s="13" t="str">
        <f>_xll.BDH("XOM US Equity","BS_ACCUM_DEPR","FQ3 1993","FQ3 1993","Currency=USD","Period=FQ","BEST_FPERIOD_OVERRIDE=FQ","FILING_STATUS=OR","SCALING_FORMAT=MLN","Sort=A","Dates=H","DateFormat=P","Fill=—","Direction=H","UseDPDF=Y")</f>
        <v>—</v>
      </c>
      <c r="R19" s="13">
        <f>_xll.BDH("XOM US Equity","BS_ACCUM_DEPR","FQ4 1993","FQ4 1993","Currency=USD","Period=FQ","BEST_FPERIOD_OVERRIDE=FQ","FILING_STATUS=OR","SCALING_FORMAT=MLN","Sort=A","Dates=H","DateFormat=P","Fill=—","Direction=H","UseDPDF=Y")</f>
        <v>49173</v>
      </c>
      <c r="S19" s="13" t="str">
        <f>_xll.BDH("XOM US Equity","BS_ACCUM_DEPR","FQ1 1994","FQ1 1994","Currency=USD","Period=FQ","BEST_FPERIOD_OVERRIDE=FQ","FILING_STATUS=OR","SCALING_FORMAT=MLN","Sort=A","Dates=H","DateFormat=P","Fill=—","Direction=H","UseDPDF=Y")</f>
        <v>—</v>
      </c>
      <c r="T19" s="13" t="str">
        <f>_xll.BDH("XOM US Equity","BS_ACCUM_DEPR","FQ2 1994","FQ2 1994","Currency=USD","Period=FQ","BEST_FPERIOD_OVERRIDE=FQ","FILING_STATUS=OR","SCALING_FORMAT=MLN","Sort=A","Dates=H","DateFormat=P","Fill=—","Direction=H","UseDPDF=Y")</f>
        <v>—</v>
      </c>
      <c r="U19" s="13" t="str">
        <f>_xll.BDH("XOM US Equity","BS_ACCUM_DEPR","FQ3 1994","FQ3 1994","Currency=USD","Period=FQ","BEST_FPERIOD_OVERRIDE=FQ","FILING_STATUS=OR","SCALING_FORMAT=MLN","Sort=A","Dates=H","DateFormat=P","Fill=—","Direction=H","UseDPDF=Y")</f>
        <v>—</v>
      </c>
      <c r="V19" s="13">
        <f>_xll.BDH("XOM US Equity","BS_ACCUM_DEPR","FQ4 1994","FQ4 1994","Currency=USD","Period=FQ","BEST_FPERIOD_OVERRIDE=FQ","FILING_STATUS=OR","SCALING_FORMAT=MLN","Sort=A","Dates=H","DateFormat=P","Fill=—","Direction=H","UseDPDF=Y")</f>
        <v>52901</v>
      </c>
      <c r="W19" s="13" t="str">
        <f>_xll.BDH("XOM US Equity","BS_ACCUM_DEPR","FQ1 1995","FQ1 1995","Currency=USD","Period=FQ","BEST_FPERIOD_OVERRIDE=FQ","FILING_STATUS=OR","SCALING_FORMAT=MLN","Sort=A","Dates=H","DateFormat=P","Fill=—","Direction=H","UseDPDF=Y")</f>
        <v>—</v>
      </c>
      <c r="X19" s="13" t="str">
        <f>_xll.BDH("XOM US Equity","BS_ACCUM_DEPR","FQ2 1995","FQ2 1995","Currency=USD","Period=FQ","BEST_FPERIOD_OVERRIDE=FQ","FILING_STATUS=OR","SCALING_FORMAT=MLN","Sort=A","Dates=H","DateFormat=P","Fill=—","Direction=H","UseDPDF=Y")</f>
        <v>—</v>
      </c>
      <c r="Y19" s="13" t="str">
        <f>_xll.BDH("XOM US Equity","BS_ACCUM_DEPR","FQ3 1995","FQ3 1995","Currency=USD","Period=FQ","BEST_FPERIOD_OVERRIDE=FQ","FILING_STATUS=OR","SCALING_FORMAT=MLN","Sort=A","Dates=H","DateFormat=P","Fill=—","Direction=H","UseDPDF=Y")</f>
        <v>—</v>
      </c>
      <c r="Z19" s="13">
        <f>_xll.BDH("XOM US Equity","BS_ACCUM_DEPR","FQ4 1995","FQ4 1995","Currency=USD","Period=FQ","BEST_FPERIOD_OVERRIDE=FQ","FILING_STATUS=OR","SCALING_FORMAT=MLN","Sort=A","Dates=H","DateFormat=P","Fill=—","Direction=H","UseDPDF=Y")</f>
        <v>56891</v>
      </c>
      <c r="AA19" s="13" t="str">
        <f>_xll.BDH("XOM US Equity","BS_ACCUM_DEPR","FQ1 1996","FQ1 1996","Currency=USD","Period=FQ","BEST_FPERIOD_OVERRIDE=FQ","FILING_STATUS=OR","SCALING_FORMAT=MLN","Sort=A","Dates=H","DateFormat=P","Fill=—","Direction=H","UseDPDF=Y")</f>
        <v>—</v>
      </c>
      <c r="AB19" s="13" t="str">
        <f>_xll.BDH("XOM US Equity","BS_ACCUM_DEPR","FQ2 1996","FQ2 1996","Currency=USD","Period=FQ","BEST_FPERIOD_OVERRIDE=FQ","FILING_STATUS=OR","SCALING_FORMAT=MLN","Sort=A","Dates=H","DateFormat=P","Fill=—","Direction=H","UseDPDF=Y")</f>
        <v>—</v>
      </c>
      <c r="AC19" s="13" t="str">
        <f>_xll.BDH("XOM US Equity","BS_ACCUM_DEPR","FQ3 1996","FQ3 1996","Currency=USD","Period=FQ","BEST_FPERIOD_OVERRIDE=FQ","FILING_STATUS=OR","SCALING_FORMAT=MLN","Sort=A","Dates=H","DateFormat=P","Fill=—","Direction=H","UseDPDF=Y")</f>
        <v>—</v>
      </c>
      <c r="AD19" s="13">
        <f>_xll.BDH("XOM US Equity","BS_ACCUM_DEPR","FQ4 1996","FQ4 1996","Currency=USD","Period=FQ","BEST_FPERIOD_OVERRIDE=FQ","FILING_STATUS=OR","SCALING_FORMAT=MLN","Sort=A","Dates=H","DateFormat=P","Fill=—","Direction=H","UseDPDF=Y")</f>
        <v>59759</v>
      </c>
      <c r="AE19" s="13" t="str">
        <f>_xll.BDH("XOM US Equity","BS_ACCUM_DEPR","FQ1 1997","FQ1 1997","Currency=USD","Period=FQ","BEST_FPERIOD_OVERRIDE=FQ","FILING_STATUS=OR","SCALING_FORMAT=MLN","Sort=A","Dates=H","DateFormat=P","Fill=—","Direction=H","UseDPDF=Y")</f>
        <v>—</v>
      </c>
      <c r="AF19" s="13">
        <f>_xll.BDH("XOM US Equity","BS_ACCUM_DEPR","FQ2 1997","FQ2 1997","Currency=USD","Period=FQ","BEST_FPERIOD_OVERRIDE=FQ","FILING_STATUS=OR","SCALING_FORMAT=MLN","Sort=A","Dates=H","DateFormat=P","Fill=—","Direction=H","UseDPDF=Y")</f>
        <v>60175</v>
      </c>
      <c r="AG19" s="13">
        <f>_xll.BDH("XOM US Equity","BS_ACCUM_DEPR","FQ3 1997","FQ3 1997","Currency=USD","Period=FQ","BEST_FPERIOD_OVERRIDE=FQ","FILING_STATUS=OR","SCALING_FORMAT=MLN","Sort=A","Dates=H","DateFormat=P","Fill=—","Direction=H","UseDPDF=Y")</f>
        <v>62168</v>
      </c>
      <c r="AH19" s="13">
        <f>_xll.BDH("XOM US Equity","BS_ACCUM_DEPR","FQ4 1997","FQ4 1997","Currency=USD","Period=FQ","BEST_FPERIOD_OVERRIDE=FQ","FILING_STATUS=OR","SCALING_FORMAT=MLN","Sort=A","Dates=H","DateFormat=P","Fill=—","Direction=H","UseDPDF=Y")</f>
        <v>61364</v>
      </c>
      <c r="AI19" s="13">
        <f>_xll.BDH("XOM US Equity","BS_ACCUM_DEPR","FQ1 1998","FQ1 1998","Currency=USD","Period=FQ","BEST_FPERIOD_OVERRIDE=FQ","FILING_STATUS=OR","SCALING_FORMAT=MLN","Sort=A","Dates=H","DateFormat=P","Fill=—","Direction=H","UseDPDF=Y")</f>
        <v>62435</v>
      </c>
      <c r="AJ19" s="13">
        <f>_xll.BDH("XOM US Equity","BS_ACCUM_DEPR","FQ2 1998","FQ2 1998","Currency=USD","Period=FQ","BEST_FPERIOD_OVERRIDE=FQ","FILING_STATUS=OR","SCALING_FORMAT=MLN","Sort=A","Dates=H","DateFormat=P","Fill=—","Direction=H","UseDPDF=Y")</f>
        <v>63223</v>
      </c>
    </row>
    <row r="20" spans="1:36" x14ac:dyDescent="0.25">
      <c r="A20" s="10" t="s">
        <v>173</v>
      </c>
      <c r="B20" s="10" t="s">
        <v>174</v>
      </c>
      <c r="C20" s="13" t="str">
        <f>_xll.BDH("XOM US Equity","BS_LT_INVEST","FQ1 1990","FQ1 1990","Currency=USD","Period=FQ","BEST_FPERIOD_OVERRIDE=FQ","FILING_STATUS=OR","SCALING_FORMAT=MLN","Sort=A","Dates=H","DateFormat=P","Fill=—","Direction=H","UseDPDF=Y")</f>
        <v>—</v>
      </c>
      <c r="D20" s="13" t="str">
        <f>_xll.BDH("XOM US Equity","BS_LT_INVEST","FQ2 1990","FQ2 1990","Currency=USD","Period=FQ","BEST_FPERIOD_OVERRIDE=FQ","FILING_STATUS=OR","SCALING_FORMAT=MLN","Sort=A","Dates=H","DateFormat=P","Fill=—","Direction=H","UseDPDF=Y")</f>
        <v>—</v>
      </c>
      <c r="E20" s="13" t="str">
        <f>_xll.BDH("XOM US Equity","BS_LT_INVEST","FQ3 1990","FQ3 1990","Currency=USD","Period=FQ","BEST_FPERIOD_OVERRIDE=FQ","FILING_STATUS=OR","SCALING_FORMAT=MLN","Sort=A","Dates=H","DateFormat=P","Fill=—","Direction=H","UseDPDF=Y")</f>
        <v>—</v>
      </c>
      <c r="F20" s="13">
        <f>_xll.BDH("XOM US Equity","BS_LT_INVEST","FQ4 1990","FQ4 1990","Currency=USD","Period=FQ","BEST_FPERIOD_OVERRIDE=FQ","FILING_STATUS=OR","SCALING_FORMAT=MLN","Sort=A","Dates=H","DateFormat=P","Fill=—","Direction=H","UseDPDF=Y")</f>
        <v>1207</v>
      </c>
      <c r="G20" s="13" t="str">
        <f>_xll.BDH("XOM US Equity","BS_LT_INVEST","FQ1 1991","FQ1 1991","Currency=USD","Period=FQ","BEST_FPERIOD_OVERRIDE=FQ","FILING_STATUS=OR","SCALING_FORMAT=MLN","Sort=A","Dates=H","DateFormat=P","Fill=—","Direction=H","UseDPDF=Y")</f>
        <v>—</v>
      </c>
      <c r="H20" s="13" t="str">
        <f>_xll.BDH("XOM US Equity","BS_LT_INVEST","FQ2 1991","FQ2 1991","Currency=USD","Period=FQ","BEST_FPERIOD_OVERRIDE=FQ","FILING_STATUS=OR","SCALING_FORMAT=MLN","Sort=A","Dates=H","DateFormat=P","Fill=—","Direction=H","UseDPDF=Y")</f>
        <v>—</v>
      </c>
      <c r="I20" s="13" t="str">
        <f>_xll.BDH("XOM US Equity","BS_LT_INVEST","FQ3 1991","FQ3 1991","Currency=USD","Period=FQ","BEST_FPERIOD_OVERRIDE=FQ","FILING_STATUS=OR","SCALING_FORMAT=MLN","Sort=A","Dates=H","DateFormat=P","Fill=—","Direction=H","UseDPDF=Y")</f>
        <v>—</v>
      </c>
      <c r="J20" s="13">
        <f>_xll.BDH("XOM US Equity","BS_LT_INVEST","FQ4 1991","FQ4 1991","Currency=USD","Period=FQ","BEST_FPERIOD_OVERRIDE=FQ","FILING_STATUS=OR","SCALING_FORMAT=MLN","Sort=A","Dates=H","DateFormat=P","Fill=—","Direction=H","UseDPDF=Y")</f>
        <v>1148</v>
      </c>
      <c r="K20" s="13" t="str">
        <f>_xll.BDH("XOM US Equity","BS_LT_INVEST","FQ1 1992","FQ1 1992","Currency=USD","Period=FQ","BEST_FPERIOD_OVERRIDE=FQ","FILING_STATUS=OR","SCALING_FORMAT=MLN","Sort=A","Dates=H","DateFormat=P","Fill=—","Direction=H","UseDPDF=Y")</f>
        <v>—</v>
      </c>
      <c r="L20" s="13" t="str">
        <f>_xll.BDH("XOM US Equity","BS_LT_INVEST","FQ2 1992","FQ2 1992","Currency=USD","Period=FQ","BEST_FPERIOD_OVERRIDE=FQ","FILING_STATUS=OR","SCALING_FORMAT=MLN","Sort=A","Dates=H","DateFormat=P","Fill=—","Direction=H","UseDPDF=Y")</f>
        <v>—</v>
      </c>
      <c r="M20" s="13" t="str">
        <f>_xll.BDH("XOM US Equity","BS_LT_INVEST","FQ3 1992","FQ3 1992","Currency=USD","Period=FQ","BEST_FPERIOD_OVERRIDE=FQ","FILING_STATUS=OR","SCALING_FORMAT=MLN","Sort=A","Dates=H","DateFormat=P","Fill=—","Direction=H","UseDPDF=Y")</f>
        <v>—</v>
      </c>
      <c r="N20" s="13">
        <f>_xll.BDH("XOM US Equity","BS_LT_INVEST","FQ4 1992","FQ4 1992","Currency=USD","Period=FQ","BEST_FPERIOD_OVERRIDE=FQ","FILING_STATUS=OR","SCALING_FORMAT=MLN","Sort=A","Dates=H","DateFormat=P","Fill=—","Direction=H","UseDPDF=Y")</f>
        <v>1114</v>
      </c>
      <c r="O20" s="13" t="str">
        <f>_xll.BDH("XOM US Equity","BS_LT_INVEST","FQ1 1993","FQ1 1993","Currency=USD","Period=FQ","BEST_FPERIOD_OVERRIDE=FQ","FILING_STATUS=OR","SCALING_FORMAT=MLN","Sort=A","Dates=H","DateFormat=P","Fill=—","Direction=H","UseDPDF=Y")</f>
        <v>—</v>
      </c>
      <c r="P20" s="13">
        <f>_xll.BDH("XOM US Equity","BS_LT_INVEST","FQ2 1993","FQ2 1993","Currency=USD","Period=FQ","BEST_FPERIOD_OVERRIDE=FQ","FILING_STATUS=OR","SCALING_FORMAT=MLN","Sort=A","Dates=H","DateFormat=P","Fill=—","Direction=H","UseDPDF=Y")</f>
        <v>0</v>
      </c>
      <c r="Q20" s="13">
        <f>_xll.BDH("XOM US Equity","BS_LT_INVEST","FQ3 1993","FQ3 1993","Currency=USD","Period=FQ","BEST_FPERIOD_OVERRIDE=FQ","FILING_STATUS=OR","SCALING_FORMAT=MLN","Sort=A","Dates=H","DateFormat=P","Fill=—","Direction=H","UseDPDF=Y")</f>
        <v>0</v>
      </c>
      <c r="R20" s="13">
        <f>_xll.BDH("XOM US Equity","BS_LT_INVEST","FQ4 1993","FQ4 1993","Currency=USD","Period=FQ","BEST_FPERIOD_OVERRIDE=FQ","FILING_STATUS=OR","SCALING_FORMAT=MLN","Sort=A","Dates=H","DateFormat=P","Fill=—","Direction=H","UseDPDF=Y")</f>
        <v>1177</v>
      </c>
      <c r="S20" s="13" t="str">
        <f>_xll.BDH("XOM US Equity","BS_LT_INVEST","FQ1 1994","FQ1 1994","Currency=USD","Period=FQ","BEST_FPERIOD_OVERRIDE=FQ","FILING_STATUS=OR","SCALING_FORMAT=MLN","Sort=A","Dates=H","DateFormat=P","Fill=—","Direction=H","UseDPDF=Y")</f>
        <v>—</v>
      </c>
      <c r="T20" s="13" t="str">
        <f>_xll.BDH("XOM US Equity","BS_LT_INVEST","FQ2 1994","FQ2 1994","Currency=USD","Period=FQ","BEST_FPERIOD_OVERRIDE=FQ","FILING_STATUS=OR","SCALING_FORMAT=MLN","Sort=A","Dates=H","DateFormat=P","Fill=—","Direction=H","UseDPDF=Y")</f>
        <v>—</v>
      </c>
      <c r="U20" s="13" t="str">
        <f>_xll.BDH("XOM US Equity","BS_LT_INVEST","FQ3 1994","FQ3 1994","Currency=USD","Period=FQ","BEST_FPERIOD_OVERRIDE=FQ","FILING_STATUS=OR","SCALING_FORMAT=MLN","Sort=A","Dates=H","DateFormat=P","Fill=—","Direction=H","UseDPDF=Y")</f>
        <v>—</v>
      </c>
      <c r="V20" s="13">
        <f>_xll.BDH("XOM US Equity","BS_LT_INVEST","FQ4 1994","FQ4 1994","Currency=USD","Period=FQ","BEST_FPERIOD_OVERRIDE=FQ","FILING_STATUS=OR","SCALING_FORMAT=MLN","Sort=A","Dates=H","DateFormat=P","Fill=—","Direction=H","UseDPDF=Y")</f>
        <v>1323</v>
      </c>
      <c r="W20" s="13" t="str">
        <f>_xll.BDH("XOM US Equity","BS_LT_INVEST","FQ1 1995","FQ1 1995","Currency=USD","Period=FQ","BEST_FPERIOD_OVERRIDE=FQ","FILING_STATUS=OR","SCALING_FORMAT=MLN","Sort=A","Dates=H","DateFormat=P","Fill=—","Direction=H","UseDPDF=Y")</f>
        <v>—</v>
      </c>
      <c r="X20" s="13" t="str">
        <f>_xll.BDH("XOM US Equity","BS_LT_INVEST","FQ2 1995","FQ2 1995","Currency=USD","Period=FQ","BEST_FPERIOD_OVERRIDE=FQ","FILING_STATUS=OR","SCALING_FORMAT=MLN","Sort=A","Dates=H","DateFormat=P","Fill=—","Direction=H","UseDPDF=Y")</f>
        <v>—</v>
      </c>
      <c r="Y20" s="13" t="str">
        <f>_xll.BDH("XOM US Equity","BS_LT_INVEST","FQ3 1995","FQ3 1995","Currency=USD","Period=FQ","BEST_FPERIOD_OVERRIDE=FQ","FILING_STATUS=OR","SCALING_FORMAT=MLN","Sort=A","Dates=H","DateFormat=P","Fill=—","Direction=H","UseDPDF=Y")</f>
        <v>—</v>
      </c>
      <c r="Z20" s="13">
        <f>_xll.BDH("XOM US Equity","BS_LT_INVEST","FQ4 1995","FQ4 1995","Currency=USD","Period=FQ","BEST_FPERIOD_OVERRIDE=FQ","FILING_STATUS=OR","SCALING_FORMAT=MLN","Sort=A","Dates=H","DateFormat=P","Fill=—","Direction=H","UseDPDF=Y")</f>
        <v>1345</v>
      </c>
      <c r="AA20" s="13">
        <f>_xll.BDH("XOM US Equity","BS_LT_INVEST","FQ1 1996","FQ1 1996","Currency=USD","Period=FQ","BEST_FPERIOD_OVERRIDE=FQ","FILING_STATUS=OR","SCALING_FORMAT=MLN","Sort=A","Dates=H","DateFormat=P","Fill=—","Direction=H","UseDPDF=Y")</f>
        <v>0</v>
      </c>
      <c r="AB20" s="13" t="str">
        <f>_xll.BDH("XOM US Equity","BS_LT_INVEST","FQ2 1996","FQ2 1996","Currency=USD","Period=FQ","BEST_FPERIOD_OVERRIDE=FQ","FILING_STATUS=OR","SCALING_FORMAT=MLN","Sort=A","Dates=H","DateFormat=P","Fill=—","Direction=H","UseDPDF=Y")</f>
        <v>—</v>
      </c>
      <c r="AC20" s="13" t="str">
        <f>_xll.BDH("XOM US Equity","BS_LT_INVEST","FQ3 1996","FQ3 1996","Currency=USD","Period=FQ","BEST_FPERIOD_OVERRIDE=FQ","FILING_STATUS=OR","SCALING_FORMAT=MLN","Sort=A","Dates=H","DateFormat=P","Fill=—","Direction=H","UseDPDF=Y")</f>
        <v>—</v>
      </c>
      <c r="AD20" s="13">
        <f>_xll.BDH("XOM US Equity","BS_LT_INVEST","FQ4 1996","FQ4 1996","Currency=USD","Period=FQ","BEST_FPERIOD_OVERRIDE=FQ","FILING_STATUS=OR","SCALING_FORMAT=MLN","Sort=A","Dates=H","DateFormat=P","Fill=—","Direction=H","UseDPDF=Y")</f>
        <v>0</v>
      </c>
      <c r="AE20" s="13">
        <f>_xll.BDH("XOM US Equity","BS_LT_INVEST","FQ1 1997","FQ1 1997","Currency=USD","Period=FQ","BEST_FPERIOD_OVERRIDE=FQ","FILING_STATUS=OR","SCALING_FORMAT=MLN","Sort=A","Dates=H","DateFormat=P","Fill=—","Direction=H","UseDPDF=Y")</f>
        <v>0</v>
      </c>
      <c r="AF20" s="13">
        <f>_xll.BDH("XOM US Equity","BS_LT_INVEST","FQ2 1997","FQ2 1997","Currency=USD","Period=FQ","BEST_FPERIOD_OVERRIDE=FQ","FILING_STATUS=OR","SCALING_FORMAT=MLN","Sort=A","Dates=H","DateFormat=P","Fill=—","Direction=H","UseDPDF=Y")</f>
        <v>0</v>
      </c>
      <c r="AG20" s="13">
        <f>_xll.BDH("XOM US Equity","BS_LT_INVEST","FQ3 1997","FQ3 1997","Currency=USD","Period=FQ","BEST_FPERIOD_OVERRIDE=FQ","FILING_STATUS=OR","SCALING_FORMAT=MLN","Sort=A","Dates=H","DateFormat=P","Fill=—","Direction=H","UseDPDF=Y")</f>
        <v>0</v>
      </c>
      <c r="AH20" s="13">
        <f>_xll.BDH("XOM US Equity","BS_LT_INVEST","FQ4 1997","FQ4 1997","Currency=USD","Period=FQ","BEST_FPERIOD_OVERRIDE=FQ","FILING_STATUS=OR","SCALING_FORMAT=MLN","Sort=A","Dates=H","DateFormat=P","Fill=—","Direction=H","UseDPDF=Y")</f>
        <v>0</v>
      </c>
      <c r="AI20" s="13" t="str">
        <f>_xll.BDH("XOM US Equity","BS_LT_INVEST","FQ1 1998","FQ1 1998","Currency=USD","Period=FQ","BEST_FPERIOD_OVERRIDE=FQ","FILING_STATUS=OR","SCALING_FORMAT=MLN","Sort=A","Dates=H","DateFormat=P","Fill=—","Direction=H","UseDPDF=Y")</f>
        <v>—</v>
      </c>
      <c r="AJ20" s="13">
        <f>_xll.BDH("XOM US Equity","BS_LT_INVEST","FQ2 1998","FQ2 1998","Currency=USD","Period=FQ","BEST_FPERIOD_OVERRIDE=FQ","FILING_STATUS=OR","SCALING_FORMAT=MLN","Sort=A","Dates=H","DateFormat=P","Fill=—","Direction=H","UseDPDF=Y")</f>
        <v>8184</v>
      </c>
    </row>
    <row r="21" spans="1:36" x14ac:dyDescent="0.25">
      <c r="A21" s="10" t="s">
        <v>175</v>
      </c>
      <c r="B21" s="10" t="s">
        <v>176</v>
      </c>
      <c r="C21" s="13">
        <f>_xll.BDH("XOM US Equity","BS_OTHER_ASSETS_DEF_CHRG_OTHER","FQ1 1990","FQ1 1990","Currency=USD","Period=FQ","BEST_FPERIOD_OVERRIDE=FQ","FILING_STATUS=OR","SCALING_FORMAT=MLN","Sort=A","Dates=H","DateFormat=P","Fill=—","Direction=H","UseDPDF=Y")</f>
        <v>5983</v>
      </c>
      <c r="D21" s="13">
        <f>_xll.BDH("XOM US Equity","BS_OTHER_ASSETS_DEF_CHRG_OTHER","FQ2 1990","FQ2 1990","Currency=USD","Period=FQ","BEST_FPERIOD_OVERRIDE=FQ","FILING_STATUS=OR","SCALING_FORMAT=MLN","Sort=A","Dates=H","DateFormat=P","Fill=—","Direction=H","UseDPDF=Y")</f>
        <v>5903</v>
      </c>
      <c r="E21" s="13">
        <f>_xll.BDH("XOM US Equity","BS_OTHER_ASSETS_DEF_CHRG_OTHER","FQ3 1990","FQ3 1990","Currency=USD","Period=FQ","BEST_FPERIOD_OVERRIDE=FQ","FILING_STATUS=OR","SCALING_FORMAT=MLN","Sort=A","Dates=H","DateFormat=P","Fill=—","Direction=H","UseDPDF=Y")</f>
        <v>6586</v>
      </c>
      <c r="F21" s="13">
        <f>_xll.BDH("XOM US Equity","BS_OTHER_ASSETS_DEF_CHRG_OTHER","FQ4 1990","FQ4 1990","Currency=USD","Period=FQ","BEST_FPERIOD_OVERRIDE=FQ","FILING_STATUS=OR","SCALING_FORMAT=MLN","Sort=A","Dates=H","DateFormat=P","Fill=—","Direction=H","UseDPDF=Y")</f>
        <v>5476</v>
      </c>
      <c r="G21" s="13">
        <f>_xll.BDH("XOM US Equity","BS_OTHER_ASSETS_DEF_CHRG_OTHER","FQ1 1991","FQ1 1991","Currency=USD","Period=FQ","BEST_FPERIOD_OVERRIDE=FQ","FILING_STATUS=OR","SCALING_FORMAT=MLN","Sort=A","Dates=H","DateFormat=P","Fill=—","Direction=H","UseDPDF=Y")</f>
        <v>6064</v>
      </c>
      <c r="H21" s="13">
        <f>_xll.BDH("XOM US Equity","BS_OTHER_ASSETS_DEF_CHRG_OTHER","FQ2 1991","FQ2 1991","Currency=USD","Period=FQ","BEST_FPERIOD_OVERRIDE=FQ","FILING_STATUS=OR","SCALING_FORMAT=MLN","Sort=A","Dates=H","DateFormat=P","Fill=—","Direction=H","UseDPDF=Y")</f>
        <v>5909</v>
      </c>
      <c r="I21" s="13">
        <f>_xll.BDH("XOM US Equity","BS_OTHER_ASSETS_DEF_CHRG_OTHER","FQ3 1991","FQ3 1991","Currency=USD","Period=FQ","BEST_FPERIOD_OVERRIDE=FQ","FILING_STATUS=OR","SCALING_FORMAT=MLN","Sort=A","Dates=H","DateFormat=P","Fill=—","Direction=H","UseDPDF=Y")</f>
        <v>6310</v>
      </c>
      <c r="J21" s="13">
        <f>_xll.BDH("XOM US Equity","BS_OTHER_ASSETS_DEF_CHRG_OTHER","FQ4 1991","FQ4 1991","Currency=USD","Period=FQ","BEST_FPERIOD_OVERRIDE=FQ","FILING_STATUS=OR","SCALING_FORMAT=MLN","Sort=A","Dates=H","DateFormat=P","Fill=—","Direction=H","UseDPDF=Y")</f>
        <v>5536</v>
      </c>
      <c r="K21" s="13">
        <f>_xll.BDH("XOM US Equity","BS_OTHER_ASSETS_DEF_CHRG_OTHER","FQ1 1992","FQ1 1992","Currency=USD","Period=FQ","BEST_FPERIOD_OVERRIDE=FQ","FILING_STATUS=OR","SCALING_FORMAT=MLN","Sort=A","Dates=H","DateFormat=P","Fill=—","Direction=H","UseDPDF=Y")</f>
        <v>6383</v>
      </c>
      <c r="L21" s="13">
        <f>_xll.BDH("XOM US Equity","BS_OTHER_ASSETS_DEF_CHRG_OTHER","FQ2 1992","FQ2 1992","Currency=USD","Period=FQ","BEST_FPERIOD_OVERRIDE=FQ","FILING_STATUS=OR","SCALING_FORMAT=MLN","Sort=A","Dates=H","DateFormat=P","Fill=—","Direction=H","UseDPDF=Y")</f>
        <v>6445</v>
      </c>
      <c r="M21" s="13">
        <f>_xll.BDH("XOM US Equity","BS_OTHER_ASSETS_DEF_CHRG_OTHER","FQ3 1992","FQ3 1992","Currency=USD","Period=FQ","BEST_FPERIOD_OVERRIDE=FQ","FILING_STATUS=OR","SCALING_FORMAT=MLN","Sort=A","Dates=H","DateFormat=P","Fill=—","Direction=H","UseDPDF=Y")</f>
        <v>6547</v>
      </c>
      <c r="N21" s="13">
        <f>_xll.BDH("XOM US Equity","BS_OTHER_ASSETS_DEF_CHRG_OTHER","FQ4 1992","FQ4 1992","Currency=USD","Period=FQ","BEST_FPERIOD_OVERRIDE=FQ","FILING_STATUS=OR","SCALING_FORMAT=MLN","Sort=A","Dates=H","DateFormat=P","Fill=—","Direction=H","UseDPDF=Y")</f>
        <v>5693</v>
      </c>
      <c r="O21" s="13">
        <f>_xll.BDH("XOM US Equity","BS_OTHER_ASSETS_DEF_CHRG_OTHER","FQ1 1993","FQ1 1993","Currency=USD","Period=FQ","BEST_FPERIOD_OVERRIDE=FQ","FILING_STATUS=OR","SCALING_FORMAT=MLN","Sort=A","Dates=H","DateFormat=P","Fill=—","Direction=H","UseDPDF=Y")</f>
        <v>6736</v>
      </c>
      <c r="P21" s="13">
        <f>_xll.BDH("XOM US Equity","BS_OTHER_ASSETS_DEF_CHRG_OTHER","FQ2 1993","FQ2 1993","Currency=USD","Period=FQ","BEST_FPERIOD_OVERRIDE=FQ","FILING_STATUS=OR","SCALING_FORMAT=MLN","Sort=A","Dates=H","DateFormat=P","Fill=—","Direction=H","UseDPDF=Y")</f>
        <v>6686</v>
      </c>
      <c r="Q21" s="13">
        <f>_xll.BDH("XOM US Equity","BS_OTHER_ASSETS_DEF_CHRG_OTHER","FQ3 1993","FQ3 1993","Currency=USD","Period=FQ","BEST_FPERIOD_OVERRIDE=FQ","FILING_STATUS=OR","SCALING_FORMAT=MLN","Sort=A","Dates=H","DateFormat=P","Fill=—","Direction=H","UseDPDF=Y")</f>
        <v>7037</v>
      </c>
      <c r="R21" s="13">
        <f>_xll.BDH("XOM US Equity","BS_OTHER_ASSETS_DEF_CHRG_OTHER","FQ4 1993","FQ4 1993","Currency=USD","Period=FQ","BEST_FPERIOD_OVERRIDE=FQ","FILING_STATUS=OR","SCALING_FORMAT=MLN","Sort=A","Dates=H","DateFormat=P","Fill=—","Direction=H","UseDPDF=Y")</f>
        <v>6147</v>
      </c>
      <c r="S21" s="13">
        <f>_xll.BDH("XOM US Equity","BS_OTHER_ASSETS_DEF_CHRG_OTHER","FQ1 1994","FQ1 1994","Currency=USD","Period=FQ","BEST_FPERIOD_OVERRIDE=FQ","FILING_STATUS=OR","SCALING_FORMAT=MLN","Sort=A","Dates=H","DateFormat=P","Fill=—","Direction=H","UseDPDF=Y")</f>
        <v>7389</v>
      </c>
      <c r="T21" s="13">
        <f>_xll.BDH("XOM US Equity","BS_OTHER_ASSETS_DEF_CHRG_OTHER","FQ2 1994","FQ2 1994","Currency=USD","Period=FQ","BEST_FPERIOD_OVERRIDE=FQ","FILING_STATUS=OR","SCALING_FORMAT=MLN","Sort=A","Dates=H","DateFormat=P","Fill=—","Direction=H","UseDPDF=Y")</f>
        <v>7673</v>
      </c>
      <c r="U21" s="13">
        <f>_xll.BDH("XOM US Equity","BS_OTHER_ASSETS_DEF_CHRG_OTHER","FQ3 1994","FQ3 1994","Currency=USD","Period=FQ","BEST_FPERIOD_OVERRIDE=FQ","FILING_STATUS=OR","SCALING_FORMAT=MLN","Sort=A","Dates=H","DateFormat=P","Fill=—","Direction=H","UseDPDF=Y")</f>
        <v>7886</v>
      </c>
      <c r="V21" s="13">
        <f>_xll.BDH("XOM US Equity","BS_OTHER_ASSETS_DEF_CHRG_OTHER","FQ4 1994","FQ4 1994","Currency=USD","Period=FQ","BEST_FPERIOD_OVERRIDE=FQ","FILING_STATUS=OR","SCALING_FORMAT=MLN","Sort=A","Dates=H","DateFormat=P","Fill=—","Direction=H","UseDPDF=Y")</f>
        <v>6654</v>
      </c>
      <c r="W21" s="13">
        <f>_xll.BDH("XOM US Equity","BS_OTHER_ASSETS_DEF_CHRG_OTHER","FQ1 1995","FQ1 1995","Currency=USD","Period=FQ","BEST_FPERIOD_OVERRIDE=FQ","FILING_STATUS=OR","SCALING_FORMAT=MLN","Sort=A","Dates=H","DateFormat=P","Fill=—","Direction=H","UseDPDF=Y")</f>
        <v>8284</v>
      </c>
      <c r="X21" s="13">
        <f>_xll.BDH("XOM US Equity","BS_OTHER_ASSETS_DEF_CHRG_OTHER","FQ2 1995","FQ2 1995","Currency=USD","Period=FQ","BEST_FPERIOD_OVERRIDE=FQ","FILING_STATUS=OR","SCALING_FORMAT=MLN","Sort=A","Dates=H","DateFormat=P","Fill=—","Direction=H","UseDPDF=Y")</f>
        <v>8519</v>
      </c>
      <c r="Y21" s="13">
        <f>_xll.BDH("XOM US Equity","BS_OTHER_ASSETS_DEF_CHRG_OTHER","FQ3 1995","FQ3 1995","Currency=USD","Period=FQ","BEST_FPERIOD_OVERRIDE=FQ","FILING_STATUS=OR","SCALING_FORMAT=MLN","Sort=A","Dates=H","DateFormat=P","Fill=—","Direction=H","UseDPDF=Y")</f>
        <v>8320</v>
      </c>
      <c r="Z21" s="13">
        <f>_xll.BDH("XOM US Equity","BS_OTHER_ASSETS_DEF_CHRG_OTHER","FQ4 1995","FQ4 1995","Currency=USD","Period=FQ","BEST_FPERIOD_OVERRIDE=FQ","FILING_STATUS=OR","SCALING_FORMAT=MLN","Sort=A","Dates=H","DateFormat=P","Fill=—","Direction=H","UseDPDF=Y")</f>
        <v>7187</v>
      </c>
      <c r="AA21" s="13">
        <f>_xll.BDH("XOM US Equity","BS_OTHER_ASSETS_DEF_CHRG_OTHER","FQ1 1996","FQ1 1996","Currency=USD","Period=FQ","BEST_FPERIOD_OVERRIDE=FQ","FILING_STATUS=OR","SCALING_FORMAT=MLN","Sort=A","Dates=H","DateFormat=P","Fill=—","Direction=H","UseDPDF=Y")</f>
        <v>8432</v>
      </c>
      <c r="AB21" s="13">
        <f>_xll.BDH("XOM US Equity","BS_OTHER_ASSETS_DEF_CHRG_OTHER","FQ2 1996","FQ2 1996","Currency=USD","Period=FQ","BEST_FPERIOD_OVERRIDE=FQ","FILING_STATUS=OR","SCALING_FORMAT=MLN","Sort=A","Dates=H","DateFormat=P","Fill=—","Direction=H","UseDPDF=Y")</f>
        <v>8508</v>
      </c>
      <c r="AC21" s="13">
        <f>_xll.BDH("XOM US Equity","BS_OTHER_ASSETS_DEF_CHRG_OTHER","FQ3 1996","FQ3 1996","Currency=USD","Period=FQ","BEST_FPERIOD_OVERRIDE=FQ","FILING_STATUS=OR","SCALING_FORMAT=MLN","Sort=A","Dates=H","DateFormat=P","Fill=—","Direction=H","UseDPDF=Y")</f>
        <v>8976</v>
      </c>
      <c r="AD21" s="13">
        <f>_xll.BDH("XOM US Equity","BS_OTHER_ASSETS_DEF_CHRG_OTHER","FQ4 1996","FQ4 1996","Currency=USD","Period=FQ","BEST_FPERIOD_OVERRIDE=FQ","FILING_STATUS=OR","SCALING_FORMAT=MLN","Sort=A","Dates=H","DateFormat=P","Fill=—","Direction=H","UseDPDF=Y")</f>
        <v>9010</v>
      </c>
      <c r="AE21" s="13">
        <f>_xll.BDH("XOM US Equity","BS_OTHER_ASSETS_DEF_CHRG_OTHER","FQ1 1997","FQ1 1997","Currency=USD","Period=FQ","BEST_FPERIOD_OVERRIDE=FQ","FILING_STATUS=OR","SCALING_FORMAT=MLN","Sort=A","Dates=H","DateFormat=P","Fill=—","Direction=H","UseDPDF=Y")</f>
        <v>8386</v>
      </c>
      <c r="AF21" s="13">
        <f>_xll.BDH("XOM US Equity","BS_OTHER_ASSETS_DEF_CHRG_OTHER","FQ2 1997","FQ2 1997","Currency=USD","Period=FQ","BEST_FPERIOD_OVERRIDE=FQ","FILING_STATUS=OR","SCALING_FORMAT=MLN","Sort=A","Dates=H","DateFormat=P","Fill=—","Direction=H","UseDPDF=Y")</f>
        <v>8606</v>
      </c>
      <c r="AG21" s="13">
        <f>_xll.BDH("XOM US Equity","BS_OTHER_ASSETS_DEF_CHRG_OTHER","FQ3 1997","FQ3 1997","Currency=USD","Period=FQ","BEST_FPERIOD_OVERRIDE=FQ","FILING_STATUS=OR","SCALING_FORMAT=MLN","Sort=A","Dates=H","DateFormat=P","Fill=—","Direction=H","UseDPDF=Y")</f>
        <v>8429</v>
      </c>
      <c r="AH21" s="13">
        <f>_xll.BDH("XOM US Equity","BS_OTHER_ASSETS_DEF_CHRG_OTHER","FQ4 1997","FQ4 1997","Currency=USD","Period=FQ","BEST_FPERIOD_OVERRIDE=FQ","FILING_STATUS=OR","SCALING_FORMAT=MLN","Sort=A","Dates=H","DateFormat=P","Fill=—","Direction=H","UseDPDF=Y")</f>
        <v>8458</v>
      </c>
      <c r="AI21" s="13">
        <f>_xll.BDH("XOM US Equity","BS_OTHER_ASSETS_DEF_CHRG_OTHER","FQ1 1998","FQ1 1998","Currency=USD","Period=FQ","BEST_FPERIOD_OVERRIDE=FQ","FILING_STATUS=OR","SCALING_FORMAT=MLN","Sort=A","Dates=H","DateFormat=P","Fill=—","Direction=H","UseDPDF=Y")</f>
        <v>8186</v>
      </c>
      <c r="AJ21" s="13" t="str">
        <f>_xll.BDH("XOM US Equity","BS_OTHER_ASSETS_DEF_CHRG_OTHER","FQ2 1998","FQ2 1998","Currency=USD","Period=FQ","BEST_FPERIOD_OVERRIDE=FQ","FILING_STATUS=OR","SCALING_FORMAT=MLN","Sort=A","Dates=H","DateFormat=P","Fill=—","Direction=H","UseDPDF=Y")</f>
        <v>—</v>
      </c>
    </row>
    <row r="22" spans="1:36" x14ac:dyDescent="0.25">
      <c r="A22" s="10" t="s">
        <v>177</v>
      </c>
      <c r="B22" s="10" t="s">
        <v>178</v>
      </c>
      <c r="C22" s="13">
        <f>_xll.BDH("XOM US Equity","OTHER_NONCURRENT_ASSETS_DETAILED","FQ1 1990","FQ1 1990","Currency=USD","Period=FQ","BEST_FPERIOD_OVERRIDE=FQ","FILING_STATUS=OR","SCALING_FORMAT=MLN","Sort=A","Dates=H","DateFormat=P","Fill=—","Direction=H","UseDPDF=Y")</f>
        <v>5983</v>
      </c>
      <c r="D22" s="13">
        <f>_xll.BDH("XOM US Equity","OTHER_NONCURRENT_ASSETS_DETAILED","FQ2 1990","FQ2 1990","Currency=USD","Period=FQ","BEST_FPERIOD_OVERRIDE=FQ","FILING_STATUS=OR","SCALING_FORMAT=MLN","Sort=A","Dates=H","DateFormat=P","Fill=—","Direction=H","UseDPDF=Y")</f>
        <v>5903</v>
      </c>
      <c r="E22" s="13">
        <f>_xll.BDH("XOM US Equity","OTHER_NONCURRENT_ASSETS_DETAILED","FQ3 1990","FQ3 1990","Currency=USD","Period=FQ","BEST_FPERIOD_OVERRIDE=FQ","FILING_STATUS=OR","SCALING_FORMAT=MLN","Sort=A","Dates=H","DateFormat=P","Fill=—","Direction=H","UseDPDF=Y")</f>
        <v>6586</v>
      </c>
      <c r="F22" s="13">
        <f>_xll.BDH("XOM US Equity","OTHER_NONCURRENT_ASSETS_DETAILED","FQ4 1990","FQ4 1990","Currency=USD","Period=FQ","BEST_FPERIOD_OVERRIDE=FQ","FILING_STATUS=OR","SCALING_FORMAT=MLN","Sort=A","Dates=H","DateFormat=P","Fill=—","Direction=H","UseDPDF=Y")</f>
        <v>5476</v>
      </c>
      <c r="G22" s="13">
        <f>_xll.BDH("XOM US Equity","OTHER_NONCURRENT_ASSETS_DETAILED","FQ1 1991","FQ1 1991","Currency=USD","Period=FQ","BEST_FPERIOD_OVERRIDE=FQ","FILING_STATUS=OR","SCALING_FORMAT=MLN","Sort=A","Dates=H","DateFormat=P","Fill=—","Direction=H","UseDPDF=Y")</f>
        <v>6064</v>
      </c>
      <c r="H22" s="13">
        <f>_xll.BDH("XOM US Equity","OTHER_NONCURRENT_ASSETS_DETAILED","FQ2 1991","FQ2 1991","Currency=USD","Period=FQ","BEST_FPERIOD_OVERRIDE=FQ","FILING_STATUS=OR","SCALING_FORMAT=MLN","Sort=A","Dates=H","DateFormat=P","Fill=—","Direction=H","UseDPDF=Y")</f>
        <v>5909</v>
      </c>
      <c r="I22" s="13">
        <f>_xll.BDH("XOM US Equity","OTHER_NONCURRENT_ASSETS_DETAILED","FQ3 1991","FQ3 1991","Currency=USD","Period=FQ","BEST_FPERIOD_OVERRIDE=FQ","FILING_STATUS=OR","SCALING_FORMAT=MLN","Sort=A","Dates=H","DateFormat=P","Fill=—","Direction=H","UseDPDF=Y")</f>
        <v>6310</v>
      </c>
      <c r="J22" s="13">
        <f>_xll.BDH("XOM US Equity","OTHER_NONCURRENT_ASSETS_DETAILED","FQ4 1991","FQ4 1991","Currency=USD","Period=FQ","BEST_FPERIOD_OVERRIDE=FQ","FILING_STATUS=OR","SCALING_FORMAT=MLN","Sort=A","Dates=H","DateFormat=P","Fill=—","Direction=H","UseDPDF=Y")</f>
        <v>5536</v>
      </c>
      <c r="K22" s="13">
        <f>_xll.BDH("XOM US Equity","OTHER_NONCURRENT_ASSETS_DETAILED","FQ1 1992","FQ1 1992","Currency=USD","Period=FQ","BEST_FPERIOD_OVERRIDE=FQ","FILING_STATUS=OR","SCALING_FORMAT=MLN","Sort=A","Dates=H","DateFormat=P","Fill=—","Direction=H","UseDPDF=Y")</f>
        <v>6383</v>
      </c>
      <c r="L22" s="13">
        <f>_xll.BDH("XOM US Equity","OTHER_NONCURRENT_ASSETS_DETAILED","FQ2 1992","FQ2 1992","Currency=USD","Period=FQ","BEST_FPERIOD_OVERRIDE=FQ","FILING_STATUS=OR","SCALING_FORMAT=MLN","Sort=A","Dates=H","DateFormat=P","Fill=—","Direction=H","UseDPDF=Y")</f>
        <v>6445</v>
      </c>
      <c r="M22" s="13">
        <f>_xll.BDH("XOM US Equity","OTHER_NONCURRENT_ASSETS_DETAILED","FQ3 1992","FQ3 1992","Currency=USD","Period=FQ","BEST_FPERIOD_OVERRIDE=FQ","FILING_STATUS=OR","SCALING_FORMAT=MLN","Sort=A","Dates=H","DateFormat=P","Fill=—","Direction=H","UseDPDF=Y")</f>
        <v>6547</v>
      </c>
      <c r="N22" s="13">
        <f>_xll.BDH("XOM US Equity","OTHER_NONCURRENT_ASSETS_DETAILED","FQ4 1992","FQ4 1992","Currency=USD","Period=FQ","BEST_FPERIOD_OVERRIDE=FQ","FILING_STATUS=OR","SCALING_FORMAT=MLN","Sort=A","Dates=H","DateFormat=P","Fill=—","Direction=H","UseDPDF=Y")</f>
        <v>5693</v>
      </c>
      <c r="O22" s="13">
        <f>_xll.BDH("XOM US Equity","OTHER_NONCURRENT_ASSETS_DETAILED","FQ1 1993","FQ1 1993","Currency=USD","Period=FQ","BEST_FPERIOD_OVERRIDE=FQ","FILING_STATUS=OR","SCALING_FORMAT=MLN","Sort=A","Dates=H","DateFormat=P","Fill=—","Direction=H","UseDPDF=Y")</f>
        <v>6736</v>
      </c>
      <c r="P22" s="13">
        <f>_xll.BDH("XOM US Equity","OTHER_NONCURRENT_ASSETS_DETAILED","FQ2 1993","FQ2 1993","Currency=USD","Period=FQ","BEST_FPERIOD_OVERRIDE=FQ","FILING_STATUS=OR","SCALING_FORMAT=MLN","Sort=A","Dates=H","DateFormat=P","Fill=—","Direction=H","UseDPDF=Y")</f>
        <v>6686</v>
      </c>
      <c r="Q22" s="13">
        <f>_xll.BDH("XOM US Equity","OTHER_NONCURRENT_ASSETS_DETAILED","FQ3 1993","FQ3 1993","Currency=USD","Period=FQ","BEST_FPERIOD_OVERRIDE=FQ","FILING_STATUS=OR","SCALING_FORMAT=MLN","Sort=A","Dates=H","DateFormat=P","Fill=—","Direction=H","UseDPDF=Y")</f>
        <v>7037</v>
      </c>
      <c r="R22" s="13">
        <f>_xll.BDH("XOM US Equity","OTHER_NONCURRENT_ASSETS_DETAILED","FQ4 1993","FQ4 1993","Currency=USD","Period=FQ","BEST_FPERIOD_OVERRIDE=FQ","FILING_STATUS=OR","SCALING_FORMAT=MLN","Sort=A","Dates=H","DateFormat=P","Fill=—","Direction=H","UseDPDF=Y")</f>
        <v>6147</v>
      </c>
      <c r="S22" s="13">
        <f>_xll.BDH("XOM US Equity","OTHER_NONCURRENT_ASSETS_DETAILED","FQ1 1994","FQ1 1994","Currency=USD","Period=FQ","BEST_FPERIOD_OVERRIDE=FQ","FILING_STATUS=OR","SCALING_FORMAT=MLN","Sort=A","Dates=H","DateFormat=P","Fill=—","Direction=H","UseDPDF=Y")</f>
        <v>7389</v>
      </c>
      <c r="T22" s="13">
        <f>_xll.BDH("XOM US Equity","OTHER_NONCURRENT_ASSETS_DETAILED","FQ2 1994","FQ2 1994","Currency=USD","Period=FQ","BEST_FPERIOD_OVERRIDE=FQ","FILING_STATUS=OR","SCALING_FORMAT=MLN","Sort=A","Dates=H","DateFormat=P","Fill=—","Direction=H","UseDPDF=Y")</f>
        <v>7673</v>
      </c>
      <c r="U22" s="13">
        <f>_xll.BDH("XOM US Equity","OTHER_NONCURRENT_ASSETS_DETAILED","FQ3 1994","FQ3 1994","Currency=USD","Period=FQ","BEST_FPERIOD_OVERRIDE=FQ","FILING_STATUS=OR","SCALING_FORMAT=MLN","Sort=A","Dates=H","DateFormat=P","Fill=—","Direction=H","UseDPDF=Y")</f>
        <v>7886</v>
      </c>
      <c r="V22" s="13">
        <f>_xll.BDH("XOM US Equity","OTHER_NONCURRENT_ASSETS_DETAILED","FQ4 1994","FQ4 1994","Currency=USD","Period=FQ","BEST_FPERIOD_OVERRIDE=FQ","FILING_STATUS=OR","SCALING_FORMAT=MLN","Sort=A","Dates=H","DateFormat=P","Fill=—","Direction=H","UseDPDF=Y")</f>
        <v>6654</v>
      </c>
      <c r="W22" s="13">
        <f>_xll.BDH("XOM US Equity","OTHER_NONCURRENT_ASSETS_DETAILED","FQ1 1995","FQ1 1995","Currency=USD","Period=FQ","BEST_FPERIOD_OVERRIDE=FQ","FILING_STATUS=OR","SCALING_FORMAT=MLN","Sort=A","Dates=H","DateFormat=P","Fill=—","Direction=H","UseDPDF=Y")</f>
        <v>8284</v>
      </c>
      <c r="X22" s="13">
        <f>_xll.BDH("XOM US Equity","OTHER_NONCURRENT_ASSETS_DETAILED","FQ2 1995","FQ2 1995","Currency=USD","Period=FQ","BEST_FPERIOD_OVERRIDE=FQ","FILING_STATUS=OR","SCALING_FORMAT=MLN","Sort=A","Dates=H","DateFormat=P","Fill=—","Direction=H","UseDPDF=Y")</f>
        <v>8519</v>
      </c>
      <c r="Y22" s="13">
        <f>_xll.BDH("XOM US Equity","OTHER_NONCURRENT_ASSETS_DETAILED","FQ3 1995","FQ3 1995","Currency=USD","Period=FQ","BEST_FPERIOD_OVERRIDE=FQ","FILING_STATUS=OR","SCALING_FORMAT=MLN","Sort=A","Dates=H","DateFormat=P","Fill=—","Direction=H","UseDPDF=Y")</f>
        <v>8320</v>
      </c>
      <c r="Z22" s="13">
        <f>_xll.BDH("XOM US Equity","OTHER_NONCURRENT_ASSETS_DETAILED","FQ4 1995","FQ4 1995","Currency=USD","Period=FQ","BEST_FPERIOD_OVERRIDE=FQ","FILING_STATUS=OR","SCALING_FORMAT=MLN","Sort=A","Dates=H","DateFormat=P","Fill=—","Direction=H","UseDPDF=Y")</f>
        <v>7187</v>
      </c>
      <c r="AA22" s="13">
        <f>_xll.BDH("XOM US Equity","OTHER_NONCURRENT_ASSETS_DETAILED","FQ1 1996","FQ1 1996","Currency=USD","Period=FQ","BEST_FPERIOD_OVERRIDE=FQ","FILING_STATUS=OR","SCALING_FORMAT=MLN","Sort=A","Dates=H","DateFormat=P","Fill=—","Direction=H","UseDPDF=Y")</f>
        <v>8432</v>
      </c>
      <c r="AB22" s="13">
        <f>_xll.BDH("XOM US Equity","OTHER_NONCURRENT_ASSETS_DETAILED","FQ2 1996","FQ2 1996","Currency=USD","Period=FQ","BEST_FPERIOD_OVERRIDE=FQ","FILING_STATUS=OR","SCALING_FORMAT=MLN","Sort=A","Dates=H","DateFormat=P","Fill=—","Direction=H","UseDPDF=Y")</f>
        <v>8508</v>
      </c>
      <c r="AC22" s="13">
        <f>_xll.BDH("XOM US Equity","OTHER_NONCURRENT_ASSETS_DETAILED","FQ3 1996","FQ3 1996","Currency=USD","Period=FQ","BEST_FPERIOD_OVERRIDE=FQ","FILING_STATUS=OR","SCALING_FORMAT=MLN","Sort=A","Dates=H","DateFormat=P","Fill=—","Direction=H","UseDPDF=Y")</f>
        <v>8976</v>
      </c>
      <c r="AD22" s="13">
        <f>_xll.BDH("XOM US Equity","OTHER_NONCURRENT_ASSETS_DETAILED","FQ4 1996","FQ4 1996","Currency=USD","Period=FQ","BEST_FPERIOD_OVERRIDE=FQ","FILING_STATUS=OR","SCALING_FORMAT=MLN","Sort=A","Dates=H","DateFormat=P","Fill=—","Direction=H","UseDPDF=Y")</f>
        <v>9010</v>
      </c>
      <c r="AE22" s="13">
        <f>_xll.BDH("XOM US Equity","OTHER_NONCURRENT_ASSETS_DETAILED","FQ1 1997","FQ1 1997","Currency=USD","Period=FQ","BEST_FPERIOD_OVERRIDE=FQ","FILING_STATUS=OR","SCALING_FORMAT=MLN","Sort=A","Dates=H","DateFormat=P","Fill=—","Direction=H","UseDPDF=Y")</f>
        <v>8386</v>
      </c>
      <c r="AF22" s="13">
        <f>_xll.BDH("XOM US Equity","OTHER_NONCURRENT_ASSETS_DETAILED","FQ2 1997","FQ2 1997","Currency=USD","Period=FQ","BEST_FPERIOD_OVERRIDE=FQ","FILING_STATUS=OR","SCALING_FORMAT=MLN","Sort=A","Dates=H","DateFormat=P","Fill=—","Direction=H","UseDPDF=Y")</f>
        <v>8606</v>
      </c>
      <c r="AG22" s="13">
        <f>_xll.BDH("XOM US Equity","OTHER_NONCURRENT_ASSETS_DETAILED","FQ3 1997","FQ3 1997","Currency=USD","Period=FQ","BEST_FPERIOD_OVERRIDE=FQ","FILING_STATUS=OR","SCALING_FORMAT=MLN","Sort=A","Dates=H","DateFormat=P","Fill=—","Direction=H","UseDPDF=Y")</f>
        <v>8429</v>
      </c>
      <c r="AH22" s="13">
        <f>_xll.BDH("XOM US Equity","OTHER_NONCURRENT_ASSETS_DETAILED","FQ4 1997","FQ4 1997","Currency=USD","Period=FQ","BEST_FPERIOD_OVERRIDE=FQ","FILING_STATUS=OR","SCALING_FORMAT=MLN","Sort=A","Dates=H","DateFormat=P","Fill=—","Direction=H","UseDPDF=Y")</f>
        <v>8458</v>
      </c>
      <c r="AI22" s="13">
        <f>_xll.BDH("XOM US Equity","OTHER_NONCURRENT_ASSETS_DETAILED","FQ1 1998","FQ1 1998","Currency=USD","Period=FQ","BEST_FPERIOD_OVERRIDE=FQ","FILING_STATUS=OR","SCALING_FORMAT=MLN","Sort=A","Dates=H","DateFormat=P","Fill=—","Direction=H","UseDPDF=Y")</f>
        <v>8186</v>
      </c>
      <c r="AJ22" s="13" t="str">
        <f>_xll.BDH("XOM US Equity","OTHER_NONCURRENT_ASSETS_DETAILED","FQ2 1998","FQ2 1998","Currency=USD","Period=FQ","BEST_FPERIOD_OVERRIDE=FQ","FILING_STATUS=OR","SCALING_FORMAT=MLN","Sort=A","Dates=H","DateFormat=P","Fill=—","Direction=H","UseDPDF=Y")</f>
        <v>—</v>
      </c>
    </row>
    <row r="23" spans="1:36" x14ac:dyDescent="0.25">
      <c r="A23" s="6" t="s">
        <v>179</v>
      </c>
      <c r="B23" s="6" t="s">
        <v>180</v>
      </c>
      <c r="C23" s="16">
        <f>_xll.BDH("XOM US Equity","BS_TOT_NON_CUR_ASSET","FQ1 1990","FQ1 1990","Currency=USD","Period=FQ","BEST_FPERIOD_OVERRIDE=FQ","FILING_STATUS=OR","SCALING_FORMAT=MLN","Sort=A","Dates=H","DateFormat=P","Fill=—","Direction=H","UseDPDF=Y")</f>
        <v>66127</v>
      </c>
      <c r="D23" s="16">
        <f>_xll.BDH("XOM US Equity","BS_TOT_NON_CUR_ASSET","FQ2 1990","FQ2 1990","Currency=USD","Period=FQ","BEST_FPERIOD_OVERRIDE=FQ","FILING_STATUS=OR","SCALING_FORMAT=MLN","Sort=A","Dates=H","DateFormat=P","Fill=—","Direction=H","UseDPDF=Y")</f>
        <v>66911</v>
      </c>
      <c r="E23" s="16">
        <f>_xll.BDH("XOM US Equity","BS_TOT_NON_CUR_ASSET","FQ3 1990","FQ3 1990","Currency=USD","Period=FQ","BEST_FPERIOD_OVERRIDE=FQ","FILING_STATUS=OR","SCALING_FORMAT=MLN","Sort=A","Dates=H","DateFormat=P","Fill=—","Direction=H","UseDPDF=Y")</f>
        <v>68848</v>
      </c>
      <c r="F23" s="16">
        <f>_xll.BDH("XOM US Equity","BS_TOT_NON_CUR_ASSET","FQ4 1990","FQ4 1990","Currency=USD","Period=FQ","BEST_FPERIOD_OVERRIDE=FQ","FILING_STATUS=OR","SCALING_FORMAT=MLN","Sort=A","Dates=H","DateFormat=P","Fill=—","Direction=H","UseDPDF=Y")</f>
        <v>69371</v>
      </c>
      <c r="G23" s="16">
        <f>_xll.BDH("XOM US Equity","BS_TOT_NON_CUR_ASSET","FQ1 1991","FQ1 1991","Currency=USD","Period=FQ","BEST_FPERIOD_OVERRIDE=FQ","FILING_STATUS=OR","SCALING_FORMAT=MLN","Sort=A","Dates=H","DateFormat=P","Fill=—","Direction=H","UseDPDF=Y")</f>
        <v>66818</v>
      </c>
      <c r="H23" s="16">
        <f>_xll.BDH("XOM US Equity","BS_TOT_NON_CUR_ASSET","FQ2 1991","FQ2 1991","Currency=USD","Period=FQ","BEST_FPERIOD_OVERRIDE=FQ","FILING_STATUS=OR","SCALING_FORMAT=MLN","Sort=A","Dates=H","DateFormat=P","Fill=—","Direction=H","UseDPDF=Y")</f>
        <v>66233</v>
      </c>
      <c r="I23" s="16">
        <f>_xll.BDH("XOM US Equity","BS_TOT_NON_CUR_ASSET","FQ3 1991","FQ3 1991","Currency=USD","Period=FQ","BEST_FPERIOD_OVERRIDE=FQ","FILING_STATUS=OR","SCALING_FORMAT=MLN","Sort=A","Dates=H","DateFormat=P","Fill=—","Direction=H","UseDPDF=Y")</f>
        <v>68425</v>
      </c>
      <c r="J23" s="16">
        <f>_xll.BDH("XOM US Equity","BS_TOT_NON_CUR_ASSET","FQ4 1991","FQ4 1991","Currency=USD","Period=FQ","BEST_FPERIOD_OVERRIDE=FQ","FILING_STATUS=OR","SCALING_FORMAT=MLN","Sort=A","Dates=H","DateFormat=P","Fill=—","Direction=H","UseDPDF=Y")</f>
        <v>70548</v>
      </c>
      <c r="K23" s="16">
        <f>_xll.BDH("XOM US Equity","BS_TOT_NON_CUR_ASSET","FQ1 1992","FQ1 1992","Currency=USD","Period=FQ","BEST_FPERIOD_OVERRIDE=FQ","FILING_STATUS=OR","SCALING_FORMAT=MLN","Sort=A","Dates=H","DateFormat=P","Fill=—","Direction=H","UseDPDF=Y")</f>
        <v>68837</v>
      </c>
      <c r="L23" s="16">
        <f>_xll.BDH("XOM US Equity","BS_TOT_NON_CUR_ASSET","FQ2 1992","FQ2 1992","Currency=USD","Period=FQ","BEST_FPERIOD_OVERRIDE=FQ","FILING_STATUS=OR","SCALING_FORMAT=MLN","Sort=A","Dates=H","DateFormat=P","Fill=—","Direction=H","UseDPDF=Y")</f>
        <v>70560</v>
      </c>
      <c r="M23" s="16">
        <f>_xll.BDH("XOM US Equity","BS_TOT_NON_CUR_ASSET","FQ3 1992","FQ3 1992","Currency=USD","Period=FQ","BEST_FPERIOD_OVERRIDE=FQ","FILING_STATUS=OR","SCALING_FORMAT=MLN","Sort=A","Dates=H","DateFormat=P","Fill=—","Direction=H","UseDPDF=Y")</f>
        <v>70407</v>
      </c>
      <c r="N23" s="16">
        <f>_xll.BDH("XOM US Equity","BS_TOT_NON_CUR_ASSET","FQ4 1992","FQ4 1992","Currency=USD","Period=FQ","BEST_FPERIOD_OVERRIDE=FQ","FILING_STATUS=OR","SCALING_FORMAT=MLN","Sort=A","Dates=H","DateFormat=P","Fill=—","Direction=H","UseDPDF=Y")</f>
        <v>68606</v>
      </c>
      <c r="O23" s="16">
        <f>_xll.BDH("XOM US Equity","BS_TOT_NON_CUR_ASSET","FQ1 1993","FQ1 1993","Currency=USD","Period=FQ","BEST_FPERIOD_OVERRIDE=FQ","FILING_STATUS=OR","SCALING_FORMAT=MLN","Sort=A","Dates=H","DateFormat=P","Fill=—","Direction=H","UseDPDF=Y")</f>
        <v>68557</v>
      </c>
      <c r="P23" s="16">
        <f>_xll.BDH("XOM US Equity","BS_TOT_NON_CUR_ASSET","FQ2 1993","FQ2 1993","Currency=USD","Period=FQ","BEST_FPERIOD_OVERRIDE=FQ","FILING_STATUS=OR","SCALING_FORMAT=MLN","Sort=A","Dates=H","DateFormat=P","Fill=—","Direction=H","UseDPDF=Y")</f>
        <v>68294</v>
      </c>
      <c r="Q23" s="16">
        <f>_xll.BDH("XOM US Equity","BS_TOT_NON_CUR_ASSET","FQ3 1993","FQ3 1993","Currency=USD","Period=FQ","BEST_FPERIOD_OVERRIDE=FQ","FILING_STATUS=OR","SCALING_FORMAT=MLN","Sort=A","Dates=H","DateFormat=P","Fill=—","Direction=H","UseDPDF=Y")</f>
        <v>68759</v>
      </c>
      <c r="R23" s="16">
        <f>_xll.BDH("XOM US Equity","BS_TOT_NON_CUR_ASSET","FQ4 1993","FQ4 1993","Currency=USD","Period=FQ","BEST_FPERIOD_OVERRIDE=FQ","FILING_STATUS=OR","SCALING_FORMAT=MLN","Sort=A","Dates=H","DateFormat=P","Fill=—","Direction=H","UseDPDF=Y")</f>
        <v>69286</v>
      </c>
      <c r="S23" s="16">
        <f>_xll.BDH("XOM US Equity","BS_TOT_NON_CUR_ASSET","FQ1 1994","FQ1 1994","Currency=USD","Period=FQ","BEST_FPERIOD_OVERRIDE=FQ","FILING_STATUS=OR","SCALING_FORMAT=MLN","Sort=A","Dates=H","DateFormat=P","Fill=—","Direction=H","UseDPDF=Y")</f>
        <v>69166</v>
      </c>
      <c r="T23" s="16">
        <f>_xll.BDH("XOM US Equity","BS_TOT_NON_CUR_ASSET","FQ2 1994","FQ2 1994","Currency=USD","Period=FQ","BEST_FPERIOD_OVERRIDE=FQ","FILING_STATUS=OR","SCALING_FORMAT=MLN","Sort=A","Dates=H","DateFormat=P","Fill=—","Direction=H","UseDPDF=Y")</f>
        <v>70116</v>
      </c>
      <c r="U23" s="16">
        <f>_xll.BDH("XOM US Equity","BS_TOT_NON_CUR_ASSET","FQ3 1994","FQ3 1994","Currency=USD","Period=FQ","BEST_FPERIOD_OVERRIDE=FQ","FILING_STATUS=OR","SCALING_FORMAT=MLN","Sort=A","Dates=H","DateFormat=P","Fill=—","Direction=H","UseDPDF=Y")</f>
        <v>71340</v>
      </c>
      <c r="V23" s="16">
        <f>_xll.BDH("XOM US Equity","BS_TOT_NON_CUR_ASSET","FQ4 1994","FQ4 1994","Currency=USD","Period=FQ","BEST_FPERIOD_OVERRIDE=FQ","FILING_STATUS=OR","SCALING_FORMAT=MLN","Sort=A","Dates=H","DateFormat=P","Fill=—","Direction=H","UseDPDF=Y")</f>
        <v>71402</v>
      </c>
      <c r="W23" s="16">
        <f>_xll.BDH("XOM US Equity","BS_TOT_NON_CUR_ASSET","FQ1 1995","FQ1 1995","Currency=USD","Period=FQ","BEST_FPERIOD_OVERRIDE=FQ","FILING_STATUS=OR","SCALING_FORMAT=MLN","Sort=A","Dates=H","DateFormat=P","Fill=—","Direction=H","UseDPDF=Y")</f>
        <v>72819</v>
      </c>
      <c r="X23" s="16">
        <f>_xll.BDH("XOM US Equity","BS_TOT_NON_CUR_ASSET","FQ2 1995","FQ2 1995","Currency=USD","Period=FQ","BEST_FPERIOD_OVERRIDE=FQ","FILING_STATUS=OR","SCALING_FORMAT=MLN","Sort=A","Dates=H","DateFormat=P","Fill=—","Direction=H","UseDPDF=Y")</f>
        <v>73172</v>
      </c>
      <c r="Y23" s="16">
        <f>_xll.BDH("XOM US Equity","BS_TOT_NON_CUR_ASSET","FQ3 1995","FQ3 1995","Currency=USD","Period=FQ","BEST_FPERIOD_OVERRIDE=FQ","FILING_STATUS=OR","SCALING_FORMAT=MLN","Sort=A","Dates=H","DateFormat=P","Fill=—","Direction=H","UseDPDF=Y")</f>
        <v>73208</v>
      </c>
      <c r="Z23" s="16">
        <f>_xll.BDH("XOM US Equity","BS_TOT_NON_CUR_ASSET","FQ4 1995","FQ4 1995","Currency=USD","Period=FQ","BEST_FPERIOD_OVERRIDE=FQ","FILING_STATUS=OR","SCALING_FORMAT=MLN","Sort=A","Dates=H","DateFormat=P","Fill=—","Direction=H","UseDPDF=Y")</f>
        <v>73978</v>
      </c>
      <c r="AA23" s="16">
        <f>_xll.BDH("XOM US Equity","BS_TOT_NON_CUR_ASSET","FQ1 1996","FQ1 1996","Currency=USD","Period=FQ","BEST_FPERIOD_OVERRIDE=FQ","FILING_STATUS=OR","SCALING_FORMAT=MLN","Sort=A","Dates=H","DateFormat=P","Fill=—","Direction=H","UseDPDF=Y")</f>
        <v>73615</v>
      </c>
      <c r="AB23" s="16">
        <f>_xll.BDH("XOM US Equity","BS_TOT_NON_CUR_ASSET","FQ2 1996","FQ2 1996","Currency=USD","Period=FQ","BEST_FPERIOD_OVERRIDE=FQ","FILING_STATUS=OR","SCALING_FORMAT=MLN","Sort=A","Dates=H","DateFormat=P","Fill=—","Direction=H","UseDPDF=Y")</f>
        <v>73995</v>
      </c>
      <c r="AC23" s="16">
        <f>_xll.BDH("XOM US Equity","BS_TOT_NON_CUR_ASSET","FQ3 1996","FQ3 1996","Currency=USD","Period=FQ","BEST_FPERIOD_OVERRIDE=FQ","FILING_STATUS=OR","SCALING_FORMAT=MLN","Sort=A","Dates=H","DateFormat=P","Fill=—","Direction=H","UseDPDF=Y")</f>
        <v>74890</v>
      </c>
      <c r="AD23" s="16">
        <f>_xll.BDH("XOM US Equity","BS_TOT_NON_CUR_ASSET","FQ4 1996","FQ4 1996","Currency=USD","Period=FQ","BEST_FPERIOD_OVERRIDE=FQ","FILING_STATUS=OR","SCALING_FORMAT=MLN","Sort=A","Dates=H","DateFormat=P","Fill=—","Direction=H","UseDPDF=Y")</f>
        <v>75617</v>
      </c>
      <c r="AE23" s="16">
        <f>_xll.BDH("XOM US Equity","BS_TOT_NON_CUR_ASSET","FQ1 1997","FQ1 1997","Currency=USD","Period=FQ","BEST_FPERIOD_OVERRIDE=FQ","FILING_STATUS=OR","SCALING_FORMAT=MLN","Sort=A","Dates=H","DateFormat=P","Fill=—","Direction=H","UseDPDF=Y")</f>
        <v>73879</v>
      </c>
      <c r="AF23" s="16">
        <f>_xll.BDH("XOM US Equity","BS_TOT_NON_CUR_ASSET","FQ2 1997","FQ2 1997","Currency=USD","Period=FQ","BEST_FPERIOD_OVERRIDE=FQ","FILING_STATUS=OR","SCALING_FORMAT=MLN","Sort=A","Dates=H","DateFormat=P","Fill=—","Direction=H","UseDPDF=Y")</f>
        <v>74126</v>
      </c>
      <c r="AG23" s="16">
        <f>_xll.BDH("XOM US Equity","BS_TOT_NON_CUR_ASSET","FQ3 1997","FQ3 1997","Currency=USD","Period=FQ","BEST_FPERIOD_OVERRIDE=FQ","FILING_STATUS=OR","SCALING_FORMAT=MLN","Sort=A","Dates=H","DateFormat=P","Fill=—","Direction=H","UseDPDF=Y")</f>
        <v>75437</v>
      </c>
      <c r="AH23" s="16">
        <f>_xll.BDH("XOM US Equity","BS_TOT_NON_CUR_ASSET","FQ4 1997","FQ4 1997","Currency=USD","Period=FQ","BEST_FPERIOD_OVERRIDE=FQ","FILING_STATUS=OR","SCALING_FORMAT=MLN","Sort=A","Dates=H","DateFormat=P","Fill=—","Direction=H","UseDPDF=Y")</f>
        <v>74872</v>
      </c>
      <c r="AI23" s="16">
        <f>_xll.BDH("XOM US Equity","BS_TOT_NON_CUR_ASSET","FQ1 1998","FQ1 1998","Currency=USD","Period=FQ","BEST_FPERIOD_OVERRIDE=FQ","FILING_STATUS=OR","SCALING_FORMAT=MLN","Sort=A","Dates=H","DateFormat=P","Fill=—","Direction=H","UseDPDF=Y")</f>
        <v>74912</v>
      </c>
      <c r="AJ23" s="16">
        <f>_xll.BDH("XOM US Equity","BS_TOT_NON_CUR_ASSET","FQ2 1998","FQ2 1998","Currency=USD","Period=FQ","BEST_FPERIOD_OVERRIDE=FQ","FILING_STATUS=OR","SCALING_FORMAT=MLN","Sort=A","Dates=H","DateFormat=P","Fill=—","Direction=H","UseDPDF=Y")</f>
        <v>74936</v>
      </c>
    </row>
    <row r="24" spans="1:36" x14ac:dyDescent="0.25">
      <c r="A24" s="6" t="s">
        <v>146</v>
      </c>
      <c r="B24" s="6" t="s">
        <v>181</v>
      </c>
      <c r="C24" s="16">
        <f>_xll.BDH("XOM US Equity","BS_TOT_ASSET","FQ1 1990","FQ1 1990","Currency=USD","Period=FQ","BEST_FPERIOD_OVERRIDE=FQ","FILING_STATUS=OR","SCALING_FORMAT=MLN","Sort=A","Dates=H","DateFormat=P","Fill=—","Direction=H","UseDPDF=Y")</f>
        <v>82285</v>
      </c>
      <c r="D24" s="16">
        <f>_xll.BDH("XOM US Equity","BS_TOT_ASSET","FQ2 1990","FQ2 1990","Currency=USD","Period=FQ","BEST_FPERIOD_OVERRIDE=FQ","FILING_STATUS=OR","SCALING_FORMAT=MLN","Sort=A","Dates=H","DateFormat=P","Fill=—","Direction=H","UseDPDF=Y")</f>
        <v>82608</v>
      </c>
      <c r="E24" s="16">
        <f>_xll.BDH("XOM US Equity","BS_TOT_ASSET","FQ3 1990","FQ3 1990","Currency=USD","Period=FQ","BEST_FPERIOD_OVERRIDE=FQ","FILING_STATUS=OR","SCALING_FORMAT=MLN","Sort=A","Dates=H","DateFormat=P","Fill=—","Direction=H","UseDPDF=Y")</f>
        <v>86157</v>
      </c>
      <c r="F24" s="16">
        <f>_xll.BDH("XOM US Equity","BS_TOT_ASSET","FQ4 1990","FQ4 1990","Currency=USD","Period=FQ","BEST_FPERIOD_OVERRIDE=FQ","FILING_STATUS=OR","SCALING_FORMAT=MLN","Sort=A","Dates=H","DateFormat=P","Fill=—","Direction=H","UseDPDF=Y")</f>
        <v>87707</v>
      </c>
      <c r="G24" s="16">
        <f>_xll.BDH("XOM US Equity","BS_TOT_ASSET","FQ1 1991","FQ1 1991","Currency=USD","Period=FQ","BEST_FPERIOD_OVERRIDE=FQ","FILING_STATUS=OR","SCALING_FORMAT=MLN","Sort=A","Dates=H","DateFormat=P","Fill=—","Direction=H","UseDPDF=Y")</f>
        <v>83661</v>
      </c>
      <c r="H24" s="16">
        <f>_xll.BDH("XOM US Equity","BS_TOT_ASSET","FQ2 1991","FQ2 1991","Currency=USD","Period=FQ","BEST_FPERIOD_OVERRIDE=FQ","FILING_STATUS=OR","SCALING_FORMAT=MLN","Sort=A","Dates=H","DateFormat=P","Fill=—","Direction=H","UseDPDF=Y")</f>
        <v>81744</v>
      </c>
      <c r="I24" s="16">
        <f>_xll.BDH("XOM US Equity","BS_TOT_ASSET","FQ3 1991","FQ3 1991","Currency=USD","Period=FQ","BEST_FPERIOD_OVERRIDE=FQ","FILING_STATUS=OR","SCALING_FORMAT=MLN","Sort=A","Dates=H","DateFormat=P","Fill=—","Direction=H","UseDPDF=Y")</f>
        <v>84593</v>
      </c>
      <c r="J24" s="16">
        <f>_xll.BDH("XOM US Equity","BS_TOT_ASSET","FQ4 1991","FQ4 1991","Currency=USD","Period=FQ","BEST_FPERIOD_OVERRIDE=FQ","FILING_STATUS=OR","SCALING_FORMAT=MLN","Sort=A","Dates=H","DateFormat=P","Fill=—","Direction=H","UseDPDF=Y")</f>
        <v>87560</v>
      </c>
      <c r="K24" s="16">
        <f>_xll.BDH("XOM US Equity","BS_TOT_ASSET","FQ1 1992","FQ1 1992","Currency=USD","Period=FQ","BEST_FPERIOD_OVERRIDE=FQ","FILING_STATUS=OR","SCALING_FORMAT=MLN","Sort=A","Dates=H","DateFormat=P","Fill=—","Direction=H","UseDPDF=Y")</f>
        <v>84507</v>
      </c>
      <c r="L24" s="16">
        <f>_xll.BDH("XOM US Equity","BS_TOT_ASSET","FQ2 1992","FQ2 1992","Currency=USD","Period=FQ","BEST_FPERIOD_OVERRIDE=FQ","FILING_STATUS=OR","SCALING_FORMAT=MLN","Sort=A","Dates=H","DateFormat=P","Fill=—","Direction=H","UseDPDF=Y")</f>
        <v>87218</v>
      </c>
      <c r="M24" s="16">
        <f>_xll.BDH("XOM US Equity","BS_TOT_ASSET","FQ3 1992","FQ3 1992","Currency=USD","Period=FQ","BEST_FPERIOD_OVERRIDE=FQ","FILING_STATUS=OR","SCALING_FORMAT=MLN","Sort=A","Dates=H","DateFormat=P","Fill=—","Direction=H","UseDPDF=Y")</f>
        <v>87543</v>
      </c>
      <c r="N24" s="16">
        <f>_xll.BDH("XOM US Equity","BS_TOT_ASSET","FQ4 1992","FQ4 1992","Currency=USD","Period=FQ","BEST_FPERIOD_OVERRIDE=FQ","FILING_STATUS=OR","SCALING_FORMAT=MLN","Sort=A","Dates=H","DateFormat=P","Fill=—","Direction=H","UseDPDF=Y")</f>
        <v>85030</v>
      </c>
      <c r="O24" s="16">
        <f>_xll.BDH("XOM US Equity","BS_TOT_ASSET","FQ1 1993","FQ1 1993","Currency=USD","Period=FQ","BEST_FPERIOD_OVERRIDE=FQ","FILING_STATUS=OR","SCALING_FORMAT=MLN","Sort=A","Dates=H","DateFormat=P","Fill=—","Direction=H","UseDPDF=Y")</f>
        <v>84735</v>
      </c>
      <c r="P24" s="16">
        <f>_xll.BDH("XOM US Equity","BS_TOT_ASSET","FQ2 1993","FQ2 1993","Currency=USD","Period=FQ","BEST_FPERIOD_OVERRIDE=FQ","FILING_STATUS=OR","SCALING_FORMAT=MLN","Sort=A","Dates=H","DateFormat=P","Fill=—","Direction=H","UseDPDF=Y")</f>
        <v>84550</v>
      </c>
      <c r="Q24" s="16">
        <f>_xll.BDH("XOM US Equity","BS_TOT_ASSET","FQ3 1993","FQ3 1993","Currency=USD","Period=FQ","BEST_FPERIOD_OVERRIDE=FQ","FILING_STATUS=OR","SCALING_FORMAT=MLN","Sort=A","Dates=H","DateFormat=P","Fill=—","Direction=H","UseDPDF=Y")</f>
        <v>84987</v>
      </c>
      <c r="R24" s="16">
        <f>_xll.BDH("XOM US Equity","BS_TOT_ASSET","FQ4 1993","FQ4 1993","Currency=USD","Period=FQ","BEST_FPERIOD_OVERRIDE=FQ","FILING_STATUS=OR","SCALING_FORMAT=MLN","Sort=A","Dates=H","DateFormat=P","Fill=—","Direction=H","UseDPDF=Y")</f>
        <v>84145</v>
      </c>
      <c r="S24" s="16">
        <f>_xll.BDH("XOM US Equity","BS_TOT_ASSET","FQ1 1994","FQ1 1994","Currency=USD","Period=FQ","BEST_FPERIOD_OVERRIDE=FQ","FILING_STATUS=OR","SCALING_FORMAT=MLN","Sort=A","Dates=H","DateFormat=P","Fill=—","Direction=H","UseDPDF=Y")</f>
        <v>84654</v>
      </c>
      <c r="T24" s="16">
        <f>_xll.BDH("XOM US Equity","BS_TOT_ASSET","FQ2 1994","FQ2 1994","Currency=USD","Period=FQ","BEST_FPERIOD_OVERRIDE=FQ","FILING_STATUS=OR","SCALING_FORMAT=MLN","Sort=A","Dates=H","DateFormat=P","Fill=—","Direction=H","UseDPDF=Y")</f>
        <v>86102</v>
      </c>
      <c r="U24" s="16">
        <f>_xll.BDH("XOM US Equity","BS_TOT_ASSET","FQ3 1994","FQ3 1994","Currency=USD","Period=FQ","BEST_FPERIOD_OVERRIDE=FQ","FILING_STATUS=OR","SCALING_FORMAT=MLN","Sort=A","Dates=H","DateFormat=P","Fill=—","Direction=H","UseDPDF=Y")</f>
        <v>87790</v>
      </c>
      <c r="V24" s="16">
        <f>_xll.BDH("XOM US Equity","BS_TOT_ASSET","FQ4 1994","FQ4 1994","Currency=USD","Period=FQ","BEST_FPERIOD_OVERRIDE=FQ","FILING_STATUS=OR","SCALING_FORMAT=MLN","Sort=A","Dates=H","DateFormat=P","Fill=—","Direction=H","UseDPDF=Y")</f>
        <v>87862</v>
      </c>
      <c r="W24" s="16">
        <f>_xll.BDH("XOM US Equity","BS_TOT_ASSET","FQ1 1995","FQ1 1995","Currency=USD","Period=FQ","BEST_FPERIOD_OVERRIDE=FQ","FILING_STATUS=OR","SCALING_FORMAT=MLN","Sort=A","Dates=H","DateFormat=P","Fill=—","Direction=H","UseDPDF=Y")</f>
        <v>91271</v>
      </c>
      <c r="X24" s="16">
        <f>_xll.BDH("XOM US Equity","BS_TOT_ASSET","FQ2 1995","FQ2 1995","Currency=USD","Period=FQ","BEST_FPERIOD_OVERRIDE=FQ","FILING_STATUS=OR","SCALING_FORMAT=MLN","Sort=A","Dates=H","DateFormat=P","Fill=—","Direction=H","UseDPDF=Y")</f>
        <v>91158</v>
      </c>
      <c r="Y24" s="16">
        <f>_xll.BDH("XOM US Equity","BS_TOT_ASSET","FQ3 1995","FQ3 1995","Currency=USD","Period=FQ","BEST_FPERIOD_OVERRIDE=FQ","FILING_STATUS=OR","SCALING_FORMAT=MLN","Sort=A","Dates=H","DateFormat=P","Fill=—","Direction=H","UseDPDF=Y")</f>
        <v>90706</v>
      </c>
      <c r="Z24" s="16">
        <f>_xll.BDH("XOM US Equity","BS_TOT_ASSET","FQ4 1995","FQ4 1995","Currency=USD","Period=FQ","BEST_FPERIOD_OVERRIDE=FQ","FILING_STATUS=OR","SCALING_FORMAT=MLN","Sort=A","Dates=H","DateFormat=P","Fill=—","Direction=H","UseDPDF=Y")</f>
        <v>91296</v>
      </c>
      <c r="AA24" s="16">
        <f>_xll.BDH("XOM US Equity","BS_TOT_ASSET","FQ1 1996","FQ1 1996","Currency=USD","Period=FQ","BEST_FPERIOD_OVERRIDE=FQ","FILING_STATUS=OR","SCALING_FORMAT=MLN","Sort=A","Dates=H","DateFormat=P","Fill=—","Direction=H","UseDPDF=Y")</f>
        <v>92579</v>
      </c>
      <c r="AB24" s="16">
        <f>_xll.BDH("XOM US Equity","BS_TOT_ASSET","FQ2 1996","FQ2 1996","Currency=USD","Period=FQ","BEST_FPERIOD_OVERRIDE=FQ","FILING_STATUS=OR","SCALING_FORMAT=MLN","Sort=A","Dates=H","DateFormat=P","Fill=—","Direction=H","UseDPDF=Y")</f>
        <v>92396</v>
      </c>
      <c r="AC24" s="16">
        <f>_xll.BDH("XOM US Equity","BS_TOT_ASSET","FQ3 1996","FQ3 1996","Currency=USD","Period=FQ","BEST_FPERIOD_OVERRIDE=FQ","FILING_STATUS=OR","SCALING_FORMAT=MLN","Sort=A","Dates=H","DateFormat=P","Fill=—","Direction=H","UseDPDF=Y")</f>
        <v>93468</v>
      </c>
      <c r="AD24" s="16">
        <f>_xll.BDH("XOM US Equity","BS_TOT_ASSET","FQ4 1996","FQ4 1996","Currency=USD","Period=FQ","BEST_FPERIOD_OVERRIDE=FQ","FILING_STATUS=OR","SCALING_FORMAT=MLN","Sort=A","Dates=H","DateFormat=P","Fill=—","Direction=H","UseDPDF=Y")</f>
        <v>95527</v>
      </c>
      <c r="AE24" s="16">
        <f>_xll.BDH("XOM US Equity","BS_TOT_ASSET","FQ1 1997","FQ1 1997","Currency=USD","Period=FQ","BEST_FPERIOD_OVERRIDE=FQ","FILING_STATUS=OR","SCALING_FORMAT=MLN","Sort=A","Dates=H","DateFormat=P","Fill=—","Direction=H","UseDPDF=Y")</f>
        <v>95647</v>
      </c>
      <c r="AF24" s="16">
        <f>_xll.BDH("XOM US Equity","BS_TOT_ASSET","FQ2 1997","FQ2 1997","Currency=USD","Period=FQ","BEST_FPERIOD_OVERRIDE=FQ","FILING_STATUS=OR","SCALING_FORMAT=MLN","Sort=A","Dates=H","DateFormat=P","Fill=—","Direction=H","UseDPDF=Y")</f>
        <v>94920</v>
      </c>
      <c r="AG24" s="16">
        <f>_xll.BDH("XOM US Equity","BS_TOT_ASSET","FQ3 1997","FQ3 1997","Currency=USD","Period=FQ","BEST_FPERIOD_OVERRIDE=FQ","FILING_STATUS=OR","SCALING_FORMAT=MLN","Sort=A","Dates=H","DateFormat=P","Fill=—","Direction=H","UseDPDF=Y")</f>
        <v>97123</v>
      </c>
      <c r="AH24" s="16">
        <f>_xll.BDH("XOM US Equity","BS_TOT_ASSET","FQ4 1997","FQ4 1997","Currency=USD","Period=FQ","BEST_FPERIOD_OVERRIDE=FQ","FILING_STATUS=OR","SCALING_FORMAT=MLN","Sort=A","Dates=H","DateFormat=P","Fill=—","Direction=H","UseDPDF=Y")</f>
        <v>96064</v>
      </c>
      <c r="AI24" s="16">
        <f>_xll.BDH("XOM US Equity","BS_TOT_ASSET","FQ1 1998","FQ1 1998","Currency=USD","Period=FQ","BEST_FPERIOD_OVERRIDE=FQ","FILING_STATUS=OR","SCALING_FORMAT=MLN","Sort=A","Dates=H","DateFormat=P","Fill=—","Direction=H","UseDPDF=Y")</f>
        <v>94953</v>
      </c>
      <c r="AJ24" s="16">
        <f>_xll.BDH("XOM US Equity","BS_TOT_ASSET","FQ2 1998","FQ2 1998","Currency=USD","Period=FQ","BEST_FPERIOD_OVERRIDE=FQ","FILING_STATUS=OR","SCALING_FORMAT=MLN","Sort=A","Dates=H","DateFormat=P","Fill=—","Direction=H","UseDPDF=Y")</f>
        <v>93216</v>
      </c>
    </row>
    <row r="25" spans="1:36" x14ac:dyDescent="0.25">
      <c r="A25" s="6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</row>
    <row r="26" spans="1:36" x14ac:dyDescent="0.25">
      <c r="A26" s="6" t="s">
        <v>182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</row>
    <row r="27" spans="1:36" x14ac:dyDescent="0.25">
      <c r="A27" s="10" t="s">
        <v>183</v>
      </c>
      <c r="B27" s="10" t="s">
        <v>184</v>
      </c>
      <c r="C27" s="13">
        <f>_xll.BDH("XOM US Equity","ACCT_PAYABLE_&amp;_ACCRUALS_DETAILED","FQ1 1990","FQ1 1990","Currency=USD","Period=FQ","BEST_FPERIOD_OVERRIDE=FQ","FILING_STATUS=OR","SCALING_FORMAT=MLN","Sort=A","Dates=H","DateFormat=P","Fill=—","Direction=H","UseDPDF=Y")</f>
        <v>12263</v>
      </c>
      <c r="D27" s="13">
        <f>_xll.BDH("XOM US Equity","ACCT_PAYABLE_&amp;_ACCRUALS_DETAILED","FQ2 1990","FQ2 1990","Currency=USD","Period=FQ","BEST_FPERIOD_OVERRIDE=FQ","FILING_STATUS=OR","SCALING_FORMAT=MLN","Sort=A","Dates=H","DateFormat=P","Fill=—","Direction=H","UseDPDF=Y")</f>
        <v>12482</v>
      </c>
      <c r="E27" s="13">
        <f>_xll.BDH("XOM US Equity","ACCT_PAYABLE_&amp;_ACCRUALS_DETAILED","FQ3 1990","FQ3 1990","Currency=USD","Period=FQ","BEST_FPERIOD_OVERRIDE=FQ","FILING_STATUS=OR","SCALING_FORMAT=MLN","Sort=A","Dates=H","DateFormat=P","Fill=—","Direction=H","UseDPDF=Y")</f>
        <v>14083</v>
      </c>
      <c r="F27" s="13">
        <f>_xll.BDH("XOM US Equity","ACCT_PAYABLE_&amp;_ACCRUALS_DETAILED","FQ4 1990","FQ4 1990","Currency=USD","Period=FQ","BEST_FPERIOD_OVERRIDE=FQ","FILING_STATUS=OR","SCALING_FORMAT=MLN","Sort=A","Dates=H","DateFormat=P","Fill=—","Direction=H","UseDPDF=Y")</f>
        <v>8994</v>
      </c>
      <c r="G27" s="13">
        <f>_xll.BDH("XOM US Equity","ACCT_PAYABLE_&amp;_ACCRUALS_DETAILED","FQ1 1991","FQ1 1991","Currency=USD","Period=FQ","BEST_FPERIOD_OVERRIDE=FQ","FILING_STATUS=OR","SCALING_FORMAT=MLN","Sort=A","Dates=H","DateFormat=P","Fill=—","Direction=H","UseDPDF=Y")</f>
        <v>13047</v>
      </c>
      <c r="H27" s="13">
        <f>_xll.BDH("XOM US Equity","ACCT_PAYABLE_&amp;_ACCRUALS_DETAILED","FQ2 1991","FQ2 1991","Currency=USD","Period=FQ","BEST_FPERIOD_OVERRIDE=FQ","FILING_STATUS=OR","SCALING_FORMAT=MLN","Sort=A","Dates=H","DateFormat=P","Fill=—","Direction=H","UseDPDF=Y")</f>
        <v>12560</v>
      </c>
      <c r="I27" s="13">
        <f>_xll.BDH("XOM US Equity","ACCT_PAYABLE_&amp;_ACCRUALS_DETAILED","FQ3 1991","FQ3 1991","Currency=USD","Period=FQ","BEST_FPERIOD_OVERRIDE=FQ","FILING_STATUS=OR","SCALING_FORMAT=MLN","Sort=A","Dates=H","DateFormat=P","Fill=—","Direction=H","UseDPDF=Y")</f>
        <v>13063</v>
      </c>
      <c r="J27" s="13">
        <f>_xll.BDH("XOM US Equity","ACCT_PAYABLE_&amp;_ACCRUALS_DETAILED","FQ4 1991","FQ4 1991","Currency=USD","Period=FQ","BEST_FPERIOD_OVERRIDE=FQ","FILING_STATUS=OR","SCALING_FORMAT=MLN","Sort=A","Dates=H","DateFormat=P","Fill=—","Direction=H","UseDPDF=Y")</f>
        <v>7774</v>
      </c>
      <c r="K27" s="13">
        <f>_xll.BDH("XOM US Equity","ACCT_PAYABLE_&amp;_ACCRUALS_DETAILED","FQ1 1992","FQ1 1992","Currency=USD","Period=FQ","BEST_FPERIOD_OVERRIDE=FQ","FILING_STATUS=OR","SCALING_FORMAT=MLN","Sort=A","Dates=H","DateFormat=P","Fill=—","Direction=H","UseDPDF=Y")</f>
        <v>12736</v>
      </c>
      <c r="L27" s="13">
        <f>_xll.BDH("XOM US Equity","ACCT_PAYABLE_&amp;_ACCRUALS_DETAILED","FQ2 1992","FQ2 1992","Currency=USD","Period=FQ","BEST_FPERIOD_OVERRIDE=FQ","FILING_STATUS=OR","SCALING_FORMAT=MLN","Sort=A","Dates=H","DateFormat=P","Fill=—","Direction=H","UseDPDF=Y")</f>
        <v>13702</v>
      </c>
      <c r="M27" s="13">
        <f>_xll.BDH("XOM US Equity","ACCT_PAYABLE_&amp;_ACCRUALS_DETAILED","FQ3 1992","FQ3 1992","Currency=USD","Period=FQ","BEST_FPERIOD_OVERRIDE=FQ","FILING_STATUS=OR","SCALING_FORMAT=MLN","Sort=A","Dates=H","DateFormat=P","Fill=—","Direction=H","UseDPDF=Y")</f>
        <v>14132</v>
      </c>
      <c r="N27" s="13">
        <f>_xll.BDH("XOM US Equity","ACCT_PAYABLE_&amp;_ACCRUALS_DETAILED","FQ4 1992","FQ4 1992","Currency=USD","Period=FQ","BEST_FPERIOD_OVERRIDE=FQ","FILING_STATUS=OR","SCALING_FORMAT=MLN","Sort=A","Dates=H","DateFormat=P","Fill=—","Direction=H","UseDPDF=Y")</f>
        <v>7100</v>
      </c>
      <c r="O27" s="13">
        <f>_xll.BDH("XOM US Equity","ACCT_PAYABLE_&amp;_ACCRUALS_DETAILED","FQ1 1993","FQ1 1993","Currency=USD","Period=FQ","BEST_FPERIOD_OVERRIDE=FQ","FILING_STATUS=OR","SCALING_FORMAT=MLN","Sort=A","Dates=H","DateFormat=P","Fill=—","Direction=H","UseDPDF=Y")</f>
        <v>12320</v>
      </c>
      <c r="P27" s="13">
        <f>_xll.BDH("XOM US Equity","ACCT_PAYABLE_&amp;_ACCRUALS_DETAILED","FQ2 1993","FQ2 1993","Currency=USD","Period=FQ","BEST_FPERIOD_OVERRIDE=FQ","FILING_STATUS=OR","SCALING_FORMAT=MLN","Sort=A","Dates=H","DateFormat=P","Fill=—","Direction=H","UseDPDF=Y")</f>
        <v>12253</v>
      </c>
      <c r="Q27" s="13">
        <f>_xll.BDH("XOM US Equity","ACCT_PAYABLE_&amp;_ACCRUALS_DETAILED","FQ3 1993","FQ3 1993","Currency=USD","Period=FQ","BEST_FPERIOD_OVERRIDE=FQ","FILING_STATUS=OR","SCALING_FORMAT=MLN","Sort=A","Dates=H","DateFormat=P","Fill=—","Direction=H","UseDPDF=Y")</f>
        <v>12630</v>
      </c>
      <c r="R27" s="13">
        <f>_xll.BDH("XOM US Equity","ACCT_PAYABLE_&amp;_ACCRUALS_DETAILED","FQ4 1993","FQ4 1993","Currency=USD","Period=FQ","BEST_FPERIOD_OVERRIDE=FQ","FILING_STATUS=OR","SCALING_FORMAT=MLN","Sort=A","Dates=H","DateFormat=P","Fill=—","Direction=H","UseDPDF=Y")</f>
        <v>6910</v>
      </c>
      <c r="S27" s="13">
        <f>_xll.BDH("XOM US Equity","ACCT_PAYABLE_&amp;_ACCRUALS_DETAILED","FQ1 1994","FQ1 1994","Currency=USD","Period=FQ","BEST_FPERIOD_OVERRIDE=FQ","FILING_STATUS=OR","SCALING_FORMAT=MLN","Sort=A","Dates=H","DateFormat=P","Fill=—","Direction=H","UseDPDF=Y")</f>
        <v>12326</v>
      </c>
      <c r="T27" s="13">
        <f>_xll.BDH("XOM US Equity","ACCT_PAYABLE_&amp;_ACCRUALS_DETAILED","FQ2 1994","FQ2 1994","Currency=USD","Period=FQ","BEST_FPERIOD_OVERRIDE=FQ","FILING_STATUS=OR","SCALING_FORMAT=MLN","Sort=A","Dates=H","DateFormat=P","Fill=—","Direction=H","UseDPDF=Y")</f>
        <v>12729</v>
      </c>
      <c r="U27" s="13">
        <f>_xll.BDH("XOM US Equity","ACCT_PAYABLE_&amp;_ACCRUALS_DETAILED","FQ3 1994","FQ3 1994","Currency=USD","Period=FQ","BEST_FPERIOD_OVERRIDE=FQ","FILING_STATUS=OR","SCALING_FORMAT=MLN","Sort=A","Dates=H","DateFormat=P","Fill=—","Direction=H","UseDPDF=Y")</f>
        <v>12832</v>
      </c>
      <c r="V27" s="13">
        <f>_xll.BDH("XOM US Equity","ACCT_PAYABLE_&amp;_ACCRUALS_DETAILED","FQ4 1994","FQ4 1994","Currency=USD","Period=FQ","BEST_FPERIOD_OVERRIDE=FQ","FILING_STATUS=OR","SCALING_FORMAT=MLN","Sort=A","Dates=H","DateFormat=P","Fill=—","Direction=H","UseDPDF=Y")</f>
        <v>7466</v>
      </c>
      <c r="W27" s="13">
        <f>_xll.BDH("XOM US Equity","ACCT_PAYABLE_&amp;_ACCRUALS_DETAILED","FQ1 1995","FQ1 1995","Currency=USD","Period=FQ","BEST_FPERIOD_OVERRIDE=FQ","FILING_STATUS=OR","SCALING_FORMAT=MLN","Sort=A","Dates=H","DateFormat=P","Fill=—","Direction=H","UseDPDF=Y")</f>
        <v>13925</v>
      </c>
      <c r="X27" s="13">
        <f>_xll.BDH("XOM US Equity","ACCT_PAYABLE_&amp;_ACCRUALS_DETAILED","FQ2 1995","FQ2 1995","Currency=USD","Period=FQ","BEST_FPERIOD_OVERRIDE=FQ","FILING_STATUS=OR","SCALING_FORMAT=MLN","Sort=A","Dates=H","DateFormat=P","Fill=—","Direction=H","UseDPDF=Y")</f>
        <v>13750</v>
      </c>
      <c r="Y27" s="13">
        <f>_xll.BDH("XOM US Equity","ACCT_PAYABLE_&amp;_ACCRUALS_DETAILED","FQ3 1995","FQ3 1995","Currency=USD","Period=FQ","BEST_FPERIOD_OVERRIDE=FQ","FILING_STATUS=OR","SCALING_FORMAT=MLN","Sort=A","Dates=H","DateFormat=P","Fill=—","Direction=H","UseDPDF=Y")</f>
        <v>13556</v>
      </c>
      <c r="Z27" s="13">
        <f>_xll.BDH("XOM US Equity","ACCT_PAYABLE_&amp;_ACCRUALS_DETAILED","FQ4 1995","FQ4 1995","Currency=USD","Period=FQ","BEST_FPERIOD_OVERRIDE=FQ","FILING_STATUS=OR","SCALING_FORMAT=MLN","Sort=A","Dates=H","DateFormat=P","Fill=—","Direction=H","UseDPDF=Y")</f>
        <v>8470</v>
      </c>
      <c r="AA27" s="13">
        <f>_xll.BDH("XOM US Equity","ACCT_PAYABLE_&amp;_ACCRUALS_DETAILED","FQ1 1996","FQ1 1996","Currency=USD","Period=FQ","BEST_FPERIOD_OVERRIDE=FQ","FILING_STATUS=OR","SCALING_FORMAT=MLN","Sort=A","Dates=H","DateFormat=P","Fill=—","Direction=H","UseDPDF=Y")</f>
        <v>13756</v>
      </c>
      <c r="AB27" s="13">
        <f>_xll.BDH("XOM US Equity","ACCT_PAYABLE_&amp;_ACCRUALS_DETAILED","FQ2 1996","FQ2 1996","Currency=USD","Period=FQ","BEST_FPERIOD_OVERRIDE=FQ","FILING_STATUS=OR","SCALING_FORMAT=MLN","Sort=A","Dates=H","DateFormat=P","Fill=—","Direction=H","UseDPDF=Y")</f>
        <v>13329</v>
      </c>
      <c r="AC27" s="13">
        <f>_xll.BDH("XOM US Equity","ACCT_PAYABLE_&amp;_ACCRUALS_DETAILED","FQ3 1996","FQ3 1996","Currency=USD","Period=FQ","BEST_FPERIOD_OVERRIDE=FQ","FILING_STATUS=OR","SCALING_FORMAT=MLN","Sort=A","Dates=H","DateFormat=P","Fill=—","Direction=H","UseDPDF=Y")</f>
        <v>14273</v>
      </c>
      <c r="AD27" s="13">
        <f>_xll.BDH("XOM US Equity","ACCT_PAYABLE_&amp;_ACCRUALS_DETAILED","FQ4 1996","FQ4 1996","Currency=USD","Period=FQ","BEST_FPERIOD_OVERRIDE=FQ","FILING_STATUS=OR","SCALING_FORMAT=MLN","Sort=A","Dates=H","DateFormat=P","Fill=—","Direction=H","UseDPDF=Y")</f>
        <v>8343</v>
      </c>
      <c r="AE27" s="13">
        <f>_xll.BDH("XOM US Equity","ACCT_PAYABLE_&amp;_ACCRUALS_DETAILED","FQ1 1997","FQ1 1997","Currency=USD","Period=FQ","BEST_FPERIOD_OVERRIDE=FQ","FILING_STATUS=OR","SCALING_FORMAT=MLN","Sort=A","Dates=H","DateFormat=P","Fill=—","Direction=H","UseDPDF=Y")</f>
        <v>13860</v>
      </c>
      <c r="AF27" s="13">
        <f>_xll.BDH("XOM US Equity","ACCT_PAYABLE_&amp;_ACCRUALS_DETAILED","FQ2 1997","FQ2 1997","Currency=USD","Period=FQ","BEST_FPERIOD_OVERRIDE=FQ","FILING_STATUS=OR","SCALING_FORMAT=MLN","Sort=A","Dates=H","DateFormat=P","Fill=—","Direction=H","UseDPDF=Y")</f>
        <v>13691</v>
      </c>
      <c r="AG27" s="13">
        <f>_xll.BDH("XOM US Equity","ACCT_PAYABLE_&amp;_ACCRUALS_DETAILED","FQ3 1997","FQ3 1997","Currency=USD","Period=FQ","BEST_FPERIOD_OVERRIDE=FQ","FILING_STATUS=OR","SCALING_FORMAT=MLN","Sort=A","Dates=H","DateFormat=P","Fill=—","Direction=H","UseDPDF=Y")</f>
        <v>14966</v>
      </c>
      <c r="AH27" s="13">
        <f>_xll.BDH("XOM US Equity","ACCT_PAYABLE_&amp;_ACCRUALS_DETAILED","FQ4 1997","FQ4 1997","Currency=USD","Period=FQ","BEST_FPERIOD_OVERRIDE=FQ","FILING_STATUS=OR","SCALING_FORMAT=MLN","Sort=A","Dates=H","DateFormat=P","Fill=—","Direction=H","UseDPDF=Y")</f>
        <v>8246</v>
      </c>
      <c r="AI27" s="13">
        <f>_xll.BDH("XOM US Equity","ACCT_PAYABLE_&amp;_ACCRUALS_DETAILED","FQ1 1998","FQ1 1998","Currency=USD","Period=FQ","BEST_FPERIOD_OVERRIDE=FQ","FILING_STATUS=OR","SCALING_FORMAT=MLN","Sort=A","Dates=H","DateFormat=P","Fill=—","Direction=H","UseDPDF=Y")</f>
        <v>13573</v>
      </c>
      <c r="AJ27" s="13">
        <f>_xll.BDH("XOM US Equity","ACCT_PAYABLE_&amp;_ACCRUALS_DETAILED","FQ2 1998","FQ2 1998","Currency=USD","Period=FQ","BEST_FPERIOD_OVERRIDE=FQ","FILING_STATUS=OR","SCALING_FORMAT=MLN","Sort=A","Dates=H","DateFormat=P","Fill=—","Direction=H","UseDPDF=Y")</f>
        <v>13280</v>
      </c>
    </row>
    <row r="28" spans="1:36" x14ac:dyDescent="0.25">
      <c r="A28" s="10" t="s">
        <v>185</v>
      </c>
      <c r="B28" s="10" t="s">
        <v>186</v>
      </c>
      <c r="C28" s="13">
        <f>_xll.BDH("XOM US Equity","BS_ACCT_PAYABLE","FQ1 1990","FQ1 1990","Currency=USD","Period=FQ","BEST_FPERIOD_OVERRIDE=FQ","FILING_STATUS=OR","SCALING_FORMAT=MLN","Sort=A","Dates=H","DateFormat=P","Fill=—","Direction=H","UseDPDF=Y")</f>
        <v>12263</v>
      </c>
      <c r="D28" s="13">
        <f>_xll.BDH("XOM US Equity","BS_ACCT_PAYABLE","FQ2 1990","FQ2 1990","Currency=USD","Period=FQ","BEST_FPERIOD_OVERRIDE=FQ","FILING_STATUS=OR","SCALING_FORMAT=MLN","Sort=A","Dates=H","DateFormat=P","Fill=—","Direction=H","UseDPDF=Y")</f>
        <v>12482</v>
      </c>
      <c r="E28" s="13">
        <f>_xll.BDH("XOM US Equity","BS_ACCT_PAYABLE","FQ3 1990","FQ3 1990","Currency=USD","Period=FQ","BEST_FPERIOD_OVERRIDE=FQ","FILING_STATUS=OR","SCALING_FORMAT=MLN","Sort=A","Dates=H","DateFormat=P","Fill=—","Direction=H","UseDPDF=Y")</f>
        <v>14083</v>
      </c>
      <c r="F28" s="13">
        <f>_xll.BDH("XOM US Equity","BS_ACCT_PAYABLE","FQ4 1990","FQ4 1990","Currency=USD","Period=FQ","BEST_FPERIOD_OVERRIDE=FQ","FILING_STATUS=OR","SCALING_FORMAT=MLN","Sort=A","Dates=H","DateFormat=P","Fill=—","Direction=H","UseDPDF=Y")</f>
        <v>8994</v>
      </c>
      <c r="G28" s="13">
        <f>_xll.BDH("XOM US Equity","BS_ACCT_PAYABLE","FQ1 1991","FQ1 1991","Currency=USD","Period=FQ","BEST_FPERIOD_OVERRIDE=FQ","FILING_STATUS=OR","SCALING_FORMAT=MLN","Sort=A","Dates=H","DateFormat=P","Fill=—","Direction=H","UseDPDF=Y")</f>
        <v>13047</v>
      </c>
      <c r="H28" s="13">
        <f>_xll.BDH("XOM US Equity","BS_ACCT_PAYABLE","FQ2 1991","FQ2 1991","Currency=USD","Period=FQ","BEST_FPERIOD_OVERRIDE=FQ","FILING_STATUS=OR","SCALING_FORMAT=MLN","Sort=A","Dates=H","DateFormat=P","Fill=—","Direction=H","UseDPDF=Y")</f>
        <v>12560</v>
      </c>
      <c r="I28" s="13">
        <f>_xll.BDH("XOM US Equity","BS_ACCT_PAYABLE","FQ3 1991","FQ3 1991","Currency=USD","Period=FQ","BEST_FPERIOD_OVERRIDE=FQ","FILING_STATUS=OR","SCALING_FORMAT=MLN","Sort=A","Dates=H","DateFormat=P","Fill=—","Direction=H","UseDPDF=Y")</f>
        <v>13063</v>
      </c>
      <c r="J28" s="13">
        <f>_xll.BDH("XOM US Equity","BS_ACCT_PAYABLE","FQ4 1991","FQ4 1991","Currency=USD","Period=FQ","BEST_FPERIOD_OVERRIDE=FQ","FILING_STATUS=OR","SCALING_FORMAT=MLN","Sort=A","Dates=H","DateFormat=P","Fill=—","Direction=H","UseDPDF=Y")</f>
        <v>7774</v>
      </c>
      <c r="K28" s="13">
        <f>_xll.BDH("XOM US Equity","BS_ACCT_PAYABLE","FQ1 1992","FQ1 1992","Currency=USD","Period=FQ","BEST_FPERIOD_OVERRIDE=FQ","FILING_STATUS=OR","SCALING_FORMAT=MLN","Sort=A","Dates=H","DateFormat=P","Fill=—","Direction=H","UseDPDF=Y")</f>
        <v>12736</v>
      </c>
      <c r="L28" s="13">
        <f>_xll.BDH("XOM US Equity","BS_ACCT_PAYABLE","FQ2 1992","FQ2 1992","Currency=USD","Period=FQ","BEST_FPERIOD_OVERRIDE=FQ","FILING_STATUS=OR","SCALING_FORMAT=MLN","Sort=A","Dates=H","DateFormat=P","Fill=—","Direction=H","UseDPDF=Y")</f>
        <v>13702</v>
      </c>
      <c r="M28" s="13">
        <f>_xll.BDH("XOM US Equity","BS_ACCT_PAYABLE","FQ3 1992","FQ3 1992","Currency=USD","Period=FQ","BEST_FPERIOD_OVERRIDE=FQ","FILING_STATUS=OR","SCALING_FORMAT=MLN","Sort=A","Dates=H","DateFormat=P","Fill=—","Direction=H","UseDPDF=Y")</f>
        <v>14132</v>
      </c>
      <c r="N28" s="13">
        <f>_xll.BDH("XOM US Equity","BS_ACCT_PAYABLE","FQ4 1992","FQ4 1992","Currency=USD","Period=FQ","BEST_FPERIOD_OVERRIDE=FQ","FILING_STATUS=OR","SCALING_FORMAT=MLN","Sort=A","Dates=H","DateFormat=P","Fill=—","Direction=H","UseDPDF=Y")</f>
        <v>7100</v>
      </c>
      <c r="O28" s="13">
        <f>_xll.BDH("XOM US Equity","BS_ACCT_PAYABLE","FQ1 1993","FQ1 1993","Currency=USD","Period=FQ","BEST_FPERIOD_OVERRIDE=FQ","FILING_STATUS=OR","SCALING_FORMAT=MLN","Sort=A","Dates=H","DateFormat=P","Fill=—","Direction=H","UseDPDF=Y")</f>
        <v>12320</v>
      </c>
      <c r="P28" s="13">
        <f>_xll.BDH("XOM US Equity","BS_ACCT_PAYABLE","FQ2 1993","FQ2 1993","Currency=USD","Period=FQ","BEST_FPERIOD_OVERRIDE=FQ","FILING_STATUS=OR","SCALING_FORMAT=MLN","Sort=A","Dates=H","DateFormat=P","Fill=—","Direction=H","UseDPDF=Y")</f>
        <v>12253</v>
      </c>
      <c r="Q28" s="13">
        <f>_xll.BDH("XOM US Equity","BS_ACCT_PAYABLE","FQ3 1993","FQ3 1993","Currency=USD","Period=FQ","BEST_FPERIOD_OVERRIDE=FQ","FILING_STATUS=OR","SCALING_FORMAT=MLN","Sort=A","Dates=H","DateFormat=P","Fill=—","Direction=H","UseDPDF=Y")</f>
        <v>12630</v>
      </c>
      <c r="R28" s="13">
        <f>_xll.BDH("XOM US Equity","BS_ACCT_PAYABLE","FQ4 1993","FQ4 1993","Currency=USD","Period=FQ","BEST_FPERIOD_OVERRIDE=FQ","FILING_STATUS=OR","SCALING_FORMAT=MLN","Sort=A","Dates=H","DateFormat=P","Fill=—","Direction=H","UseDPDF=Y")</f>
        <v>6910</v>
      </c>
      <c r="S28" s="13">
        <f>_xll.BDH("XOM US Equity","BS_ACCT_PAYABLE","FQ1 1994","FQ1 1994","Currency=USD","Period=FQ","BEST_FPERIOD_OVERRIDE=FQ","FILING_STATUS=OR","SCALING_FORMAT=MLN","Sort=A","Dates=H","DateFormat=P","Fill=—","Direction=H","UseDPDF=Y")</f>
        <v>12326</v>
      </c>
      <c r="T28" s="13">
        <f>_xll.BDH("XOM US Equity","BS_ACCT_PAYABLE","FQ2 1994","FQ2 1994","Currency=USD","Period=FQ","BEST_FPERIOD_OVERRIDE=FQ","FILING_STATUS=OR","SCALING_FORMAT=MLN","Sort=A","Dates=H","DateFormat=P","Fill=—","Direction=H","UseDPDF=Y")</f>
        <v>12729</v>
      </c>
      <c r="U28" s="13">
        <f>_xll.BDH("XOM US Equity","BS_ACCT_PAYABLE","FQ3 1994","FQ3 1994","Currency=USD","Period=FQ","BEST_FPERIOD_OVERRIDE=FQ","FILING_STATUS=OR","SCALING_FORMAT=MLN","Sort=A","Dates=H","DateFormat=P","Fill=—","Direction=H","UseDPDF=Y")</f>
        <v>12832</v>
      </c>
      <c r="V28" s="13">
        <f>_xll.BDH("XOM US Equity","BS_ACCT_PAYABLE","FQ4 1994","FQ4 1994","Currency=USD","Period=FQ","BEST_FPERIOD_OVERRIDE=FQ","FILING_STATUS=OR","SCALING_FORMAT=MLN","Sort=A","Dates=H","DateFormat=P","Fill=—","Direction=H","UseDPDF=Y")</f>
        <v>7466</v>
      </c>
      <c r="W28" s="13">
        <f>_xll.BDH("XOM US Equity","BS_ACCT_PAYABLE","FQ1 1995","FQ1 1995","Currency=USD","Period=FQ","BEST_FPERIOD_OVERRIDE=FQ","FILING_STATUS=OR","SCALING_FORMAT=MLN","Sort=A","Dates=H","DateFormat=P","Fill=—","Direction=H","UseDPDF=Y")</f>
        <v>13925</v>
      </c>
      <c r="X28" s="13">
        <f>_xll.BDH("XOM US Equity","BS_ACCT_PAYABLE","FQ2 1995","FQ2 1995","Currency=USD","Period=FQ","BEST_FPERIOD_OVERRIDE=FQ","FILING_STATUS=OR","SCALING_FORMAT=MLN","Sort=A","Dates=H","DateFormat=P","Fill=—","Direction=H","UseDPDF=Y")</f>
        <v>13750</v>
      </c>
      <c r="Y28" s="13">
        <f>_xll.BDH("XOM US Equity","BS_ACCT_PAYABLE","FQ3 1995","FQ3 1995","Currency=USD","Period=FQ","BEST_FPERIOD_OVERRIDE=FQ","FILING_STATUS=OR","SCALING_FORMAT=MLN","Sort=A","Dates=H","DateFormat=P","Fill=—","Direction=H","UseDPDF=Y")</f>
        <v>13556</v>
      </c>
      <c r="Z28" s="13">
        <f>_xll.BDH("XOM US Equity","BS_ACCT_PAYABLE","FQ4 1995","FQ4 1995","Currency=USD","Period=FQ","BEST_FPERIOD_OVERRIDE=FQ","FILING_STATUS=OR","SCALING_FORMAT=MLN","Sort=A","Dates=H","DateFormat=P","Fill=—","Direction=H","UseDPDF=Y")</f>
        <v>8470</v>
      </c>
      <c r="AA28" s="13">
        <f>_xll.BDH("XOM US Equity","BS_ACCT_PAYABLE","FQ1 1996","FQ1 1996","Currency=USD","Period=FQ","BEST_FPERIOD_OVERRIDE=FQ","FILING_STATUS=OR","SCALING_FORMAT=MLN","Sort=A","Dates=H","DateFormat=P","Fill=—","Direction=H","UseDPDF=Y")</f>
        <v>13756</v>
      </c>
      <c r="AB28" s="13">
        <f>_xll.BDH("XOM US Equity","BS_ACCT_PAYABLE","FQ2 1996","FQ2 1996","Currency=USD","Period=FQ","BEST_FPERIOD_OVERRIDE=FQ","FILING_STATUS=OR","SCALING_FORMAT=MLN","Sort=A","Dates=H","DateFormat=P","Fill=—","Direction=H","UseDPDF=Y")</f>
        <v>13329</v>
      </c>
      <c r="AC28" s="13">
        <f>_xll.BDH("XOM US Equity","BS_ACCT_PAYABLE","FQ3 1996","FQ3 1996","Currency=USD","Period=FQ","BEST_FPERIOD_OVERRIDE=FQ","FILING_STATUS=OR","SCALING_FORMAT=MLN","Sort=A","Dates=H","DateFormat=P","Fill=—","Direction=H","UseDPDF=Y")</f>
        <v>14273</v>
      </c>
      <c r="AD28" s="13">
        <f>_xll.BDH("XOM US Equity","BS_ACCT_PAYABLE","FQ4 1996","FQ4 1996","Currency=USD","Period=FQ","BEST_FPERIOD_OVERRIDE=FQ","FILING_STATUS=OR","SCALING_FORMAT=MLN","Sort=A","Dates=H","DateFormat=P","Fill=—","Direction=H","UseDPDF=Y")</f>
        <v>8343</v>
      </c>
      <c r="AE28" s="13">
        <f>_xll.BDH("XOM US Equity","BS_ACCT_PAYABLE","FQ1 1997","FQ1 1997","Currency=USD","Period=FQ","BEST_FPERIOD_OVERRIDE=FQ","FILING_STATUS=OR","SCALING_FORMAT=MLN","Sort=A","Dates=H","DateFormat=P","Fill=—","Direction=H","UseDPDF=Y")</f>
        <v>13860</v>
      </c>
      <c r="AF28" s="13">
        <f>_xll.BDH("XOM US Equity","BS_ACCT_PAYABLE","FQ2 1997","FQ2 1997","Currency=USD","Period=FQ","BEST_FPERIOD_OVERRIDE=FQ","FILING_STATUS=OR","SCALING_FORMAT=MLN","Sort=A","Dates=H","DateFormat=P","Fill=—","Direction=H","UseDPDF=Y")</f>
        <v>13691</v>
      </c>
      <c r="AG28" s="13">
        <f>_xll.BDH("XOM US Equity","BS_ACCT_PAYABLE","FQ3 1997","FQ3 1997","Currency=USD","Period=FQ","BEST_FPERIOD_OVERRIDE=FQ","FILING_STATUS=OR","SCALING_FORMAT=MLN","Sort=A","Dates=H","DateFormat=P","Fill=—","Direction=H","UseDPDF=Y")</f>
        <v>14966</v>
      </c>
      <c r="AH28" s="13">
        <f>_xll.BDH("XOM US Equity","BS_ACCT_PAYABLE","FQ4 1997","FQ4 1997","Currency=USD","Period=FQ","BEST_FPERIOD_OVERRIDE=FQ","FILING_STATUS=OR","SCALING_FORMAT=MLN","Sort=A","Dates=H","DateFormat=P","Fill=—","Direction=H","UseDPDF=Y")</f>
        <v>8246</v>
      </c>
      <c r="AI28" s="13">
        <f>_xll.BDH("XOM US Equity","BS_ACCT_PAYABLE","FQ1 1998","FQ1 1998","Currency=USD","Period=FQ","BEST_FPERIOD_OVERRIDE=FQ","FILING_STATUS=OR","SCALING_FORMAT=MLN","Sort=A","Dates=H","DateFormat=P","Fill=—","Direction=H","UseDPDF=Y")</f>
        <v>13573</v>
      </c>
      <c r="AJ28" s="13">
        <f>_xll.BDH("XOM US Equity","BS_ACCT_PAYABLE","FQ2 1998","FQ2 1998","Currency=USD","Period=FQ","BEST_FPERIOD_OVERRIDE=FQ","FILING_STATUS=OR","SCALING_FORMAT=MLN","Sort=A","Dates=H","DateFormat=P","Fill=—","Direction=H","UseDPDF=Y")</f>
        <v>13280</v>
      </c>
    </row>
    <row r="29" spans="1:36" x14ac:dyDescent="0.25">
      <c r="A29" s="10" t="s">
        <v>187</v>
      </c>
      <c r="B29" s="10" t="s">
        <v>188</v>
      </c>
      <c r="C29" s="13">
        <f>_xll.BDH("XOM US Equity","BS_ST_BORROW","FQ1 1990","FQ1 1990","Currency=USD","Period=FQ","BEST_FPERIOD_OVERRIDE=FQ","FILING_STATUS=OR","SCALING_FORMAT=MLN","Sort=A","Dates=H","DateFormat=P","Fill=—","Direction=H","UseDPDF=Y")</f>
        <v>6913</v>
      </c>
      <c r="D29" s="13">
        <f>_xll.BDH("XOM US Equity","BS_ST_BORROW","FQ2 1990","FQ2 1990","Currency=USD","Period=FQ","BEST_FPERIOD_OVERRIDE=FQ","FILING_STATUS=OR","SCALING_FORMAT=MLN","Sort=A","Dates=H","DateFormat=P","Fill=—","Direction=H","UseDPDF=Y")</f>
        <v>6596</v>
      </c>
      <c r="E29" s="13">
        <f>_xll.BDH("XOM US Equity","BS_ST_BORROW","FQ3 1990","FQ3 1990","Currency=USD","Period=FQ","BEST_FPERIOD_OVERRIDE=FQ","FILING_STATUS=OR","SCALING_FORMAT=MLN","Sort=A","Dates=H","DateFormat=P","Fill=—","Direction=H","UseDPDF=Y")</f>
        <v>7117</v>
      </c>
      <c r="F29" s="13">
        <f>_xll.BDH("XOM US Equity","BS_ST_BORROW","FQ4 1990","FQ4 1990","Currency=USD","Period=FQ","BEST_FPERIOD_OVERRIDE=FQ","FILING_STATUS=OR","SCALING_FORMAT=MLN","Sort=A","Dates=H","DateFormat=P","Fill=—","Direction=H","UseDPDF=Y")</f>
        <v>6090</v>
      </c>
      <c r="G29" s="13">
        <f>_xll.BDH("XOM US Equity","BS_ST_BORROW","FQ1 1991","FQ1 1991","Currency=USD","Period=FQ","BEST_FPERIOD_OVERRIDE=FQ","FILING_STATUS=OR","SCALING_FORMAT=MLN","Sort=A","Dates=H","DateFormat=P","Fill=—","Direction=H","UseDPDF=Y")</f>
        <v>4922</v>
      </c>
      <c r="H29" s="13">
        <f>_xll.BDH("XOM US Equity","BS_ST_BORROW","FQ2 1991","FQ2 1991","Currency=USD","Period=FQ","BEST_FPERIOD_OVERRIDE=FQ","FILING_STATUS=OR","SCALING_FORMAT=MLN","Sort=A","Dates=H","DateFormat=P","Fill=—","Direction=H","UseDPDF=Y")</f>
        <v>4176</v>
      </c>
      <c r="I29" s="13">
        <f>_xll.BDH("XOM US Equity","BS_ST_BORROW","FQ3 1991","FQ3 1991","Currency=USD","Period=FQ","BEST_FPERIOD_OVERRIDE=FQ","FILING_STATUS=OR","SCALING_FORMAT=MLN","Sort=A","Dates=H","DateFormat=P","Fill=—","Direction=H","UseDPDF=Y")</f>
        <v>4250</v>
      </c>
      <c r="J29" s="13">
        <f>_xll.BDH("XOM US Equity","BS_ST_BORROW","FQ4 1991","FQ4 1991","Currency=USD","Period=FQ","BEST_FPERIOD_OVERRIDE=FQ","FILING_STATUS=OR","SCALING_FORMAT=MLN","Sort=A","Dates=H","DateFormat=P","Fill=—","Direction=H","UseDPDF=Y")</f>
        <v>4460</v>
      </c>
      <c r="K29" s="13">
        <f>_xll.BDH("XOM US Equity","BS_ST_BORROW","FQ1 1992","FQ1 1992","Currency=USD","Period=FQ","BEST_FPERIOD_OVERRIDE=FQ","FILING_STATUS=OR","SCALING_FORMAT=MLN","Sort=A","Dates=H","DateFormat=P","Fill=—","Direction=H","UseDPDF=Y")</f>
        <v>4053</v>
      </c>
      <c r="L29" s="13">
        <f>_xll.BDH("XOM US Equity","BS_ST_BORROW","FQ2 1992","FQ2 1992","Currency=USD","Period=FQ","BEST_FPERIOD_OVERRIDE=FQ","FILING_STATUS=OR","SCALING_FORMAT=MLN","Sort=A","Dates=H","DateFormat=P","Fill=—","Direction=H","UseDPDF=Y")</f>
        <v>4798</v>
      </c>
      <c r="M29" s="13">
        <f>_xll.BDH("XOM US Equity","BS_ST_BORROW","FQ3 1992","FQ3 1992","Currency=USD","Period=FQ","BEST_FPERIOD_OVERRIDE=FQ","FILING_STATUS=OR","SCALING_FORMAT=MLN","Sort=A","Dates=H","DateFormat=P","Fill=—","Direction=H","UseDPDF=Y")</f>
        <v>4084</v>
      </c>
      <c r="N29" s="13">
        <f>_xll.BDH("XOM US Equity","BS_ST_BORROW","FQ4 1992","FQ4 1992","Currency=USD","Period=FQ","BEST_FPERIOD_OVERRIDE=FQ","FILING_STATUS=OR","SCALING_FORMAT=MLN","Sort=A","Dates=H","DateFormat=P","Fill=—","Direction=H","UseDPDF=Y")</f>
        <v>4787</v>
      </c>
      <c r="O29" s="13">
        <f>_xll.BDH("XOM US Equity","BS_ST_BORROW","FQ1 1993","FQ1 1993","Currency=USD","Period=FQ","BEST_FPERIOD_OVERRIDE=FQ","FILING_STATUS=OR","SCALING_FORMAT=MLN","Sort=A","Dates=H","DateFormat=P","Fill=—","Direction=H","UseDPDF=Y")</f>
        <v>4365</v>
      </c>
      <c r="P29" s="13">
        <f>_xll.BDH("XOM US Equity","BS_ST_BORROW","FQ2 1993","FQ2 1993","Currency=USD","Period=FQ","BEST_FPERIOD_OVERRIDE=FQ","FILING_STATUS=OR","SCALING_FORMAT=MLN","Sort=A","Dates=H","DateFormat=P","Fill=—","Direction=H","UseDPDF=Y")</f>
        <v>4905</v>
      </c>
      <c r="Q29" s="13">
        <f>_xll.BDH("XOM US Equity","BS_ST_BORROW","FQ3 1993","FQ3 1993","Currency=USD","Period=FQ","BEST_FPERIOD_OVERRIDE=FQ","FILING_STATUS=OR","SCALING_FORMAT=MLN","Sort=A","Dates=H","DateFormat=P","Fill=—","Direction=H","UseDPDF=Y")</f>
        <v>4385</v>
      </c>
      <c r="R29" s="13">
        <f>_xll.BDH("XOM US Equity","BS_ST_BORROW","FQ4 1993","FQ4 1993","Currency=USD","Period=FQ","BEST_FPERIOD_OVERRIDE=FQ","FILING_STATUS=OR","SCALING_FORMAT=MLN","Sort=A","Dates=H","DateFormat=P","Fill=—","Direction=H","UseDPDF=Y")</f>
        <v>4109</v>
      </c>
      <c r="S29" s="13">
        <f>_xll.BDH("XOM US Equity","BS_ST_BORROW","FQ1 1994","FQ1 1994","Currency=USD","Period=FQ","BEST_FPERIOD_OVERRIDE=FQ","FILING_STATUS=OR","SCALING_FORMAT=MLN","Sort=A","Dates=H","DateFormat=P","Fill=—","Direction=H","UseDPDF=Y")</f>
        <v>3863</v>
      </c>
      <c r="T29" s="13">
        <f>_xll.BDH("XOM US Equity","BS_ST_BORROW","FQ2 1994","FQ2 1994","Currency=USD","Period=FQ","BEST_FPERIOD_OVERRIDE=FQ","FILING_STATUS=OR","SCALING_FORMAT=MLN","Sort=A","Dates=H","DateFormat=P","Fill=—","Direction=H","UseDPDF=Y")</f>
        <v>4116</v>
      </c>
      <c r="U29" s="13">
        <f>_xll.BDH("XOM US Equity","BS_ST_BORROW","FQ3 1994","FQ3 1994","Currency=USD","Period=FQ","BEST_FPERIOD_OVERRIDE=FQ","FILING_STATUS=OR","SCALING_FORMAT=MLN","Sort=A","Dates=H","DateFormat=P","Fill=—","Direction=H","UseDPDF=Y")</f>
        <v>4195</v>
      </c>
      <c r="V29" s="13">
        <f>_xll.BDH("XOM US Equity","BS_ST_BORROW","FQ4 1994","FQ4 1994","Currency=USD","Period=FQ","BEST_FPERIOD_OVERRIDE=FQ","FILING_STATUS=OR","SCALING_FORMAT=MLN","Sort=A","Dates=H","DateFormat=P","Fill=—","Direction=H","UseDPDF=Y")</f>
        <v>3858</v>
      </c>
      <c r="W29" s="13">
        <f>_xll.BDH("XOM US Equity","BS_ST_BORROW","FQ1 1995","FQ1 1995","Currency=USD","Period=FQ","BEST_FPERIOD_OVERRIDE=FQ","FILING_STATUS=OR","SCALING_FORMAT=MLN","Sort=A","Dates=H","DateFormat=P","Fill=—","Direction=H","UseDPDF=Y")</f>
        <v>3581</v>
      </c>
      <c r="X29" s="13">
        <f>_xll.BDH("XOM US Equity","BS_ST_BORROW","FQ2 1995","FQ2 1995","Currency=USD","Period=FQ","BEST_FPERIOD_OVERRIDE=FQ","FILING_STATUS=OR","SCALING_FORMAT=MLN","Sort=A","Dates=H","DateFormat=P","Fill=—","Direction=H","UseDPDF=Y")</f>
        <v>3308</v>
      </c>
      <c r="Y29" s="13">
        <f>_xll.BDH("XOM US Equity","BS_ST_BORROW","FQ3 1995","FQ3 1995","Currency=USD","Period=FQ","BEST_FPERIOD_OVERRIDE=FQ","FILING_STATUS=OR","SCALING_FORMAT=MLN","Sort=A","Dates=H","DateFormat=P","Fill=—","Direction=H","UseDPDF=Y")</f>
        <v>2550</v>
      </c>
      <c r="Z29" s="13">
        <f>_xll.BDH("XOM US Equity","BS_ST_BORROW","FQ4 1995","FQ4 1995","Currency=USD","Period=FQ","BEST_FPERIOD_OVERRIDE=FQ","FILING_STATUS=OR","SCALING_FORMAT=MLN","Sort=A","Dates=H","DateFormat=P","Fill=—","Direction=H","UseDPDF=Y")</f>
        <v>2247</v>
      </c>
      <c r="AA29" s="13">
        <f>_xll.BDH("XOM US Equity","BS_ST_BORROW","FQ1 1996","FQ1 1996","Currency=USD","Period=FQ","BEST_FPERIOD_OVERRIDE=FQ","FILING_STATUS=OR","SCALING_FORMAT=MLN","Sort=A","Dates=H","DateFormat=P","Fill=—","Direction=H","UseDPDF=Y")</f>
        <v>2433</v>
      </c>
      <c r="AB29" s="13">
        <f>_xll.BDH("XOM US Equity","BS_ST_BORROW","FQ2 1996","FQ2 1996","Currency=USD","Period=FQ","BEST_FPERIOD_OVERRIDE=FQ","FILING_STATUS=OR","SCALING_FORMAT=MLN","Sort=A","Dates=H","DateFormat=P","Fill=—","Direction=H","UseDPDF=Y")</f>
        <v>2479</v>
      </c>
      <c r="AC29" s="13">
        <f>_xll.BDH("XOM US Equity","BS_ST_BORROW","FQ3 1996","FQ3 1996","Currency=USD","Period=FQ","BEST_FPERIOD_OVERRIDE=FQ","FILING_STATUS=OR","SCALING_FORMAT=MLN","Sort=A","Dates=H","DateFormat=P","Fill=—","Direction=H","UseDPDF=Y")</f>
        <v>2466</v>
      </c>
      <c r="AD29" s="13">
        <f>_xll.BDH("XOM US Equity","BS_ST_BORROW","FQ4 1996","FQ4 1996","Currency=USD","Period=FQ","BEST_FPERIOD_OVERRIDE=FQ","FILING_STATUS=OR","SCALING_FORMAT=MLN","Sort=A","Dates=H","DateFormat=P","Fill=—","Direction=H","UseDPDF=Y")</f>
        <v>2510</v>
      </c>
      <c r="AE29" s="13">
        <f>_xll.BDH("XOM US Equity","BS_ST_BORROW","FQ1 1997","FQ1 1997","Currency=USD","Period=FQ","BEST_FPERIOD_OVERRIDE=FQ","FILING_STATUS=OR","SCALING_FORMAT=MLN","Sort=A","Dates=H","DateFormat=P","Fill=—","Direction=H","UseDPDF=Y")</f>
        <v>2617</v>
      </c>
      <c r="AF29" s="13">
        <f>_xll.BDH("XOM US Equity","BS_ST_BORROW","FQ2 1997","FQ2 1997","Currency=USD","Period=FQ","BEST_FPERIOD_OVERRIDE=FQ","FILING_STATUS=OR","SCALING_FORMAT=MLN","Sort=A","Dates=H","DateFormat=P","Fill=—","Direction=H","UseDPDF=Y")</f>
        <v>2643</v>
      </c>
      <c r="AG29" s="13">
        <f>_xll.BDH("XOM US Equity","BS_ST_BORROW","FQ3 1997","FQ3 1997","Currency=USD","Period=FQ","BEST_FPERIOD_OVERRIDE=FQ","FILING_STATUS=OR","SCALING_FORMAT=MLN","Sort=A","Dates=H","DateFormat=P","Fill=—","Direction=H","UseDPDF=Y")</f>
        <v>2647</v>
      </c>
      <c r="AH29" s="13">
        <f>_xll.BDH("XOM US Equity","BS_ST_BORROW","FQ4 1997","FQ4 1997","Currency=USD","Period=FQ","BEST_FPERIOD_OVERRIDE=FQ","FILING_STATUS=OR","SCALING_FORMAT=MLN","Sort=A","Dates=H","DateFormat=P","Fill=—","Direction=H","UseDPDF=Y")</f>
        <v>2902</v>
      </c>
      <c r="AI29" s="13">
        <f>_xll.BDH("XOM US Equity","BS_ST_BORROW","FQ1 1998","FQ1 1998","Currency=USD","Period=FQ","BEST_FPERIOD_OVERRIDE=FQ","FILING_STATUS=OR","SCALING_FORMAT=MLN","Sort=A","Dates=H","DateFormat=P","Fill=—","Direction=H","UseDPDF=Y")</f>
        <v>2753</v>
      </c>
      <c r="AJ29" s="13">
        <f>_xll.BDH("XOM US Equity","BS_ST_BORROW","FQ2 1998","FQ2 1998","Currency=USD","Period=FQ","BEST_FPERIOD_OVERRIDE=FQ","FILING_STATUS=OR","SCALING_FORMAT=MLN","Sort=A","Dates=H","DateFormat=P","Fill=—","Direction=H","UseDPDF=Y")</f>
        <v>2557</v>
      </c>
    </row>
    <row r="30" spans="1:36" x14ac:dyDescent="0.25">
      <c r="A30" s="10" t="s">
        <v>189</v>
      </c>
      <c r="B30" s="10" t="s">
        <v>190</v>
      </c>
      <c r="C30" s="13">
        <f>_xll.BDH("XOM US Equity","OTHER_CURRENT_LIABS_SUB_DETAILED","FQ1 1990","FQ1 1990","Currency=USD","Period=FQ","BEST_FPERIOD_OVERRIDE=FQ","FILING_STATUS=OR","SCALING_FORMAT=MLN","Sort=A","Dates=H","DateFormat=P","Fill=—","Direction=H","UseDPDF=Y")</f>
        <v>1818</v>
      </c>
      <c r="D30" s="13">
        <f>_xll.BDH("XOM US Equity","OTHER_CURRENT_LIABS_SUB_DETAILED","FQ2 1990","FQ2 1990","Currency=USD","Period=FQ","BEST_FPERIOD_OVERRIDE=FQ","FILING_STATUS=OR","SCALING_FORMAT=MLN","Sort=A","Dates=H","DateFormat=P","Fill=—","Direction=H","UseDPDF=Y")</f>
        <v>1648</v>
      </c>
      <c r="E30" s="13">
        <f>_xll.BDH("XOM US Equity","OTHER_CURRENT_LIABS_SUB_DETAILED","FQ3 1990","FQ3 1990","Currency=USD","Period=FQ","BEST_FPERIOD_OVERRIDE=FQ","FILING_STATUS=OR","SCALING_FORMAT=MLN","Sort=A","Dates=H","DateFormat=P","Fill=—","Direction=H","UseDPDF=Y")</f>
        <v>2090</v>
      </c>
      <c r="F30" s="13">
        <f>_xll.BDH("XOM US Equity","OTHER_CURRENT_LIABS_SUB_DETAILED","FQ4 1990","FQ4 1990","Currency=USD","Period=FQ","BEST_FPERIOD_OVERRIDE=FQ","FILING_STATUS=OR","SCALING_FORMAT=MLN","Sort=A","Dates=H","DateFormat=P","Fill=—","Direction=H","UseDPDF=Y")</f>
        <v>8941</v>
      </c>
      <c r="G30" s="13">
        <f>_xll.BDH("XOM US Equity","OTHER_CURRENT_LIABS_SUB_DETAILED","FQ1 1991","FQ1 1991","Currency=USD","Period=FQ","BEST_FPERIOD_OVERRIDE=FQ","FILING_STATUS=OR","SCALING_FORMAT=MLN","Sort=A","Dates=H","DateFormat=P","Fill=—","Direction=H","UseDPDF=Y")</f>
        <v>2022</v>
      </c>
      <c r="H30" s="13">
        <f>_xll.BDH("XOM US Equity","OTHER_CURRENT_LIABS_SUB_DETAILED","FQ2 1991","FQ2 1991","Currency=USD","Period=FQ","BEST_FPERIOD_OVERRIDE=FQ","FILING_STATUS=OR","SCALING_FORMAT=MLN","Sort=A","Dates=H","DateFormat=P","Fill=—","Direction=H","UseDPDF=Y")</f>
        <v>1727</v>
      </c>
      <c r="I30" s="13">
        <f>_xll.BDH("XOM US Equity","OTHER_CURRENT_LIABS_SUB_DETAILED","FQ3 1991","FQ3 1991","Currency=USD","Period=FQ","BEST_FPERIOD_OVERRIDE=FQ","FILING_STATUS=OR","SCALING_FORMAT=MLN","Sort=A","Dates=H","DateFormat=P","Fill=—","Direction=H","UseDPDF=Y")</f>
        <v>2037</v>
      </c>
      <c r="J30" s="13">
        <f>_xll.BDH("XOM US Equity","OTHER_CURRENT_LIABS_SUB_DETAILED","FQ4 1991","FQ4 1991","Currency=USD","Period=FQ","BEST_FPERIOD_OVERRIDE=FQ","FILING_STATUS=OR","SCALING_FORMAT=MLN","Sort=A","Dates=H","DateFormat=P","Fill=—","Direction=H","UseDPDF=Y")</f>
        <v>8620</v>
      </c>
      <c r="K30" s="13">
        <f>_xll.BDH("XOM US Equity","OTHER_CURRENT_LIABS_SUB_DETAILED","FQ1 1992","FQ1 1992","Currency=USD","Period=FQ","BEST_FPERIOD_OVERRIDE=FQ","FILING_STATUS=OR","SCALING_FORMAT=MLN","Sort=A","Dates=H","DateFormat=P","Fill=—","Direction=H","UseDPDF=Y")</f>
        <v>2205</v>
      </c>
      <c r="L30" s="13">
        <f>_xll.BDH("XOM US Equity","OTHER_CURRENT_LIABS_SUB_DETAILED","FQ2 1992","FQ2 1992","Currency=USD","Period=FQ","BEST_FPERIOD_OVERRIDE=FQ","FILING_STATUS=OR","SCALING_FORMAT=MLN","Sort=A","Dates=H","DateFormat=P","Fill=—","Direction=H","UseDPDF=Y")</f>
        <v>1918</v>
      </c>
      <c r="M30" s="13">
        <f>_xll.BDH("XOM US Equity","OTHER_CURRENT_LIABS_SUB_DETAILED","FQ3 1992","FQ3 1992","Currency=USD","Period=FQ","BEST_FPERIOD_OVERRIDE=FQ","FILING_STATUS=OR","SCALING_FORMAT=MLN","Sort=A","Dates=H","DateFormat=P","Fill=—","Direction=H","UseDPDF=Y")</f>
        <v>2086</v>
      </c>
      <c r="N30" s="13">
        <f>_xll.BDH("XOM US Equity","OTHER_CURRENT_LIABS_SUB_DETAILED","FQ4 1992","FQ4 1992","Currency=USD","Period=FQ","BEST_FPERIOD_OVERRIDE=FQ","FILING_STATUS=OR","SCALING_FORMAT=MLN","Sort=A","Dates=H","DateFormat=P","Fill=—","Direction=H","UseDPDF=Y")</f>
        <v>7776</v>
      </c>
      <c r="O30" s="13">
        <f>_xll.BDH("XOM US Equity","OTHER_CURRENT_LIABS_SUB_DETAILED","FQ1 1993","FQ1 1993","Currency=USD","Period=FQ","BEST_FPERIOD_OVERRIDE=FQ","FILING_STATUS=OR","SCALING_FORMAT=MLN","Sort=A","Dates=H","DateFormat=P","Fill=—","Direction=H","UseDPDF=Y")</f>
        <v>2362</v>
      </c>
      <c r="P30" s="13">
        <f>_xll.BDH("XOM US Equity","OTHER_CURRENT_LIABS_SUB_DETAILED","FQ2 1993","FQ2 1993","Currency=USD","Period=FQ","BEST_FPERIOD_OVERRIDE=FQ","FILING_STATUS=OR","SCALING_FORMAT=MLN","Sort=A","Dates=H","DateFormat=P","Fill=—","Direction=H","UseDPDF=Y")</f>
        <v>2027</v>
      </c>
      <c r="Q30" s="13">
        <f>_xll.BDH("XOM US Equity","OTHER_CURRENT_LIABS_SUB_DETAILED","FQ3 1993","FQ3 1993","Currency=USD","Period=FQ","BEST_FPERIOD_OVERRIDE=FQ","FILING_STATUS=OR","SCALING_FORMAT=MLN","Sort=A","Dates=H","DateFormat=P","Fill=—","Direction=H","UseDPDF=Y")</f>
        <v>2451</v>
      </c>
      <c r="R30" s="13">
        <f>_xll.BDH("XOM US Equity","OTHER_CURRENT_LIABS_SUB_DETAILED","FQ4 1993","FQ4 1993","Currency=USD","Period=FQ","BEST_FPERIOD_OVERRIDE=FQ","FILING_STATUS=OR","SCALING_FORMAT=MLN","Sort=A","Dates=H","DateFormat=P","Fill=—","Direction=H","UseDPDF=Y")</f>
        <v>7571</v>
      </c>
      <c r="S30" s="13">
        <f>_xll.BDH("XOM US Equity","OTHER_CURRENT_LIABS_SUB_DETAILED","FQ1 1994","FQ1 1994","Currency=USD","Period=FQ","BEST_FPERIOD_OVERRIDE=FQ","FILING_STATUS=OR","SCALING_FORMAT=MLN","Sort=A","Dates=H","DateFormat=P","Fill=—","Direction=H","UseDPDF=Y")</f>
        <v>2225</v>
      </c>
      <c r="T30" s="13">
        <f>_xll.BDH("XOM US Equity","OTHER_CURRENT_LIABS_SUB_DETAILED","FQ2 1994","FQ2 1994","Currency=USD","Period=FQ","BEST_FPERIOD_OVERRIDE=FQ","FILING_STATUS=OR","SCALING_FORMAT=MLN","Sort=A","Dates=H","DateFormat=P","Fill=—","Direction=H","UseDPDF=Y")</f>
        <v>2044</v>
      </c>
      <c r="U30" s="13">
        <f>_xll.BDH("XOM US Equity","OTHER_CURRENT_LIABS_SUB_DETAILED","FQ3 1994","FQ3 1994","Currency=USD","Period=FQ","BEST_FPERIOD_OVERRIDE=FQ","FILING_STATUS=OR","SCALING_FORMAT=MLN","Sort=A","Dates=H","DateFormat=P","Fill=—","Direction=H","UseDPDF=Y")</f>
        <v>2226</v>
      </c>
      <c r="V30" s="13">
        <f>_xll.BDH("XOM US Equity","OTHER_CURRENT_LIABS_SUB_DETAILED","FQ4 1994","FQ4 1994","Currency=USD","Period=FQ","BEST_FPERIOD_OVERRIDE=FQ","FILING_STATUS=OR","SCALING_FORMAT=MLN","Sort=A","Dates=H","DateFormat=P","Fill=—","Direction=H","UseDPDF=Y")</f>
        <v>8169</v>
      </c>
      <c r="W30" s="13">
        <f>_xll.BDH("XOM US Equity","OTHER_CURRENT_LIABS_SUB_DETAILED","FQ1 1995","FQ1 1995","Currency=USD","Period=FQ","BEST_FPERIOD_OVERRIDE=FQ","FILING_STATUS=OR","SCALING_FORMAT=MLN","Sort=A","Dates=H","DateFormat=P","Fill=—","Direction=H","UseDPDF=Y")</f>
        <v>2459</v>
      </c>
      <c r="X30" s="13">
        <f>_xll.BDH("XOM US Equity","OTHER_CURRENT_LIABS_SUB_DETAILED","FQ2 1995","FQ2 1995","Currency=USD","Period=FQ","BEST_FPERIOD_OVERRIDE=FQ","FILING_STATUS=OR","SCALING_FORMAT=MLN","Sort=A","Dates=H","DateFormat=P","Fill=—","Direction=H","UseDPDF=Y")</f>
        <v>2403</v>
      </c>
      <c r="Y30" s="13">
        <f>_xll.BDH("XOM US Equity","OTHER_CURRENT_LIABS_SUB_DETAILED","FQ3 1995","FQ3 1995","Currency=USD","Period=FQ","BEST_FPERIOD_OVERRIDE=FQ","FILING_STATUS=OR","SCALING_FORMAT=MLN","Sort=A","Dates=H","DateFormat=P","Fill=—","Direction=H","UseDPDF=Y")</f>
        <v>2477</v>
      </c>
      <c r="Z30" s="13">
        <f>_xll.BDH("XOM US Equity","OTHER_CURRENT_LIABS_SUB_DETAILED","FQ4 1995","FQ4 1995","Currency=USD","Period=FQ","BEST_FPERIOD_OVERRIDE=FQ","FILING_STATUS=OR","SCALING_FORMAT=MLN","Sort=A","Dates=H","DateFormat=P","Fill=—","Direction=H","UseDPDF=Y")</f>
        <v>8019</v>
      </c>
      <c r="AA30" s="13">
        <f>_xll.BDH("XOM US Equity","OTHER_CURRENT_LIABS_SUB_DETAILED","FQ1 1996","FQ1 1996","Currency=USD","Period=FQ","BEST_FPERIOD_OVERRIDE=FQ","FILING_STATUS=OR","SCALING_FORMAT=MLN","Sort=A","Dates=H","DateFormat=P","Fill=—","Direction=H","UseDPDF=Y")</f>
        <v>3012</v>
      </c>
      <c r="AB30" s="13">
        <f>_xll.BDH("XOM US Equity","OTHER_CURRENT_LIABS_SUB_DETAILED","FQ2 1996","FQ2 1996","Currency=USD","Period=FQ","BEST_FPERIOD_OVERRIDE=FQ","FILING_STATUS=OR","SCALING_FORMAT=MLN","Sort=A","Dates=H","DateFormat=P","Fill=—","Direction=H","UseDPDF=Y")</f>
        <v>2859</v>
      </c>
      <c r="AC30" s="13">
        <f>_xll.BDH("XOM US Equity","OTHER_CURRENT_LIABS_SUB_DETAILED","FQ3 1996","FQ3 1996","Currency=USD","Period=FQ","BEST_FPERIOD_OVERRIDE=FQ","FILING_STATUS=OR","SCALING_FORMAT=MLN","Sort=A","Dates=H","DateFormat=P","Fill=—","Direction=H","UseDPDF=Y")</f>
        <v>2959</v>
      </c>
      <c r="AD30" s="13">
        <f>_xll.BDH("XOM US Equity","OTHER_CURRENT_LIABS_SUB_DETAILED","FQ4 1996","FQ4 1996","Currency=USD","Period=FQ","BEST_FPERIOD_OVERRIDE=FQ","FILING_STATUS=OR","SCALING_FORMAT=MLN","Sort=A","Dates=H","DateFormat=P","Fill=—","Direction=H","UseDPDF=Y")</f>
        <v>8652</v>
      </c>
      <c r="AE30" s="13">
        <f>_xll.BDH("XOM US Equity","OTHER_CURRENT_LIABS_SUB_DETAILED","FQ1 1997","FQ1 1997","Currency=USD","Period=FQ","BEST_FPERIOD_OVERRIDE=FQ","FILING_STATUS=OR","SCALING_FORMAT=MLN","Sort=A","Dates=H","DateFormat=P","Fill=—","Direction=H","UseDPDF=Y")</f>
        <v>2652</v>
      </c>
      <c r="AF30" s="13">
        <f>_xll.BDH("XOM US Equity","OTHER_CURRENT_LIABS_SUB_DETAILED","FQ2 1997","FQ2 1997","Currency=USD","Period=FQ","BEST_FPERIOD_OVERRIDE=FQ","FILING_STATUS=OR","SCALING_FORMAT=MLN","Sort=A","Dates=H","DateFormat=P","Fill=—","Direction=H","UseDPDF=Y")</f>
        <v>2398</v>
      </c>
      <c r="AG30" s="13">
        <f>_xll.BDH("XOM US Equity","OTHER_CURRENT_LIABS_SUB_DETAILED","FQ3 1997","FQ3 1997","Currency=USD","Period=FQ","BEST_FPERIOD_OVERRIDE=FQ","FILING_STATUS=OR","SCALING_FORMAT=MLN","Sort=A","Dates=H","DateFormat=P","Fill=—","Direction=H","UseDPDF=Y")</f>
        <v>2637</v>
      </c>
      <c r="AH30" s="13">
        <f>_xll.BDH("XOM US Equity","OTHER_CURRENT_LIABS_SUB_DETAILED","FQ4 1997","FQ4 1997","Currency=USD","Period=FQ","BEST_FPERIOD_OVERRIDE=FQ","FILING_STATUS=OR","SCALING_FORMAT=MLN","Sort=A","Dates=H","DateFormat=P","Fill=—","Direction=H","UseDPDF=Y")</f>
        <v>8506</v>
      </c>
      <c r="AI30" s="13">
        <f>_xll.BDH("XOM US Equity","OTHER_CURRENT_LIABS_SUB_DETAILED","FQ1 1998","FQ1 1998","Currency=USD","Period=FQ","BEST_FPERIOD_OVERRIDE=FQ","FILING_STATUS=OR","SCALING_FORMAT=MLN","Sort=A","Dates=H","DateFormat=P","Fill=—","Direction=H","UseDPDF=Y")</f>
        <v>2250</v>
      </c>
      <c r="AJ30" s="13">
        <f>_xll.BDH("XOM US Equity","OTHER_CURRENT_LIABS_SUB_DETAILED","FQ2 1998","FQ2 1998","Currency=USD","Period=FQ","BEST_FPERIOD_OVERRIDE=FQ","FILING_STATUS=OR","SCALING_FORMAT=MLN","Sort=A","Dates=H","DateFormat=P","Fill=—","Direction=H","UseDPDF=Y")</f>
        <v>1695</v>
      </c>
    </row>
    <row r="31" spans="1:36" x14ac:dyDescent="0.25">
      <c r="A31" s="10" t="s">
        <v>191</v>
      </c>
      <c r="B31" s="10" t="s">
        <v>192</v>
      </c>
      <c r="C31" s="13">
        <f>_xll.BDH("XOM US Equity","OTHER_CURRENT_LIABS_DETAILED","FQ1 1990","FQ1 1990","Currency=USD","Period=FQ","BEST_FPERIOD_OVERRIDE=FQ","FILING_STATUS=OR","SCALING_FORMAT=MLN","Sort=A","Dates=H","DateFormat=P","Fill=—","Direction=H","UseDPDF=Y")</f>
        <v>1818</v>
      </c>
      <c r="D31" s="13">
        <f>_xll.BDH("XOM US Equity","OTHER_CURRENT_LIABS_DETAILED","FQ2 1990","FQ2 1990","Currency=USD","Period=FQ","BEST_FPERIOD_OVERRIDE=FQ","FILING_STATUS=OR","SCALING_FORMAT=MLN","Sort=A","Dates=H","DateFormat=P","Fill=—","Direction=H","UseDPDF=Y")</f>
        <v>1648</v>
      </c>
      <c r="E31" s="13">
        <f>_xll.BDH("XOM US Equity","OTHER_CURRENT_LIABS_DETAILED","FQ3 1990","FQ3 1990","Currency=USD","Period=FQ","BEST_FPERIOD_OVERRIDE=FQ","FILING_STATUS=OR","SCALING_FORMAT=MLN","Sort=A","Dates=H","DateFormat=P","Fill=—","Direction=H","UseDPDF=Y")</f>
        <v>2090</v>
      </c>
      <c r="F31" s="13">
        <f>_xll.BDH("XOM US Equity","OTHER_CURRENT_LIABS_DETAILED","FQ4 1990","FQ4 1990","Currency=USD","Period=FQ","BEST_FPERIOD_OVERRIDE=FQ","FILING_STATUS=OR","SCALING_FORMAT=MLN","Sort=A","Dates=H","DateFormat=P","Fill=—","Direction=H","UseDPDF=Y")</f>
        <v>8941</v>
      </c>
      <c r="G31" s="13">
        <f>_xll.BDH("XOM US Equity","OTHER_CURRENT_LIABS_DETAILED","FQ1 1991","FQ1 1991","Currency=USD","Period=FQ","BEST_FPERIOD_OVERRIDE=FQ","FILING_STATUS=OR","SCALING_FORMAT=MLN","Sort=A","Dates=H","DateFormat=P","Fill=—","Direction=H","UseDPDF=Y")</f>
        <v>2022</v>
      </c>
      <c r="H31" s="13">
        <f>_xll.BDH("XOM US Equity","OTHER_CURRENT_LIABS_DETAILED","FQ2 1991","FQ2 1991","Currency=USD","Period=FQ","BEST_FPERIOD_OVERRIDE=FQ","FILING_STATUS=OR","SCALING_FORMAT=MLN","Sort=A","Dates=H","DateFormat=P","Fill=—","Direction=H","UseDPDF=Y")</f>
        <v>1727</v>
      </c>
      <c r="I31" s="13">
        <f>_xll.BDH("XOM US Equity","OTHER_CURRENT_LIABS_DETAILED","FQ3 1991","FQ3 1991","Currency=USD","Period=FQ","BEST_FPERIOD_OVERRIDE=FQ","FILING_STATUS=OR","SCALING_FORMAT=MLN","Sort=A","Dates=H","DateFormat=P","Fill=—","Direction=H","UseDPDF=Y")</f>
        <v>2037</v>
      </c>
      <c r="J31" s="13">
        <f>_xll.BDH("XOM US Equity","OTHER_CURRENT_LIABS_DETAILED","FQ4 1991","FQ4 1991","Currency=USD","Period=FQ","BEST_FPERIOD_OVERRIDE=FQ","FILING_STATUS=OR","SCALING_FORMAT=MLN","Sort=A","Dates=H","DateFormat=P","Fill=—","Direction=H","UseDPDF=Y")</f>
        <v>8620</v>
      </c>
      <c r="K31" s="13">
        <f>_xll.BDH("XOM US Equity","OTHER_CURRENT_LIABS_DETAILED","FQ1 1992","FQ1 1992","Currency=USD","Period=FQ","BEST_FPERIOD_OVERRIDE=FQ","FILING_STATUS=OR","SCALING_FORMAT=MLN","Sort=A","Dates=H","DateFormat=P","Fill=—","Direction=H","UseDPDF=Y")</f>
        <v>2205</v>
      </c>
      <c r="L31" s="13">
        <f>_xll.BDH("XOM US Equity","OTHER_CURRENT_LIABS_DETAILED","FQ2 1992","FQ2 1992","Currency=USD","Period=FQ","BEST_FPERIOD_OVERRIDE=FQ","FILING_STATUS=OR","SCALING_FORMAT=MLN","Sort=A","Dates=H","DateFormat=P","Fill=—","Direction=H","UseDPDF=Y")</f>
        <v>1918</v>
      </c>
      <c r="M31" s="13">
        <f>_xll.BDH("XOM US Equity","OTHER_CURRENT_LIABS_DETAILED","FQ3 1992","FQ3 1992","Currency=USD","Period=FQ","BEST_FPERIOD_OVERRIDE=FQ","FILING_STATUS=OR","SCALING_FORMAT=MLN","Sort=A","Dates=H","DateFormat=P","Fill=—","Direction=H","UseDPDF=Y")</f>
        <v>2086</v>
      </c>
      <c r="N31" s="13">
        <f>_xll.BDH("XOM US Equity","OTHER_CURRENT_LIABS_DETAILED","FQ4 1992","FQ4 1992","Currency=USD","Period=FQ","BEST_FPERIOD_OVERRIDE=FQ","FILING_STATUS=OR","SCALING_FORMAT=MLN","Sort=A","Dates=H","DateFormat=P","Fill=—","Direction=H","UseDPDF=Y")</f>
        <v>7776</v>
      </c>
      <c r="O31" s="13">
        <f>_xll.BDH("XOM US Equity","OTHER_CURRENT_LIABS_DETAILED","FQ1 1993","FQ1 1993","Currency=USD","Period=FQ","BEST_FPERIOD_OVERRIDE=FQ","FILING_STATUS=OR","SCALING_FORMAT=MLN","Sort=A","Dates=H","DateFormat=P","Fill=—","Direction=H","UseDPDF=Y")</f>
        <v>2362</v>
      </c>
      <c r="P31" s="13">
        <f>_xll.BDH("XOM US Equity","OTHER_CURRENT_LIABS_DETAILED","FQ2 1993","FQ2 1993","Currency=USD","Period=FQ","BEST_FPERIOD_OVERRIDE=FQ","FILING_STATUS=OR","SCALING_FORMAT=MLN","Sort=A","Dates=H","DateFormat=P","Fill=—","Direction=H","UseDPDF=Y")</f>
        <v>2027</v>
      </c>
      <c r="Q31" s="13">
        <f>_xll.BDH("XOM US Equity","OTHER_CURRENT_LIABS_DETAILED","FQ3 1993","FQ3 1993","Currency=USD","Period=FQ","BEST_FPERIOD_OVERRIDE=FQ","FILING_STATUS=OR","SCALING_FORMAT=MLN","Sort=A","Dates=H","DateFormat=P","Fill=—","Direction=H","UseDPDF=Y")</f>
        <v>2451</v>
      </c>
      <c r="R31" s="13">
        <f>_xll.BDH("XOM US Equity","OTHER_CURRENT_LIABS_DETAILED","FQ4 1993","FQ4 1993","Currency=USD","Period=FQ","BEST_FPERIOD_OVERRIDE=FQ","FILING_STATUS=OR","SCALING_FORMAT=MLN","Sort=A","Dates=H","DateFormat=P","Fill=—","Direction=H","UseDPDF=Y")</f>
        <v>7571</v>
      </c>
      <c r="S31" s="13">
        <f>_xll.BDH("XOM US Equity","OTHER_CURRENT_LIABS_DETAILED","FQ1 1994","FQ1 1994","Currency=USD","Period=FQ","BEST_FPERIOD_OVERRIDE=FQ","FILING_STATUS=OR","SCALING_FORMAT=MLN","Sort=A","Dates=H","DateFormat=P","Fill=—","Direction=H","UseDPDF=Y")</f>
        <v>2225</v>
      </c>
      <c r="T31" s="13">
        <f>_xll.BDH("XOM US Equity","OTHER_CURRENT_LIABS_DETAILED","FQ2 1994","FQ2 1994","Currency=USD","Period=FQ","BEST_FPERIOD_OVERRIDE=FQ","FILING_STATUS=OR","SCALING_FORMAT=MLN","Sort=A","Dates=H","DateFormat=P","Fill=—","Direction=H","UseDPDF=Y")</f>
        <v>2044</v>
      </c>
      <c r="U31" s="13">
        <f>_xll.BDH("XOM US Equity","OTHER_CURRENT_LIABS_DETAILED","FQ3 1994","FQ3 1994","Currency=USD","Period=FQ","BEST_FPERIOD_OVERRIDE=FQ","FILING_STATUS=OR","SCALING_FORMAT=MLN","Sort=A","Dates=H","DateFormat=P","Fill=—","Direction=H","UseDPDF=Y")</f>
        <v>2226</v>
      </c>
      <c r="V31" s="13">
        <f>_xll.BDH("XOM US Equity","OTHER_CURRENT_LIABS_DETAILED","FQ4 1994","FQ4 1994","Currency=USD","Period=FQ","BEST_FPERIOD_OVERRIDE=FQ","FILING_STATUS=OR","SCALING_FORMAT=MLN","Sort=A","Dates=H","DateFormat=P","Fill=—","Direction=H","UseDPDF=Y")</f>
        <v>8169</v>
      </c>
      <c r="W31" s="13">
        <f>_xll.BDH("XOM US Equity","OTHER_CURRENT_LIABS_DETAILED","FQ1 1995","FQ1 1995","Currency=USD","Period=FQ","BEST_FPERIOD_OVERRIDE=FQ","FILING_STATUS=OR","SCALING_FORMAT=MLN","Sort=A","Dates=H","DateFormat=P","Fill=—","Direction=H","UseDPDF=Y")</f>
        <v>2459</v>
      </c>
      <c r="X31" s="13">
        <f>_xll.BDH("XOM US Equity","OTHER_CURRENT_LIABS_DETAILED","FQ2 1995","FQ2 1995","Currency=USD","Period=FQ","BEST_FPERIOD_OVERRIDE=FQ","FILING_STATUS=OR","SCALING_FORMAT=MLN","Sort=A","Dates=H","DateFormat=P","Fill=—","Direction=H","UseDPDF=Y")</f>
        <v>2403</v>
      </c>
      <c r="Y31" s="13">
        <f>_xll.BDH("XOM US Equity","OTHER_CURRENT_LIABS_DETAILED","FQ3 1995","FQ3 1995","Currency=USD","Period=FQ","BEST_FPERIOD_OVERRIDE=FQ","FILING_STATUS=OR","SCALING_FORMAT=MLN","Sort=A","Dates=H","DateFormat=P","Fill=—","Direction=H","UseDPDF=Y")</f>
        <v>2477</v>
      </c>
      <c r="Z31" s="13">
        <f>_xll.BDH("XOM US Equity","OTHER_CURRENT_LIABS_DETAILED","FQ4 1995","FQ4 1995","Currency=USD","Period=FQ","BEST_FPERIOD_OVERRIDE=FQ","FILING_STATUS=OR","SCALING_FORMAT=MLN","Sort=A","Dates=H","DateFormat=P","Fill=—","Direction=H","UseDPDF=Y")</f>
        <v>8019</v>
      </c>
      <c r="AA31" s="13">
        <f>_xll.BDH("XOM US Equity","OTHER_CURRENT_LIABS_DETAILED","FQ1 1996","FQ1 1996","Currency=USD","Period=FQ","BEST_FPERIOD_OVERRIDE=FQ","FILING_STATUS=OR","SCALING_FORMAT=MLN","Sort=A","Dates=H","DateFormat=P","Fill=—","Direction=H","UseDPDF=Y")</f>
        <v>3012</v>
      </c>
      <c r="AB31" s="13">
        <f>_xll.BDH("XOM US Equity","OTHER_CURRENT_LIABS_DETAILED","FQ2 1996","FQ2 1996","Currency=USD","Period=FQ","BEST_FPERIOD_OVERRIDE=FQ","FILING_STATUS=OR","SCALING_FORMAT=MLN","Sort=A","Dates=H","DateFormat=P","Fill=—","Direction=H","UseDPDF=Y")</f>
        <v>2859</v>
      </c>
      <c r="AC31" s="13">
        <f>_xll.BDH("XOM US Equity","OTHER_CURRENT_LIABS_DETAILED","FQ3 1996","FQ3 1996","Currency=USD","Period=FQ","BEST_FPERIOD_OVERRIDE=FQ","FILING_STATUS=OR","SCALING_FORMAT=MLN","Sort=A","Dates=H","DateFormat=P","Fill=—","Direction=H","UseDPDF=Y")</f>
        <v>2959</v>
      </c>
      <c r="AD31" s="13">
        <f>_xll.BDH("XOM US Equity","OTHER_CURRENT_LIABS_DETAILED","FQ4 1996","FQ4 1996","Currency=USD","Period=FQ","BEST_FPERIOD_OVERRIDE=FQ","FILING_STATUS=OR","SCALING_FORMAT=MLN","Sort=A","Dates=H","DateFormat=P","Fill=—","Direction=H","UseDPDF=Y")</f>
        <v>8652</v>
      </c>
      <c r="AE31" s="13">
        <f>_xll.BDH("XOM US Equity","OTHER_CURRENT_LIABS_DETAILED","FQ1 1997","FQ1 1997","Currency=USD","Period=FQ","BEST_FPERIOD_OVERRIDE=FQ","FILING_STATUS=OR","SCALING_FORMAT=MLN","Sort=A","Dates=H","DateFormat=P","Fill=—","Direction=H","UseDPDF=Y")</f>
        <v>2652</v>
      </c>
      <c r="AF31" s="13">
        <f>_xll.BDH("XOM US Equity","OTHER_CURRENT_LIABS_DETAILED","FQ2 1997","FQ2 1997","Currency=USD","Period=FQ","BEST_FPERIOD_OVERRIDE=FQ","FILING_STATUS=OR","SCALING_FORMAT=MLN","Sort=A","Dates=H","DateFormat=P","Fill=—","Direction=H","UseDPDF=Y")</f>
        <v>2398</v>
      </c>
      <c r="AG31" s="13">
        <f>_xll.BDH("XOM US Equity","OTHER_CURRENT_LIABS_DETAILED","FQ3 1997","FQ3 1997","Currency=USD","Period=FQ","BEST_FPERIOD_OVERRIDE=FQ","FILING_STATUS=OR","SCALING_FORMAT=MLN","Sort=A","Dates=H","DateFormat=P","Fill=—","Direction=H","UseDPDF=Y")</f>
        <v>2637</v>
      </c>
      <c r="AH31" s="13">
        <f>_xll.BDH("XOM US Equity","OTHER_CURRENT_LIABS_DETAILED","FQ4 1997","FQ4 1997","Currency=USD","Period=FQ","BEST_FPERIOD_OVERRIDE=FQ","FILING_STATUS=OR","SCALING_FORMAT=MLN","Sort=A","Dates=H","DateFormat=P","Fill=—","Direction=H","UseDPDF=Y")</f>
        <v>8506</v>
      </c>
      <c r="AI31" s="13">
        <f>_xll.BDH("XOM US Equity","OTHER_CURRENT_LIABS_DETAILED","FQ1 1998","FQ1 1998","Currency=USD","Period=FQ","BEST_FPERIOD_OVERRIDE=FQ","FILING_STATUS=OR","SCALING_FORMAT=MLN","Sort=A","Dates=H","DateFormat=P","Fill=—","Direction=H","UseDPDF=Y")</f>
        <v>2250</v>
      </c>
      <c r="AJ31" s="13">
        <f>_xll.BDH("XOM US Equity","OTHER_CURRENT_LIABS_DETAILED","FQ2 1998","FQ2 1998","Currency=USD","Period=FQ","BEST_FPERIOD_OVERRIDE=FQ","FILING_STATUS=OR","SCALING_FORMAT=MLN","Sort=A","Dates=H","DateFormat=P","Fill=—","Direction=H","UseDPDF=Y")</f>
        <v>1695</v>
      </c>
    </row>
    <row r="32" spans="1:36" x14ac:dyDescent="0.25">
      <c r="A32" s="6" t="s">
        <v>193</v>
      </c>
      <c r="B32" s="6" t="s">
        <v>194</v>
      </c>
      <c r="C32" s="16">
        <f>_xll.BDH("XOM US Equity","BS_CUR_LIAB","FQ1 1990","FQ1 1990","Currency=USD","Period=FQ","BEST_FPERIOD_OVERRIDE=FQ","FILING_STATUS=OR","SCALING_FORMAT=MLN","Sort=A","Dates=H","DateFormat=P","Fill=—","Direction=H","UseDPDF=Y")</f>
        <v>20994</v>
      </c>
      <c r="D32" s="16">
        <f>_xll.BDH("XOM US Equity","BS_CUR_LIAB","FQ2 1990","FQ2 1990","Currency=USD","Period=FQ","BEST_FPERIOD_OVERRIDE=FQ","FILING_STATUS=OR","SCALING_FORMAT=MLN","Sort=A","Dates=H","DateFormat=P","Fill=—","Direction=H","UseDPDF=Y")</f>
        <v>20726</v>
      </c>
      <c r="E32" s="16">
        <f>_xll.BDH("XOM US Equity","BS_CUR_LIAB","FQ3 1990","FQ3 1990","Currency=USD","Period=FQ","BEST_FPERIOD_OVERRIDE=FQ","FILING_STATUS=OR","SCALING_FORMAT=MLN","Sort=A","Dates=H","DateFormat=P","Fill=—","Direction=H","UseDPDF=Y")</f>
        <v>23290</v>
      </c>
      <c r="F32" s="16">
        <f>_xll.BDH("XOM US Equity","BS_CUR_LIAB","FQ4 1990","FQ4 1990","Currency=USD","Period=FQ","BEST_FPERIOD_OVERRIDE=FQ","FILING_STATUS=OR","SCALING_FORMAT=MLN","Sort=A","Dates=H","DateFormat=P","Fill=—","Direction=H","UseDPDF=Y")</f>
        <v>24025</v>
      </c>
      <c r="G32" s="16">
        <f>_xll.BDH("XOM US Equity","BS_CUR_LIAB","FQ1 1991","FQ1 1991","Currency=USD","Period=FQ","BEST_FPERIOD_OVERRIDE=FQ","FILING_STATUS=OR","SCALING_FORMAT=MLN","Sort=A","Dates=H","DateFormat=P","Fill=—","Direction=H","UseDPDF=Y")</f>
        <v>19991</v>
      </c>
      <c r="H32" s="16">
        <f>_xll.BDH("XOM US Equity","BS_CUR_LIAB","FQ2 1991","FQ2 1991","Currency=USD","Period=FQ","BEST_FPERIOD_OVERRIDE=FQ","FILING_STATUS=OR","SCALING_FORMAT=MLN","Sort=A","Dates=H","DateFormat=P","Fill=—","Direction=H","UseDPDF=Y")</f>
        <v>18463</v>
      </c>
      <c r="I32" s="16">
        <f>_xll.BDH("XOM US Equity","BS_CUR_LIAB","FQ3 1991","FQ3 1991","Currency=USD","Period=FQ","BEST_FPERIOD_OVERRIDE=FQ","FILING_STATUS=OR","SCALING_FORMAT=MLN","Sort=A","Dates=H","DateFormat=P","Fill=—","Direction=H","UseDPDF=Y")</f>
        <v>19350</v>
      </c>
      <c r="J32" s="16">
        <f>_xll.BDH("XOM US Equity","BS_CUR_LIAB","FQ4 1991","FQ4 1991","Currency=USD","Period=FQ","BEST_FPERIOD_OVERRIDE=FQ","FILING_STATUS=OR","SCALING_FORMAT=MLN","Sort=A","Dates=H","DateFormat=P","Fill=—","Direction=H","UseDPDF=Y")</f>
        <v>20854</v>
      </c>
      <c r="K32" s="16">
        <f>_xll.BDH("XOM US Equity","BS_CUR_LIAB","FQ1 1992","FQ1 1992","Currency=USD","Period=FQ","BEST_FPERIOD_OVERRIDE=FQ","FILING_STATUS=OR","SCALING_FORMAT=MLN","Sort=A","Dates=H","DateFormat=P","Fill=—","Direction=H","UseDPDF=Y")</f>
        <v>18994</v>
      </c>
      <c r="L32" s="16">
        <f>_xll.BDH("XOM US Equity","BS_CUR_LIAB","FQ2 1992","FQ2 1992","Currency=USD","Period=FQ","BEST_FPERIOD_OVERRIDE=FQ","FILING_STATUS=OR","SCALING_FORMAT=MLN","Sort=A","Dates=H","DateFormat=P","Fill=—","Direction=H","UseDPDF=Y")</f>
        <v>20418</v>
      </c>
      <c r="M32" s="16">
        <f>_xll.BDH("XOM US Equity","BS_CUR_LIAB","FQ3 1992","FQ3 1992","Currency=USD","Period=FQ","BEST_FPERIOD_OVERRIDE=FQ","FILING_STATUS=OR","SCALING_FORMAT=MLN","Sort=A","Dates=H","DateFormat=P","Fill=—","Direction=H","UseDPDF=Y")</f>
        <v>20302</v>
      </c>
      <c r="N32" s="16">
        <f>_xll.BDH("XOM US Equity","BS_CUR_LIAB","FQ4 1992","FQ4 1992","Currency=USD","Period=FQ","BEST_FPERIOD_OVERRIDE=FQ","FILING_STATUS=OR","SCALING_FORMAT=MLN","Sort=A","Dates=H","DateFormat=P","Fill=—","Direction=H","UseDPDF=Y")</f>
        <v>19663</v>
      </c>
      <c r="O32" s="16">
        <f>_xll.BDH("XOM US Equity","BS_CUR_LIAB","FQ1 1993","FQ1 1993","Currency=USD","Period=FQ","BEST_FPERIOD_OVERRIDE=FQ","FILING_STATUS=OR","SCALING_FORMAT=MLN","Sort=A","Dates=H","DateFormat=P","Fill=—","Direction=H","UseDPDF=Y")</f>
        <v>19047</v>
      </c>
      <c r="P32" s="16">
        <f>_xll.BDH("XOM US Equity","BS_CUR_LIAB","FQ2 1993","FQ2 1993","Currency=USD","Period=FQ","BEST_FPERIOD_OVERRIDE=FQ","FILING_STATUS=OR","SCALING_FORMAT=MLN","Sort=A","Dates=H","DateFormat=P","Fill=—","Direction=H","UseDPDF=Y")</f>
        <v>19185</v>
      </c>
      <c r="Q32" s="16">
        <f>_xll.BDH("XOM US Equity","BS_CUR_LIAB","FQ3 1993","FQ3 1993","Currency=USD","Period=FQ","BEST_FPERIOD_OVERRIDE=FQ","FILING_STATUS=OR","SCALING_FORMAT=MLN","Sort=A","Dates=H","DateFormat=P","Fill=—","Direction=H","UseDPDF=Y")</f>
        <v>19466</v>
      </c>
      <c r="R32" s="16">
        <f>_xll.BDH("XOM US Equity","BS_CUR_LIAB","FQ4 1993","FQ4 1993","Currency=USD","Period=FQ","BEST_FPERIOD_OVERRIDE=FQ","FILING_STATUS=OR","SCALING_FORMAT=MLN","Sort=A","Dates=H","DateFormat=P","Fill=—","Direction=H","UseDPDF=Y")</f>
        <v>18590</v>
      </c>
      <c r="S32" s="16">
        <f>_xll.BDH("XOM US Equity","BS_CUR_LIAB","FQ1 1994","FQ1 1994","Currency=USD","Period=FQ","BEST_FPERIOD_OVERRIDE=FQ","FILING_STATUS=OR","SCALING_FORMAT=MLN","Sort=A","Dates=H","DateFormat=P","Fill=—","Direction=H","UseDPDF=Y")</f>
        <v>18414</v>
      </c>
      <c r="T32" s="16">
        <f>_xll.BDH("XOM US Equity","BS_CUR_LIAB","FQ2 1994","FQ2 1994","Currency=USD","Period=FQ","BEST_FPERIOD_OVERRIDE=FQ","FILING_STATUS=OR","SCALING_FORMAT=MLN","Sort=A","Dates=H","DateFormat=P","Fill=—","Direction=H","UseDPDF=Y")</f>
        <v>18889</v>
      </c>
      <c r="U32" s="16">
        <f>_xll.BDH("XOM US Equity","BS_CUR_LIAB","FQ3 1994","FQ3 1994","Currency=USD","Period=FQ","BEST_FPERIOD_OVERRIDE=FQ","FILING_STATUS=OR","SCALING_FORMAT=MLN","Sort=A","Dates=H","DateFormat=P","Fill=—","Direction=H","UseDPDF=Y")</f>
        <v>19253</v>
      </c>
      <c r="V32" s="16">
        <f>_xll.BDH("XOM US Equity","BS_CUR_LIAB","FQ4 1994","FQ4 1994","Currency=USD","Period=FQ","BEST_FPERIOD_OVERRIDE=FQ","FILING_STATUS=OR","SCALING_FORMAT=MLN","Sort=A","Dates=H","DateFormat=P","Fill=—","Direction=H","UseDPDF=Y")</f>
        <v>19493</v>
      </c>
      <c r="W32" s="16">
        <f>_xll.BDH("XOM US Equity","BS_CUR_LIAB","FQ1 1995","FQ1 1995","Currency=USD","Period=FQ","BEST_FPERIOD_OVERRIDE=FQ","FILING_STATUS=OR","SCALING_FORMAT=MLN","Sort=A","Dates=H","DateFormat=P","Fill=—","Direction=H","UseDPDF=Y")</f>
        <v>19965</v>
      </c>
      <c r="X32" s="16">
        <f>_xll.BDH("XOM US Equity","BS_CUR_LIAB","FQ2 1995","FQ2 1995","Currency=USD","Period=FQ","BEST_FPERIOD_OVERRIDE=FQ","FILING_STATUS=OR","SCALING_FORMAT=MLN","Sort=A","Dates=H","DateFormat=P","Fill=—","Direction=H","UseDPDF=Y")</f>
        <v>19461</v>
      </c>
      <c r="Y32" s="16">
        <f>_xll.BDH("XOM US Equity","BS_CUR_LIAB","FQ3 1995","FQ3 1995","Currency=USD","Period=FQ","BEST_FPERIOD_OVERRIDE=FQ","FILING_STATUS=OR","SCALING_FORMAT=MLN","Sort=A","Dates=H","DateFormat=P","Fill=—","Direction=H","UseDPDF=Y")</f>
        <v>18583</v>
      </c>
      <c r="Z32" s="16">
        <f>_xll.BDH("XOM US Equity","BS_CUR_LIAB","FQ4 1995","FQ4 1995","Currency=USD","Period=FQ","BEST_FPERIOD_OVERRIDE=FQ","FILING_STATUS=OR","SCALING_FORMAT=MLN","Sort=A","Dates=H","DateFormat=P","Fill=—","Direction=H","UseDPDF=Y")</f>
        <v>18736</v>
      </c>
      <c r="AA32" s="16">
        <f>_xll.BDH("XOM US Equity","BS_CUR_LIAB","FQ1 1996","FQ1 1996","Currency=USD","Period=FQ","BEST_FPERIOD_OVERRIDE=FQ","FILING_STATUS=OR","SCALING_FORMAT=MLN","Sort=A","Dates=H","DateFormat=P","Fill=—","Direction=H","UseDPDF=Y")</f>
        <v>19201</v>
      </c>
      <c r="AB32" s="16">
        <f>_xll.BDH("XOM US Equity","BS_CUR_LIAB","FQ2 1996","FQ2 1996","Currency=USD","Period=FQ","BEST_FPERIOD_OVERRIDE=FQ","FILING_STATUS=OR","SCALING_FORMAT=MLN","Sort=A","Dates=H","DateFormat=P","Fill=—","Direction=H","UseDPDF=Y")</f>
        <v>18667</v>
      </c>
      <c r="AC32" s="16">
        <f>_xll.BDH("XOM US Equity","BS_CUR_LIAB","FQ3 1996","FQ3 1996","Currency=USD","Period=FQ","BEST_FPERIOD_OVERRIDE=FQ","FILING_STATUS=OR","SCALING_FORMAT=MLN","Sort=A","Dates=H","DateFormat=P","Fill=—","Direction=H","UseDPDF=Y")</f>
        <v>19698</v>
      </c>
      <c r="AD32" s="16">
        <f>_xll.BDH("XOM US Equity","BS_CUR_LIAB","FQ4 1996","FQ4 1996","Currency=USD","Period=FQ","BEST_FPERIOD_OVERRIDE=FQ","FILING_STATUS=OR","SCALING_FORMAT=MLN","Sort=A","Dates=H","DateFormat=P","Fill=—","Direction=H","UseDPDF=Y")</f>
        <v>19505</v>
      </c>
      <c r="AE32" s="16">
        <f>_xll.BDH("XOM US Equity","BS_CUR_LIAB","FQ1 1997","FQ1 1997","Currency=USD","Period=FQ","BEST_FPERIOD_OVERRIDE=FQ","FILING_STATUS=OR","SCALING_FORMAT=MLN","Sort=A","Dates=H","DateFormat=P","Fill=—","Direction=H","UseDPDF=Y")</f>
        <v>19129</v>
      </c>
      <c r="AF32" s="16">
        <f>_xll.BDH("XOM US Equity","BS_CUR_LIAB","FQ2 1997","FQ2 1997","Currency=USD","Period=FQ","BEST_FPERIOD_OVERRIDE=FQ","FILING_STATUS=OR","SCALING_FORMAT=MLN","Sort=A","Dates=H","DateFormat=P","Fill=—","Direction=H","UseDPDF=Y")</f>
        <v>18732</v>
      </c>
      <c r="AG32" s="16">
        <f>_xll.BDH("XOM US Equity","BS_CUR_LIAB","FQ3 1997","FQ3 1997","Currency=USD","Period=FQ","BEST_FPERIOD_OVERRIDE=FQ","FILING_STATUS=OR","SCALING_FORMAT=MLN","Sort=A","Dates=H","DateFormat=P","Fill=—","Direction=H","UseDPDF=Y")</f>
        <v>20250</v>
      </c>
      <c r="AH32" s="16">
        <f>_xll.BDH("XOM US Equity","BS_CUR_LIAB","FQ4 1997","FQ4 1997","Currency=USD","Period=FQ","BEST_FPERIOD_OVERRIDE=FQ","FILING_STATUS=OR","SCALING_FORMAT=MLN","Sort=A","Dates=H","DateFormat=P","Fill=—","Direction=H","UseDPDF=Y")</f>
        <v>19654</v>
      </c>
      <c r="AI32" s="16">
        <f>_xll.BDH("XOM US Equity","BS_CUR_LIAB","FQ1 1998","FQ1 1998","Currency=USD","Period=FQ","BEST_FPERIOD_OVERRIDE=FQ","FILING_STATUS=OR","SCALING_FORMAT=MLN","Sort=A","Dates=H","DateFormat=P","Fill=—","Direction=H","UseDPDF=Y")</f>
        <v>18576</v>
      </c>
      <c r="AJ32" s="16">
        <f>_xll.BDH("XOM US Equity","BS_CUR_LIAB","FQ2 1998","FQ2 1998","Currency=USD","Period=FQ","BEST_FPERIOD_OVERRIDE=FQ","FILING_STATUS=OR","SCALING_FORMAT=MLN","Sort=A","Dates=H","DateFormat=P","Fill=—","Direction=H","UseDPDF=Y")</f>
        <v>17532</v>
      </c>
    </row>
    <row r="33" spans="1:36" x14ac:dyDescent="0.25">
      <c r="A33" s="10" t="s">
        <v>195</v>
      </c>
      <c r="B33" s="10" t="s">
        <v>196</v>
      </c>
      <c r="C33" s="13">
        <f>_xll.BDH("XOM US Equity","BS_LT_BORROW","FQ1 1990","FQ1 1990","Currency=USD","Period=FQ","BEST_FPERIOD_OVERRIDE=FQ","FILING_STATUS=OR","SCALING_FORMAT=MLN","Sort=A","Dates=H","DateFormat=P","Fill=—","Direction=H","UseDPDF=Y")</f>
        <v>8939</v>
      </c>
      <c r="D33" s="13">
        <f>_xll.BDH("XOM US Equity","BS_LT_BORROW","FQ2 1990","FQ2 1990","Currency=USD","Period=FQ","BEST_FPERIOD_OVERRIDE=FQ","FILING_STATUS=OR","SCALING_FORMAT=MLN","Sort=A","Dates=H","DateFormat=P","Fill=—","Direction=H","UseDPDF=Y")</f>
        <v>8320</v>
      </c>
      <c r="E33" s="13">
        <f>_xll.BDH("XOM US Equity","BS_LT_BORROW","FQ3 1990","FQ3 1990","Currency=USD","Period=FQ","BEST_FPERIOD_OVERRIDE=FQ","FILING_STATUS=OR","SCALING_FORMAT=MLN","Sort=A","Dates=H","DateFormat=P","Fill=—","Direction=H","UseDPDF=Y")</f>
        <v>7835</v>
      </c>
      <c r="F33" s="13">
        <f>_xll.BDH("XOM US Equity","BS_LT_BORROW","FQ4 1990","FQ4 1990","Currency=USD","Period=FQ","BEST_FPERIOD_OVERRIDE=FQ","FILING_STATUS=OR","SCALING_FORMAT=MLN","Sort=A","Dates=H","DateFormat=P","Fill=—","Direction=H","UseDPDF=Y")</f>
        <v>7687</v>
      </c>
      <c r="G33" s="13">
        <f>_xll.BDH("XOM US Equity","BS_LT_BORROW","FQ1 1991","FQ1 1991","Currency=USD","Period=FQ","BEST_FPERIOD_OVERRIDE=FQ","FILING_STATUS=OR","SCALING_FORMAT=MLN","Sort=A","Dates=H","DateFormat=P","Fill=—","Direction=H","UseDPDF=Y")</f>
        <v>7876</v>
      </c>
      <c r="H33" s="13">
        <f>_xll.BDH("XOM US Equity","BS_LT_BORROW","FQ2 1991","FQ2 1991","Currency=USD","Period=FQ","BEST_FPERIOD_OVERRIDE=FQ","FILING_STATUS=OR","SCALING_FORMAT=MLN","Sort=A","Dates=H","DateFormat=P","Fill=—","Direction=H","UseDPDF=Y")</f>
        <v>7974</v>
      </c>
      <c r="I33" s="13">
        <f>_xll.BDH("XOM US Equity","BS_LT_BORROW","FQ3 1991","FQ3 1991","Currency=USD","Period=FQ","BEST_FPERIOD_OVERRIDE=FQ","FILING_STATUS=OR","SCALING_FORMAT=MLN","Sort=A","Dates=H","DateFormat=P","Fill=—","Direction=H","UseDPDF=Y")</f>
        <v>8311</v>
      </c>
      <c r="J33" s="13">
        <f>_xll.BDH("XOM US Equity","BS_LT_BORROW","FQ4 1991","FQ4 1991","Currency=USD","Period=FQ","BEST_FPERIOD_OVERRIDE=FQ","FILING_STATUS=OR","SCALING_FORMAT=MLN","Sort=A","Dates=H","DateFormat=P","Fill=—","Direction=H","UseDPDF=Y")</f>
        <v>8582</v>
      </c>
      <c r="K33" s="13">
        <f>_xll.BDH("XOM US Equity","BS_LT_BORROW","FQ1 1992","FQ1 1992","Currency=USD","Period=FQ","BEST_FPERIOD_OVERRIDE=FQ","FILING_STATUS=OR","SCALING_FORMAT=MLN","Sort=A","Dates=H","DateFormat=P","Fill=—","Direction=H","UseDPDF=Y")</f>
        <v>8508</v>
      </c>
      <c r="L33" s="13">
        <f>_xll.BDH("XOM US Equity","BS_LT_BORROW","FQ2 1992","FQ2 1992","Currency=USD","Period=FQ","BEST_FPERIOD_OVERRIDE=FQ","FILING_STATUS=OR","SCALING_FORMAT=MLN","Sort=A","Dates=H","DateFormat=P","Fill=—","Direction=H","UseDPDF=Y")</f>
        <v>8485</v>
      </c>
      <c r="M33" s="13">
        <f>_xll.BDH("XOM US Equity","BS_LT_BORROW","FQ3 1992","FQ3 1992","Currency=USD","Period=FQ","BEST_FPERIOD_OVERRIDE=FQ","FILING_STATUS=OR","SCALING_FORMAT=MLN","Sort=A","Dates=H","DateFormat=P","Fill=—","Direction=H","UseDPDF=Y")</f>
        <v>8879</v>
      </c>
      <c r="N33" s="13">
        <f>_xll.BDH("XOM US Equity","BS_LT_BORROW","FQ4 1992","FQ4 1992","Currency=USD","Period=FQ","BEST_FPERIOD_OVERRIDE=FQ","FILING_STATUS=OR","SCALING_FORMAT=MLN","Sort=A","Dates=H","DateFormat=P","Fill=—","Direction=H","UseDPDF=Y")</f>
        <v>8637</v>
      </c>
      <c r="O33" s="13">
        <f>_xll.BDH("XOM US Equity","BS_LT_BORROW","FQ1 1993","FQ1 1993","Currency=USD","Period=FQ","BEST_FPERIOD_OVERRIDE=FQ","FILING_STATUS=OR","SCALING_FORMAT=MLN","Sort=A","Dates=H","DateFormat=P","Fill=—","Direction=H","UseDPDF=Y")</f>
        <v>8855</v>
      </c>
      <c r="P33" s="13">
        <f>_xll.BDH("XOM US Equity","BS_LT_BORROW","FQ2 1993","FQ2 1993","Currency=USD","Period=FQ","BEST_FPERIOD_OVERRIDE=FQ","FILING_STATUS=OR","SCALING_FORMAT=MLN","Sort=A","Dates=H","DateFormat=P","Fill=—","Direction=H","UseDPDF=Y")</f>
        <v>8692</v>
      </c>
      <c r="Q33" s="13">
        <f>_xll.BDH("XOM US Equity","BS_LT_BORROW","FQ3 1993","FQ3 1993","Currency=USD","Period=FQ","BEST_FPERIOD_OVERRIDE=FQ","FILING_STATUS=OR","SCALING_FORMAT=MLN","Sort=A","Dates=H","DateFormat=P","Fill=—","Direction=H","UseDPDF=Y")</f>
        <v>8781</v>
      </c>
      <c r="R33" s="13">
        <f>_xll.BDH("XOM US Equity","BS_LT_BORROW","FQ4 1993","FQ4 1993","Currency=USD","Period=FQ","BEST_FPERIOD_OVERRIDE=FQ","FILING_STATUS=OR","SCALING_FORMAT=MLN","Sort=A","Dates=H","DateFormat=P","Fill=—","Direction=H","UseDPDF=Y")</f>
        <v>8506</v>
      </c>
      <c r="S33" s="13">
        <f>_xll.BDH("XOM US Equity","BS_LT_BORROW","FQ1 1994","FQ1 1994","Currency=USD","Period=FQ","BEST_FPERIOD_OVERRIDE=FQ","FILING_STATUS=OR","SCALING_FORMAT=MLN","Sort=A","Dates=H","DateFormat=P","Fill=—","Direction=H","UseDPDF=Y")</f>
        <v>8712</v>
      </c>
      <c r="T33" s="13">
        <f>_xll.BDH("XOM US Equity","BS_LT_BORROW","FQ2 1994","FQ2 1994","Currency=USD","Period=FQ","BEST_FPERIOD_OVERRIDE=FQ","FILING_STATUS=OR","SCALING_FORMAT=MLN","Sort=A","Dates=H","DateFormat=P","Fill=—","Direction=H","UseDPDF=Y")</f>
        <v>8754</v>
      </c>
      <c r="U33" s="13">
        <f>_xll.BDH("XOM US Equity","BS_LT_BORROW","FQ3 1994","FQ3 1994","Currency=USD","Period=FQ","BEST_FPERIOD_OVERRIDE=FQ","FILING_STATUS=OR","SCALING_FORMAT=MLN","Sort=A","Dates=H","DateFormat=P","Fill=—","Direction=H","UseDPDF=Y")</f>
        <v>8936</v>
      </c>
      <c r="V33" s="13">
        <f>_xll.BDH("XOM US Equity","BS_LT_BORROW","FQ4 1994","FQ4 1994","Currency=USD","Period=FQ","BEST_FPERIOD_OVERRIDE=FQ","FILING_STATUS=OR","SCALING_FORMAT=MLN","Sort=A","Dates=H","DateFormat=P","Fill=—","Direction=H","UseDPDF=Y")</f>
        <v>8831</v>
      </c>
      <c r="W33" s="13">
        <f>_xll.BDH("XOM US Equity","BS_LT_BORROW","FQ1 1995","FQ1 1995","Currency=USD","Period=FQ","BEST_FPERIOD_OVERRIDE=FQ","FILING_STATUS=OR","SCALING_FORMAT=MLN","Sort=A","Dates=H","DateFormat=P","Fill=—","Direction=H","UseDPDF=Y")</f>
        <v>9178</v>
      </c>
      <c r="X33" s="13">
        <f>_xll.BDH("XOM US Equity","BS_LT_BORROW","FQ2 1995","FQ2 1995","Currency=USD","Period=FQ","BEST_FPERIOD_OVERRIDE=FQ","FILING_STATUS=OR","SCALING_FORMAT=MLN","Sort=A","Dates=H","DateFormat=P","Fill=—","Direction=H","UseDPDF=Y")</f>
        <v>8550</v>
      </c>
      <c r="Y33" s="13">
        <f>_xll.BDH("XOM US Equity","BS_LT_BORROW","FQ3 1995","FQ3 1995","Currency=USD","Period=FQ","BEST_FPERIOD_OVERRIDE=FQ","FILING_STATUS=OR","SCALING_FORMAT=MLN","Sort=A","Dates=H","DateFormat=P","Fill=—","Direction=H","UseDPDF=Y")</f>
        <v>8362</v>
      </c>
      <c r="Z33" s="13">
        <f>_xll.BDH("XOM US Equity","BS_LT_BORROW","FQ4 1995","FQ4 1995","Currency=USD","Period=FQ","BEST_FPERIOD_OVERRIDE=FQ","FILING_STATUS=OR","SCALING_FORMAT=MLN","Sort=A","Dates=H","DateFormat=P","Fill=—","Direction=H","UseDPDF=Y")</f>
        <v>7778</v>
      </c>
      <c r="AA33" s="13">
        <f>_xll.BDH("XOM US Equity","BS_LT_BORROW","FQ1 1996","FQ1 1996","Currency=USD","Period=FQ","BEST_FPERIOD_OVERRIDE=FQ","FILING_STATUS=OR","SCALING_FORMAT=MLN","Sort=A","Dates=H","DateFormat=P","Fill=—","Direction=H","UseDPDF=Y")</f>
        <v>7679</v>
      </c>
      <c r="AB33" s="13">
        <f>_xll.BDH("XOM US Equity","BS_LT_BORROW","FQ2 1996","FQ2 1996","Currency=USD","Period=FQ","BEST_FPERIOD_OVERRIDE=FQ","FILING_STATUS=OR","SCALING_FORMAT=MLN","Sort=A","Dates=H","DateFormat=P","Fill=—","Direction=H","UseDPDF=Y")</f>
        <v>7566</v>
      </c>
      <c r="AC33" s="13">
        <f>_xll.BDH("XOM US Equity","BS_LT_BORROW","FQ3 1996","FQ3 1996","Currency=USD","Period=FQ","BEST_FPERIOD_OVERRIDE=FQ","FILING_STATUS=OR","SCALING_FORMAT=MLN","Sort=A","Dates=H","DateFormat=P","Fill=—","Direction=H","UseDPDF=Y")</f>
        <v>7224</v>
      </c>
      <c r="AD33" s="13">
        <f>_xll.BDH("XOM US Equity","BS_LT_BORROW","FQ4 1996","FQ4 1996","Currency=USD","Period=FQ","BEST_FPERIOD_OVERRIDE=FQ","FILING_STATUS=OR","SCALING_FORMAT=MLN","Sort=A","Dates=H","DateFormat=P","Fill=—","Direction=H","UseDPDF=Y")</f>
        <v>7236</v>
      </c>
      <c r="AE33" s="13">
        <f>_xll.BDH("XOM US Equity","BS_LT_BORROW","FQ1 1997","FQ1 1997","Currency=USD","Period=FQ","BEST_FPERIOD_OVERRIDE=FQ","FILING_STATUS=OR","SCALING_FORMAT=MLN","Sort=A","Dates=H","DateFormat=P","Fill=—","Direction=H","UseDPDF=Y")</f>
        <v>7223</v>
      </c>
      <c r="AF33" s="13">
        <f>_xll.BDH("XOM US Equity","BS_LT_BORROW","FQ2 1997","FQ2 1997","Currency=USD","Period=FQ","BEST_FPERIOD_OVERRIDE=FQ","FILING_STATUS=OR","SCALING_FORMAT=MLN","Sort=A","Dates=H","DateFormat=P","Fill=—","Direction=H","UseDPDF=Y")</f>
        <v>7041</v>
      </c>
      <c r="AG33" s="13">
        <f>_xll.BDH("XOM US Equity","BS_LT_BORROW","FQ3 1997","FQ3 1997","Currency=USD","Period=FQ","BEST_FPERIOD_OVERRIDE=FQ","FILING_STATUS=OR","SCALING_FORMAT=MLN","Sort=A","Dates=H","DateFormat=P","Fill=—","Direction=H","UseDPDF=Y")</f>
        <v>7281</v>
      </c>
      <c r="AH33" s="13">
        <f>_xll.BDH("XOM US Equity","BS_LT_BORROW","FQ4 1997","FQ4 1997","Currency=USD","Period=FQ","BEST_FPERIOD_OVERRIDE=FQ","FILING_STATUS=OR","SCALING_FORMAT=MLN","Sort=A","Dates=H","DateFormat=P","Fill=—","Direction=H","UseDPDF=Y")</f>
        <v>7050</v>
      </c>
      <c r="AI33" s="13">
        <f>_xll.BDH("XOM US Equity","BS_LT_BORROW","FQ1 1998","FQ1 1998","Currency=USD","Period=FQ","BEST_FPERIOD_OVERRIDE=FQ","FILING_STATUS=OR","SCALING_FORMAT=MLN","Sort=A","Dates=H","DateFormat=P","Fill=—","Direction=H","UseDPDF=Y")</f>
        <v>7077</v>
      </c>
      <c r="AJ33" s="13">
        <f>_xll.BDH("XOM US Equity","BS_LT_BORROW","FQ2 1998","FQ2 1998","Currency=USD","Period=FQ","BEST_FPERIOD_OVERRIDE=FQ","FILING_STATUS=OR","SCALING_FORMAT=MLN","Sort=A","Dates=H","DateFormat=P","Fill=—","Direction=H","UseDPDF=Y")</f>
        <v>6927</v>
      </c>
    </row>
    <row r="34" spans="1:36" x14ac:dyDescent="0.25">
      <c r="A34" s="10" t="s">
        <v>197</v>
      </c>
      <c r="B34" s="10" t="s">
        <v>198</v>
      </c>
      <c r="C34" s="13">
        <f>_xll.BDH("XOM US Equity","OTHER_NONCUR_LIABS_SUB_DETAILED","FQ1 1990","FQ1 1990","Currency=USD","Period=FQ","BEST_FPERIOD_OVERRIDE=FQ","FILING_STATUS=OR","SCALING_FORMAT=MLN","Sort=A","Dates=H","DateFormat=P","Fill=—","Direction=H","UseDPDF=Y")</f>
        <v>21813</v>
      </c>
      <c r="D34" s="13">
        <f>_xll.BDH("XOM US Equity","OTHER_NONCUR_LIABS_SUB_DETAILED","FQ2 1990","FQ2 1990","Currency=USD","Period=FQ","BEST_FPERIOD_OVERRIDE=FQ","FILING_STATUS=OR","SCALING_FORMAT=MLN","Sort=A","Dates=H","DateFormat=P","Fill=—","Direction=H","UseDPDF=Y")</f>
        <v>22330</v>
      </c>
      <c r="E34" s="13">
        <f>_xll.BDH("XOM US Equity","OTHER_NONCUR_LIABS_SUB_DETAILED","FQ3 1990","FQ3 1990","Currency=USD","Period=FQ","BEST_FPERIOD_OVERRIDE=FQ","FILING_STATUS=OR","SCALING_FORMAT=MLN","Sort=A","Dates=H","DateFormat=P","Fill=—","Direction=H","UseDPDF=Y")</f>
        <v>22777</v>
      </c>
      <c r="F34" s="13">
        <f>_xll.BDH("XOM US Equity","OTHER_NONCUR_LIABS_SUB_DETAILED","FQ4 1990","FQ4 1990","Currency=USD","Period=FQ","BEST_FPERIOD_OVERRIDE=FQ","FILING_STATUS=OR","SCALING_FORMAT=MLN","Sort=A","Dates=H","DateFormat=P","Fill=—","Direction=H","UseDPDF=Y")</f>
        <v>19990</v>
      </c>
      <c r="G34" s="13">
        <f>_xll.BDH("XOM US Equity","OTHER_NONCUR_LIABS_SUB_DETAILED","FQ1 1991","FQ1 1991","Currency=USD","Period=FQ","BEST_FPERIOD_OVERRIDE=FQ","FILING_STATUS=OR","SCALING_FORMAT=MLN","Sort=A","Dates=H","DateFormat=P","Fill=—","Direction=H","UseDPDF=Y")</f>
        <v>22757</v>
      </c>
      <c r="H34" s="13">
        <f>_xll.BDH("XOM US Equity","OTHER_NONCUR_LIABS_SUB_DETAILED","FQ2 1991","FQ2 1991","Currency=USD","Period=FQ","BEST_FPERIOD_OVERRIDE=FQ","FILING_STATUS=OR","SCALING_FORMAT=MLN","Sort=A","Dates=H","DateFormat=P","Fill=—","Direction=H","UseDPDF=Y")</f>
        <v>22508</v>
      </c>
      <c r="I34" s="13">
        <f>_xll.BDH("XOM US Equity","OTHER_NONCUR_LIABS_SUB_DETAILED","FQ3 1991","FQ3 1991","Currency=USD","Period=FQ","BEST_FPERIOD_OVERRIDE=FQ","FILING_STATUS=OR","SCALING_FORMAT=MLN","Sort=A","Dates=H","DateFormat=P","Fill=—","Direction=H","UseDPDF=Y")</f>
        <v>23044</v>
      </c>
      <c r="J34" s="13">
        <f>_xll.BDH("XOM US Equity","OTHER_NONCUR_LIABS_SUB_DETAILED","FQ4 1991","FQ4 1991","Currency=USD","Period=FQ","BEST_FPERIOD_OVERRIDE=FQ","FILING_STATUS=OR","SCALING_FORMAT=MLN","Sort=A","Dates=H","DateFormat=P","Fill=—","Direction=H","UseDPDF=Y")</f>
        <v>20230</v>
      </c>
      <c r="K34" s="13">
        <f>_xll.BDH("XOM US Equity","OTHER_NONCUR_LIABS_SUB_DETAILED","FQ1 1992","FQ1 1992","Currency=USD","Period=FQ","BEST_FPERIOD_OVERRIDE=FQ","FILING_STATUS=OR","SCALING_FORMAT=MLN","Sort=A","Dates=H","DateFormat=P","Fill=—","Direction=H","UseDPDF=Y")</f>
        <v>22762</v>
      </c>
      <c r="L34" s="13">
        <f>_xll.BDH("XOM US Equity","OTHER_NONCUR_LIABS_SUB_DETAILED","FQ2 1992","FQ2 1992","Currency=USD","Period=FQ","BEST_FPERIOD_OVERRIDE=FQ","FILING_STATUS=OR","SCALING_FORMAT=MLN","Sort=A","Dates=H","DateFormat=P","Fill=—","Direction=H","UseDPDF=Y")</f>
        <v>23039</v>
      </c>
      <c r="M34" s="13">
        <f>_xll.BDH("XOM US Equity","OTHER_NONCUR_LIABS_SUB_DETAILED","FQ3 1992","FQ3 1992","Currency=USD","Period=FQ","BEST_FPERIOD_OVERRIDE=FQ","FILING_STATUS=OR","SCALING_FORMAT=MLN","Sort=A","Dates=H","DateFormat=P","Fill=—","Direction=H","UseDPDF=Y")</f>
        <v>23022</v>
      </c>
      <c r="N34" s="13">
        <f>_xll.BDH("XOM US Equity","OTHER_NONCUR_LIABS_SUB_DETAILED","FQ4 1992","FQ4 1992","Currency=USD","Period=FQ","BEST_FPERIOD_OVERRIDE=FQ","FILING_STATUS=OR","SCALING_FORMAT=MLN","Sort=A","Dates=H","DateFormat=P","Fill=—","Direction=H","UseDPDF=Y")</f>
        <v>19979</v>
      </c>
      <c r="O34" s="13">
        <f>_xll.BDH("XOM US Equity","OTHER_NONCUR_LIABS_SUB_DETAILED","FQ1 1993","FQ1 1993","Currency=USD","Period=FQ","BEST_FPERIOD_OVERRIDE=FQ","FILING_STATUS=OR","SCALING_FORMAT=MLN","Sort=A","Dates=H","DateFormat=P","Fill=—","Direction=H","UseDPDF=Y")</f>
        <v>22718</v>
      </c>
      <c r="P34" s="13">
        <f>_xll.BDH("XOM US Equity","OTHER_NONCUR_LIABS_SUB_DETAILED","FQ2 1993","FQ2 1993","Currency=USD","Period=FQ","BEST_FPERIOD_OVERRIDE=FQ","FILING_STATUS=OR","SCALING_FORMAT=MLN","Sort=A","Dates=H","DateFormat=P","Fill=—","Direction=H","UseDPDF=Y")</f>
        <v>22322</v>
      </c>
      <c r="Q34" s="13">
        <f>_xll.BDH("XOM US Equity","OTHER_NONCUR_LIABS_SUB_DETAILED","FQ3 1993","FQ3 1993","Currency=USD","Period=FQ","BEST_FPERIOD_OVERRIDE=FQ","FILING_STATUS=OR","SCALING_FORMAT=MLN","Sort=A","Dates=H","DateFormat=P","Fill=—","Direction=H","UseDPDF=Y")</f>
        <v>22092</v>
      </c>
      <c r="R34" s="13">
        <f>_xll.BDH("XOM US Equity","OTHER_NONCUR_LIABS_SUB_DETAILED","FQ4 1993","FQ4 1993","Currency=USD","Period=FQ","BEST_FPERIOD_OVERRIDE=FQ","FILING_STATUS=OR","SCALING_FORMAT=MLN","Sort=A","Dates=H","DateFormat=P","Fill=—","Direction=H","UseDPDF=Y")</f>
        <v>19862</v>
      </c>
      <c r="S34" s="13">
        <f>_xll.BDH("XOM US Equity","OTHER_NONCUR_LIABS_SUB_DETAILED","FQ1 1994","FQ1 1994","Currency=USD","Period=FQ","BEST_FPERIOD_OVERRIDE=FQ","FILING_STATUS=OR","SCALING_FORMAT=MLN","Sort=A","Dates=H","DateFormat=P","Fill=—","Direction=H","UseDPDF=Y")</f>
        <v>22275</v>
      </c>
      <c r="T34" s="13">
        <f>_xll.BDH("XOM US Equity","OTHER_NONCUR_LIABS_SUB_DETAILED","FQ2 1994","FQ2 1994","Currency=USD","Period=FQ","BEST_FPERIOD_OVERRIDE=FQ","FILING_STATUS=OR","SCALING_FORMAT=MLN","Sort=A","Dates=H","DateFormat=P","Fill=—","Direction=H","UseDPDF=Y")</f>
        <v>22598</v>
      </c>
      <c r="U34" s="13">
        <f>_xll.BDH("XOM US Equity","OTHER_NONCUR_LIABS_SUB_DETAILED","FQ3 1994","FQ3 1994","Currency=USD","Period=FQ","BEST_FPERIOD_OVERRIDE=FQ","FILING_STATUS=OR","SCALING_FORMAT=MLN","Sort=A","Dates=H","DateFormat=P","Fill=—","Direction=H","UseDPDF=Y")</f>
        <v>23085</v>
      </c>
      <c r="V34" s="13">
        <f>_xll.BDH("XOM US Equity","OTHER_NONCUR_LIABS_SUB_DETAILED","FQ4 1994","FQ4 1994","Currency=USD","Period=FQ","BEST_FPERIOD_OVERRIDE=FQ","FILING_STATUS=OR","SCALING_FORMAT=MLN","Sort=A","Dates=H","DateFormat=P","Fill=—","Direction=H","UseDPDF=Y")</f>
        <v>19955</v>
      </c>
      <c r="W34" s="13">
        <f>_xll.BDH("XOM US Equity","OTHER_NONCUR_LIABS_SUB_DETAILED","FQ1 1995","FQ1 1995","Currency=USD","Period=FQ","BEST_FPERIOD_OVERRIDE=FQ","FILING_STATUS=OR","SCALING_FORMAT=MLN","Sort=A","Dates=H","DateFormat=P","Fill=—","Direction=H","UseDPDF=Y")</f>
        <v>22946</v>
      </c>
      <c r="X34" s="13">
        <f>_xll.BDH("XOM US Equity","OTHER_NONCUR_LIABS_SUB_DETAILED","FQ2 1995","FQ2 1995","Currency=USD","Period=FQ","BEST_FPERIOD_OVERRIDE=FQ","FILING_STATUS=OR","SCALING_FORMAT=MLN","Sort=A","Dates=H","DateFormat=P","Fill=—","Direction=H","UseDPDF=Y")</f>
        <v>23148</v>
      </c>
      <c r="Y34" s="13">
        <f>_xll.BDH("XOM US Equity","OTHER_NONCUR_LIABS_SUB_DETAILED","FQ3 1995","FQ3 1995","Currency=USD","Period=FQ","BEST_FPERIOD_OVERRIDE=FQ","FILING_STATUS=OR","SCALING_FORMAT=MLN","Sort=A","Dates=H","DateFormat=P","Fill=—","Direction=H","UseDPDF=Y")</f>
        <v>23726</v>
      </c>
      <c r="Z34" s="13">
        <f>_xll.BDH("XOM US Equity","OTHER_NONCUR_LIABS_SUB_DETAILED","FQ4 1995","FQ4 1995","Currency=USD","Period=FQ","BEST_FPERIOD_OVERRIDE=FQ","FILING_STATUS=OR","SCALING_FORMAT=MLN","Sort=A","Dates=H","DateFormat=P","Fill=—","Direction=H","UseDPDF=Y")</f>
        <v>22176</v>
      </c>
      <c r="AA34" s="13">
        <f>_xll.BDH("XOM US Equity","OTHER_NONCUR_LIABS_SUB_DETAILED","FQ1 1996","FQ1 1996","Currency=USD","Period=FQ","BEST_FPERIOD_OVERRIDE=FQ","FILING_STATUS=OR","SCALING_FORMAT=MLN","Sort=A","Dates=H","DateFormat=P","Fill=—","Direction=H","UseDPDF=Y")</f>
        <v>24677</v>
      </c>
      <c r="AB34" s="13">
        <f>_xll.BDH("XOM US Equity","OTHER_NONCUR_LIABS_SUB_DETAILED","FQ2 1996","FQ2 1996","Currency=USD","Period=FQ","BEST_FPERIOD_OVERRIDE=FQ","FILING_STATUS=OR","SCALING_FORMAT=MLN","Sort=A","Dates=H","DateFormat=P","Fill=—","Direction=H","UseDPDF=Y")</f>
        <v>24785</v>
      </c>
      <c r="AC34" s="13">
        <f>_xll.BDH("XOM US Equity","OTHER_NONCUR_LIABS_SUB_DETAILED","FQ3 1996","FQ3 1996","Currency=USD","Period=FQ","BEST_FPERIOD_OVERRIDE=FQ","FILING_STATUS=OR","SCALING_FORMAT=MLN","Sort=A","Dates=H","DateFormat=P","Fill=—","Direction=H","UseDPDF=Y")</f>
        <v>24755</v>
      </c>
      <c r="AD34" s="13">
        <f>_xll.BDH("XOM US Equity","OTHER_NONCUR_LIABS_SUB_DETAILED","FQ4 1996","FQ4 1996","Currency=USD","Period=FQ","BEST_FPERIOD_OVERRIDE=FQ","FILING_STATUS=OR","SCALING_FORMAT=MLN","Sort=A","Dates=H","DateFormat=P","Fill=—","Direction=H","UseDPDF=Y")</f>
        <v>23330</v>
      </c>
      <c r="AE34" s="13">
        <f>_xll.BDH("XOM US Equity","OTHER_NONCUR_LIABS_SUB_DETAILED","FQ1 1997","FQ1 1997","Currency=USD","Period=FQ","BEST_FPERIOD_OVERRIDE=FQ","FILING_STATUS=OR","SCALING_FORMAT=MLN","Sort=A","Dates=H","DateFormat=P","Fill=—","Direction=H","UseDPDF=Y")</f>
        <v>25625</v>
      </c>
      <c r="AF34" s="13">
        <f>_xll.BDH("XOM US Equity","OTHER_NONCUR_LIABS_SUB_DETAILED","FQ2 1997","FQ2 1997","Currency=USD","Period=FQ","BEST_FPERIOD_OVERRIDE=FQ","FILING_STATUS=OR","SCALING_FORMAT=MLN","Sort=A","Dates=H","DateFormat=P","Fill=—","Direction=H","UseDPDF=Y")</f>
        <v>25332</v>
      </c>
      <c r="AG34" s="13">
        <f>_xll.BDH("XOM US Equity","OTHER_NONCUR_LIABS_SUB_DETAILED","FQ3 1997","FQ3 1997","Currency=USD","Period=FQ","BEST_FPERIOD_OVERRIDE=FQ","FILING_STATUS=OR","SCALING_FORMAT=MLN","Sort=A","Dates=H","DateFormat=P","Fill=—","Direction=H","UseDPDF=Y")</f>
        <v>26236</v>
      </c>
      <c r="AH34" s="13">
        <f>_xll.BDH("XOM US Equity","OTHER_NONCUR_LIABS_SUB_DETAILED","FQ4 1997","FQ4 1997","Currency=USD","Period=FQ","BEST_FPERIOD_OVERRIDE=FQ","FILING_STATUS=OR","SCALING_FORMAT=MLN","Sort=A","Dates=H","DateFormat=P","Fill=—","Direction=H","UseDPDF=Y")</f>
        <v>23329</v>
      </c>
      <c r="AI34" s="13">
        <f>_xll.BDH("XOM US Equity","OTHER_NONCUR_LIABS_SUB_DETAILED","FQ1 1998","FQ1 1998","Currency=USD","Period=FQ","BEST_FPERIOD_OVERRIDE=FQ","FILING_STATUS=OR","SCALING_FORMAT=MLN","Sort=A","Dates=H","DateFormat=P","Fill=—","Direction=H","UseDPDF=Y")</f>
        <v>25555</v>
      </c>
      <c r="AJ34" s="13">
        <f>_xll.BDH("XOM US Equity","OTHER_NONCUR_LIABS_SUB_DETAILED","FQ2 1998","FQ2 1998","Currency=USD","Period=FQ","BEST_FPERIOD_OVERRIDE=FQ","FILING_STATUS=OR","SCALING_FORMAT=MLN","Sort=A","Dates=H","DateFormat=P","Fill=—","Direction=H","UseDPDF=Y")</f>
        <v>25400</v>
      </c>
    </row>
    <row r="35" spans="1:36" x14ac:dyDescent="0.25">
      <c r="A35" s="10" t="s">
        <v>199</v>
      </c>
      <c r="B35" s="10" t="s">
        <v>200</v>
      </c>
      <c r="C35" s="13">
        <f>_xll.BDH("XOM US Equity","OTHER_NONCURRENT_LIABS_DETAILED","FQ1 1990","FQ1 1990","Currency=USD","Period=FQ","BEST_FPERIOD_OVERRIDE=FQ","FILING_STATUS=OR","SCALING_FORMAT=MLN","Sort=A","Dates=H","DateFormat=P","Fill=—","Direction=H","UseDPDF=Y")</f>
        <v>21813</v>
      </c>
      <c r="D35" s="13">
        <f>_xll.BDH("XOM US Equity","OTHER_NONCURRENT_LIABS_DETAILED","FQ2 1990","FQ2 1990","Currency=USD","Period=FQ","BEST_FPERIOD_OVERRIDE=FQ","FILING_STATUS=OR","SCALING_FORMAT=MLN","Sort=A","Dates=H","DateFormat=P","Fill=—","Direction=H","UseDPDF=Y")</f>
        <v>22330</v>
      </c>
      <c r="E35" s="13">
        <f>_xll.BDH("XOM US Equity","OTHER_NONCURRENT_LIABS_DETAILED","FQ3 1990","FQ3 1990","Currency=USD","Period=FQ","BEST_FPERIOD_OVERRIDE=FQ","FILING_STATUS=OR","SCALING_FORMAT=MLN","Sort=A","Dates=H","DateFormat=P","Fill=—","Direction=H","UseDPDF=Y")</f>
        <v>22777</v>
      </c>
      <c r="F35" s="13">
        <f>_xll.BDH("XOM US Equity","OTHER_NONCURRENT_LIABS_DETAILED","FQ4 1990","FQ4 1990","Currency=USD","Period=FQ","BEST_FPERIOD_OVERRIDE=FQ","FILING_STATUS=OR","SCALING_FORMAT=MLN","Sort=A","Dates=H","DateFormat=P","Fill=—","Direction=H","UseDPDF=Y")</f>
        <v>19990</v>
      </c>
      <c r="G35" s="13">
        <f>_xll.BDH("XOM US Equity","OTHER_NONCURRENT_LIABS_DETAILED","FQ1 1991","FQ1 1991","Currency=USD","Period=FQ","BEST_FPERIOD_OVERRIDE=FQ","FILING_STATUS=OR","SCALING_FORMAT=MLN","Sort=A","Dates=H","DateFormat=P","Fill=—","Direction=H","UseDPDF=Y")</f>
        <v>22757</v>
      </c>
      <c r="H35" s="13">
        <f>_xll.BDH("XOM US Equity","OTHER_NONCURRENT_LIABS_DETAILED","FQ2 1991","FQ2 1991","Currency=USD","Period=FQ","BEST_FPERIOD_OVERRIDE=FQ","FILING_STATUS=OR","SCALING_FORMAT=MLN","Sort=A","Dates=H","DateFormat=P","Fill=—","Direction=H","UseDPDF=Y")</f>
        <v>22508</v>
      </c>
      <c r="I35" s="13">
        <f>_xll.BDH("XOM US Equity","OTHER_NONCURRENT_LIABS_DETAILED","FQ3 1991","FQ3 1991","Currency=USD","Period=FQ","BEST_FPERIOD_OVERRIDE=FQ","FILING_STATUS=OR","SCALING_FORMAT=MLN","Sort=A","Dates=H","DateFormat=P","Fill=—","Direction=H","UseDPDF=Y")</f>
        <v>23044</v>
      </c>
      <c r="J35" s="13">
        <f>_xll.BDH("XOM US Equity","OTHER_NONCURRENT_LIABS_DETAILED","FQ4 1991","FQ4 1991","Currency=USD","Period=FQ","BEST_FPERIOD_OVERRIDE=FQ","FILING_STATUS=OR","SCALING_FORMAT=MLN","Sort=A","Dates=H","DateFormat=P","Fill=—","Direction=H","UseDPDF=Y")</f>
        <v>20230</v>
      </c>
      <c r="K35" s="13">
        <f>_xll.BDH("XOM US Equity","OTHER_NONCURRENT_LIABS_DETAILED","FQ1 1992","FQ1 1992","Currency=USD","Period=FQ","BEST_FPERIOD_OVERRIDE=FQ","FILING_STATUS=OR","SCALING_FORMAT=MLN","Sort=A","Dates=H","DateFormat=P","Fill=—","Direction=H","UseDPDF=Y")</f>
        <v>22762</v>
      </c>
      <c r="L35" s="13">
        <f>_xll.BDH("XOM US Equity","OTHER_NONCURRENT_LIABS_DETAILED","FQ2 1992","FQ2 1992","Currency=USD","Period=FQ","BEST_FPERIOD_OVERRIDE=FQ","FILING_STATUS=OR","SCALING_FORMAT=MLN","Sort=A","Dates=H","DateFormat=P","Fill=—","Direction=H","UseDPDF=Y")</f>
        <v>23039</v>
      </c>
      <c r="M35" s="13">
        <f>_xll.BDH("XOM US Equity","OTHER_NONCURRENT_LIABS_DETAILED","FQ3 1992","FQ3 1992","Currency=USD","Period=FQ","BEST_FPERIOD_OVERRIDE=FQ","FILING_STATUS=OR","SCALING_FORMAT=MLN","Sort=A","Dates=H","DateFormat=P","Fill=—","Direction=H","UseDPDF=Y")</f>
        <v>23022</v>
      </c>
      <c r="N35" s="13">
        <f>_xll.BDH("XOM US Equity","OTHER_NONCURRENT_LIABS_DETAILED","FQ4 1992","FQ4 1992","Currency=USD","Period=FQ","BEST_FPERIOD_OVERRIDE=FQ","FILING_STATUS=OR","SCALING_FORMAT=MLN","Sort=A","Dates=H","DateFormat=P","Fill=—","Direction=H","UseDPDF=Y")</f>
        <v>19979</v>
      </c>
      <c r="O35" s="13">
        <f>_xll.BDH("XOM US Equity","OTHER_NONCURRENT_LIABS_DETAILED","FQ1 1993","FQ1 1993","Currency=USD","Period=FQ","BEST_FPERIOD_OVERRIDE=FQ","FILING_STATUS=OR","SCALING_FORMAT=MLN","Sort=A","Dates=H","DateFormat=P","Fill=—","Direction=H","UseDPDF=Y")</f>
        <v>22718</v>
      </c>
      <c r="P35" s="13">
        <f>_xll.BDH("XOM US Equity","OTHER_NONCURRENT_LIABS_DETAILED","FQ2 1993","FQ2 1993","Currency=USD","Period=FQ","BEST_FPERIOD_OVERRIDE=FQ","FILING_STATUS=OR","SCALING_FORMAT=MLN","Sort=A","Dates=H","DateFormat=P","Fill=—","Direction=H","UseDPDF=Y")</f>
        <v>22322</v>
      </c>
      <c r="Q35" s="13">
        <f>_xll.BDH("XOM US Equity","OTHER_NONCURRENT_LIABS_DETAILED","FQ3 1993","FQ3 1993","Currency=USD","Period=FQ","BEST_FPERIOD_OVERRIDE=FQ","FILING_STATUS=OR","SCALING_FORMAT=MLN","Sort=A","Dates=H","DateFormat=P","Fill=—","Direction=H","UseDPDF=Y")</f>
        <v>22092</v>
      </c>
      <c r="R35" s="13">
        <f>_xll.BDH("XOM US Equity","OTHER_NONCURRENT_LIABS_DETAILED","FQ4 1993","FQ4 1993","Currency=USD","Period=FQ","BEST_FPERIOD_OVERRIDE=FQ","FILING_STATUS=OR","SCALING_FORMAT=MLN","Sort=A","Dates=H","DateFormat=P","Fill=—","Direction=H","UseDPDF=Y")</f>
        <v>19862</v>
      </c>
      <c r="S35" s="13">
        <f>_xll.BDH("XOM US Equity","OTHER_NONCURRENT_LIABS_DETAILED","FQ1 1994","FQ1 1994","Currency=USD","Period=FQ","BEST_FPERIOD_OVERRIDE=FQ","FILING_STATUS=OR","SCALING_FORMAT=MLN","Sort=A","Dates=H","DateFormat=P","Fill=—","Direction=H","UseDPDF=Y")</f>
        <v>22275</v>
      </c>
      <c r="T35" s="13">
        <f>_xll.BDH("XOM US Equity","OTHER_NONCURRENT_LIABS_DETAILED","FQ2 1994","FQ2 1994","Currency=USD","Period=FQ","BEST_FPERIOD_OVERRIDE=FQ","FILING_STATUS=OR","SCALING_FORMAT=MLN","Sort=A","Dates=H","DateFormat=P","Fill=—","Direction=H","UseDPDF=Y")</f>
        <v>22598</v>
      </c>
      <c r="U35" s="13">
        <f>_xll.BDH("XOM US Equity","OTHER_NONCURRENT_LIABS_DETAILED","FQ3 1994","FQ3 1994","Currency=USD","Period=FQ","BEST_FPERIOD_OVERRIDE=FQ","FILING_STATUS=OR","SCALING_FORMAT=MLN","Sort=A","Dates=H","DateFormat=P","Fill=—","Direction=H","UseDPDF=Y")</f>
        <v>23085</v>
      </c>
      <c r="V35" s="13">
        <f>_xll.BDH("XOM US Equity","OTHER_NONCURRENT_LIABS_DETAILED","FQ4 1994","FQ4 1994","Currency=USD","Period=FQ","BEST_FPERIOD_OVERRIDE=FQ","FILING_STATUS=OR","SCALING_FORMAT=MLN","Sort=A","Dates=H","DateFormat=P","Fill=—","Direction=H","UseDPDF=Y")</f>
        <v>19955</v>
      </c>
      <c r="W35" s="13">
        <f>_xll.BDH("XOM US Equity","OTHER_NONCURRENT_LIABS_DETAILED","FQ1 1995","FQ1 1995","Currency=USD","Period=FQ","BEST_FPERIOD_OVERRIDE=FQ","FILING_STATUS=OR","SCALING_FORMAT=MLN","Sort=A","Dates=H","DateFormat=P","Fill=—","Direction=H","UseDPDF=Y")</f>
        <v>22946</v>
      </c>
      <c r="X35" s="13">
        <f>_xll.BDH("XOM US Equity","OTHER_NONCURRENT_LIABS_DETAILED","FQ2 1995","FQ2 1995","Currency=USD","Period=FQ","BEST_FPERIOD_OVERRIDE=FQ","FILING_STATUS=OR","SCALING_FORMAT=MLN","Sort=A","Dates=H","DateFormat=P","Fill=—","Direction=H","UseDPDF=Y")</f>
        <v>23148</v>
      </c>
      <c r="Y35" s="13">
        <f>_xll.BDH("XOM US Equity","OTHER_NONCURRENT_LIABS_DETAILED","FQ3 1995","FQ3 1995","Currency=USD","Period=FQ","BEST_FPERIOD_OVERRIDE=FQ","FILING_STATUS=OR","SCALING_FORMAT=MLN","Sort=A","Dates=H","DateFormat=P","Fill=—","Direction=H","UseDPDF=Y")</f>
        <v>23726</v>
      </c>
      <c r="Z35" s="13">
        <f>_xll.BDH("XOM US Equity","OTHER_NONCURRENT_LIABS_DETAILED","FQ4 1995","FQ4 1995","Currency=USD","Period=FQ","BEST_FPERIOD_OVERRIDE=FQ","FILING_STATUS=OR","SCALING_FORMAT=MLN","Sort=A","Dates=H","DateFormat=P","Fill=—","Direction=H","UseDPDF=Y")</f>
        <v>22176</v>
      </c>
      <c r="AA35" s="13">
        <f>_xll.BDH("XOM US Equity","OTHER_NONCURRENT_LIABS_DETAILED","FQ1 1996","FQ1 1996","Currency=USD","Period=FQ","BEST_FPERIOD_OVERRIDE=FQ","FILING_STATUS=OR","SCALING_FORMAT=MLN","Sort=A","Dates=H","DateFormat=P","Fill=—","Direction=H","UseDPDF=Y")</f>
        <v>24677</v>
      </c>
      <c r="AB35" s="13">
        <f>_xll.BDH("XOM US Equity","OTHER_NONCURRENT_LIABS_DETAILED","FQ2 1996","FQ2 1996","Currency=USD","Period=FQ","BEST_FPERIOD_OVERRIDE=FQ","FILING_STATUS=OR","SCALING_FORMAT=MLN","Sort=A","Dates=H","DateFormat=P","Fill=—","Direction=H","UseDPDF=Y")</f>
        <v>24785</v>
      </c>
      <c r="AC35" s="13">
        <f>_xll.BDH("XOM US Equity","OTHER_NONCURRENT_LIABS_DETAILED","FQ3 1996","FQ3 1996","Currency=USD","Period=FQ","BEST_FPERIOD_OVERRIDE=FQ","FILING_STATUS=OR","SCALING_FORMAT=MLN","Sort=A","Dates=H","DateFormat=P","Fill=—","Direction=H","UseDPDF=Y")</f>
        <v>24755</v>
      </c>
      <c r="AD35" s="13">
        <f>_xll.BDH("XOM US Equity","OTHER_NONCURRENT_LIABS_DETAILED","FQ4 1996","FQ4 1996","Currency=USD","Period=FQ","BEST_FPERIOD_OVERRIDE=FQ","FILING_STATUS=OR","SCALING_FORMAT=MLN","Sort=A","Dates=H","DateFormat=P","Fill=—","Direction=H","UseDPDF=Y")</f>
        <v>23330</v>
      </c>
      <c r="AE35" s="13">
        <f>_xll.BDH("XOM US Equity","OTHER_NONCURRENT_LIABS_DETAILED","FQ1 1997","FQ1 1997","Currency=USD","Period=FQ","BEST_FPERIOD_OVERRIDE=FQ","FILING_STATUS=OR","SCALING_FORMAT=MLN","Sort=A","Dates=H","DateFormat=P","Fill=—","Direction=H","UseDPDF=Y")</f>
        <v>25625</v>
      </c>
      <c r="AF35" s="13">
        <f>_xll.BDH("XOM US Equity","OTHER_NONCURRENT_LIABS_DETAILED","FQ2 1997","FQ2 1997","Currency=USD","Period=FQ","BEST_FPERIOD_OVERRIDE=FQ","FILING_STATUS=OR","SCALING_FORMAT=MLN","Sort=A","Dates=H","DateFormat=P","Fill=—","Direction=H","UseDPDF=Y")</f>
        <v>25332</v>
      </c>
      <c r="AG35" s="13">
        <f>_xll.BDH("XOM US Equity","OTHER_NONCURRENT_LIABS_DETAILED","FQ3 1997","FQ3 1997","Currency=USD","Period=FQ","BEST_FPERIOD_OVERRIDE=FQ","FILING_STATUS=OR","SCALING_FORMAT=MLN","Sort=A","Dates=H","DateFormat=P","Fill=—","Direction=H","UseDPDF=Y")</f>
        <v>26236</v>
      </c>
      <c r="AH35" s="13">
        <f>_xll.BDH("XOM US Equity","OTHER_NONCURRENT_LIABS_DETAILED","FQ4 1997","FQ4 1997","Currency=USD","Period=FQ","BEST_FPERIOD_OVERRIDE=FQ","FILING_STATUS=OR","SCALING_FORMAT=MLN","Sort=A","Dates=H","DateFormat=P","Fill=—","Direction=H","UseDPDF=Y")</f>
        <v>23329</v>
      </c>
      <c r="AI35" s="13">
        <f>_xll.BDH("XOM US Equity","OTHER_NONCURRENT_LIABS_DETAILED","FQ1 1998","FQ1 1998","Currency=USD","Period=FQ","BEST_FPERIOD_OVERRIDE=FQ","FILING_STATUS=OR","SCALING_FORMAT=MLN","Sort=A","Dates=H","DateFormat=P","Fill=—","Direction=H","UseDPDF=Y")</f>
        <v>25555</v>
      </c>
      <c r="AJ35" s="13">
        <f>_xll.BDH("XOM US Equity","OTHER_NONCURRENT_LIABS_DETAILED","FQ2 1998","FQ2 1998","Currency=USD","Period=FQ","BEST_FPERIOD_OVERRIDE=FQ","FILING_STATUS=OR","SCALING_FORMAT=MLN","Sort=A","Dates=H","DateFormat=P","Fill=—","Direction=H","UseDPDF=Y")</f>
        <v>25400</v>
      </c>
    </row>
    <row r="36" spans="1:36" x14ac:dyDescent="0.25">
      <c r="A36" s="6" t="s">
        <v>201</v>
      </c>
      <c r="B36" s="6" t="s">
        <v>202</v>
      </c>
      <c r="C36" s="16">
        <f>_xll.BDH("XOM US Equity","NON_CUR_LIAB","FQ1 1990","FQ1 1990","Currency=USD","Period=FQ","BEST_FPERIOD_OVERRIDE=FQ","FILING_STATUS=OR","SCALING_FORMAT=MLN","Sort=A","Dates=H","DateFormat=P","Fill=—","Direction=H","UseDPDF=Y")</f>
        <v>30752</v>
      </c>
      <c r="D36" s="16">
        <f>_xll.BDH("XOM US Equity","NON_CUR_LIAB","FQ2 1990","FQ2 1990","Currency=USD","Period=FQ","BEST_FPERIOD_OVERRIDE=FQ","FILING_STATUS=OR","SCALING_FORMAT=MLN","Sort=A","Dates=H","DateFormat=P","Fill=—","Direction=H","UseDPDF=Y")</f>
        <v>30650</v>
      </c>
      <c r="E36" s="16">
        <f>_xll.BDH("XOM US Equity","NON_CUR_LIAB","FQ3 1990","FQ3 1990","Currency=USD","Period=FQ","BEST_FPERIOD_OVERRIDE=FQ","FILING_STATUS=OR","SCALING_FORMAT=MLN","Sort=A","Dates=H","DateFormat=P","Fill=—","Direction=H","UseDPDF=Y")</f>
        <v>30612</v>
      </c>
      <c r="F36" s="16">
        <f>_xll.BDH("XOM US Equity","NON_CUR_LIAB","FQ4 1990","FQ4 1990","Currency=USD","Period=FQ","BEST_FPERIOD_OVERRIDE=FQ","FILING_STATUS=OR","SCALING_FORMAT=MLN","Sort=A","Dates=H","DateFormat=P","Fill=—","Direction=H","UseDPDF=Y")</f>
        <v>27677</v>
      </c>
      <c r="G36" s="16">
        <f>_xll.BDH("XOM US Equity","NON_CUR_LIAB","FQ1 1991","FQ1 1991","Currency=USD","Period=FQ","BEST_FPERIOD_OVERRIDE=FQ","FILING_STATUS=OR","SCALING_FORMAT=MLN","Sort=A","Dates=H","DateFormat=P","Fill=—","Direction=H","UseDPDF=Y")</f>
        <v>30633</v>
      </c>
      <c r="H36" s="16">
        <f>_xll.BDH("XOM US Equity","NON_CUR_LIAB","FQ2 1991","FQ2 1991","Currency=USD","Period=FQ","BEST_FPERIOD_OVERRIDE=FQ","FILING_STATUS=OR","SCALING_FORMAT=MLN","Sort=A","Dates=H","DateFormat=P","Fill=—","Direction=H","UseDPDF=Y")</f>
        <v>30482</v>
      </c>
      <c r="I36" s="16">
        <f>_xll.BDH("XOM US Equity","NON_CUR_LIAB","FQ3 1991","FQ3 1991","Currency=USD","Period=FQ","BEST_FPERIOD_OVERRIDE=FQ","FILING_STATUS=OR","SCALING_FORMAT=MLN","Sort=A","Dates=H","DateFormat=P","Fill=—","Direction=H","UseDPDF=Y")</f>
        <v>31355</v>
      </c>
      <c r="J36" s="16">
        <f>_xll.BDH("XOM US Equity","NON_CUR_LIAB","FQ4 1991","FQ4 1991","Currency=USD","Period=FQ","BEST_FPERIOD_OVERRIDE=FQ","FILING_STATUS=OR","SCALING_FORMAT=MLN","Sort=A","Dates=H","DateFormat=P","Fill=—","Direction=H","UseDPDF=Y")</f>
        <v>28812</v>
      </c>
      <c r="K36" s="16">
        <f>_xll.BDH("XOM US Equity","NON_CUR_LIAB","FQ1 1992","FQ1 1992","Currency=USD","Period=FQ","BEST_FPERIOD_OVERRIDE=FQ","FILING_STATUS=OR","SCALING_FORMAT=MLN","Sort=A","Dates=H","DateFormat=P","Fill=—","Direction=H","UseDPDF=Y")</f>
        <v>31270</v>
      </c>
      <c r="L36" s="16">
        <f>_xll.BDH("XOM US Equity","NON_CUR_LIAB","FQ2 1992","FQ2 1992","Currency=USD","Period=FQ","BEST_FPERIOD_OVERRIDE=FQ","FILING_STATUS=OR","SCALING_FORMAT=MLN","Sort=A","Dates=H","DateFormat=P","Fill=—","Direction=H","UseDPDF=Y")</f>
        <v>31524</v>
      </c>
      <c r="M36" s="16">
        <f>_xll.BDH("XOM US Equity","NON_CUR_LIAB","FQ3 1992","FQ3 1992","Currency=USD","Period=FQ","BEST_FPERIOD_OVERRIDE=FQ","FILING_STATUS=OR","SCALING_FORMAT=MLN","Sort=A","Dates=H","DateFormat=P","Fill=—","Direction=H","UseDPDF=Y")</f>
        <v>31901</v>
      </c>
      <c r="N36" s="16">
        <f>_xll.BDH("XOM US Equity","NON_CUR_LIAB","FQ4 1992","FQ4 1992","Currency=USD","Period=FQ","BEST_FPERIOD_OVERRIDE=FQ","FILING_STATUS=OR","SCALING_FORMAT=MLN","Sort=A","Dates=H","DateFormat=P","Fill=—","Direction=H","UseDPDF=Y")</f>
        <v>28616</v>
      </c>
      <c r="O36" s="16">
        <f>_xll.BDH("XOM US Equity","NON_CUR_LIAB","FQ1 1993","FQ1 1993","Currency=USD","Period=FQ","BEST_FPERIOD_OVERRIDE=FQ","FILING_STATUS=OR","SCALING_FORMAT=MLN","Sort=A","Dates=H","DateFormat=P","Fill=—","Direction=H","UseDPDF=Y")</f>
        <v>31573</v>
      </c>
      <c r="P36" s="16">
        <f>_xll.BDH("XOM US Equity","NON_CUR_LIAB","FQ2 1993","FQ2 1993","Currency=USD","Period=FQ","BEST_FPERIOD_OVERRIDE=FQ","FILING_STATUS=OR","SCALING_FORMAT=MLN","Sort=A","Dates=H","DateFormat=P","Fill=—","Direction=H","UseDPDF=Y")</f>
        <v>31014</v>
      </c>
      <c r="Q36" s="16">
        <f>_xll.BDH("XOM US Equity","NON_CUR_LIAB","FQ3 1993","FQ3 1993","Currency=USD","Period=FQ","BEST_FPERIOD_OVERRIDE=FQ","FILING_STATUS=OR","SCALING_FORMAT=MLN","Sort=A","Dates=H","DateFormat=P","Fill=—","Direction=H","UseDPDF=Y")</f>
        <v>30873</v>
      </c>
      <c r="R36" s="16">
        <f>_xll.BDH("XOM US Equity","NON_CUR_LIAB","FQ4 1993","FQ4 1993","Currency=USD","Period=FQ","BEST_FPERIOD_OVERRIDE=FQ","FILING_STATUS=OR","SCALING_FORMAT=MLN","Sort=A","Dates=H","DateFormat=P","Fill=—","Direction=H","UseDPDF=Y")</f>
        <v>28368</v>
      </c>
      <c r="S36" s="16">
        <f>_xll.BDH("XOM US Equity","NON_CUR_LIAB","FQ1 1994","FQ1 1994","Currency=USD","Period=FQ","BEST_FPERIOD_OVERRIDE=FQ","FILING_STATUS=OR","SCALING_FORMAT=MLN","Sort=A","Dates=H","DateFormat=P","Fill=—","Direction=H","UseDPDF=Y")</f>
        <v>30987</v>
      </c>
      <c r="T36" s="16">
        <f>_xll.BDH("XOM US Equity","NON_CUR_LIAB","FQ2 1994","FQ2 1994","Currency=USD","Period=FQ","BEST_FPERIOD_OVERRIDE=FQ","FILING_STATUS=OR","SCALING_FORMAT=MLN","Sort=A","Dates=H","DateFormat=P","Fill=—","Direction=H","UseDPDF=Y")</f>
        <v>31352</v>
      </c>
      <c r="U36" s="16">
        <f>_xll.BDH("XOM US Equity","NON_CUR_LIAB","FQ3 1994","FQ3 1994","Currency=USD","Period=FQ","BEST_FPERIOD_OVERRIDE=FQ","FILING_STATUS=OR","SCALING_FORMAT=MLN","Sort=A","Dates=H","DateFormat=P","Fill=—","Direction=H","UseDPDF=Y")</f>
        <v>32021</v>
      </c>
      <c r="V36" s="16">
        <f>_xll.BDH("XOM US Equity","NON_CUR_LIAB","FQ4 1994","FQ4 1994","Currency=USD","Period=FQ","BEST_FPERIOD_OVERRIDE=FQ","FILING_STATUS=OR","SCALING_FORMAT=MLN","Sort=A","Dates=H","DateFormat=P","Fill=—","Direction=H","UseDPDF=Y")</f>
        <v>28786</v>
      </c>
      <c r="W36" s="16">
        <f>_xll.BDH("XOM US Equity","NON_CUR_LIAB","FQ1 1995","FQ1 1995","Currency=USD","Period=FQ","BEST_FPERIOD_OVERRIDE=FQ","FILING_STATUS=OR","SCALING_FORMAT=MLN","Sort=A","Dates=H","DateFormat=P","Fill=—","Direction=H","UseDPDF=Y")</f>
        <v>32124</v>
      </c>
      <c r="X36" s="16">
        <f>_xll.BDH("XOM US Equity","NON_CUR_LIAB","FQ2 1995","FQ2 1995","Currency=USD","Period=FQ","BEST_FPERIOD_OVERRIDE=FQ","FILING_STATUS=OR","SCALING_FORMAT=MLN","Sort=A","Dates=H","DateFormat=P","Fill=—","Direction=H","UseDPDF=Y")</f>
        <v>31698</v>
      </c>
      <c r="Y36" s="16">
        <f>_xll.BDH("XOM US Equity","NON_CUR_LIAB","FQ3 1995","FQ3 1995","Currency=USD","Period=FQ","BEST_FPERIOD_OVERRIDE=FQ","FILING_STATUS=OR","SCALING_FORMAT=MLN","Sort=A","Dates=H","DateFormat=P","Fill=—","Direction=H","UseDPDF=Y")</f>
        <v>32088</v>
      </c>
      <c r="Z36" s="16">
        <f>_xll.BDH("XOM US Equity","NON_CUR_LIAB","FQ4 1995","FQ4 1995","Currency=USD","Period=FQ","BEST_FPERIOD_OVERRIDE=FQ","FILING_STATUS=OR","SCALING_FORMAT=MLN","Sort=A","Dates=H","DateFormat=P","Fill=—","Direction=H","UseDPDF=Y")</f>
        <v>29954</v>
      </c>
      <c r="AA36" s="16">
        <f>_xll.BDH("XOM US Equity","NON_CUR_LIAB","FQ1 1996","FQ1 1996","Currency=USD","Period=FQ","BEST_FPERIOD_OVERRIDE=FQ","FILING_STATUS=OR","SCALING_FORMAT=MLN","Sort=A","Dates=H","DateFormat=P","Fill=—","Direction=H","UseDPDF=Y")</f>
        <v>32356</v>
      </c>
      <c r="AB36" s="16">
        <f>_xll.BDH("XOM US Equity","NON_CUR_LIAB","FQ2 1996","FQ2 1996","Currency=USD","Period=FQ","BEST_FPERIOD_OVERRIDE=FQ","FILING_STATUS=OR","SCALING_FORMAT=MLN","Sort=A","Dates=H","DateFormat=P","Fill=—","Direction=H","UseDPDF=Y")</f>
        <v>32351</v>
      </c>
      <c r="AC36" s="16">
        <f>_xll.BDH("XOM US Equity","NON_CUR_LIAB","FQ3 1996","FQ3 1996","Currency=USD","Period=FQ","BEST_FPERIOD_OVERRIDE=FQ","FILING_STATUS=OR","SCALING_FORMAT=MLN","Sort=A","Dates=H","DateFormat=P","Fill=—","Direction=H","UseDPDF=Y")</f>
        <v>31979</v>
      </c>
      <c r="AD36" s="16">
        <f>_xll.BDH("XOM US Equity","NON_CUR_LIAB","FQ4 1996","FQ4 1996","Currency=USD","Period=FQ","BEST_FPERIOD_OVERRIDE=FQ","FILING_STATUS=OR","SCALING_FORMAT=MLN","Sort=A","Dates=H","DateFormat=P","Fill=—","Direction=H","UseDPDF=Y")</f>
        <v>30566</v>
      </c>
      <c r="AE36" s="16">
        <f>_xll.BDH("XOM US Equity","NON_CUR_LIAB","FQ1 1997","FQ1 1997","Currency=USD","Period=FQ","BEST_FPERIOD_OVERRIDE=FQ","FILING_STATUS=OR","SCALING_FORMAT=MLN","Sort=A","Dates=H","DateFormat=P","Fill=—","Direction=H","UseDPDF=Y")</f>
        <v>32848</v>
      </c>
      <c r="AF36" s="16">
        <f>_xll.BDH("XOM US Equity","NON_CUR_LIAB","FQ2 1997","FQ2 1997","Currency=USD","Period=FQ","BEST_FPERIOD_OVERRIDE=FQ","FILING_STATUS=OR","SCALING_FORMAT=MLN","Sort=A","Dates=H","DateFormat=P","Fill=—","Direction=H","UseDPDF=Y")</f>
        <v>32373</v>
      </c>
      <c r="AG36" s="16">
        <f>_xll.BDH("XOM US Equity","NON_CUR_LIAB","FQ3 1997","FQ3 1997","Currency=USD","Period=FQ","BEST_FPERIOD_OVERRIDE=FQ","FILING_STATUS=OR","SCALING_FORMAT=MLN","Sort=A","Dates=H","DateFormat=P","Fill=—","Direction=H","UseDPDF=Y")</f>
        <v>33517</v>
      </c>
      <c r="AH36" s="16">
        <f>_xll.BDH("XOM US Equity","NON_CUR_LIAB","FQ4 1997","FQ4 1997","Currency=USD","Period=FQ","BEST_FPERIOD_OVERRIDE=FQ","FILING_STATUS=OR","SCALING_FORMAT=MLN","Sort=A","Dates=H","DateFormat=P","Fill=—","Direction=H","UseDPDF=Y")</f>
        <v>30379</v>
      </c>
      <c r="AI36" s="16">
        <f>_xll.BDH("XOM US Equity","NON_CUR_LIAB","FQ1 1998","FQ1 1998","Currency=USD","Period=FQ","BEST_FPERIOD_OVERRIDE=FQ","FILING_STATUS=OR","SCALING_FORMAT=MLN","Sort=A","Dates=H","DateFormat=P","Fill=—","Direction=H","UseDPDF=Y")</f>
        <v>32632</v>
      </c>
      <c r="AJ36" s="16">
        <f>_xll.BDH("XOM US Equity","NON_CUR_LIAB","FQ2 1998","FQ2 1998","Currency=USD","Period=FQ","BEST_FPERIOD_OVERRIDE=FQ","FILING_STATUS=OR","SCALING_FORMAT=MLN","Sort=A","Dates=H","DateFormat=P","Fill=—","Direction=H","UseDPDF=Y")</f>
        <v>32327</v>
      </c>
    </row>
    <row r="37" spans="1:36" x14ac:dyDescent="0.25">
      <c r="A37" s="6" t="s">
        <v>203</v>
      </c>
      <c r="B37" s="6" t="s">
        <v>204</v>
      </c>
      <c r="C37" s="16">
        <f>_xll.BDH("XOM US Equity","BS_TOT_LIAB2","FQ1 1990","FQ1 1990","Currency=USD","Period=FQ","BEST_FPERIOD_OVERRIDE=FQ","FILING_STATUS=OR","SCALING_FORMAT=MLN","Sort=A","Dates=H","DateFormat=P","Fill=—","Direction=H","UseDPDF=Y")</f>
        <v>51746</v>
      </c>
      <c r="D37" s="16">
        <f>_xll.BDH("XOM US Equity","BS_TOT_LIAB2","FQ2 1990","FQ2 1990","Currency=USD","Period=FQ","BEST_FPERIOD_OVERRIDE=FQ","FILING_STATUS=OR","SCALING_FORMAT=MLN","Sort=A","Dates=H","DateFormat=P","Fill=—","Direction=H","UseDPDF=Y")</f>
        <v>51376</v>
      </c>
      <c r="E37" s="16">
        <f>_xll.BDH("XOM US Equity","BS_TOT_LIAB2","FQ3 1990","FQ3 1990","Currency=USD","Period=FQ","BEST_FPERIOD_OVERRIDE=FQ","FILING_STATUS=OR","SCALING_FORMAT=MLN","Sort=A","Dates=H","DateFormat=P","Fill=—","Direction=H","UseDPDF=Y")</f>
        <v>53902</v>
      </c>
      <c r="F37" s="16">
        <f>_xll.BDH("XOM US Equity","BS_TOT_LIAB2","FQ4 1990","FQ4 1990","Currency=USD","Period=FQ","BEST_FPERIOD_OVERRIDE=FQ","FILING_STATUS=OR","SCALING_FORMAT=MLN","Sort=A","Dates=H","DateFormat=P","Fill=—","Direction=H","UseDPDF=Y")</f>
        <v>51702</v>
      </c>
      <c r="G37" s="16">
        <f>_xll.BDH("XOM US Equity","BS_TOT_LIAB2","FQ1 1991","FQ1 1991","Currency=USD","Period=FQ","BEST_FPERIOD_OVERRIDE=FQ","FILING_STATUS=OR","SCALING_FORMAT=MLN","Sort=A","Dates=H","DateFormat=P","Fill=—","Direction=H","UseDPDF=Y")</f>
        <v>50624</v>
      </c>
      <c r="H37" s="16">
        <f>_xll.BDH("XOM US Equity","BS_TOT_LIAB2","FQ2 1991","FQ2 1991","Currency=USD","Period=FQ","BEST_FPERIOD_OVERRIDE=FQ","FILING_STATUS=OR","SCALING_FORMAT=MLN","Sort=A","Dates=H","DateFormat=P","Fill=—","Direction=H","UseDPDF=Y")</f>
        <v>48945</v>
      </c>
      <c r="I37" s="16">
        <f>_xll.BDH("XOM US Equity","BS_TOT_LIAB2","FQ3 1991","FQ3 1991","Currency=USD","Period=FQ","BEST_FPERIOD_OVERRIDE=FQ","FILING_STATUS=OR","SCALING_FORMAT=MLN","Sort=A","Dates=H","DateFormat=P","Fill=—","Direction=H","UseDPDF=Y")</f>
        <v>50705</v>
      </c>
      <c r="J37" s="16">
        <f>_xll.BDH("XOM US Equity","BS_TOT_LIAB2","FQ4 1991","FQ4 1991","Currency=USD","Period=FQ","BEST_FPERIOD_OVERRIDE=FQ","FILING_STATUS=OR","SCALING_FORMAT=MLN","Sort=A","Dates=H","DateFormat=P","Fill=—","Direction=H","UseDPDF=Y")</f>
        <v>49666</v>
      </c>
      <c r="K37" s="16">
        <f>_xll.BDH("XOM US Equity","BS_TOT_LIAB2","FQ1 1992","FQ1 1992","Currency=USD","Period=FQ","BEST_FPERIOD_OVERRIDE=FQ","FILING_STATUS=OR","SCALING_FORMAT=MLN","Sort=A","Dates=H","DateFormat=P","Fill=—","Direction=H","UseDPDF=Y")</f>
        <v>50264</v>
      </c>
      <c r="L37" s="16">
        <f>_xll.BDH("XOM US Equity","BS_TOT_LIAB2","FQ2 1992","FQ2 1992","Currency=USD","Period=FQ","BEST_FPERIOD_OVERRIDE=FQ","FILING_STATUS=OR","SCALING_FORMAT=MLN","Sort=A","Dates=H","DateFormat=P","Fill=—","Direction=H","UseDPDF=Y")</f>
        <v>51942</v>
      </c>
      <c r="M37" s="16">
        <f>_xll.BDH("XOM US Equity","BS_TOT_LIAB2","FQ3 1992","FQ3 1992","Currency=USD","Period=FQ","BEST_FPERIOD_OVERRIDE=FQ","FILING_STATUS=OR","SCALING_FORMAT=MLN","Sort=A","Dates=H","DateFormat=P","Fill=—","Direction=H","UseDPDF=Y")</f>
        <v>52203</v>
      </c>
      <c r="N37" s="16">
        <f>_xll.BDH("XOM US Equity","BS_TOT_LIAB2","FQ4 1992","FQ4 1992","Currency=USD","Period=FQ","BEST_FPERIOD_OVERRIDE=FQ","FILING_STATUS=OR","SCALING_FORMAT=MLN","Sort=A","Dates=H","DateFormat=P","Fill=—","Direction=H","UseDPDF=Y")</f>
        <v>48279</v>
      </c>
      <c r="O37" s="16">
        <f>_xll.BDH("XOM US Equity","BS_TOT_LIAB2","FQ1 1993","FQ1 1993","Currency=USD","Period=FQ","BEST_FPERIOD_OVERRIDE=FQ","FILING_STATUS=OR","SCALING_FORMAT=MLN","Sort=A","Dates=H","DateFormat=P","Fill=—","Direction=H","UseDPDF=Y")</f>
        <v>50620</v>
      </c>
      <c r="P37" s="16">
        <f>_xll.BDH("XOM US Equity","BS_TOT_LIAB2","FQ2 1993","FQ2 1993","Currency=USD","Period=FQ","BEST_FPERIOD_OVERRIDE=FQ","FILING_STATUS=OR","SCALING_FORMAT=MLN","Sort=A","Dates=H","DateFormat=P","Fill=—","Direction=H","UseDPDF=Y")</f>
        <v>50199</v>
      </c>
      <c r="Q37" s="16">
        <f>_xll.BDH("XOM US Equity","BS_TOT_LIAB2","FQ3 1993","FQ3 1993","Currency=USD","Period=FQ","BEST_FPERIOD_OVERRIDE=FQ","FILING_STATUS=OR","SCALING_FORMAT=MLN","Sort=A","Dates=H","DateFormat=P","Fill=—","Direction=H","UseDPDF=Y")</f>
        <v>50339</v>
      </c>
      <c r="R37" s="16">
        <f>_xll.BDH("XOM US Equity","BS_TOT_LIAB2","FQ4 1993","FQ4 1993","Currency=USD","Period=FQ","BEST_FPERIOD_OVERRIDE=FQ","FILING_STATUS=OR","SCALING_FORMAT=MLN","Sort=A","Dates=H","DateFormat=P","Fill=—","Direction=H","UseDPDF=Y")</f>
        <v>46958</v>
      </c>
      <c r="S37" s="16">
        <f>_xll.BDH("XOM US Equity","BS_TOT_LIAB2","FQ1 1994","FQ1 1994","Currency=USD","Period=FQ","BEST_FPERIOD_OVERRIDE=FQ","FILING_STATUS=OR","SCALING_FORMAT=MLN","Sort=A","Dates=H","DateFormat=P","Fill=—","Direction=H","UseDPDF=Y")</f>
        <v>49401</v>
      </c>
      <c r="T37" s="16">
        <f>_xll.BDH("XOM US Equity","BS_TOT_LIAB2","FQ2 1994","FQ2 1994","Currency=USD","Period=FQ","BEST_FPERIOD_OVERRIDE=FQ","FILING_STATUS=OR","SCALING_FORMAT=MLN","Sort=A","Dates=H","DateFormat=P","Fill=—","Direction=H","UseDPDF=Y")</f>
        <v>50241</v>
      </c>
      <c r="U37" s="16">
        <f>_xll.BDH("XOM US Equity","BS_TOT_LIAB2","FQ3 1994","FQ3 1994","Currency=USD","Period=FQ","BEST_FPERIOD_OVERRIDE=FQ","FILING_STATUS=OR","SCALING_FORMAT=MLN","Sort=A","Dates=H","DateFormat=P","Fill=—","Direction=H","UseDPDF=Y")</f>
        <v>51274</v>
      </c>
      <c r="V37" s="16">
        <f>_xll.BDH("XOM US Equity","BS_TOT_LIAB2","FQ4 1994","FQ4 1994","Currency=USD","Period=FQ","BEST_FPERIOD_OVERRIDE=FQ","FILING_STATUS=OR","SCALING_FORMAT=MLN","Sort=A","Dates=H","DateFormat=P","Fill=—","Direction=H","UseDPDF=Y")</f>
        <v>48279</v>
      </c>
      <c r="W37" s="16">
        <f>_xll.BDH("XOM US Equity","BS_TOT_LIAB2","FQ1 1995","FQ1 1995","Currency=USD","Period=FQ","BEST_FPERIOD_OVERRIDE=FQ","FILING_STATUS=OR","SCALING_FORMAT=MLN","Sort=A","Dates=H","DateFormat=P","Fill=—","Direction=H","UseDPDF=Y")</f>
        <v>52089</v>
      </c>
      <c r="X37" s="16">
        <f>_xll.BDH("XOM US Equity","BS_TOT_LIAB2","FQ2 1995","FQ2 1995","Currency=USD","Period=FQ","BEST_FPERIOD_OVERRIDE=FQ","FILING_STATUS=OR","SCALING_FORMAT=MLN","Sort=A","Dates=H","DateFormat=P","Fill=—","Direction=H","UseDPDF=Y")</f>
        <v>51159</v>
      </c>
      <c r="Y37" s="16">
        <f>_xll.BDH("XOM US Equity","BS_TOT_LIAB2","FQ3 1995","FQ3 1995","Currency=USD","Period=FQ","BEST_FPERIOD_OVERRIDE=FQ","FILING_STATUS=OR","SCALING_FORMAT=MLN","Sort=A","Dates=H","DateFormat=P","Fill=—","Direction=H","UseDPDF=Y")</f>
        <v>50671</v>
      </c>
      <c r="Z37" s="16">
        <f>_xll.BDH("XOM US Equity","BS_TOT_LIAB2","FQ4 1995","FQ4 1995","Currency=USD","Period=FQ","BEST_FPERIOD_OVERRIDE=FQ","FILING_STATUS=OR","SCALING_FORMAT=MLN","Sort=A","Dates=H","DateFormat=P","Fill=—","Direction=H","UseDPDF=Y")</f>
        <v>48690</v>
      </c>
      <c r="AA37" s="16">
        <f>_xll.BDH("XOM US Equity","BS_TOT_LIAB2","FQ1 1996","FQ1 1996","Currency=USD","Period=FQ","BEST_FPERIOD_OVERRIDE=FQ","FILING_STATUS=OR","SCALING_FORMAT=MLN","Sort=A","Dates=H","DateFormat=P","Fill=—","Direction=H","UseDPDF=Y")</f>
        <v>51557</v>
      </c>
      <c r="AB37" s="16">
        <f>_xll.BDH("XOM US Equity","BS_TOT_LIAB2","FQ2 1996","FQ2 1996","Currency=USD","Period=FQ","BEST_FPERIOD_OVERRIDE=FQ","FILING_STATUS=OR","SCALING_FORMAT=MLN","Sort=A","Dates=H","DateFormat=P","Fill=—","Direction=H","UseDPDF=Y")</f>
        <v>51018</v>
      </c>
      <c r="AC37" s="16">
        <f>_xll.BDH("XOM US Equity","BS_TOT_LIAB2","FQ3 1996","FQ3 1996","Currency=USD","Period=FQ","BEST_FPERIOD_OVERRIDE=FQ","FILING_STATUS=OR","SCALING_FORMAT=MLN","Sort=A","Dates=H","DateFormat=P","Fill=—","Direction=H","UseDPDF=Y")</f>
        <v>51677</v>
      </c>
      <c r="AD37" s="16">
        <f>_xll.BDH("XOM US Equity","BS_TOT_LIAB2","FQ4 1996","FQ4 1996","Currency=USD","Period=FQ","BEST_FPERIOD_OVERRIDE=FQ","FILING_STATUS=OR","SCALING_FORMAT=MLN","Sort=A","Dates=H","DateFormat=P","Fill=—","Direction=H","UseDPDF=Y")</f>
        <v>50071</v>
      </c>
      <c r="AE37" s="16">
        <f>_xll.BDH("XOM US Equity","BS_TOT_LIAB2","FQ1 1997","FQ1 1997","Currency=USD","Period=FQ","BEST_FPERIOD_OVERRIDE=FQ","FILING_STATUS=OR","SCALING_FORMAT=MLN","Sort=A","Dates=H","DateFormat=P","Fill=—","Direction=H","UseDPDF=Y")</f>
        <v>51977</v>
      </c>
      <c r="AF37" s="16">
        <f>_xll.BDH("XOM US Equity","BS_TOT_LIAB2","FQ2 1997","FQ2 1997","Currency=USD","Period=FQ","BEST_FPERIOD_OVERRIDE=FQ","FILING_STATUS=OR","SCALING_FORMAT=MLN","Sort=A","Dates=H","DateFormat=P","Fill=—","Direction=H","UseDPDF=Y")</f>
        <v>51105</v>
      </c>
      <c r="AG37" s="16">
        <f>_xll.BDH("XOM US Equity","BS_TOT_LIAB2","FQ3 1997","FQ3 1997","Currency=USD","Period=FQ","BEST_FPERIOD_OVERRIDE=FQ","FILING_STATUS=OR","SCALING_FORMAT=MLN","Sort=A","Dates=H","DateFormat=P","Fill=—","Direction=H","UseDPDF=Y")</f>
        <v>53767</v>
      </c>
      <c r="AH37" s="16">
        <f>_xll.BDH("XOM US Equity","BS_TOT_LIAB2","FQ4 1997","FQ4 1997","Currency=USD","Period=FQ","BEST_FPERIOD_OVERRIDE=FQ","FILING_STATUS=OR","SCALING_FORMAT=MLN","Sort=A","Dates=H","DateFormat=P","Fill=—","Direction=H","UseDPDF=Y")</f>
        <v>50033</v>
      </c>
      <c r="AI37" s="16">
        <f>_xll.BDH("XOM US Equity","BS_TOT_LIAB2","FQ1 1998","FQ1 1998","Currency=USD","Period=FQ","BEST_FPERIOD_OVERRIDE=FQ","FILING_STATUS=OR","SCALING_FORMAT=MLN","Sort=A","Dates=H","DateFormat=P","Fill=—","Direction=H","UseDPDF=Y")</f>
        <v>51208</v>
      </c>
      <c r="AJ37" s="16">
        <f>_xll.BDH("XOM US Equity","BS_TOT_LIAB2","FQ2 1998","FQ2 1998","Currency=USD","Period=FQ","BEST_FPERIOD_OVERRIDE=FQ","FILING_STATUS=OR","SCALING_FORMAT=MLN","Sort=A","Dates=H","DateFormat=P","Fill=—","Direction=H","UseDPDF=Y")</f>
        <v>49859</v>
      </c>
    </row>
    <row r="38" spans="1:36" x14ac:dyDescent="0.25">
      <c r="A38" s="10" t="s">
        <v>205</v>
      </c>
      <c r="B38" s="10" t="s">
        <v>206</v>
      </c>
      <c r="C38" s="13">
        <f>_xll.BDH("XOM US Equity","BS_PFD_EQTY_&amp;_HYBRID_CPTL","FQ1 1990","FQ1 1990","Currency=USD","Period=FQ","BEST_FPERIOD_OVERRIDE=FQ","FILING_STATUS=OR","SCALING_FORMAT=MLN","Sort=A","Dates=H","DateFormat=P","Fill=—","Direction=H","UseDPDF=Y")</f>
        <v>6</v>
      </c>
      <c r="D38" s="13">
        <f>_xll.BDH("XOM US Equity","BS_PFD_EQTY_&amp;_HYBRID_CPTL","FQ2 1990","FQ2 1990","Currency=USD","Period=FQ","BEST_FPERIOD_OVERRIDE=FQ","FILING_STATUS=OR","SCALING_FORMAT=MLN","Sort=A","Dates=H","DateFormat=P","Fill=—","Direction=H","UseDPDF=Y")</f>
        <v>58</v>
      </c>
      <c r="E38" s="13">
        <f>_xll.BDH("XOM US Equity","BS_PFD_EQTY_&amp;_HYBRID_CPTL","FQ3 1990","FQ3 1990","Currency=USD","Period=FQ","BEST_FPERIOD_OVERRIDE=FQ","FILING_STATUS=OR","SCALING_FORMAT=MLN","Sort=A","Dates=H","DateFormat=P","Fill=—","Direction=H","UseDPDF=Y")</f>
        <v>44</v>
      </c>
      <c r="F38" s="13">
        <f>_xll.BDH("XOM US Equity","BS_PFD_EQTY_&amp;_HYBRID_CPTL","FQ4 1990","FQ4 1990","Currency=USD","Period=FQ","BEST_FPERIOD_OVERRIDE=FQ","FILING_STATUS=OR","SCALING_FORMAT=MLN","Sort=A","Dates=H","DateFormat=P","Fill=—","Direction=H","UseDPDF=Y")</f>
        <v>30</v>
      </c>
      <c r="G38" s="13">
        <f>_xll.BDH("XOM US Equity","BS_PFD_EQTY_&amp;_HYBRID_CPTL","FQ1 1991","FQ1 1991","Currency=USD","Period=FQ","BEST_FPERIOD_OVERRIDE=FQ","FILING_STATUS=OR","SCALING_FORMAT=MLN","Sort=A","Dates=H","DateFormat=P","Fill=—","Direction=H","UseDPDF=Y")</f>
        <v>940</v>
      </c>
      <c r="H38" s="13">
        <f>_xll.BDH("XOM US Equity","BS_PFD_EQTY_&amp;_HYBRID_CPTL","FQ2 1991","FQ2 1991","Currency=USD","Period=FQ","BEST_FPERIOD_OVERRIDE=FQ","FILING_STATUS=OR","SCALING_FORMAT=MLN","Sort=A","Dates=H","DateFormat=P","Fill=—","Direction=H","UseDPDF=Y")</f>
        <v>4</v>
      </c>
      <c r="I38" s="13">
        <f>_xll.BDH("XOM US Equity","BS_PFD_EQTY_&amp;_HYBRID_CPTL","FQ3 1991","FQ3 1991","Currency=USD","Period=FQ","BEST_FPERIOD_OVERRIDE=FQ","FILING_STATUS=OR","SCALING_FORMAT=MLN","Sort=A","Dates=H","DateFormat=P","Fill=—","Direction=H","UseDPDF=Y")</f>
        <v>895</v>
      </c>
      <c r="J38" s="13">
        <f>_xll.BDH("XOM US Equity","BS_PFD_EQTY_&amp;_HYBRID_CPTL","FQ4 1991","FQ4 1991","Currency=USD","Period=FQ","BEST_FPERIOD_OVERRIDE=FQ","FILING_STATUS=OR","SCALING_FORMAT=MLN","Sort=A","Dates=H","DateFormat=P","Fill=—","Direction=H","UseDPDF=Y")</f>
        <v>867</v>
      </c>
      <c r="K38" s="13">
        <f>_xll.BDH("XOM US Equity","BS_PFD_EQTY_&amp;_HYBRID_CPTL","FQ1 1992","FQ1 1992","Currency=USD","Period=FQ","BEST_FPERIOD_OVERRIDE=FQ","FILING_STATUS=OR","SCALING_FORMAT=MLN","Sort=A","Dates=H","DateFormat=P","Fill=—","Direction=H","UseDPDF=Y")</f>
        <v>-70</v>
      </c>
      <c r="L38" s="13">
        <f>_xll.BDH("XOM US Equity","BS_PFD_EQTY_&amp;_HYBRID_CPTL","FQ2 1992","FQ2 1992","Currency=USD","Period=FQ","BEST_FPERIOD_OVERRIDE=FQ","FILING_STATUS=OR","SCALING_FORMAT=MLN","Sort=A","Dates=H","DateFormat=P","Fill=—","Direction=H","UseDPDF=Y")</f>
        <v>819</v>
      </c>
      <c r="M38" s="13">
        <f>_xll.BDH("XOM US Equity","BS_PFD_EQTY_&amp;_HYBRID_CPTL","FQ3 1992","FQ3 1992","Currency=USD","Period=FQ","BEST_FPERIOD_OVERRIDE=FQ","FILING_STATUS=OR","SCALING_FORMAT=MLN","Sort=A","Dates=H","DateFormat=P","Fill=—","Direction=H","UseDPDF=Y")</f>
        <v>795</v>
      </c>
      <c r="N38" s="13">
        <f>_xll.BDH("XOM US Equity","BS_PFD_EQTY_&amp;_HYBRID_CPTL","FQ4 1992","FQ4 1992","Currency=USD","Period=FQ","BEST_FPERIOD_OVERRIDE=FQ","FILING_STATUS=OR","SCALING_FORMAT=MLN","Sort=A","Dates=H","DateFormat=P","Fill=—","Direction=H","UseDPDF=Y")</f>
        <v>770</v>
      </c>
      <c r="O38" s="13">
        <f>_xll.BDH("XOM US Equity","BS_PFD_EQTY_&amp;_HYBRID_CPTL","FQ1 1993","FQ1 1993","Currency=USD","Period=FQ","BEST_FPERIOD_OVERRIDE=FQ","FILING_STATUS=OR","SCALING_FORMAT=MLN","Sort=A","Dates=H","DateFormat=P","Fill=—","Direction=H","UseDPDF=Y")</f>
        <v>744</v>
      </c>
      <c r="P38" s="13">
        <f>_xll.BDH("XOM US Equity","BS_PFD_EQTY_&amp;_HYBRID_CPTL","FQ2 1993","FQ2 1993","Currency=USD","Period=FQ","BEST_FPERIOD_OVERRIDE=FQ","FILING_STATUS=OR","SCALING_FORMAT=MLN","Sort=A","Dates=H","DateFormat=P","Fill=—","Direction=H","UseDPDF=Y")</f>
        <v>3</v>
      </c>
      <c r="Q38" s="13">
        <f>_xll.BDH("XOM US Equity","BS_PFD_EQTY_&amp;_HYBRID_CPTL","FQ3 1993","FQ3 1993","Currency=USD","Period=FQ","BEST_FPERIOD_OVERRIDE=FQ","FILING_STATUS=OR","SCALING_FORMAT=MLN","Sort=A","Dates=H","DateFormat=P","Fill=—","Direction=H","UseDPDF=Y")</f>
        <v>694</v>
      </c>
      <c r="R38" s="13">
        <f>_xll.BDH("XOM US Equity","BS_PFD_EQTY_&amp;_HYBRID_CPTL","FQ4 1993","FQ4 1993","Currency=USD","Period=FQ","BEST_FPERIOD_OVERRIDE=FQ","FILING_STATUS=OR","SCALING_FORMAT=MLN","Sort=A","Dates=H","DateFormat=P","Fill=—","Direction=H","UseDPDF=Y")</f>
        <v>668</v>
      </c>
      <c r="S38" s="13">
        <f>_xll.BDH("XOM US Equity","BS_PFD_EQTY_&amp;_HYBRID_CPTL","FQ1 1994","FQ1 1994","Currency=USD","Period=FQ","BEST_FPERIOD_OVERRIDE=FQ","FILING_STATUS=OR","SCALING_FORMAT=MLN","Sort=A","Dates=H","DateFormat=P","Fill=—","Direction=H","UseDPDF=Y")</f>
        <v>641</v>
      </c>
      <c r="T38" s="13">
        <f>_xll.BDH("XOM US Equity","BS_PFD_EQTY_&amp;_HYBRID_CPTL","FQ2 1994","FQ2 1994","Currency=USD","Period=FQ","BEST_FPERIOD_OVERRIDE=FQ","FILING_STATUS=OR","SCALING_FORMAT=MLN","Sort=A","Dates=H","DateFormat=P","Fill=—","Direction=H","UseDPDF=Y")</f>
        <v>612</v>
      </c>
      <c r="U38" s="13">
        <f>_xll.BDH("XOM US Equity","BS_PFD_EQTY_&amp;_HYBRID_CPTL","FQ3 1994","FQ3 1994","Currency=USD","Period=FQ","BEST_FPERIOD_OVERRIDE=FQ","FILING_STATUS=OR","SCALING_FORMAT=MLN","Sort=A","Dates=H","DateFormat=P","Fill=—","Direction=H","UseDPDF=Y")</f>
        <v>583</v>
      </c>
      <c r="V38" s="13">
        <f>_xll.BDH("XOM US Equity","BS_PFD_EQTY_&amp;_HYBRID_CPTL","FQ4 1994","FQ4 1994","Currency=USD","Period=FQ","BEST_FPERIOD_OVERRIDE=FQ","FILING_STATUS=OR","SCALING_FORMAT=MLN","Sort=A","Dates=H","DateFormat=P","Fill=—","Direction=H","UseDPDF=Y")</f>
        <v>554</v>
      </c>
      <c r="W38" s="13">
        <f>_xll.BDH("XOM US Equity","BS_PFD_EQTY_&amp;_HYBRID_CPTL","FQ1 1995","FQ1 1995","Currency=USD","Period=FQ","BEST_FPERIOD_OVERRIDE=FQ","FILING_STATUS=OR","SCALING_FORMAT=MLN","Sort=A","Dates=H","DateFormat=P","Fill=—","Direction=H","UseDPDF=Y")</f>
        <v>-87</v>
      </c>
      <c r="X38" s="13">
        <f>_xll.BDH("XOM US Equity","BS_PFD_EQTY_&amp;_HYBRID_CPTL","FQ2 1995","FQ2 1995","Currency=USD","Period=FQ","BEST_FPERIOD_OVERRIDE=FQ","FILING_STATUS=OR","SCALING_FORMAT=MLN","Sort=A","Dates=H","DateFormat=P","Fill=—","Direction=H","UseDPDF=Y")</f>
        <v>0</v>
      </c>
      <c r="Y38" s="13">
        <f>_xll.BDH("XOM US Equity","BS_PFD_EQTY_&amp;_HYBRID_CPTL","FQ3 1995","FQ3 1995","Currency=USD","Period=FQ","BEST_FPERIOD_OVERRIDE=FQ","FILING_STATUS=OR","SCALING_FORMAT=MLN","Sort=A","Dates=H","DateFormat=P","Fill=—","Direction=H","UseDPDF=Y")</f>
        <v>482</v>
      </c>
      <c r="Z38" s="13">
        <f>_xll.BDH("XOM US Equity","BS_PFD_EQTY_&amp;_HYBRID_CPTL","FQ4 1995","FQ4 1995","Currency=USD","Period=FQ","BEST_FPERIOD_OVERRIDE=FQ","FILING_STATUS=OR","SCALING_FORMAT=MLN","Sort=A","Dates=H","DateFormat=P","Fill=—","Direction=H","UseDPDF=Y")</f>
        <v>454</v>
      </c>
      <c r="AA38" s="13">
        <f>_xll.BDH("XOM US Equity","BS_PFD_EQTY_&amp;_HYBRID_CPTL","FQ1 1996","FQ1 1996","Currency=USD","Period=FQ","BEST_FPERIOD_OVERRIDE=FQ","FILING_STATUS=OR","SCALING_FORMAT=MLN","Sort=A","Dates=H","DateFormat=P","Fill=—","Direction=H","UseDPDF=Y")</f>
        <v>431</v>
      </c>
      <c r="AB38" s="13">
        <f>_xll.BDH("XOM US Equity","BS_PFD_EQTY_&amp;_HYBRID_CPTL","FQ2 1996","FQ2 1996","Currency=USD","Period=FQ","BEST_FPERIOD_OVERRIDE=FQ","FILING_STATUS=OR","SCALING_FORMAT=MLN","Sort=A","Dates=H","DateFormat=P","Fill=—","Direction=H","UseDPDF=Y")</f>
        <v>0</v>
      </c>
      <c r="AC38" s="13">
        <f>_xll.BDH("XOM US Equity","BS_PFD_EQTY_&amp;_HYBRID_CPTL","FQ3 1996","FQ3 1996","Currency=USD","Period=FQ","BEST_FPERIOD_OVERRIDE=FQ","FILING_STATUS=OR","SCALING_FORMAT=MLN","Sort=A","Dates=H","DateFormat=P","Fill=—","Direction=H","UseDPDF=Y")</f>
        <v>322</v>
      </c>
      <c r="AD38" s="13">
        <f>_xll.BDH("XOM US Equity","BS_PFD_EQTY_&amp;_HYBRID_CPTL","FQ4 1996","FQ4 1996","Currency=USD","Period=FQ","BEST_FPERIOD_OVERRIDE=FQ","FILING_STATUS=OR","SCALING_FORMAT=MLN","Sort=A","Dates=H","DateFormat=P","Fill=—","Direction=H","UseDPDF=Y")</f>
        <v>303</v>
      </c>
      <c r="AE38" s="13">
        <f>_xll.BDH("XOM US Equity","BS_PFD_EQTY_&amp;_HYBRID_CPTL","FQ1 1997","FQ1 1997","Currency=USD","Period=FQ","BEST_FPERIOD_OVERRIDE=FQ","FILING_STATUS=OR","SCALING_FORMAT=MLN","Sort=A","Dates=H","DateFormat=P","Fill=—","Direction=H","UseDPDF=Y")</f>
        <v>284</v>
      </c>
      <c r="AF38" s="13">
        <f>_xll.BDH("XOM US Equity","BS_PFD_EQTY_&amp;_HYBRID_CPTL","FQ2 1997","FQ2 1997","Currency=USD","Period=FQ","BEST_FPERIOD_OVERRIDE=FQ","FILING_STATUS=OR","SCALING_FORMAT=MLN","Sort=A","Dates=H","DateFormat=P","Fill=—","Direction=H","UseDPDF=Y")</f>
        <v>221</v>
      </c>
      <c r="AG38" s="13">
        <f>_xll.BDH("XOM US Equity","BS_PFD_EQTY_&amp;_HYBRID_CPTL","FQ3 1997","FQ3 1997","Currency=USD","Period=FQ","BEST_FPERIOD_OVERRIDE=FQ","FILING_STATUS=OR","SCALING_FORMAT=MLN","Sort=A","Dates=H","DateFormat=P","Fill=—","Direction=H","UseDPDF=Y")</f>
        <v>206</v>
      </c>
      <c r="AH38" s="13">
        <f>_xll.BDH("XOM US Equity","BS_PFD_EQTY_&amp;_HYBRID_CPTL","FQ4 1997","FQ4 1997","Currency=USD","Period=FQ","BEST_FPERIOD_OVERRIDE=FQ","FILING_STATUS=OR","SCALING_FORMAT=MLN","Sort=A","Dates=H","DateFormat=P","Fill=—","Direction=H","UseDPDF=Y")</f>
        <v>190</v>
      </c>
      <c r="AI38" s="13">
        <f>_xll.BDH("XOM US Equity","BS_PFD_EQTY_&amp;_HYBRID_CPTL","FQ1 1998","FQ1 1998","Currency=USD","Period=FQ","BEST_FPERIOD_OVERRIDE=FQ","FILING_STATUS=OR","SCALING_FORMAT=MLN","Sort=A","Dates=H","DateFormat=P","Fill=—","Direction=H","UseDPDF=Y")</f>
        <v>174</v>
      </c>
      <c r="AJ38" s="13">
        <f>_xll.BDH("XOM US Equity","BS_PFD_EQTY_&amp;_HYBRID_CPTL","FQ2 1998","FQ2 1998","Currency=USD","Period=FQ","BEST_FPERIOD_OVERRIDE=FQ","FILING_STATUS=OR","SCALING_FORMAT=MLN","Sort=A","Dates=H","DateFormat=P","Fill=—","Direction=H","UseDPDF=Y")</f>
        <v>134</v>
      </c>
    </row>
    <row r="39" spans="1:36" x14ac:dyDescent="0.25">
      <c r="A39" s="10" t="s">
        <v>207</v>
      </c>
      <c r="B39" s="10" t="s">
        <v>208</v>
      </c>
      <c r="C39" s="13">
        <f>_xll.BDH("XOM US Equity","BS_SH_CAP_AND_APIC","FQ1 1990","FQ1 1990","Currency=USD","Period=FQ","BEST_FPERIOD_OVERRIDE=FQ","FILING_STATUS=OR","SCALING_FORMAT=MLN","Sort=A","Dates=H","DateFormat=P","Fill=—","Direction=H","UseDPDF=Y")</f>
        <v>2822</v>
      </c>
      <c r="D39" s="13">
        <f>_xll.BDH("XOM US Equity","BS_SH_CAP_AND_APIC","FQ2 1990","FQ2 1990","Currency=USD","Period=FQ","BEST_FPERIOD_OVERRIDE=FQ","FILING_STATUS=OR","SCALING_FORMAT=MLN","Sort=A","Dates=H","DateFormat=P","Fill=—","Direction=H","UseDPDF=Y")</f>
        <v>2822</v>
      </c>
      <c r="E39" s="13">
        <f>_xll.BDH("XOM US Equity","BS_SH_CAP_AND_APIC","FQ3 1990","FQ3 1990","Currency=USD","Period=FQ","BEST_FPERIOD_OVERRIDE=FQ","FILING_STATUS=OR","SCALING_FORMAT=MLN","Sort=A","Dates=H","DateFormat=P","Fill=—","Direction=H","UseDPDF=Y")</f>
        <v>2822</v>
      </c>
      <c r="F39" s="13">
        <f>_xll.BDH("XOM US Equity","BS_SH_CAP_AND_APIC","FQ4 1990","FQ4 1990","Currency=USD","Period=FQ","BEST_FPERIOD_OVERRIDE=FQ","FILING_STATUS=OR","SCALING_FORMAT=MLN","Sort=A","Dates=H","DateFormat=P","Fill=—","Direction=H","UseDPDF=Y")</f>
        <v>2822</v>
      </c>
      <c r="G39" s="13">
        <f>_xll.BDH("XOM US Equity","BS_SH_CAP_AND_APIC","FQ1 1991","FQ1 1991","Currency=USD","Period=FQ","BEST_FPERIOD_OVERRIDE=FQ","FILING_STATUS=OR","SCALING_FORMAT=MLN","Sort=A","Dates=H","DateFormat=P","Fill=—","Direction=H","UseDPDF=Y")</f>
        <v>2822</v>
      </c>
      <c r="H39" s="13">
        <f>_xll.BDH("XOM US Equity","BS_SH_CAP_AND_APIC","FQ2 1991","FQ2 1991","Currency=USD","Period=FQ","BEST_FPERIOD_OVERRIDE=FQ","FILING_STATUS=OR","SCALING_FORMAT=MLN","Sort=A","Dates=H","DateFormat=P","Fill=—","Direction=H","UseDPDF=Y")</f>
        <v>2822</v>
      </c>
      <c r="I39" s="13">
        <f>_xll.BDH("XOM US Equity","BS_SH_CAP_AND_APIC","FQ3 1991","FQ3 1991","Currency=USD","Period=FQ","BEST_FPERIOD_OVERRIDE=FQ","FILING_STATUS=OR","SCALING_FORMAT=MLN","Sort=A","Dates=H","DateFormat=P","Fill=—","Direction=H","UseDPDF=Y")</f>
        <v>2822</v>
      </c>
      <c r="J39" s="13">
        <f>_xll.BDH("XOM US Equity","BS_SH_CAP_AND_APIC","FQ4 1991","FQ4 1991","Currency=USD","Period=FQ","BEST_FPERIOD_OVERRIDE=FQ","FILING_STATUS=OR","SCALING_FORMAT=MLN","Sort=A","Dates=H","DateFormat=P","Fill=—","Direction=H","UseDPDF=Y")</f>
        <v>2822</v>
      </c>
      <c r="K39" s="13">
        <f>_xll.BDH("XOM US Equity","BS_SH_CAP_AND_APIC","FQ1 1992","FQ1 1992","Currency=USD","Period=FQ","BEST_FPERIOD_OVERRIDE=FQ","FILING_STATUS=OR","SCALING_FORMAT=MLN","Sort=A","Dates=H","DateFormat=P","Fill=—","Direction=H","UseDPDF=Y")</f>
        <v>2822</v>
      </c>
      <c r="L39" s="13">
        <f>_xll.BDH("XOM US Equity","BS_SH_CAP_AND_APIC","FQ2 1992","FQ2 1992","Currency=USD","Period=FQ","BEST_FPERIOD_OVERRIDE=FQ","FILING_STATUS=OR","SCALING_FORMAT=MLN","Sort=A","Dates=H","DateFormat=P","Fill=—","Direction=H","UseDPDF=Y")</f>
        <v>2822</v>
      </c>
      <c r="M39" s="13">
        <f>_xll.BDH("XOM US Equity","BS_SH_CAP_AND_APIC","FQ3 1992","FQ3 1992","Currency=USD","Period=FQ","BEST_FPERIOD_OVERRIDE=FQ","FILING_STATUS=OR","SCALING_FORMAT=MLN","Sort=A","Dates=H","DateFormat=P","Fill=—","Direction=H","UseDPDF=Y")</f>
        <v>2822</v>
      </c>
      <c r="N39" s="13">
        <f>_xll.BDH("XOM US Equity","BS_SH_CAP_AND_APIC","FQ4 1992","FQ4 1992","Currency=USD","Period=FQ","BEST_FPERIOD_OVERRIDE=FQ","FILING_STATUS=OR","SCALING_FORMAT=MLN","Sort=A","Dates=H","DateFormat=P","Fill=—","Direction=H","UseDPDF=Y")</f>
        <v>2822</v>
      </c>
      <c r="O39" s="13">
        <f>_xll.BDH("XOM US Equity","BS_SH_CAP_AND_APIC","FQ1 1993","FQ1 1993","Currency=USD","Period=FQ","BEST_FPERIOD_OVERRIDE=FQ","FILING_STATUS=OR","SCALING_FORMAT=MLN","Sort=A","Dates=H","DateFormat=P","Fill=—","Direction=H","UseDPDF=Y")</f>
        <v>2822</v>
      </c>
      <c r="P39" s="13">
        <f>_xll.BDH("XOM US Equity","BS_SH_CAP_AND_APIC","FQ2 1993","FQ2 1993","Currency=USD","Period=FQ","BEST_FPERIOD_OVERRIDE=FQ","FILING_STATUS=OR","SCALING_FORMAT=MLN","Sort=A","Dates=H","DateFormat=P","Fill=—","Direction=H","UseDPDF=Y")</f>
        <v>2822</v>
      </c>
      <c r="Q39" s="13">
        <f>_xll.BDH("XOM US Equity","BS_SH_CAP_AND_APIC","FQ3 1993","FQ3 1993","Currency=USD","Period=FQ","BEST_FPERIOD_OVERRIDE=FQ","FILING_STATUS=OR","SCALING_FORMAT=MLN","Sort=A","Dates=H","DateFormat=P","Fill=—","Direction=H","UseDPDF=Y")</f>
        <v>2822</v>
      </c>
      <c r="R39" s="13">
        <f>_xll.BDH("XOM US Equity","BS_SH_CAP_AND_APIC","FQ4 1993","FQ4 1993","Currency=USD","Period=FQ","BEST_FPERIOD_OVERRIDE=FQ","FILING_STATUS=OR","SCALING_FORMAT=MLN","Sort=A","Dates=H","DateFormat=P","Fill=—","Direction=H","UseDPDF=Y")</f>
        <v>2822</v>
      </c>
      <c r="S39" s="13">
        <f>_xll.BDH("XOM US Equity","BS_SH_CAP_AND_APIC","FQ1 1994","FQ1 1994","Currency=USD","Period=FQ","BEST_FPERIOD_OVERRIDE=FQ","FILING_STATUS=OR","SCALING_FORMAT=MLN","Sort=A","Dates=H","DateFormat=P","Fill=—","Direction=H","UseDPDF=Y")</f>
        <v>2822</v>
      </c>
      <c r="T39" s="13">
        <f>_xll.BDH("XOM US Equity","BS_SH_CAP_AND_APIC","FQ2 1994","FQ2 1994","Currency=USD","Period=FQ","BEST_FPERIOD_OVERRIDE=FQ","FILING_STATUS=OR","SCALING_FORMAT=MLN","Sort=A","Dates=H","DateFormat=P","Fill=—","Direction=H","UseDPDF=Y")</f>
        <v>2822</v>
      </c>
      <c r="U39" s="13">
        <f>_xll.BDH("XOM US Equity","BS_SH_CAP_AND_APIC","FQ3 1994","FQ3 1994","Currency=USD","Period=FQ","BEST_FPERIOD_OVERRIDE=FQ","FILING_STATUS=OR","SCALING_FORMAT=MLN","Sort=A","Dates=H","DateFormat=P","Fill=—","Direction=H","UseDPDF=Y")</f>
        <v>2822</v>
      </c>
      <c r="V39" s="13">
        <f>_xll.BDH("XOM US Equity","BS_SH_CAP_AND_APIC","FQ4 1994","FQ4 1994","Currency=USD","Period=FQ","BEST_FPERIOD_OVERRIDE=FQ","FILING_STATUS=OR","SCALING_FORMAT=MLN","Sort=A","Dates=H","DateFormat=P","Fill=—","Direction=H","UseDPDF=Y")</f>
        <v>2822</v>
      </c>
      <c r="W39" s="13">
        <f>_xll.BDH("XOM US Equity","BS_SH_CAP_AND_APIC","FQ1 1995","FQ1 1995","Currency=USD","Period=FQ","BEST_FPERIOD_OVERRIDE=FQ","FILING_STATUS=OR","SCALING_FORMAT=MLN","Sort=A","Dates=H","DateFormat=P","Fill=—","Direction=H","UseDPDF=Y")</f>
        <v>2822</v>
      </c>
      <c r="X39" s="13">
        <f>_xll.BDH("XOM US Equity","BS_SH_CAP_AND_APIC","FQ2 1995","FQ2 1995","Currency=USD","Period=FQ","BEST_FPERIOD_OVERRIDE=FQ","FILING_STATUS=OR","SCALING_FORMAT=MLN","Sort=A","Dates=H","DateFormat=P","Fill=—","Direction=H","UseDPDF=Y")</f>
        <v>2822</v>
      </c>
      <c r="Y39" s="13">
        <f>_xll.BDH("XOM US Equity","BS_SH_CAP_AND_APIC","FQ3 1995","FQ3 1995","Currency=USD","Period=FQ","BEST_FPERIOD_OVERRIDE=FQ","FILING_STATUS=OR","SCALING_FORMAT=MLN","Sort=A","Dates=H","DateFormat=P","Fill=—","Direction=H","UseDPDF=Y")</f>
        <v>2822</v>
      </c>
      <c r="Z39" s="13">
        <f>_xll.BDH("XOM US Equity","BS_SH_CAP_AND_APIC","FQ4 1995","FQ4 1995","Currency=USD","Period=FQ","BEST_FPERIOD_OVERRIDE=FQ","FILING_STATUS=OR","SCALING_FORMAT=MLN","Sort=A","Dates=H","DateFormat=P","Fill=—","Direction=H","UseDPDF=Y")</f>
        <v>2822</v>
      </c>
      <c r="AA39" s="13">
        <f>_xll.BDH("XOM US Equity","BS_SH_CAP_AND_APIC","FQ1 1996","FQ1 1996","Currency=USD","Period=FQ","BEST_FPERIOD_OVERRIDE=FQ","FILING_STATUS=OR","SCALING_FORMAT=MLN","Sort=A","Dates=H","DateFormat=P","Fill=—","Direction=H","UseDPDF=Y")</f>
        <v>2822</v>
      </c>
      <c r="AB39" s="13">
        <f>_xll.BDH("XOM US Equity","BS_SH_CAP_AND_APIC","FQ2 1996","FQ2 1996","Currency=USD","Period=FQ","BEST_FPERIOD_OVERRIDE=FQ","FILING_STATUS=OR","SCALING_FORMAT=MLN","Sort=A","Dates=H","DateFormat=P","Fill=—","Direction=H","UseDPDF=Y")</f>
        <v>2822</v>
      </c>
      <c r="AC39" s="13">
        <f>_xll.BDH("XOM US Equity","BS_SH_CAP_AND_APIC","FQ3 1996","FQ3 1996","Currency=USD","Period=FQ","BEST_FPERIOD_OVERRIDE=FQ","FILING_STATUS=OR","SCALING_FORMAT=MLN","Sort=A","Dates=H","DateFormat=P","Fill=—","Direction=H","UseDPDF=Y")</f>
        <v>2822</v>
      </c>
      <c r="AD39" s="13">
        <f>_xll.BDH("XOM US Equity","BS_SH_CAP_AND_APIC","FQ4 1996","FQ4 1996","Currency=USD","Period=FQ","BEST_FPERIOD_OVERRIDE=FQ","FILING_STATUS=OR","SCALING_FORMAT=MLN","Sort=A","Dates=H","DateFormat=P","Fill=—","Direction=H","UseDPDF=Y")</f>
        <v>2822</v>
      </c>
      <c r="AE39" s="13">
        <f>_xll.BDH("XOM US Equity","BS_SH_CAP_AND_APIC","FQ1 1997","FQ1 1997","Currency=USD","Period=FQ","BEST_FPERIOD_OVERRIDE=FQ","FILING_STATUS=OR","SCALING_FORMAT=MLN","Sort=A","Dates=H","DateFormat=P","Fill=—","Direction=H","UseDPDF=Y")</f>
        <v>2322</v>
      </c>
      <c r="AF39" s="13">
        <f>_xll.BDH("XOM US Equity","BS_SH_CAP_AND_APIC","FQ2 1997","FQ2 1997","Currency=USD","Period=FQ","BEST_FPERIOD_OVERRIDE=FQ","FILING_STATUS=OR","SCALING_FORMAT=MLN","Sort=A","Dates=H","DateFormat=P","Fill=—","Direction=H","UseDPDF=Y")</f>
        <v>2322</v>
      </c>
      <c r="AG39" s="13">
        <f>_xll.BDH("XOM US Equity","BS_SH_CAP_AND_APIC","FQ3 1997","FQ3 1997","Currency=USD","Period=FQ","BEST_FPERIOD_OVERRIDE=FQ","FILING_STATUS=OR","SCALING_FORMAT=MLN","Sort=A","Dates=H","DateFormat=P","Fill=—","Direction=H","UseDPDF=Y")</f>
        <v>2322</v>
      </c>
      <c r="AH39" s="13">
        <f>_xll.BDH("XOM US Equity","BS_SH_CAP_AND_APIC","FQ4 1997","FQ4 1997","Currency=USD","Period=FQ","BEST_FPERIOD_OVERRIDE=FQ","FILING_STATUS=OR","SCALING_FORMAT=MLN","Sort=A","Dates=H","DateFormat=P","Fill=—","Direction=H","UseDPDF=Y")</f>
        <v>2323</v>
      </c>
      <c r="AI39" s="13">
        <f>_xll.BDH("XOM US Equity","BS_SH_CAP_AND_APIC","FQ1 1998","FQ1 1998","Currency=USD","Period=FQ","BEST_FPERIOD_OVERRIDE=FQ","FILING_STATUS=OR","SCALING_FORMAT=MLN","Sort=A","Dates=H","DateFormat=P","Fill=—","Direction=H","UseDPDF=Y")</f>
        <v>2323</v>
      </c>
      <c r="AJ39" s="13">
        <f>_xll.BDH("XOM US Equity","BS_SH_CAP_AND_APIC","FQ2 1998","FQ2 1998","Currency=USD","Period=FQ","BEST_FPERIOD_OVERRIDE=FQ","FILING_STATUS=OR","SCALING_FORMAT=MLN","Sort=A","Dates=H","DateFormat=P","Fill=—","Direction=H","UseDPDF=Y")</f>
        <v>2323</v>
      </c>
    </row>
    <row r="40" spans="1:36" x14ac:dyDescent="0.25">
      <c r="A40" s="10" t="s">
        <v>209</v>
      </c>
      <c r="B40" s="10" t="s">
        <v>210</v>
      </c>
      <c r="C40" s="13">
        <f>_xll.BDH("XOM US Equity","BS_AMT_OF_TSY_STOCK","FQ1 1990","FQ1 1990","Currency=USD","Period=FQ","BEST_FPERIOD_OVERRIDE=FQ","FILING_STATUS=OR","SCALING_FORMAT=MLN","Sort=A","Dates=H","DateFormat=P","Fill=—","Direction=H","UseDPDF=Y")</f>
        <v>16317</v>
      </c>
      <c r="D40" s="13">
        <f>_xll.BDH("XOM US Equity","BS_AMT_OF_TSY_STOCK","FQ2 1990","FQ2 1990","Currency=USD","Period=FQ","BEST_FPERIOD_OVERRIDE=FQ","FILING_STATUS=OR","SCALING_FORMAT=MLN","Sort=A","Dates=H","DateFormat=P","Fill=—","Direction=H","UseDPDF=Y")</f>
        <v>16387</v>
      </c>
      <c r="E40" s="13">
        <f>_xll.BDH("XOM US Equity","BS_AMT_OF_TSY_STOCK","FQ3 1990","FQ3 1990","Currency=USD","Period=FQ","BEST_FPERIOD_OVERRIDE=FQ","FILING_STATUS=OR","SCALING_FORMAT=MLN","Sort=A","Dates=H","DateFormat=P","Fill=—","Direction=H","UseDPDF=Y")</f>
        <v>16449</v>
      </c>
      <c r="F40" s="13">
        <f>_xll.BDH("XOM US Equity","BS_AMT_OF_TSY_STOCK","FQ4 1990","FQ4 1990","Currency=USD","Period=FQ","BEST_FPERIOD_OVERRIDE=FQ","FILING_STATUS=OR","SCALING_FORMAT=MLN","Sort=A","Dates=H","DateFormat=P","Fill=—","Direction=H","UseDPDF=Y")</f>
        <v>16509</v>
      </c>
      <c r="G40" s="13">
        <f>_xll.BDH("XOM US Equity","BS_AMT_OF_TSY_STOCK","FQ1 1991","FQ1 1991","Currency=USD","Period=FQ","BEST_FPERIOD_OVERRIDE=FQ","FILING_STATUS=OR","SCALING_FORMAT=MLN","Sort=A","Dates=H","DateFormat=P","Fill=—","Direction=H","UseDPDF=Y")</f>
        <v>16562</v>
      </c>
      <c r="H40" s="13">
        <f>_xll.BDH("XOM US Equity","BS_AMT_OF_TSY_STOCK","FQ2 1991","FQ2 1991","Currency=USD","Period=FQ","BEST_FPERIOD_OVERRIDE=FQ","FILING_STATUS=OR","SCALING_FORMAT=MLN","Sort=A","Dates=H","DateFormat=P","Fill=—","Direction=H","UseDPDF=Y")</f>
        <v>16631</v>
      </c>
      <c r="I40" s="13">
        <f>_xll.BDH("XOM US Equity","BS_AMT_OF_TSY_STOCK","FQ3 1991","FQ3 1991","Currency=USD","Period=FQ","BEST_FPERIOD_OVERRIDE=FQ","FILING_STATUS=OR","SCALING_FORMAT=MLN","Sort=A","Dates=H","DateFormat=P","Fill=—","Direction=H","UseDPDF=Y")</f>
        <v>16707</v>
      </c>
      <c r="J40" s="13">
        <f>_xll.BDH("XOM US Equity","BS_AMT_OF_TSY_STOCK","FQ4 1991","FQ4 1991","Currency=USD","Period=FQ","BEST_FPERIOD_OVERRIDE=FQ","FILING_STATUS=OR","SCALING_FORMAT=MLN","Sort=A","Dates=H","DateFormat=P","Fill=—","Direction=H","UseDPDF=Y")</f>
        <v>16774</v>
      </c>
      <c r="K40" s="13">
        <f>_xll.BDH("XOM US Equity","BS_AMT_OF_TSY_STOCK","FQ1 1992","FQ1 1992","Currency=USD","Period=FQ","BEST_FPERIOD_OVERRIDE=FQ","FILING_STATUS=OR","SCALING_FORMAT=MLN","Sort=A","Dates=H","DateFormat=P","Fill=—","Direction=H","UseDPDF=Y")</f>
        <v>16819</v>
      </c>
      <c r="L40" s="13">
        <f>_xll.BDH("XOM US Equity","BS_AMT_OF_TSY_STOCK","FQ2 1992","FQ2 1992","Currency=USD","Period=FQ","BEST_FPERIOD_OVERRIDE=FQ","FILING_STATUS=OR","SCALING_FORMAT=MLN","Sort=A","Dates=H","DateFormat=P","Fill=—","Direction=H","UseDPDF=Y")</f>
        <v>16843</v>
      </c>
      <c r="M40" s="13">
        <f>_xll.BDH("XOM US Equity","BS_AMT_OF_TSY_STOCK","FQ3 1992","FQ3 1992","Currency=USD","Period=FQ","BEST_FPERIOD_OVERRIDE=FQ","FILING_STATUS=OR","SCALING_FORMAT=MLN","Sort=A","Dates=H","DateFormat=P","Fill=—","Direction=H","UseDPDF=Y")</f>
        <v>16873</v>
      </c>
      <c r="N40" s="13">
        <f>_xll.BDH("XOM US Equity","BS_AMT_OF_TSY_STOCK","FQ4 1992","FQ4 1992","Currency=USD","Period=FQ","BEST_FPERIOD_OVERRIDE=FQ","FILING_STATUS=OR","SCALING_FORMAT=MLN","Sort=A","Dates=H","DateFormat=P","Fill=—","Direction=H","UseDPDF=Y")</f>
        <v>16887</v>
      </c>
      <c r="O40" s="13">
        <f>_xll.BDH("XOM US Equity","BS_AMT_OF_TSY_STOCK","FQ1 1993","FQ1 1993","Currency=USD","Period=FQ","BEST_FPERIOD_OVERRIDE=FQ","FILING_STATUS=OR","SCALING_FORMAT=MLN","Sort=A","Dates=H","DateFormat=P","Fill=—","Direction=H","UseDPDF=Y")</f>
        <v>16908</v>
      </c>
      <c r="P40" s="13">
        <f>_xll.BDH("XOM US Equity","BS_AMT_OF_TSY_STOCK","FQ2 1993","FQ2 1993","Currency=USD","Period=FQ","BEST_FPERIOD_OVERRIDE=FQ","FILING_STATUS=OR","SCALING_FORMAT=MLN","Sort=A","Dates=H","DateFormat=P","Fill=—","Direction=H","UseDPDF=Y")</f>
        <v>16944</v>
      </c>
      <c r="Q40" s="13">
        <f>_xll.BDH("XOM US Equity","BS_AMT_OF_TSY_STOCK","FQ3 1993","FQ3 1993","Currency=USD","Period=FQ","BEST_FPERIOD_OVERRIDE=FQ","FILING_STATUS=OR","SCALING_FORMAT=MLN","Sort=A","Dates=H","DateFormat=P","Fill=—","Direction=H","UseDPDF=Y")</f>
        <v>16965</v>
      </c>
      <c r="R40" s="13">
        <f>_xll.BDH("XOM US Equity","BS_AMT_OF_TSY_STOCK","FQ4 1993","FQ4 1993","Currency=USD","Period=FQ","BEST_FPERIOD_OVERRIDE=FQ","FILING_STATUS=OR","SCALING_FORMAT=MLN","Sort=A","Dates=H","DateFormat=P","Fill=—","Direction=H","UseDPDF=Y")</f>
        <v>16977</v>
      </c>
      <c r="S40" s="13">
        <f>_xll.BDH("XOM US Equity","BS_AMT_OF_TSY_STOCK","FQ1 1994","FQ1 1994","Currency=USD","Period=FQ","BEST_FPERIOD_OVERRIDE=FQ","FILING_STATUS=OR","SCALING_FORMAT=MLN","Sort=A","Dates=H","DateFormat=P","Fill=—","Direction=H","UseDPDF=Y")</f>
        <v>16998</v>
      </c>
      <c r="T40" s="13">
        <f>_xll.BDH("XOM US Equity","BS_AMT_OF_TSY_STOCK","FQ2 1994","FQ2 1994","Currency=USD","Period=FQ","BEST_FPERIOD_OVERRIDE=FQ","FILING_STATUS=OR","SCALING_FORMAT=MLN","Sort=A","Dates=H","DateFormat=P","Fill=—","Direction=H","UseDPDF=Y")</f>
        <v>17024</v>
      </c>
      <c r="U40" s="13">
        <f>_xll.BDH("XOM US Equity","BS_AMT_OF_TSY_STOCK","FQ3 1994","FQ3 1994","Currency=USD","Period=FQ","BEST_FPERIOD_OVERRIDE=FQ","FILING_STATUS=OR","SCALING_FORMAT=MLN","Sort=A","Dates=H","DateFormat=P","Fill=—","Direction=H","UseDPDF=Y")</f>
        <v>17027</v>
      </c>
      <c r="V40" s="13">
        <f>_xll.BDH("XOM US Equity","BS_AMT_OF_TSY_STOCK","FQ4 1994","FQ4 1994","Currency=USD","Period=FQ","BEST_FPERIOD_OVERRIDE=FQ","FILING_STATUS=OR","SCALING_FORMAT=MLN","Sort=A","Dates=H","DateFormat=P","Fill=—","Direction=H","UseDPDF=Y")</f>
        <v>17017</v>
      </c>
      <c r="W40" s="13">
        <f>_xll.BDH("XOM US Equity","BS_AMT_OF_TSY_STOCK","FQ1 1995","FQ1 1995","Currency=USD","Period=FQ","BEST_FPERIOD_OVERRIDE=FQ","FILING_STATUS=OR","SCALING_FORMAT=MLN","Sort=A","Dates=H","DateFormat=P","Fill=—","Direction=H","UseDPDF=Y")</f>
        <v>17010</v>
      </c>
      <c r="X40" s="13">
        <f>_xll.BDH("XOM US Equity","BS_AMT_OF_TSY_STOCK","FQ2 1995","FQ2 1995","Currency=USD","Period=FQ","BEST_FPERIOD_OVERRIDE=FQ","FILING_STATUS=OR","SCALING_FORMAT=MLN","Sort=A","Dates=H","DateFormat=P","Fill=—","Direction=H","UseDPDF=Y")</f>
        <v>17114</v>
      </c>
      <c r="Y40" s="13">
        <f>_xll.BDH("XOM US Equity","BS_AMT_OF_TSY_STOCK","FQ3 1995","FQ3 1995","Currency=USD","Period=FQ","BEST_FPERIOD_OVERRIDE=FQ","FILING_STATUS=OR","SCALING_FORMAT=MLN","Sort=A","Dates=H","DateFormat=P","Fill=—","Direction=H","UseDPDF=Y")</f>
        <v>17150</v>
      </c>
      <c r="Z40" s="13">
        <f>_xll.BDH("XOM US Equity","BS_AMT_OF_TSY_STOCK","FQ4 1995","FQ4 1995","Currency=USD","Period=FQ","BEST_FPERIOD_OVERRIDE=FQ","FILING_STATUS=OR","SCALING_FORMAT=MLN","Sort=A","Dates=H","DateFormat=P","Fill=—","Direction=H","UseDPDF=Y")</f>
        <v>17217</v>
      </c>
      <c r="AA40" s="13">
        <f>_xll.BDH("XOM US Equity","BS_AMT_OF_TSY_STOCK","FQ1 1996","FQ1 1996","Currency=USD","Period=FQ","BEST_FPERIOD_OVERRIDE=FQ","FILING_STATUS=OR","SCALING_FORMAT=MLN","Sort=A","Dates=H","DateFormat=P","Fill=—","Direction=H","UseDPDF=Y")</f>
        <v>17246</v>
      </c>
      <c r="AB40" s="13">
        <f>_xll.BDH("XOM US Equity","BS_AMT_OF_TSY_STOCK","FQ2 1996","FQ2 1996","Currency=USD","Period=FQ","BEST_FPERIOD_OVERRIDE=FQ","FILING_STATUS=OR","SCALING_FORMAT=MLN","Sort=A","Dates=H","DateFormat=P","Fill=—","Direction=H","UseDPDF=Y")</f>
        <v>17351</v>
      </c>
      <c r="AC40" s="13">
        <f>_xll.BDH("XOM US Equity","BS_AMT_OF_TSY_STOCK","FQ3 1996","FQ3 1996","Currency=USD","Period=FQ","BEST_FPERIOD_OVERRIDE=FQ","FILING_STATUS=OR","SCALING_FORMAT=MLN","Sort=A","Dates=H","DateFormat=P","Fill=—","Direction=H","UseDPDF=Y")</f>
        <v>17406</v>
      </c>
      <c r="AD40" s="13">
        <f>_xll.BDH("XOM US Equity","BS_AMT_OF_TSY_STOCK","FQ4 1996","FQ4 1996","Currency=USD","Period=FQ","BEST_FPERIOD_OVERRIDE=FQ","FILING_STATUS=OR","SCALING_FORMAT=MLN","Sort=A","Dates=H","DateFormat=P","Fill=—","Direction=H","UseDPDF=Y")</f>
        <v>17520</v>
      </c>
      <c r="AE40" s="13">
        <f>_xll.BDH("XOM US Equity","BS_AMT_OF_TSY_STOCK","FQ1 1997","FQ1 1997","Currency=USD","Period=FQ","BEST_FPERIOD_OVERRIDE=FQ","FILING_STATUS=OR","SCALING_FORMAT=MLN","Sort=A","Dates=H","DateFormat=P","Fill=—","Direction=H","UseDPDF=Y")</f>
        <v>7798</v>
      </c>
      <c r="AF40" s="13">
        <f>_xll.BDH("XOM US Equity","BS_AMT_OF_TSY_STOCK","FQ2 1997","FQ2 1997","Currency=USD","Period=FQ","BEST_FPERIOD_OVERRIDE=FQ","FILING_STATUS=OR","SCALING_FORMAT=MLN","Sort=A","Dates=H","DateFormat=P","Fill=—","Direction=H","UseDPDF=Y")</f>
        <v>8483</v>
      </c>
      <c r="AG40" s="13">
        <f>_xll.BDH("XOM US Equity","BS_AMT_OF_TSY_STOCK","FQ3 1997","FQ3 1997","Currency=USD","Period=FQ","BEST_FPERIOD_OVERRIDE=FQ","FILING_STATUS=OR","SCALING_FORMAT=MLN","Sort=A","Dates=H","DateFormat=P","Fill=—","Direction=H","UseDPDF=Y")</f>
        <v>9074</v>
      </c>
      <c r="AH40" s="13">
        <f>_xll.BDH("XOM US Equity","BS_AMT_OF_TSY_STOCK","FQ4 1997","FQ4 1997","Currency=USD","Period=FQ","BEST_FPERIOD_OVERRIDE=FQ","FILING_STATUS=OR","SCALING_FORMAT=MLN","Sort=A","Dates=H","DateFormat=P","Fill=—","Direction=H","UseDPDF=Y")</f>
        <v>9723</v>
      </c>
      <c r="AI40" s="13">
        <f>_xll.BDH("XOM US Equity","BS_AMT_OF_TSY_STOCK","FQ1 1998","FQ1 1998","Currency=USD","Period=FQ","BEST_FPERIOD_OVERRIDE=FQ","FILING_STATUS=OR","SCALING_FORMAT=MLN","Sort=A","Dates=H","DateFormat=P","Fill=—","Direction=H","UseDPDF=Y")</f>
        <v>10475</v>
      </c>
      <c r="AJ40" s="13">
        <f>_xll.BDH("XOM US Equity","BS_AMT_OF_TSY_STOCK","FQ2 1998","FQ2 1998","Currency=USD","Period=FQ","BEST_FPERIOD_OVERRIDE=FQ","FILING_STATUS=OR","SCALING_FORMAT=MLN","Sort=A","Dates=H","DateFormat=P","Fill=—","Direction=H","UseDPDF=Y")</f>
        <v>11264</v>
      </c>
    </row>
    <row r="41" spans="1:36" x14ac:dyDescent="0.25">
      <c r="A41" s="10" t="s">
        <v>211</v>
      </c>
      <c r="B41" s="10" t="s">
        <v>212</v>
      </c>
      <c r="C41" s="14">
        <f>_xll.BDH("XOM US Equity","OTHER_INS_RES_TO_SHRHLDR_EQY","FQ1 1990","FQ1 1990","Currency=USD","Period=FQ","BEST_FPERIOD_OVERRIDE=FQ","FILING_STATUS=OR","Sort=A","Dates=H","DateFormat=P","Fill=—","Direction=H","UseDPDF=Y")</f>
        <v>44028</v>
      </c>
      <c r="D41" s="14">
        <f>_xll.BDH("XOM US Equity","OTHER_INS_RES_TO_SHRHLDR_EQY","FQ2 1990","FQ2 1990","Currency=USD","Period=FQ","BEST_FPERIOD_OVERRIDE=FQ","FILING_STATUS=OR","Sort=A","Dates=H","DateFormat=P","Fill=—","Direction=H","UseDPDF=Y")</f>
        <v>44739</v>
      </c>
      <c r="E41" s="14">
        <f>_xll.BDH("XOM US Equity","OTHER_INS_RES_TO_SHRHLDR_EQY","FQ3 1990","FQ3 1990","Currency=USD","Period=FQ","BEST_FPERIOD_OVERRIDE=FQ","FILING_STATUS=OR","Sort=A","Dates=H","DateFormat=P","Fill=—","Direction=H","UseDPDF=Y")</f>
        <v>45838</v>
      </c>
      <c r="F41" s="14">
        <f>_xll.BDH("XOM US Equity","OTHER_INS_RES_TO_SHRHLDR_EQY","FQ4 1990","FQ4 1990","Currency=USD","Period=FQ","BEST_FPERIOD_OVERRIDE=FQ","FILING_STATUS=OR","Sort=A","Dates=H","DateFormat=P","Fill=—","Direction=H","UseDPDF=Y")</f>
        <v>46712</v>
      </c>
      <c r="G41" s="14">
        <f>_xll.BDH("XOM US Equity","OTHER_INS_RES_TO_SHRHLDR_EQY","FQ1 1991","FQ1 1991","Currency=USD","Period=FQ","BEST_FPERIOD_OVERRIDE=FQ","FILING_STATUS=OR","Sort=A","Dates=H","DateFormat=P","Fill=—","Direction=H","UseDPDF=Y")</f>
        <v>45837</v>
      </c>
      <c r="H41" s="14">
        <f>_xll.BDH("XOM US Equity","OTHER_INS_RES_TO_SHRHLDR_EQY","FQ2 1991","FQ2 1991","Currency=USD","Period=FQ","BEST_FPERIOD_OVERRIDE=FQ","FILING_STATUS=OR","Sort=A","Dates=H","DateFormat=P","Fill=—","Direction=H","UseDPDF=Y")</f>
        <v>46604</v>
      </c>
      <c r="I41" s="14">
        <f>_xll.BDH("XOM US Equity","OTHER_INS_RES_TO_SHRHLDR_EQY","FQ3 1991","FQ3 1991","Currency=USD","Period=FQ","BEST_FPERIOD_OVERRIDE=FQ","FILING_STATUS=OR","Sort=A","Dates=H","DateFormat=P","Fill=—","Direction=H","UseDPDF=Y")</f>
        <v>46878</v>
      </c>
      <c r="J41" s="14">
        <f>_xll.BDH("XOM US Equity","OTHER_INS_RES_TO_SHRHLDR_EQY","FQ4 1991","FQ4 1991","Currency=USD","Period=FQ","BEST_FPERIOD_OVERRIDE=FQ","FILING_STATUS=OR","Sort=A","Dates=H","DateFormat=P","Fill=—","Direction=H","UseDPDF=Y")</f>
        <v>48012</v>
      </c>
      <c r="K41" s="14">
        <f>_xll.BDH("XOM US Equity","OTHER_INS_RES_TO_SHRHLDR_EQY","FQ1 1992","FQ1 1992","Currency=USD","Period=FQ","BEST_FPERIOD_OVERRIDE=FQ","FILING_STATUS=OR","Sort=A","Dates=H","DateFormat=P","Fill=—","Direction=H","UseDPDF=Y")</f>
        <v>48310</v>
      </c>
      <c r="L41" s="14">
        <f>_xll.BDH("XOM US Equity","OTHER_INS_RES_TO_SHRHLDR_EQY","FQ2 1992","FQ2 1992","Currency=USD","Period=FQ","BEST_FPERIOD_OVERRIDE=FQ","FILING_STATUS=OR","Sort=A","Dates=H","DateFormat=P","Fill=—","Direction=H","UseDPDF=Y")</f>
        <v>48478</v>
      </c>
      <c r="M41" s="14">
        <f>_xll.BDH("XOM US Equity","OTHER_INS_RES_TO_SHRHLDR_EQY","FQ3 1992","FQ3 1992","Currency=USD","Period=FQ","BEST_FPERIOD_OVERRIDE=FQ","FILING_STATUS=OR","Sort=A","Dates=H","DateFormat=P","Fill=—","Direction=H","UseDPDF=Y")</f>
        <v>48596</v>
      </c>
      <c r="N41" s="14">
        <f>_xll.BDH("XOM US Equity","OTHER_INS_RES_TO_SHRHLDR_EQY","FQ4 1992","FQ4 1992","Currency=USD","Period=FQ","BEST_FPERIOD_OVERRIDE=FQ","FILING_STATUS=OR","Sort=A","Dates=H","DateFormat=P","Fill=—","Direction=H","UseDPDF=Y")</f>
        <v>47071</v>
      </c>
      <c r="O41" s="14">
        <f>_xll.BDH("XOM US Equity","OTHER_INS_RES_TO_SHRHLDR_EQY","FQ1 1993","FQ1 1993","Currency=USD","Period=FQ","BEST_FPERIOD_OVERRIDE=FQ","FILING_STATUS=OR","Sort=A","Dates=H","DateFormat=P","Fill=—","Direction=H","UseDPDF=Y")</f>
        <v>47457</v>
      </c>
      <c r="P41" s="14">
        <f>_xll.BDH("XOM US Equity","OTHER_INS_RES_TO_SHRHLDR_EQY","FQ2 1993","FQ2 1993","Currency=USD","Period=FQ","BEST_FPERIOD_OVERRIDE=FQ","FILING_STATUS=OR","Sort=A","Dates=H","DateFormat=P","Fill=—","Direction=H","UseDPDF=Y")</f>
        <v>48470</v>
      </c>
      <c r="Q41" s="14">
        <f>_xll.BDH("XOM US Equity","OTHER_INS_RES_TO_SHRHLDR_EQY","FQ3 1993","FQ3 1993","Currency=USD","Period=FQ","BEST_FPERIOD_OVERRIDE=FQ","FILING_STATUS=OR","Sort=A","Dates=H","DateFormat=P","Fill=—","Direction=H","UseDPDF=Y")</f>
        <v>48097</v>
      </c>
      <c r="R41" s="14">
        <f>_xll.BDH("XOM US Equity","OTHER_INS_RES_TO_SHRHLDR_EQY","FQ4 1993","FQ4 1993","Currency=USD","Period=FQ","BEST_FPERIOD_OVERRIDE=FQ","FILING_STATUS=OR","Sort=A","Dates=H","DateFormat=P","Fill=—","Direction=H","UseDPDF=Y")</f>
        <v>48279</v>
      </c>
      <c r="S41" s="14">
        <f>_xll.BDH("XOM US Equity","OTHER_INS_RES_TO_SHRHLDR_EQY","FQ1 1994","FQ1 1994","Currency=USD","Period=FQ","BEST_FPERIOD_OVERRIDE=FQ","FILING_STATUS=OR","Sort=A","Dates=H","DateFormat=P","Fill=—","Direction=H","UseDPDF=Y")</f>
        <v>48788</v>
      </c>
      <c r="T41" s="14">
        <f>_xll.BDH("XOM US Equity","OTHER_INS_RES_TO_SHRHLDR_EQY","FQ2 1994","FQ2 1994","Currency=USD","Period=FQ","BEST_FPERIOD_OVERRIDE=FQ","FILING_STATUS=OR","Sort=A","Dates=H","DateFormat=P","Fill=—","Direction=H","UseDPDF=Y")</f>
        <v>49451</v>
      </c>
      <c r="U41" s="14">
        <f>_xll.BDH("XOM US Equity","OTHER_INS_RES_TO_SHRHLDR_EQY","FQ3 1994","FQ3 1994","Currency=USD","Period=FQ","BEST_FPERIOD_OVERRIDE=FQ","FILING_STATUS=OR","Sort=A","Dates=H","DateFormat=P","Fill=—","Direction=H","UseDPDF=Y")</f>
        <v>50138</v>
      </c>
      <c r="V41" s="14">
        <f>_xll.BDH("XOM US Equity","OTHER_INS_RES_TO_SHRHLDR_EQY","FQ4 1994","FQ4 1994","Currency=USD","Period=FQ","BEST_FPERIOD_OVERRIDE=FQ","FILING_STATUS=OR","Sort=A","Dates=H","DateFormat=P","Fill=—","Direction=H","UseDPDF=Y")</f>
        <v>51056</v>
      </c>
      <c r="W41" s="14">
        <f>_xll.BDH("XOM US Equity","OTHER_INS_RES_TO_SHRHLDR_EQY","FQ1 1995","FQ1 1995","Currency=USD","Period=FQ","BEST_FPERIOD_OVERRIDE=FQ","FILING_STATUS=OR","Sort=A","Dates=H","DateFormat=P","Fill=—","Direction=H","UseDPDF=Y")</f>
        <v>53457</v>
      </c>
      <c r="X41" s="14">
        <f>_xll.BDH("XOM US Equity","OTHER_INS_RES_TO_SHRHLDR_EQY","FQ2 1995","FQ2 1995","Currency=USD","Period=FQ","BEST_FPERIOD_OVERRIDE=FQ","FILING_STATUS=OR","Sort=A","Dates=H","DateFormat=P","Fill=—","Direction=H","UseDPDF=Y")</f>
        <v>54291</v>
      </c>
      <c r="Y41" s="14">
        <f>_xll.BDH("XOM US Equity","OTHER_INS_RES_TO_SHRHLDR_EQY","FQ3 1995","FQ3 1995","Currency=USD","Period=FQ","BEST_FPERIOD_OVERRIDE=FQ","FILING_STATUS=OR","Sort=A","Dates=H","DateFormat=P","Fill=—","Direction=H","UseDPDF=Y")</f>
        <v>53881</v>
      </c>
      <c r="Z41" s="14">
        <f>_xll.BDH("XOM US Equity","OTHER_INS_RES_TO_SHRHLDR_EQY","FQ4 1995","FQ4 1995","Currency=USD","Period=FQ","BEST_FPERIOD_OVERRIDE=FQ","FILING_STATUS=OR","Sort=A","Dates=H","DateFormat=P","Fill=—","Direction=H","UseDPDF=Y")</f>
        <v>54377</v>
      </c>
      <c r="AA41" s="14">
        <f>_xll.BDH("XOM US Equity","OTHER_INS_RES_TO_SHRHLDR_EQY","FQ1 1996","FQ1 1996","Currency=USD","Period=FQ","BEST_FPERIOD_OVERRIDE=FQ","FILING_STATUS=OR","Sort=A","Dates=H","DateFormat=P","Fill=—","Direction=H","UseDPDF=Y")</f>
        <v>55015</v>
      </c>
      <c r="AB41" s="14">
        <f>_xll.BDH("XOM US Equity","OTHER_INS_RES_TO_SHRHLDR_EQY","FQ2 1996","FQ2 1996","Currency=USD","Period=FQ","BEST_FPERIOD_OVERRIDE=FQ","FILING_STATUS=OR","Sort=A","Dates=H","DateFormat=P","Fill=—","Direction=H","UseDPDF=Y")</f>
        <v>55907</v>
      </c>
      <c r="AC41" s="14">
        <f>_xll.BDH("XOM US Equity","OTHER_INS_RES_TO_SHRHLDR_EQY","FQ3 1996","FQ3 1996","Currency=USD","Period=FQ","BEST_FPERIOD_OVERRIDE=FQ","FILING_STATUS=OR","Sort=A","Dates=H","DateFormat=P","Fill=—","Direction=H","UseDPDF=Y")</f>
        <v>56053</v>
      </c>
      <c r="AD41" s="14">
        <f>_xll.BDH("XOM US Equity","OTHER_INS_RES_TO_SHRHLDR_EQY","FQ4 1996","FQ4 1996","Currency=USD","Period=FQ","BEST_FPERIOD_OVERRIDE=FQ","FILING_STATUS=OR","Sort=A","Dates=H","DateFormat=P","Fill=—","Direction=H","UseDPDF=Y")</f>
        <v>57937</v>
      </c>
      <c r="AE41" s="14">
        <f>_xll.BDH("XOM US Equity","OTHER_INS_RES_TO_SHRHLDR_EQY","FQ1 1997","FQ1 1997","Currency=USD","Period=FQ","BEST_FPERIOD_OVERRIDE=FQ","FILING_STATUS=OR","Sort=A","Dates=H","DateFormat=P","Fill=—","Direction=H","UseDPDF=Y")</f>
        <v>48862</v>
      </c>
      <c r="AF41" s="14">
        <f>_xll.BDH("XOM US Equity","OTHER_INS_RES_TO_SHRHLDR_EQY","FQ2 1997","FQ2 1997","Currency=USD","Period=FQ","BEST_FPERIOD_OVERRIDE=FQ","FILING_STATUS=OR","Sort=A","Dates=H","DateFormat=P","Fill=—","Direction=H","UseDPDF=Y")</f>
        <v>49755</v>
      </c>
      <c r="AG41" s="14">
        <f>_xll.BDH("XOM US Equity","OTHER_INS_RES_TO_SHRHLDR_EQY","FQ3 1997","FQ3 1997","Currency=USD","Period=FQ","BEST_FPERIOD_OVERRIDE=FQ","FILING_STATUS=OR","Sort=A","Dates=H","DateFormat=P","Fill=—","Direction=H","UseDPDF=Y")</f>
        <v>49902</v>
      </c>
      <c r="AH41" s="14">
        <f>_xll.BDH("XOM US Equity","OTHER_INS_RES_TO_SHRHLDR_EQY","FQ4 1997","FQ4 1997","Currency=USD","Period=FQ","BEST_FPERIOD_OVERRIDE=FQ","FILING_STATUS=OR","Sort=A","Dates=H","DateFormat=P","Fill=—","Direction=H","UseDPDF=Y")</f>
        <v>50870</v>
      </c>
      <c r="AI41" s="14">
        <f>_xll.BDH("XOM US Equity","OTHER_INS_RES_TO_SHRHLDR_EQY","FQ1 1998","FQ1 1998","Currency=USD","Period=FQ","BEST_FPERIOD_OVERRIDE=FQ","FILING_STATUS=OR","Sort=A","Dates=H","DateFormat=P","Fill=—","Direction=H","UseDPDF=Y")</f>
        <v>51723</v>
      </c>
      <c r="AJ41" s="14">
        <f>_xll.BDH("XOM US Equity","OTHER_INS_RES_TO_SHRHLDR_EQY","FQ2 1998","FQ2 1998","Currency=USD","Period=FQ","BEST_FPERIOD_OVERRIDE=FQ","FILING_STATUS=OR","Sort=A","Dates=H","DateFormat=P","Fill=—","Direction=H","UseDPDF=Y")</f>
        <v>52164</v>
      </c>
    </row>
    <row r="42" spans="1:36" x14ac:dyDescent="0.25">
      <c r="A42" s="6" t="s">
        <v>213</v>
      </c>
      <c r="B42" s="6" t="s">
        <v>214</v>
      </c>
      <c r="C42" s="16">
        <f>_xll.BDH("XOM US Equity","EQTY_BEF_MINORITY_INT_DETAILED","FQ1 1990","FQ1 1990","Currency=USD","Period=FQ","BEST_FPERIOD_OVERRIDE=FQ","FILING_STATUS=OR","SCALING_FORMAT=MLN","Sort=A","Dates=H","DateFormat=P","Fill=—","Direction=H","UseDPDF=Y")</f>
        <v>30539</v>
      </c>
      <c r="D42" s="16">
        <f>_xll.BDH("XOM US Equity","EQTY_BEF_MINORITY_INT_DETAILED","FQ2 1990","FQ2 1990","Currency=USD","Period=FQ","BEST_FPERIOD_OVERRIDE=FQ","FILING_STATUS=OR","SCALING_FORMAT=MLN","Sort=A","Dates=H","DateFormat=P","Fill=—","Direction=H","UseDPDF=Y")</f>
        <v>31232</v>
      </c>
      <c r="E42" s="16">
        <f>_xll.BDH("XOM US Equity","EQTY_BEF_MINORITY_INT_DETAILED","FQ3 1990","FQ3 1990","Currency=USD","Period=FQ","BEST_FPERIOD_OVERRIDE=FQ","FILING_STATUS=OR","SCALING_FORMAT=MLN","Sort=A","Dates=H","DateFormat=P","Fill=—","Direction=H","UseDPDF=Y")</f>
        <v>32255</v>
      </c>
      <c r="F42" s="16">
        <f>_xll.BDH("XOM US Equity","EQTY_BEF_MINORITY_INT_DETAILED","FQ4 1990","FQ4 1990","Currency=USD","Period=FQ","BEST_FPERIOD_OVERRIDE=FQ","FILING_STATUS=OR","SCALING_FORMAT=MLN","Sort=A","Dates=H","DateFormat=P","Fill=—","Direction=H","UseDPDF=Y")</f>
        <v>33055</v>
      </c>
      <c r="G42" s="16">
        <f>_xll.BDH("XOM US Equity","EQTY_BEF_MINORITY_INT_DETAILED","FQ1 1991","FQ1 1991","Currency=USD","Period=FQ","BEST_FPERIOD_OVERRIDE=FQ","FILING_STATUS=OR","SCALING_FORMAT=MLN","Sort=A","Dates=H","DateFormat=P","Fill=—","Direction=H","UseDPDF=Y")</f>
        <v>33037</v>
      </c>
      <c r="H42" s="16">
        <f>_xll.BDH("XOM US Equity","EQTY_BEF_MINORITY_INT_DETAILED","FQ2 1991","FQ2 1991","Currency=USD","Period=FQ","BEST_FPERIOD_OVERRIDE=FQ","FILING_STATUS=OR","SCALING_FORMAT=MLN","Sort=A","Dates=H","DateFormat=P","Fill=—","Direction=H","UseDPDF=Y")</f>
        <v>32799</v>
      </c>
      <c r="I42" s="16">
        <f>_xll.BDH("XOM US Equity","EQTY_BEF_MINORITY_INT_DETAILED","FQ3 1991","FQ3 1991","Currency=USD","Period=FQ","BEST_FPERIOD_OVERRIDE=FQ","FILING_STATUS=OR","SCALING_FORMAT=MLN","Sort=A","Dates=H","DateFormat=P","Fill=—","Direction=H","UseDPDF=Y")</f>
        <v>33888</v>
      </c>
      <c r="J42" s="16">
        <f>_xll.BDH("XOM US Equity","EQTY_BEF_MINORITY_INT_DETAILED","FQ4 1991","FQ4 1991","Currency=USD","Period=FQ","BEST_FPERIOD_OVERRIDE=FQ","FILING_STATUS=OR","SCALING_FORMAT=MLN","Sort=A","Dates=H","DateFormat=P","Fill=—","Direction=H","UseDPDF=Y")</f>
        <v>34927</v>
      </c>
      <c r="K42" s="16">
        <f>_xll.BDH("XOM US Equity","EQTY_BEF_MINORITY_INT_DETAILED","FQ1 1992","FQ1 1992","Currency=USD","Period=FQ","BEST_FPERIOD_OVERRIDE=FQ","FILING_STATUS=OR","SCALING_FORMAT=MLN","Sort=A","Dates=H","DateFormat=P","Fill=—","Direction=H","UseDPDF=Y")</f>
        <v>34243</v>
      </c>
      <c r="L42" s="16">
        <f>_xll.BDH("XOM US Equity","EQTY_BEF_MINORITY_INT_DETAILED","FQ2 1992","FQ2 1992","Currency=USD","Period=FQ","BEST_FPERIOD_OVERRIDE=FQ","FILING_STATUS=OR","SCALING_FORMAT=MLN","Sort=A","Dates=H","DateFormat=P","Fill=—","Direction=H","UseDPDF=Y")</f>
        <v>35276</v>
      </c>
      <c r="M42" s="16">
        <f>_xll.BDH("XOM US Equity","EQTY_BEF_MINORITY_INT_DETAILED","FQ3 1992","FQ3 1992","Currency=USD","Period=FQ","BEST_FPERIOD_OVERRIDE=FQ","FILING_STATUS=OR","SCALING_FORMAT=MLN","Sort=A","Dates=H","DateFormat=P","Fill=—","Direction=H","UseDPDF=Y")</f>
        <v>35340</v>
      </c>
      <c r="N42" s="16">
        <f>_xll.BDH("XOM US Equity","EQTY_BEF_MINORITY_INT_DETAILED","FQ4 1992","FQ4 1992","Currency=USD","Period=FQ","BEST_FPERIOD_OVERRIDE=FQ","FILING_STATUS=OR","SCALING_FORMAT=MLN","Sort=A","Dates=H","DateFormat=P","Fill=—","Direction=H","UseDPDF=Y")</f>
        <v>33776</v>
      </c>
      <c r="O42" s="16">
        <f>_xll.BDH("XOM US Equity","EQTY_BEF_MINORITY_INT_DETAILED","FQ1 1993","FQ1 1993","Currency=USD","Period=FQ","BEST_FPERIOD_OVERRIDE=FQ","FILING_STATUS=OR","SCALING_FORMAT=MLN","Sort=A","Dates=H","DateFormat=P","Fill=—","Direction=H","UseDPDF=Y")</f>
        <v>34115</v>
      </c>
      <c r="P42" s="16">
        <f>_xll.BDH("XOM US Equity","EQTY_BEF_MINORITY_INT_DETAILED","FQ2 1993","FQ2 1993","Currency=USD","Period=FQ","BEST_FPERIOD_OVERRIDE=FQ","FILING_STATUS=OR","SCALING_FORMAT=MLN","Sort=A","Dates=H","DateFormat=P","Fill=—","Direction=H","UseDPDF=Y")</f>
        <v>34351</v>
      </c>
      <c r="Q42" s="16">
        <f>_xll.BDH("XOM US Equity","EQTY_BEF_MINORITY_INT_DETAILED","FQ3 1993","FQ3 1993","Currency=USD","Period=FQ","BEST_FPERIOD_OVERRIDE=FQ","FILING_STATUS=OR","SCALING_FORMAT=MLN","Sort=A","Dates=H","DateFormat=P","Fill=—","Direction=H","UseDPDF=Y")</f>
        <v>34648</v>
      </c>
      <c r="R42" s="16">
        <f>_xll.BDH("XOM US Equity","EQTY_BEF_MINORITY_INT_DETAILED","FQ4 1993","FQ4 1993","Currency=USD","Period=FQ","BEST_FPERIOD_OVERRIDE=FQ","FILING_STATUS=OR","SCALING_FORMAT=MLN","Sort=A","Dates=H","DateFormat=P","Fill=—","Direction=H","UseDPDF=Y")</f>
        <v>34792</v>
      </c>
      <c r="S42" s="16">
        <f>_xll.BDH("XOM US Equity","EQTY_BEF_MINORITY_INT_DETAILED","FQ1 1994","FQ1 1994","Currency=USD","Period=FQ","BEST_FPERIOD_OVERRIDE=FQ","FILING_STATUS=OR","SCALING_FORMAT=MLN","Sort=A","Dates=H","DateFormat=P","Fill=—","Direction=H","UseDPDF=Y")</f>
        <v>35253</v>
      </c>
      <c r="T42" s="16">
        <f>_xll.BDH("XOM US Equity","EQTY_BEF_MINORITY_INT_DETAILED","FQ2 1994","FQ2 1994","Currency=USD","Period=FQ","BEST_FPERIOD_OVERRIDE=FQ","FILING_STATUS=OR","SCALING_FORMAT=MLN","Sort=A","Dates=H","DateFormat=P","Fill=—","Direction=H","UseDPDF=Y")</f>
        <v>35861</v>
      </c>
      <c r="U42" s="16">
        <f>_xll.BDH("XOM US Equity","EQTY_BEF_MINORITY_INT_DETAILED","FQ3 1994","FQ3 1994","Currency=USD","Period=FQ","BEST_FPERIOD_OVERRIDE=FQ","FILING_STATUS=OR","SCALING_FORMAT=MLN","Sort=A","Dates=H","DateFormat=P","Fill=—","Direction=H","UseDPDF=Y")</f>
        <v>36516</v>
      </c>
      <c r="V42" s="16">
        <f>_xll.BDH("XOM US Equity","EQTY_BEF_MINORITY_INT_DETAILED","FQ4 1994","FQ4 1994","Currency=USD","Period=FQ","BEST_FPERIOD_OVERRIDE=FQ","FILING_STATUS=OR","SCALING_FORMAT=MLN","Sort=A","Dates=H","DateFormat=P","Fill=—","Direction=H","UseDPDF=Y")</f>
        <v>37415</v>
      </c>
      <c r="W42" s="16">
        <f>_xll.BDH("XOM US Equity","EQTY_BEF_MINORITY_INT_DETAILED","FQ1 1995","FQ1 1995","Currency=USD","Period=FQ","BEST_FPERIOD_OVERRIDE=FQ","FILING_STATUS=OR","SCALING_FORMAT=MLN","Sort=A","Dates=H","DateFormat=P","Fill=—","Direction=H","UseDPDF=Y")</f>
        <v>39182</v>
      </c>
      <c r="X42" s="16">
        <f>_xll.BDH("XOM US Equity","EQTY_BEF_MINORITY_INT_DETAILED","FQ2 1995","FQ2 1995","Currency=USD","Period=FQ","BEST_FPERIOD_OVERRIDE=FQ","FILING_STATUS=OR","SCALING_FORMAT=MLN","Sort=A","Dates=H","DateFormat=P","Fill=—","Direction=H","UseDPDF=Y")</f>
        <v>39999</v>
      </c>
      <c r="Y42" s="16">
        <f>_xll.BDH("XOM US Equity","EQTY_BEF_MINORITY_INT_DETAILED","FQ3 1995","FQ3 1995","Currency=USD","Period=FQ","BEST_FPERIOD_OVERRIDE=FQ","FILING_STATUS=OR","SCALING_FORMAT=MLN","Sort=A","Dates=H","DateFormat=P","Fill=—","Direction=H","UseDPDF=Y")</f>
        <v>40035</v>
      </c>
      <c r="Z42" s="16">
        <f>_xll.BDH("XOM US Equity","EQTY_BEF_MINORITY_INT_DETAILED","FQ4 1995","FQ4 1995","Currency=USD","Period=FQ","BEST_FPERIOD_OVERRIDE=FQ","FILING_STATUS=OR","SCALING_FORMAT=MLN","Sort=A","Dates=H","DateFormat=P","Fill=—","Direction=H","UseDPDF=Y")</f>
        <v>40436</v>
      </c>
      <c r="AA42" s="16">
        <f>_xll.BDH("XOM US Equity","EQTY_BEF_MINORITY_INT_DETAILED","FQ1 1996","FQ1 1996","Currency=USD","Period=FQ","BEST_FPERIOD_OVERRIDE=FQ","FILING_STATUS=OR","SCALING_FORMAT=MLN","Sort=A","Dates=H","DateFormat=P","Fill=—","Direction=H","UseDPDF=Y")</f>
        <v>41022</v>
      </c>
      <c r="AB42" s="16">
        <f>_xll.BDH("XOM US Equity","EQTY_BEF_MINORITY_INT_DETAILED","FQ2 1996","FQ2 1996","Currency=USD","Period=FQ","BEST_FPERIOD_OVERRIDE=FQ","FILING_STATUS=OR","SCALING_FORMAT=MLN","Sort=A","Dates=H","DateFormat=P","Fill=—","Direction=H","UseDPDF=Y")</f>
        <v>41378</v>
      </c>
      <c r="AC42" s="16">
        <f>_xll.BDH("XOM US Equity","EQTY_BEF_MINORITY_INT_DETAILED","FQ3 1996","FQ3 1996","Currency=USD","Period=FQ","BEST_FPERIOD_OVERRIDE=FQ","FILING_STATUS=OR","SCALING_FORMAT=MLN","Sort=A","Dates=H","DateFormat=P","Fill=—","Direction=H","UseDPDF=Y")</f>
        <v>41791</v>
      </c>
      <c r="AD42" s="16">
        <f>_xll.BDH("XOM US Equity","EQTY_BEF_MINORITY_INT_DETAILED","FQ4 1996","FQ4 1996","Currency=USD","Period=FQ","BEST_FPERIOD_OVERRIDE=FQ","FILING_STATUS=OR","SCALING_FORMAT=MLN","Sort=A","Dates=H","DateFormat=P","Fill=—","Direction=H","UseDPDF=Y")</f>
        <v>43542</v>
      </c>
      <c r="AE42" s="16">
        <f>_xll.BDH("XOM US Equity","EQTY_BEF_MINORITY_INT_DETAILED","FQ1 1997","FQ1 1997","Currency=USD","Period=FQ","BEST_FPERIOD_OVERRIDE=FQ","FILING_STATUS=OR","SCALING_FORMAT=MLN","Sort=A","Dates=H","DateFormat=P","Fill=—","Direction=H","UseDPDF=Y")</f>
        <v>43670</v>
      </c>
      <c r="AF42" s="16">
        <f>_xll.BDH("XOM US Equity","EQTY_BEF_MINORITY_INT_DETAILED","FQ2 1997","FQ2 1997","Currency=USD","Period=FQ","BEST_FPERIOD_OVERRIDE=FQ","FILING_STATUS=OR","SCALING_FORMAT=MLN","Sort=A","Dates=H","DateFormat=P","Fill=—","Direction=H","UseDPDF=Y")</f>
        <v>43815</v>
      </c>
      <c r="AG42" s="16">
        <f>_xll.BDH("XOM US Equity","EQTY_BEF_MINORITY_INT_DETAILED","FQ3 1997","FQ3 1997","Currency=USD","Period=FQ","BEST_FPERIOD_OVERRIDE=FQ","FILING_STATUS=OR","SCALING_FORMAT=MLN","Sort=A","Dates=H","DateFormat=P","Fill=—","Direction=H","UseDPDF=Y")</f>
        <v>43356</v>
      </c>
      <c r="AH42" s="16">
        <f>_xll.BDH("XOM US Equity","EQTY_BEF_MINORITY_INT_DETAILED","FQ4 1997","FQ4 1997","Currency=USD","Period=FQ","BEST_FPERIOD_OVERRIDE=FQ","FILING_STATUS=OR","SCALING_FORMAT=MLN","Sort=A","Dates=H","DateFormat=P","Fill=—","Direction=H","UseDPDF=Y")</f>
        <v>43660</v>
      </c>
      <c r="AI42" s="16">
        <f>_xll.BDH("XOM US Equity","EQTY_BEF_MINORITY_INT_DETAILED","FQ1 1998","FQ1 1998","Currency=USD","Period=FQ","BEST_FPERIOD_OVERRIDE=FQ","FILING_STATUS=OR","SCALING_FORMAT=MLN","Sort=A","Dates=H","DateFormat=P","Fill=—","Direction=H","UseDPDF=Y")</f>
        <v>43745</v>
      </c>
      <c r="AJ42" s="16">
        <f>_xll.BDH("XOM US Equity","EQTY_BEF_MINORITY_INT_DETAILED","FQ2 1998","FQ2 1998","Currency=USD","Period=FQ","BEST_FPERIOD_OVERRIDE=FQ","FILING_STATUS=OR","SCALING_FORMAT=MLN","Sort=A","Dates=H","DateFormat=P","Fill=—","Direction=H","UseDPDF=Y")</f>
        <v>43357</v>
      </c>
    </row>
    <row r="43" spans="1:36" x14ac:dyDescent="0.25">
      <c r="A43" s="10" t="s">
        <v>215</v>
      </c>
      <c r="B43" s="10" t="s">
        <v>216</v>
      </c>
      <c r="C43" s="13" t="str">
        <f>_xll.BDH("XOM US Equity","MINORITY_NONCONTROLLING_INTEREST","FQ1 1990","FQ1 1990","Currency=USD","Period=FQ","BEST_FPERIOD_OVERRIDE=FQ","FILING_STATUS=OR","SCALING_FORMAT=MLN","Sort=A","Dates=H","DateFormat=P","Fill=—","Direction=H","UseDPDF=Y")</f>
        <v>—</v>
      </c>
      <c r="D43" s="13" t="str">
        <f>_xll.BDH("XOM US Equity","MINORITY_NONCONTROLLING_INTEREST","FQ2 1990","FQ2 1990","Currency=USD","Period=FQ","BEST_FPERIOD_OVERRIDE=FQ","FILING_STATUS=OR","SCALING_FORMAT=MLN","Sort=A","Dates=H","DateFormat=P","Fill=—","Direction=H","UseDPDF=Y")</f>
        <v>—</v>
      </c>
      <c r="E43" s="13" t="str">
        <f>_xll.BDH("XOM US Equity","MINORITY_NONCONTROLLING_INTEREST","FQ3 1990","FQ3 1990","Currency=USD","Period=FQ","BEST_FPERIOD_OVERRIDE=FQ","FILING_STATUS=OR","SCALING_FORMAT=MLN","Sort=A","Dates=H","DateFormat=P","Fill=—","Direction=H","UseDPDF=Y")</f>
        <v>—</v>
      </c>
      <c r="F43" s="13">
        <f>_xll.BDH("XOM US Equity","MINORITY_NONCONTROLLING_INTEREST","FQ4 1990","FQ4 1990","Currency=USD","Period=FQ","BEST_FPERIOD_OVERRIDE=FQ","FILING_STATUS=OR","SCALING_FORMAT=MLN","Sort=A","Dates=H","DateFormat=P","Fill=—","Direction=H","UseDPDF=Y")</f>
        <v>2950</v>
      </c>
      <c r="G43" s="13" t="str">
        <f>_xll.BDH("XOM US Equity","MINORITY_NONCONTROLLING_INTEREST","FQ1 1991","FQ1 1991","Currency=USD","Period=FQ","BEST_FPERIOD_OVERRIDE=FQ","FILING_STATUS=OR","SCALING_FORMAT=MLN","Sort=A","Dates=H","DateFormat=P","Fill=—","Direction=H","UseDPDF=Y")</f>
        <v>—</v>
      </c>
      <c r="H43" s="13" t="str">
        <f>_xll.BDH("XOM US Equity","MINORITY_NONCONTROLLING_INTEREST","FQ2 1991","FQ2 1991","Currency=USD","Period=FQ","BEST_FPERIOD_OVERRIDE=FQ","FILING_STATUS=OR","SCALING_FORMAT=MLN","Sort=A","Dates=H","DateFormat=P","Fill=—","Direction=H","UseDPDF=Y")</f>
        <v>—</v>
      </c>
      <c r="I43" s="13" t="str">
        <f>_xll.BDH("XOM US Equity","MINORITY_NONCONTROLLING_INTEREST","FQ3 1991","FQ3 1991","Currency=USD","Period=FQ","BEST_FPERIOD_OVERRIDE=FQ","FILING_STATUS=OR","SCALING_FORMAT=MLN","Sort=A","Dates=H","DateFormat=P","Fill=—","Direction=H","UseDPDF=Y")</f>
        <v>—</v>
      </c>
      <c r="J43" s="13">
        <f>_xll.BDH("XOM US Equity","MINORITY_NONCONTROLLING_INTEREST","FQ4 1991","FQ4 1991","Currency=USD","Period=FQ","BEST_FPERIOD_OVERRIDE=FQ","FILING_STATUS=OR","SCALING_FORMAT=MLN","Sort=A","Dates=H","DateFormat=P","Fill=—","Direction=H","UseDPDF=Y")</f>
        <v>2967</v>
      </c>
      <c r="K43" s="13" t="str">
        <f>_xll.BDH("XOM US Equity","MINORITY_NONCONTROLLING_INTEREST","FQ1 1992","FQ1 1992","Currency=USD","Period=FQ","BEST_FPERIOD_OVERRIDE=FQ","FILING_STATUS=OR","SCALING_FORMAT=MLN","Sort=A","Dates=H","DateFormat=P","Fill=—","Direction=H","UseDPDF=Y")</f>
        <v>—</v>
      </c>
      <c r="L43" s="13" t="str">
        <f>_xll.BDH("XOM US Equity","MINORITY_NONCONTROLLING_INTEREST","FQ2 1992","FQ2 1992","Currency=USD","Period=FQ","BEST_FPERIOD_OVERRIDE=FQ","FILING_STATUS=OR","SCALING_FORMAT=MLN","Sort=A","Dates=H","DateFormat=P","Fill=—","Direction=H","UseDPDF=Y")</f>
        <v>—</v>
      </c>
      <c r="M43" s="13" t="str">
        <f>_xll.BDH("XOM US Equity","MINORITY_NONCONTROLLING_INTEREST","FQ3 1992","FQ3 1992","Currency=USD","Period=FQ","BEST_FPERIOD_OVERRIDE=FQ","FILING_STATUS=OR","SCALING_FORMAT=MLN","Sort=A","Dates=H","DateFormat=P","Fill=—","Direction=H","UseDPDF=Y")</f>
        <v>—</v>
      </c>
      <c r="N43" s="13">
        <f>_xll.BDH("XOM US Equity","MINORITY_NONCONTROLLING_INTEREST","FQ4 1992","FQ4 1992","Currency=USD","Period=FQ","BEST_FPERIOD_OVERRIDE=FQ","FILING_STATUS=OR","SCALING_FORMAT=MLN","Sort=A","Dates=H","DateFormat=P","Fill=—","Direction=H","UseDPDF=Y")</f>
        <v>2975</v>
      </c>
      <c r="O43" s="13">
        <f>_xll.BDH("XOM US Equity","MINORITY_NONCONTROLLING_INTEREST","FQ1 1993","FQ1 1993","Currency=USD","Period=FQ","BEST_FPERIOD_OVERRIDE=FQ","FILING_STATUS=OR","SCALING_FORMAT=MLN","Sort=A","Dates=H","DateFormat=P","Fill=—","Direction=H","UseDPDF=Y")</f>
        <v>0</v>
      </c>
      <c r="P43" s="13" t="str">
        <f>_xll.BDH("XOM US Equity","MINORITY_NONCONTROLLING_INTEREST","FQ2 1993","FQ2 1993","Currency=USD","Period=FQ","BEST_FPERIOD_OVERRIDE=FQ","FILING_STATUS=OR","SCALING_FORMAT=MLN","Sort=A","Dates=H","DateFormat=P","Fill=—","Direction=H","UseDPDF=Y")</f>
        <v>—</v>
      </c>
      <c r="Q43" s="13" t="str">
        <f>_xll.BDH("XOM US Equity","MINORITY_NONCONTROLLING_INTEREST","FQ3 1993","FQ3 1993","Currency=USD","Period=FQ","BEST_FPERIOD_OVERRIDE=FQ","FILING_STATUS=OR","SCALING_FORMAT=MLN","Sort=A","Dates=H","DateFormat=P","Fill=—","Direction=H","UseDPDF=Y")</f>
        <v>—</v>
      </c>
      <c r="R43" s="13">
        <f>_xll.BDH("XOM US Equity","MINORITY_NONCONTROLLING_INTEREST","FQ4 1993","FQ4 1993","Currency=USD","Period=FQ","BEST_FPERIOD_OVERRIDE=FQ","FILING_STATUS=OR","SCALING_FORMAT=MLN","Sort=A","Dates=H","DateFormat=P","Fill=—","Direction=H","UseDPDF=Y")</f>
        <v>2395</v>
      </c>
      <c r="S43" s="13" t="str">
        <f>_xll.BDH("XOM US Equity","MINORITY_NONCONTROLLING_INTEREST","FQ1 1994","FQ1 1994","Currency=USD","Period=FQ","BEST_FPERIOD_OVERRIDE=FQ","FILING_STATUS=OR","SCALING_FORMAT=MLN","Sort=A","Dates=H","DateFormat=P","Fill=—","Direction=H","UseDPDF=Y")</f>
        <v>—</v>
      </c>
      <c r="T43" s="13" t="str">
        <f>_xll.BDH("XOM US Equity","MINORITY_NONCONTROLLING_INTEREST","FQ2 1994","FQ2 1994","Currency=USD","Period=FQ","BEST_FPERIOD_OVERRIDE=FQ","FILING_STATUS=OR","SCALING_FORMAT=MLN","Sort=A","Dates=H","DateFormat=P","Fill=—","Direction=H","UseDPDF=Y")</f>
        <v>—</v>
      </c>
      <c r="U43" s="13">
        <f>_xll.BDH("XOM US Equity","MINORITY_NONCONTROLLING_INTEREST","FQ3 1994","FQ3 1994","Currency=USD","Period=FQ","BEST_FPERIOD_OVERRIDE=FQ","FILING_STATUS=OR","SCALING_FORMAT=MLN","Sort=A","Dates=H","DateFormat=P","Fill=—","Direction=H","UseDPDF=Y")</f>
        <v>0</v>
      </c>
      <c r="V43" s="13">
        <f>_xll.BDH("XOM US Equity","MINORITY_NONCONTROLLING_INTEREST","FQ4 1994","FQ4 1994","Currency=USD","Period=FQ","BEST_FPERIOD_OVERRIDE=FQ","FILING_STATUS=OR","SCALING_FORMAT=MLN","Sort=A","Dates=H","DateFormat=P","Fill=—","Direction=H","UseDPDF=Y")</f>
        <v>2168</v>
      </c>
      <c r="W43" s="13">
        <f>_xll.BDH("XOM US Equity","MINORITY_NONCONTROLLING_INTEREST","FQ1 1995","FQ1 1995","Currency=USD","Period=FQ","BEST_FPERIOD_OVERRIDE=FQ","FILING_STATUS=OR","SCALING_FORMAT=MLN","Sort=A","Dates=H","DateFormat=P","Fill=—","Direction=H","UseDPDF=Y")</f>
        <v>0</v>
      </c>
      <c r="X43" s="13">
        <f>_xll.BDH("XOM US Equity","MINORITY_NONCONTROLLING_INTEREST","FQ2 1995","FQ2 1995","Currency=USD","Period=FQ","BEST_FPERIOD_OVERRIDE=FQ","FILING_STATUS=OR","SCALING_FORMAT=MLN","Sort=A","Dates=H","DateFormat=P","Fill=—","Direction=H","UseDPDF=Y")</f>
        <v>0</v>
      </c>
      <c r="Y43" s="13" t="str">
        <f>_xll.BDH("XOM US Equity","MINORITY_NONCONTROLLING_INTEREST","FQ3 1995","FQ3 1995","Currency=USD","Period=FQ","BEST_FPERIOD_OVERRIDE=FQ","FILING_STATUS=OR","SCALING_FORMAT=MLN","Sort=A","Dates=H","DateFormat=P","Fill=—","Direction=H","UseDPDF=Y")</f>
        <v>—</v>
      </c>
      <c r="Z43" s="13">
        <f>_xll.BDH("XOM US Equity","MINORITY_NONCONTROLLING_INTEREST","FQ4 1995","FQ4 1995","Currency=USD","Period=FQ","BEST_FPERIOD_OVERRIDE=FQ","FILING_STATUS=OR","SCALING_FORMAT=MLN","Sort=A","Dates=H","DateFormat=P","Fill=—","Direction=H","UseDPDF=Y")</f>
        <v>2170</v>
      </c>
      <c r="AA43" s="13" t="str">
        <f>_xll.BDH("XOM US Equity","MINORITY_NONCONTROLLING_INTEREST","FQ1 1996","FQ1 1996","Currency=USD","Period=FQ","BEST_FPERIOD_OVERRIDE=FQ","FILING_STATUS=OR","SCALING_FORMAT=MLN","Sort=A","Dates=H","DateFormat=P","Fill=—","Direction=H","UseDPDF=Y")</f>
        <v>—</v>
      </c>
      <c r="AB43" s="13">
        <f>_xll.BDH("XOM US Equity","MINORITY_NONCONTROLLING_INTEREST","FQ2 1996","FQ2 1996","Currency=USD","Period=FQ","BEST_FPERIOD_OVERRIDE=FQ","FILING_STATUS=OR","SCALING_FORMAT=MLN","Sort=A","Dates=H","DateFormat=P","Fill=—","Direction=H","UseDPDF=Y")</f>
        <v>0</v>
      </c>
      <c r="AC43" s="13" t="str">
        <f>_xll.BDH("XOM US Equity","MINORITY_NONCONTROLLING_INTEREST","FQ3 1996","FQ3 1996","Currency=USD","Period=FQ","BEST_FPERIOD_OVERRIDE=FQ","FILING_STATUS=OR","SCALING_FORMAT=MLN","Sort=A","Dates=H","DateFormat=P","Fill=—","Direction=H","UseDPDF=Y")</f>
        <v>—</v>
      </c>
      <c r="AD43" s="13">
        <f>_xll.BDH("XOM US Equity","MINORITY_NONCONTROLLING_INTEREST","FQ4 1996","FQ4 1996","Currency=USD","Period=FQ","BEST_FPERIOD_OVERRIDE=FQ","FILING_STATUS=OR","SCALING_FORMAT=MLN","Sort=A","Dates=H","DateFormat=P","Fill=—","Direction=H","UseDPDF=Y")</f>
        <v>1914</v>
      </c>
      <c r="AE43" s="13">
        <f>_xll.BDH("XOM US Equity","MINORITY_NONCONTROLLING_INTEREST","FQ1 1997","FQ1 1997","Currency=USD","Period=FQ","BEST_FPERIOD_OVERRIDE=FQ","FILING_STATUS=OR","SCALING_FORMAT=MLN","Sort=A","Dates=H","DateFormat=P","Fill=—","Direction=H","UseDPDF=Y")</f>
        <v>0</v>
      </c>
      <c r="AF43" s="13">
        <f>_xll.BDH("XOM US Equity","MINORITY_NONCONTROLLING_INTEREST","FQ2 1997","FQ2 1997","Currency=USD","Period=FQ","BEST_FPERIOD_OVERRIDE=FQ","FILING_STATUS=OR","SCALING_FORMAT=MLN","Sort=A","Dates=H","DateFormat=P","Fill=—","Direction=H","UseDPDF=Y")</f>
        <v>0</v>
      </c>
      <c r="AG43" s="13">
        <f>_xll.BDH("XOM US Equity","MINORITY_NONCONTROLLING_INTEREST","FQ3 1997","FQ3 1997","Currency=USD","Period=FQ","BEST_FPERIOD_OVERRIDE=FQ","FILING_STATUS=OR","SCALING_FORMAT=MLN","Sort=A","Dates=H","DateFormat=P","Fill=—","Direction=H","UseDPDF=Y")</f>
        <v>0</v>
      </c>
      <c r="AH43" s="13">
        <f>_xll.BDH("XOM US Equity","MINORITY_NONCONTROLLING_INTEREST","FQ4 1997","FQ4 1997","Currency=USD","Period=FQ","BEST_FPERIOD_OVERRIDE=FQ","FILING_STATUS=OR","SCALING_FORMAT=MLN","Sort=A","Dates=H","DateFormat=P","Fill=—","Direction=H","UseDPDF=Y")</f>
        <v>2371</v>
      </c>
      <c r="AI43" s="13" t="str">
        <f>_xll.BDH("XOM US Equity","MINORITY_NONCONTROLLING_INTEREST","FQ1 1998","FQ1 1998","Currency=USD","Period=FQ","BEST_FPERIOD_OVERRIDE=FQ","FILING_STATUS=OR","SCALING_FORMAT=MLN","Sort=A","Dates=H","DateFormat=P","Fill=—","Direction=H","UseDPDF=Y")</f>
        <v>—</v>
      </c>
      <c r="AJ43" s="13">
        <f>_xll.BDH("XOM US Equity","MINORITY_NONCONTROLLING_INTEREST","FQ2 1998","FQ2 1998","Currency=USD","Period=FQ","BEST_FPERIOD_OVERRIDE=FQ","FILING_STATUS=OR","SCALING_FORMAT=MLN","Sort=A","Dates=H","DateFormat=P","Fill=—","Direction=H","UseDPDF=Y")</f>
        <v>0</v>
      </c>
    </row>
    <row r="44" spans="1:36" x14ac:dyDescent="0.25">
      <c r="A44" s="6" t="s">
        <v>217</v>
      </c>
      <c r="B44" s="6" t="s">
        <v>218</v>
      </c>
      <c r="C44" s="16">
        <f>_xll.BDH("XOM US Equity","TOTAL_EQUITY","FQ1 1990","FQ1 1990","Currency=USD","Period=FQ","BEST_FPERIOD_OVERRIDE=FQ","FILING_STATUS=OR","SCALING_FORMAT=MLN","Sort=A","Dates=H","DateFormat=P","Fill=—","Direction=H","UseDPDF=Y")</f>
        <v>30539</v>
      </c>
      <c r="D44" s="16">
        <f>_xll.BDH("XOM US Equity","TOTAL_EQUITY","FQ2 1990","FQ2 1990","Currency=USD","Period=FQ","BEST_FPERIOD_OVERRIDE=FQ","FILING_STATUS=OR","SCALING_FORMAT=MLN","Sort=A","Dates=H","DateFormat=P","Fill=—","Direction=H","UseDPDF=Y")</f>
        <v>31232</v>
      </c>
      <c r="E44" s="16">
        <f>_xll.BDH("XOM US Equity","TOTAL_EQUITY","FQ3 1990","FQ3 1990","Currency=USD","Period=FQ","BEST_FPERIOD_OVERRIDE=FQ","FILING_STATUS=OR","SCALING_FORMAT=MLN","Sort=A","Dates=H","DateFormat=P","Fill=—","Direction=H","UseDPDF=Y")</f>
        <v>32255</v>
      </c>
      <c r="F44" s="16">
        <f>_xll.BDH("XOM US Equity","TOTAL_EQUITY","FQ4 1990","FQ4 1990","Currency=USD","Period=FQ","BEST_FPERIOD_OVERRIDE=FQ","FILING_STATUS=OR","SCALING_FORMAT=MLN","Sort=A","Dates=H","DateFormat=P","Fill=—","Direction=H","UseDPDF=Y")</f>
        <v>36005</v>
      </c>
      <c r="G44" s="16">
        <f>_xll.BDH("XOM US Equity","TOTAL_EQUITY","FQ1 1991","FQ1 1991","Currency=USD","Period=FQ","BEST_FPERIOD_OVERRIDE=FQ","FILING_STATUS=OR","SCALING_FORMAT=MLN","Sort=A","Dates=H","DateFormat=P","Fill=—","Direction=H","UseDPDF=Y")</f>
        <v>33037</v>
      </c>
      <c r="H44" s="16">
        <f>_xll.BDH("XOM US Equity","TOTAL_EQUITY","FQ2 1991","FQ2 1991","Currency=USD","Period=FQ","BEST_FPERIOD_OVERRIDE=FQ","FILING_STATUS=OR","SCALING_FORMAT=MLN","Sort=A","Dates=H","DateFormat=P","Fill=—","Direction=H","UseDPDF=Y")</f>
        <v>32799</v>
      </c>
      <c r="I44" s="16">
        <f>_xll.BDH("XOM US Equity","TOTAL_EQUITY","FQ3 1991","FQ3 1991","Currency=USD","Period=FQ","BEST_FPERIOD_OVERRIDE=FQ","FILING_STATUS=OR","SCALING_FORMAT=MLN","Sort=A","Dates=H","DateFormat=P","Fill=—","Direction=H","UseDPDF=Y")</f>
        <v>33888</v>
      </c>
      <c r="J44" s="16">
        <f>_xll.BDH("XOM US Equity","TOTAL_EQUITY","FQ4 1991","FQ4 1991","Currency=USD","Period=FQ","BEST_FPERIOD_OVERRIDE=FQ","FILING_STATUS=OR","SCALING_FORMAT=MLN","Sort=A","Dates=H","DateFormat=P","Fill=—","Direction=H","UseDPDF=Y")</f>
        <v>37894</v>
      </c>
      <c r="K44" s="16">
        <f>_xll.BDH("XOM US Equity","TOTAL_EQUITY","FQ1 1992","FQ1 1992","Currency=USD","Period=FQ","BEST_FPERIOD_OVERRIDE=FQ","FILING_STATUS=OR","SCALING_FORMAT=MLN","Sort=A","Dates=H","DateFormat=P","Fill=—","Direction=H","UseDPDF=Y")</f>
        <v>34243</v>
      </c>
      <c r="L44" s="16">
        <f>_xll.BDH("XOM US Equity","TOTAL_EQUITY","FQ2 1992","FQ2 1992","Currency=USD","Period=FQ","BEST_FPERIOD_OVERRIDE=FQ","FILING_STATUS=OR","SCALING_FORMAT=MLN","Sort=A","Dates=H","DateFormat=P","Fill=—","Direction=H","UseDPDF=Y")</f>
        <v>35276</v>
      </c>
      <c r="M44" s="16">
        <f>_xll.BDH("XOM US Equity","TOTAL_EQUITY","FQ3 1992","FQ3 1992","Currency=USD","Period=FQ","BEST_FPERIOD_OVERRIDE=FQ","FILING_STATUS=OR","SCALING_FORMAT=MLN","Sort=A","Dates=H","DateFormat=P","Fill=—","Direction=H","UseDPDF=Y")</f>
        <v>35340</v>
      </c>
      <c r="N44" s="16">
        <f>_xll.BDH("XOM US Equity","TOTAL_EQUITY","FQ4 1992","FQ4 1992","Currency=USD","Period=FQ","BEST_FPERIOD_OVERRIDE=FQ","FILING_STATUS=OR","SCALING_FORMAT=MLN","Sort=A","Dates=H","DateFormat=P","Fill=—","Direction=H","UseDPDF=Y")</f>
        <v>36751</v>
      </c>
      <c r="O44" s="16">
        <f>_xll.BDH("XOM US Equity","TOTAL_EQUITY","FQ1 1993","FQ1 1993","Currency=USD","Period=FQ","BEST_FPERIOD_OVERRIDE=FQ","FILING_STATUS=OR","SCALING_FORMAT=MLN","Sort=A","Dates=H","DateFormat=P","Fill=—","Direction=H","UseDPDF=Y")</f>
        <v>34115</v>
      </c>
      <c r="P44" s="16">
        <f>_xll.BDH("XOM US Equity","TOTAL_EQUITY","FQ2 1993","FQ2 1993","Currency=USD","Period=FQ","BEST_FPERIOD_OVERRIDE=FQ","FILING_STATUS=OR","SCALING_FORMAT=MLN","Sort=A","Dates=H","DateFormat=P","Fill=—","Direction=H","UseDPDF=Y")</f>
        <v>34351</v>
      </c>
      <c r="Q44" s="16">
        <f>_xll.BDH("XOM US Equity","TOTAL_EQUITY","FQ3 1993","FQ3 1993","Currency=USD","Period=FQ","BEST_FPERIOD_OVERRIDE=FQ","FILING_STATUS=OR","SCALING_FORMAT=MLN","Sort=A","Dates=H","DateFormat=P","Fill=—","Direction=H","UseDPDF=Y")</f>
        <v>34648</v>
      </c>
      <c r="R44" s="16">
        <f>_xll.BDH("XOM US Equity","TOTAL_EQUITY","FQ4 1993","FQ4 1993","Currency=USD","Period=FQ","BEST_FPERIOD_OVERRIDE=FQ","FILING_STATUS=OR","SCALING_FORMAT=MLN","Sort=A","Dates=H","DateFormat=P","Fill=—","Direction=H","UseDPDF=Y")</f>
        <v>37187</v>
      </c>
      <c r="S44" s="16">
        <f>_xll.BDH("XOM US Equity","TOTAL_EQUITY","FQ1 1994","FQ1 1994","Currency=USD","Period=FQ","BEST_FPERIOD_OVERRIDE=FQ","FILING_STATUS=OR","SCALING_FORMAT=MLN","Sort=A","Dates=H","DateFormat=P","Fill=—","Direction=H","UseDPDF=Y")</f>
        <v>35253</v>
      </c>
      <c r="T44" s="16">
        <f>_xll.BDH("XOM US Equity","TOTAL_EQUITY","FQ2 1994","FQ2 1994","Currency=USD","Period=FQ","BEST_FPERIOD_OVERRIDE=FQ","FILING_STATUS=OR","SCALING_FORMAT=MLN","Sort=A","Dates=H","DateFormat=P","Fill=—","Direction=H","UseDPDF=Y")</f>
        <v>35861</v>
      </c>
      <c r="U44" s="16">
        <f>_xll.BDH("XOM US Equity","TOTAL_EQUITY","FQ3 1994","FQ3 1994","Currency=USD","Period=FQ","BEST_FPERIOD_OVERRIDE=FQ","FILING_STATUS=OR","SCALING_FORMAT=MLN","Sort=A","Dates=H","DateFormat=P","Fill=—","Direction=H","UseDPDF=Y")</f>
        <v>36516</v>
      </c>
      <c r="V44" s="16">
        <f>_xll.BDH("XOM US Equity","TOTAL_EQUITY","FQ4 1994","FQ4 1994","Currency=USD","Period=FQ","BEST_FPERIOD_OVERRIDE=FQ","FILING_STATUS=OR","SCALING_FORMAT=MLN","Sort=A","Dates=H","DateFormat=P","Fill=—","Direction=H","UseDPDF=Y")</f>
        <v>39583</v>
      </c>
      <c r="W44" s="16">
        <f>_xll.BDH("XOM US Equity","TOTAL_EQUITY","FQ1 1995","FQ1 1995","Currency=USD","Period=FQ","BEST_FPERIOD_OVERRIDE=FQ","FILING_STATUS=OR","SCALING_FORMAT=MLN","Sort=A","Dates=H","DateFormat=P","Fill=—","Direction=H","UseDPDF=Y")</f>
        <v>39182</v>
      </c>
      <c r="X44" s="16">
        <f>_xll.BDH("XOM US Equity","TOTAL_EQUITY","FQ2 1995","FQ2 1995","Currency=USD","Period=FQ","BEST_FPERIOD_OVERRIDE=FQ","FILING_STATUS=OR","SCALING_FORMAT=MLN","Sort=A","Dates=H","DateFormat=P","Fill=—","Direction=H","UseDPDF=Y")</f>
        <v>39999</v>
      </c>
      <c r="Y44" s="16">
        <f>_xll.BDH("XOM US Equity","TOTAL_EQUITY","FQ3 1995","FQ3 1995","Currency=USD","Period=FQ","BEST_FPERIOD_OVERRIDE=FQ","FILING_STATUS=OR","SCALING_FORMAT=MLN","Sort=A","Dates=H","DateFormat=P","Fill=—","Direction=H","UseDPDF=Y")</f>
        <v>40035</v>
      </c>
      <c r="Z44" s="16">
        <f>_xll.BDH("XOM US Equity","TOTAL_EQUITY","FQ4 1995","FQ4 1995","Currency=USD","Period=FQ","BEST_FPERIOD_OVERRIDE=FQ","FILING_STATUS=OR","SCALING_FORMAT=MLN","Sort=A","Dates=H","DateFormat=P","Fill=—","Direction=H","UseDPDF=Y")</f>
        <v>42606</v>
      </c>
      <c r="AA44" s="16">
        <f>_xll.BDH("XOM US Equity","TOTAL_EQUITY","FQ1 1996","FQ1 1996","Currency=USD","Period=FQ","BEST_FPERIOD_OVERRIDE=FQ","FILING_STATUS=OR","SCALING_FORMAT=MLN","Sort=A","Dates=H","DateFormat=P","Fill=—","Direction=H","UseDPDF=Y")</f>
        <v>41022</v>
      </c>
      <c r="AB44" s="16">
        <f>_xll.BDH("XOM US Equity","TOTAL_EQUITY","FQ2 1996","FQ2 1996","Currency=USD","Period=FQ","BEST_FPERIOD_OVERRIDE=FQ","FILING_STATUS=OR","SCALING_FORMAT=MLN","Sort=A","Dates=H","DateFormat=P","Fill=—","Direction=H","UseDPDF=Y")</f>
        <v>41378</v>
      </c>
      <c r="AC44" s="16">
        <f>_xll.BDH("XOM US Equity","TOTAL_EQUITY","FQ3 1996","FQ3 1996","Currency=USD","Period=FQ","BEST_FPERIOD_OVERRIDE=FQ","FILING_STATUS=OR","SCALING_FORMAT=MLN","Sort=A","Dates=H","DateFormat=P","Fill=—","Direction=H","UseDPDF=Y")</f>
        <v>41791</v>
      </c>
      <c r="AD44" s="16">
        <f>_xll.BDH("XOM US Equity","TOTAL_EQUITY","FQ4 1996","FQ4 1996","Currency=USD","Period=FQ","BEST_FPERIOD_OVERRIDE=FQ","FILING_STATUS=OR","SCALING_FORMAT=MLN","Sort=A","Dates=H","DateFormat=P","Fill=—","Direction=H","UseDPDF=Y")</f>
        <v>45456</v>
      </c>
      <c r="AE44" s="16">
        <f>_xll.BDH("XOM US Equity","TOTAL_EQUITY","FQ1 1997","FQ1 1997","Currency=USD","Period=FQ","BEST_FPERIOD_OVERRIDE=FQ","FILING_STATUS=OR","SCALING_FORMAT=MLN","Sort=A","Dates=H","DateFormat=P","Fill=—","Direction=H","UseDPDF=Y")</f>
        <v>43670</v>
      </c>
      <c r="AF44" s="16">
        <f>_xll.BDH("XOM US Equity","TOTAL_EQUITY","FQ2 1997","FQ2 1997","Currency=USD","Period=FQ","BEST_FPERIOD_OVERRIDE=FQ","FILING_STATUS=OR","SCALING_FORMAT=MLN","Sort=A","Dates=H","DateFormat=P","Fill=—","Direction=H","UseDPDF=Y")</f>
        <v>43815</v>
      </c>
      <c r="AG44" s="16">
        <f>_xll.BDH("XOM US Equity","TOTAL_EQUITY","FQ3 1997","FQ3 1997","Currency=USD","Period=FQ","BEST_FPERIOD_OVERRIDE=FQ","FILING_STATUS=OR","SCALING_FORMAT=MLN","Sort=A","Dates=H","DateFormat=P","Fill=—","Direction=H","UseDPDF=Y")</f>
        <v>43356</v>
      </c>
      <c r="AH44" s="16">
        <f>_xll.BDH("XOM US Equity","TOTAL_EQUITY","FQ4 1997","FQ4 1997","Currency=USD","Period=FQ","BEST_FPERIOD_OVERRIDE=FQ","FILING_STATUS=OR","SCALING_FORMAT=MLN","Sort=A","Dates=H","DateFormat=P","Fill=—","Direction=H","UseDPDF=Y")</f>
        <v>46031</v>
      </c>
      <c r="AI44" s="16">
        <f>_xll.BDH("XOM US Equity","TOTAL_EQUITY","FQ1 1998","FQ1 1998","Currency=USD","Period=FQ","BEST_FPERIOD_OVERRIDE=FQ","FILING_STATUS=OR","SCALING_FORMAT=MLN","Sort=A","Dates=H","DateFormat=P","Fill=—","Direction=H","UseDPDF=Y")</f>
        <v>43745</v>
      </c>
      <c r="AJ44" s="16">
        <f>_xll.BDH("XOM US Equity","TOTAL_EQUITY","FQ2 1998","FQ2 1998","Currency=USD","Period=FQ","BEST_FPERIOD_OVERRIDE=FQ","FILING_STATUS=OR","SCALING_FORMAT=MLN","Sort=A","Dates=H","DateFormat=P","Fill=—","Direction=H","UseDPDF=Y")</f>
        <v>43357</v>
      </c>
    </row>
    <row r="45" spans="1:36" x14ac:dyDescent="0.25">
      <c r="A45" s="6" t="s">
        <v>219</v>
      </c>
      <c r="B45" s="6" t="s">
        <v>220</v>
      </c>
      <c r="C45" s="16">
        <f>_xll.BDH("XOM US Equity","TOT_LIAB_AND_EQY","FQ1 1990","FQ1 1990","Currency=USD","Period=FQ","BEST_FPERIOD_OVERRIDE=FQ","FILING_STATUS=OR","SCALING_FORMAT=MLN","Sort=A","Dates=H","DateFormat=P","Fill=—","Direction=H","UseDPDF=Y")</f>
        <v>82285</v>
      </c>
      <c r="D45" s="16">
        <f>_xll.BDH("XOM US Equity","TOT_LIAB_AND_EQY","FQ2 1990","FQ2 1990","Currency=USD","Period=FQ","BEST_FPERIOD_OVERRIDE=FQ","FILING_STATUS=OR","SCALING_FORMAT=MLN","Sort=A","Dates=H","DateFormat=P","Fill=—","Direction=H","UseDPDF=Y")</f>
        <v>82608</v>
      </c>
      <c r="E45" s="16">
        <f>_xll.BDH("XOM US Equity","TOT_LIAB_AND_EQY","FQ3 1990","FQ3 1990","Currency=USD","Period=FQ","BEST_FPERIOD_OVERRIDE=FQ","FILING_STATUS=OR","SCALING_FORMAT=MLN","Sort=A","Dates=H","DateFormat=P","Fill=—","Direction=H","UseDPDF=Y")</f>
        <v>86157</v>
      </c>
      <c r="F45" s="16">
        <f>_xll.BDH("XOM US Equity","TOT_LIAB_AND_EQY","FQ4 1990","FQ4 1990","Currency=USD","Period=FQ","BEST_FPERIOD_OVERRIDE=FQ","FILING_STATUS=OR","SCALING_FORMAT=MLN","Sort=A","Dates=H","DateFormat=P","Fill=—","Direction=H","UseDPDF=Y")</f>
        <v>87707</v>
      </c>
      <c r="G45" s="16">
        <f>_xll.BDH("XOM US Equity","TOT_LIAB_AND_EQY","FQ1 1991","FQ1 1991","Currency=USD","Period=FQ","BEST_FPERIOD_OVERRIDE=FQ","FILING_STATUS=OR","SCALING_FORMAT=MLN","Sort=A","Dates=H","DateFormat=P","Fill=—","Direction=H","UseDPDF=Y")</f>
        <v>83661</v>
      </c>
      <c r="H45" s="16">
        <f>_xll.BDH("XOM US Equity","TOT_LIAB_AND_EQY","FQ2 1991","FQ2 1991","Currency=USD","Period=FQ","BEST_FPERIOD_OVERRIDE=FQ","FILING_STATUS=OR","SCALING_FORMAT=MLN","Sort=A","Dates=H","DateFormat=P","Fill=—","Direction=H","UseDPDF=Y")</f>
        <v>81744</v>
      </c>
      <c r="I45" s="16">
        <f>_xll.BDH("XOM US Equity","TOT_LIAB_AND_EQY","FQ3 1991","FQ3 1991","Currency=USD","Period=FQ","BEST_FPERIOD_OVERRIDE=FQ","FILING_STATUS=OR","SCALING_FORMAT=MLN","Sort=A","Dates=H","DateFormat=P","Fill=—","Direction=H","UseDPDF=Y")</f>
        <v>84593</v>
      </c>
      <c r="J45" s="16">
        <f>_xll.BDH("XOM US Equity","TOT_LIAB_AND_EQY","FQ4 1991","FQ4 1991","Currency=USD","Period=FQ","BEST_FPERIOD_OVERRIDE=FQ","FILING_STATUS=OR","SCALING_FORMAT=MLN","Sort=A","Dates=H","DateFormat=P","Fill=—","Direction=H","UseDPDF=Y")</f>
        <v>87560</v>
      </c>
      <c r="K45" s="16">
        <f>_xll.BDH("XOM US Equity","TOT_LIAB_AND_EQY","FQ1 1992","FQ1 1992","Currency=USD","Period=FQ","BEST_FPERIOD_OVERRIDE=FQ","FILING_STATUS=OR","SCALING_FORMAT=MLN","Sort=A","Dates=H","DateFormat=P","Fill=—","Direction=H","UseDPDF=Y")</f>
        <v>84507</v>
      </c>
      <c r="L45" s="16">
        <f>_xll.BDH("XOM US Equity","TOT_LIAB_AND_EQY","FQ2 1992","FQ2 1992","Currency=USD","Period=FQ","BEST_FPERIOD_OVERRIDE=FQ","FILING_STATUS=OR","SCALING_FORMAT=MLN","Sort=A","Dates=H","DateFormat=P","Fill=—","Direction=H","UseDPDF=Y")</f>
        <v>87218</v>
      </c>
      <c r="M45" s="16">
        <f>_xll.BDH("XOM US Equity","TOT_LIAB_AND_EQY","FQ3 1992","FQ3 1992","Currency=USD","Period=FQ","BEST_FPERIOD_OVERRIDE=FQ","FILING_STATUS=OR","SCALING_FORMAT=MLN","Sort=A","Dates=H","DateFormat=P","Fill=—","Direction=H","UseDPDF=Y")</f>
        <v>87543</v>
      </c>
      <c r="N45" s="16">
        <f>_xll.BDH("XOM US Equity","TOT_LIAB_AND_EQY","FQ4 1992","FQ4 1992","Currency=USD","Period=FQ","BEST_FPERIOD_OVERRIDE=FQ","FILING_STATUS=OR","SCALING_FORMAT=MLN","Sort=A","Dates=H","DateFormat=P","Fill=—","Direction=H","UseDPDF=Y")</f>
        <v>85030</v>
      </c>
      <c r="O45" s="16">
        <f>_xll.BDH("XOM US Equity","TOT_LIAB_AND_EQY","FQ1 1993","FQ1 1993","Currency=USD","Period=FQ","BEST_FPERIOD_OVERRIDE=FQ","FILING_STATUS=OR","SCALING_FORMAT=MLN","Sort=A","Dates=H","DateFormat=P","Fill=—","Direction=H","UseDPDF=Y")</f>
        <v>84735</v>
      </c>
      <c r="P45" s="16">
        <f>_xll.BDH("XOM US Equity","TOT_LIAB_AND_EQY","FQ2 1993","FQ2 1993","Currency=USD","Period=FQ","BEST_FPERIOD_OVERRIDE=FQ","FILING_STATUS=OR","SCALING_FORMAT=MLN","Sort=A","Dates=H","DateFormat=P","Fill=—","Direction=H","UseDPDF=Y")</f>
        <v>84550</v>
      </c>
      <c r="Q45" s="16">
        <f>_xll.BDH("XOM US Equity","TOT_LIAB_AND_EQY","FQ3 1993","FQ3 1993","Currency=USD","Period=FQ","BEST_FPERIOD_OVERRIDE=FQ","FILING_STATUS=OR","SCALING_FORMAT=MLN","Sort=A","Dates=H","DateFormat=P","Fill=—","Direction=H","UseDPDF=Y")</f>
        <v>84987</v>
      </c>
      <c r="R45" s="16">
        <f>_xll.BDH("XOM US Equity","TOT_LIAB_AND_EQY","FQ4 1993","FQ4 1993","Currency=USD","Period=FQ","BEST_FPERIOD_OVERRIDE=FQ","FILING_STATUS=OR","SCALING_FORMAT=MLN","Sort=A","Dates=H","DateFormat=P","Fill=—","Direction=H","UseDPDF=Y")</f>
        <v>84145</v>
      </c>
      <c r="S45" s="16">
        <f>_xll.BDH("XOM US Equity","TOT_LIAB_AND_EQY","FQ1 1994","FQ1 1994","Currency=USD","Period=FQ","BEST_FPERIOD_OVERRIDE=FQ","FILING_STATUS=OR","SCALING_FORMAT=MLN","Sort=A","Dates=H","DateFormat=P","Fill=—","Direction=H","UseDPDF=Y")</f>
        <v>84654</v>
      </c>
      <c r="T45" s="16">
        <f>_xll.BDH("XOM US Equity","TOT_LIAB_AND_EQY","FQ2 1994","FQ2 1994","Currency=USD","Period=FQ","BEST_FPERIOD_OVERRIDE=FQ","FILING_STATUS=OR","SCALING_FORMAT=MLN","Sort=A","Dates=H","DateFormat=P","Fill=—","Direction=H","UseDPDF=Y")</f>
        <v>86102</v>
      </c>
      <c r="U45" s="16">
        <f>_xll.BDH("XOM US Equity","TOT_LIAB_AND_EQY","FQ3 1994","FQ3 1994","Currency=USD","Period=FQ","BEST_FPERIOD_OVERRIDE=FQ","FILING_STATUS=OR","SCALING_FORMAT=MLN","Sort=A","Dates=H","DateFormat=P","Fill=—","Direction=H","UseDPDF=Y")</f>
        <v>87790</v>
      </c>
      <c r="V45" s="16">
        <f>_xll.BDH("XOM US Equity","TOT_LIAB_AND_EQY","FQ4 1994","FQ4 1994","Currency=USD","Period=FQ","BEST_FPERIOD_OVERRIDE=FQ","FILING_STATUS=OR","SCALING_FORMAT=MLN","Sort=A","Dates=H","DateFormat=P","Fill=—","Direction=H","UseDPDF=Y")</f>
        <v>87862</v>
      </c>
      <c r="W45" s="16">
        <f>_xll.BDH("XOM US Equity","TOT_LIAB_AND_EQY","FQ1 1995","FQ1 1995","Currency=USD","Period=FQ","BEST_FPERIOD_OVERRIDE=FQ","FILING_STATUS=OR","SCALING_FORMAT=MLN","Sort=A","Dates=H","DateFormat=P","Fill=—","Direction=H","UseDPDF=Y")</f>
        <v>91271</v>
      </c>
      <c r="X45" s="16">
        <f>_xll.BDH("XOM US Equity","TOT_LIAB_AND_EQY","FQ2 1995","FQ2 1995","Currency=USD","Period=FQ","BEST_FPERIOD_OVERRIDE=FQ","FILING_STATUS=OR","SCALING_FORMAT=MLN","Sort=A","Dates=H","DateFormat=P","Fill=—","Direction=H","UseDPDF=Y")</f>
        <v>91158</v>
      </c>
      <c r="Y45" s="16">
        <f>_xll.BDH("XOM US Equity","TOT_LIAB_AND_EQY","FQ3 1995","FQ3 1995","Currency=USD","Period=FQ","BEST_FPERIOD_OVERRIDE=FQ","FILING_STATUS=OR","SCALING_FORMAT=MLN","Sort=A","Dates=H","DateFormat=P","Fill=—","Direction=H","UseDPDF=Y")</f>
        <v>90706</v>
      </c>
      <c r="Z45" s="16">
        <f>_xll.BDH("XOM US Equity","TOT_LIAB_AND_EQY","FQ4 1995","FQ4 1995","Currency=USD","Period=FQ","BEST_FPERIOD_OVERRIDE=FQ","FILING_STATUS=OR","SCALING_FORMAT=MLN","Sort=A","Dates=H","DateFormat=P","Fill=—","Direction=H","UseDPDF=Y")</f>
        <v>91296</v>
      </c>
      <c r="AA45" s="16">
        <f>_xll.BDH("XOM US Equity","TOT_LIAB_AND_EQY","FQ1 1996","FQ1 1996","Currency=USD","Period=FQ","BEST_FPERIOD_OVERRIDE=FQ","FILING_STATUS=OR","SCALING_FORMAT=MLN","Sort=A","Dates=H","DateFormat=P","Fill=—","Direction=H","UseDPDF=Y")</f>
        <v>92579</v>
      </c>
      <c r="AB45" s="16">
        <f>_xll.BDH("XOM US Equity","TOT_LIAB_AND_EQY","FQ2 1996","FQ2 1996","Currency=USD","Period=FQ","BEST_FPERIOD_OVERRIDE=FQ","FILING_STATUS=OR","SCALING_FORMAT=MLN","Sort=A","Dates=H","DateFormat=P","Fill=—","Direction=H","UseDPDF=Y")</f>
        <v>92396</v>
      </c>
      <c r="AC45" s="16">
        <f>_xll.BDH("XOM US Equity","TOT_LIAB_AND_EQY","FQ3 1996","FQ3 1996","Currency=USD","Period=FQ","BEST_FPERIOD_OVERRIDE=FQ","FILING_STATUS=OR","SCALING_FORMAT=MLN","Sort=A","Dates=H","DateFormat=P","Fill=—","Direction=H","UseDPDF=Y")</f>
        <v>93468</v>
      </c>
      <c r="AD45" s="16">
        <f>_xll.BDH("XOM US Equity","TOT_LIAB_AND_EQY","FQ4 1996","FQ4 1996","Currency=USD","Period=FQ","BEST_FPERIOD_OVERRIDE=FQ","FILING_STATUS=OR","SCALING_FORMAT=MLN","Sort=A","Dates=H","DateFormat=P","Fill=—","Direction=H","UseDPDF=Y")</f>
        <v>95527</v>
      </c>
      <c r="AE45" s="16">
        <f>_xll.BDH("XOM US Equity","TOT_LIAB_AND_EQY","FQ1 1997","FQ1 1997","Currency=USD","Period=FQ","BEST_FPERIOD_OVERRIDE=FQ","FILING_STATUS=OR","SCALING_FORMAT=MLN","Sort=A","Dates=H","DateFormat=P","Fill=—","Direction=H","UseDPDF=Y")</f>
        <v>95647</v>
      </c>
      <c r="AF45" s="16">
        <f>_xll.BDH("XOM US Equity","TOT_LIAB_AND_EQY","FQ2 1997","FQ2 1997","Currency=USD","Period=FQ","BEST_FPERIOD_OVERRIDE=FQ","FILING_STATUS=OR","SCALING_FORMAT=MLN","Sort=A","Dates=H","DateFormat=P","Fill=—","Direction=H","UseDPDF=Y")</f>
        <v>94920</v>
      </c>
      <c r="AG45" s="16">
        <f>_xll.BDH("XOM US Equity","TOT_LIAB_AND_EQY","FQ3 1997","FQ3 1997","Currency=USD","Period=FQ","BEST_FPERIOD_OVERRIDE=FQ","FILING_STATUS=OR","SCALING_FORMAT=MLN","Sort=A","Dates=H","DateFormat=P","Fill=—","Direction=H","UseDPDF=Y")</f>
        <v>97123</v>
      </c>
      <c r="AH45" s="16">
        <f>_xll.BDH("XOM US Equity","TOT_LIAB_AND_EQY","FQ4 1997","FQ4 1997","Currency=USD","Period=FQ","BEST_FPERIOD_OVERRIDE=FQ","FILING_STATUS=OR","SCALING_FORMAT=MLN","Sort=A","Dates=H","DateFormat=P","Fill=—","Direction=H","UseDPDF=Y")</f>
        <v>96064</v>
      </c>
      <c r="AI45" s="16">
        <f>_xll.BDH("XOM US Equity","TOT_LIAB_AND_EQY","FQ1 1998","FQ1 1998","Currency=USD","Period=FQ","BEST_FPERIOD_OVERRIDE=FQ","FILING_STATUS=OR","SCALING_FORMAT=MLN","Sort=A","Dates=H","DateFormat=P","Fill=—","Direction=H","UseDPDF=Y")</f>
        <v>94953</v>
      </c>
      <c r="AJ45" s="16">
        <f>_xll.BDH("XOM US Equity","TOT_LIAB_AND_EQY","FQ2 1998","FQ2 1998","Currency=USD","Period=FQ","BEST_FPERIOD_OVERRIDE=FQ","FILING_STATUS=OR","SCALING_FORMAT=MLN","Sort=A","Dates=H","DateFormat=P","Fill=—","Direction=H","UseDPDF=Y")</f>
        <v>93216</v>
      </c>
    </row>
    <row r="46" spans="1:36" x14ac:dyDescent="0.25">
      <c r="A46" s="6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</row>
    <row r="47" spans="1:36" x14ac:dyDescent="0.25">
      <c r="A47" s="6" t="s">
        <v>3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</row>
    <row r="48" spans="1:36" x14ac:dyDescent="0.25">
      <c r="A48" s="10" t="s">
        <v>125</v>
      </c>
      <c r="B48" s="10" t="s">
        <v>126</v>
      </c>
      <c r="C48" s="12" t="s">
        <v>127</v>
      </c>
      <c r="D48" s="12" t="s">
        <v>127</v>
      </c>
      <c r="E48" s="12" t="s">
        <v>127</v>
      </c>
      <c r="F48" s="12" t="s">
        <v>127</v>
      </c>
      <c r="G48" s="12" t="s">
        <v>127</v>
      </c>
      <c r="H48" s="12" t="s">
        <v>127</v>
      </c>
      <c r="I48" s="12" t="s">
        <v>127</v>
      </c>
      <c r="J48" s="12" t="s">
        <v>127</v>
      </c>
      <c r="K48" s="12" t="s">
        <v>127</v>
      </c>
      <c r="L48" s="12" t="s">
        <v>127</v>
      </c>
      <c r="M48" s="12" t="s">
        <v>127</v>
      </c>
      <c r="N48" s="12" t="s">
        <v>127</v>
      </c>
      <c r="O48" s="12" t="s">
        <v>127</v>
      </c>
      <c r="P48" s="12" t="s">
        <v>127</v>
      </c>
      <c r="Q48" s="12" t="s">
        <v>127</v>
      </c>
      <c r="R48" s="12" t="s">
        <v>127</v>
      </c>
      <c r="S48" s="12" t="s">
        <v>127</v>
      </c>
      <c r="T48" s="12" t="s">
        <v>127</v>
      </c>
      <c r="U48" s="12" t="s">
        <v>127</v>
      </c>
      <c r="V48" s="12" t="s">
        <v>127</v>
      </c>
      <c r="W48" s="12" t="s">
        <v>127</v>
      </c>
      <c r="X48" s="12" t="s">
        <v>127</v>
      </c>
      <c r="Y48" s="12" t="s">
        <v>127</v>
      </c>
      <c r="Z48" s="12" t="s">
        <v>127</v>
      </c>
      <c r="AA48" s="12" t="s">
        <v>127</v>
      </c>
      <c r="AB48" s="12" t="s">
        <v>127</v>
      </c>
      <c r="AC48" s="12" t="s">
        <v>127</v>
      </c>
      <c r="AD48" s="12" t="s">
        <v>127</v>
      </c>
      <c r="AE48" s="12" t="s">
        <v>127</v>
      </c>
      <c r="AF48" s="12" t="s">
        <v>127</v>
      </c>
      <c r="AG48" s="12" t="s">
        <v>127</v>
      </c>
      <c r="AH48" s="12" t="s">
        <v>127</v>
      </c>
      <c r="AI48" s="12" t="s">
        <v>127</v>
      </c>
      <c r="AJ48" s="12" t="s">
        <v>127</v>
      </c>
    </row>
    <row r="49" spans="1:36" x14ac:dyDescent="0.25">
      <c r="A49" s="10" t="s">
        <v>221</v>
      </c>
      <c r="B49" s="10" t="s">
        <v>222</v>
      </c>
      <c r="C49" s="13">
        <f>_xll.BDH("XOM US Equity","BS_SH_OUT","FQ1 1990","FQ1 1990","Currency=USD","Period=FQ","BEST_FPERIOD_OVERRIDE=FQ","FILING_STATUS=OR","Sort=A","Dates=H","DateFormat=P","Fill=—","Direction=H","UseDPDF=Y")</f>
        <v>4993.7559000000001</v>
      </c>
      <c r="D49" s="13">
        <f>_xll.BDH("XOM US Equity","BS_SH_OUT","FQ2 1990","FQ2 1990","Currency=USD","Period=FQ","BEST_FPERIOD_OVERRIDE=FQ","FILING_STATUS=OR","Sort=A","Dates=H","DateFormat=P","Fill=—","Direction=H","UseDPDF=Y")</f>
        <v>4988.2758999999996</v>
      </c>
      <c r="E49" s="13">
        <f>_xll.BDH("XOM US Equity","BS_SH_OUT","FQ3 1990","FQ3 1990","Currency=USD","Period=FQ","BEST_FPERIOD_OVERRIDE=FQ","FILING_STATUS=OR","Sort=A","Dates=H","DateFormat=P","Fill=—","Direction=H","UseDPDF=Y")</f>
        <v>4984.7402000000002</v>
      </c>
      <c r="F49" s="13">
        <f>_xll.BDH("XOM US Equity","BS_SH_OUT","FQ4 1990","FQ4 1990","Currency=USD","Period=FQ","BEST_FPERIOD_OVERRIDE=FQ","FILING_STATUS=OR","Sort=A","Dates=H","DateFormat=P","Fill=—","Direction=H","UseDPDF=Y")</f>
        <v>4980</v>
      </c>
      <c r="G49" s="13">
        <f>_xll.BDH("XOM US Equity","BS_SH_OUT","FQ1 1991","FQ1 1991","Currency=USD","Period=FQ","BEST_FPERIOD_OVERRIDE=FQ","FILING_STATUS=OR","Sort=A","Dates=H","DateFormat=P","Fill=—","Direction=H","UseDPDF=Y")</f>
        <v>4978.9839000000002</v>
      </c>
      <c r="H49" s="13">
        <f>_xll.BDH("XOM US Equity","BS_SH_OUT","FQ2 1991","FQ2 1991","Currency=USD","Period=FQ","BEST_FPERIOD_OVERRIDE=FQ","FILING_STATUS=OR","Sort=A","Dates=H","DateFormat=P","Fill=—","Direction=H","UseDPDF=Y")</f>
        <v>4975.3521000000001</v>
      </c>
      <c r="I49" s="13">
        <f>_xll.BDH("XOM US Equity","BS_SH_OUT","FQ3 1991","FQ3 1991","Currency=USD","Period=FQ","BEST_FPERIOD_OVERRIDE=FQ","FILING_STATUS=OR","Sort=A","Dates=H","DateFormat=P","Fill=—","Direction=H","UseDPDF=Y")</f>
        <v>4981.5679</v>
      </c>
      <c r="J49" s="13">
        <f>_xll.BDH("XOM US Equity","BS_SH_OUT","FQ4 1991","FQ4 1991","Currency=USD","Period=FQ","BEST_FPERIOD_OVERRIDE=FQ","FILING_STATUS=OR","Sort=A","Dates=H","DateFormat=P","Fill=—","Direction=H","UseDPDF=Y")</f>
        <v>4968</v>
      </c>
      <c r="K49" s="13">
        <f>_xll.BDH("XOM US Equity","BS_SH_OUT","FQ1 1992","FQ1 1992","Currency=USD","Period=FQ","BEST_FPERIOD_OVERRIDE=FQ","FILING_STATUS=OR","Sort=A","Dates=H","DateFormat=P","Fill=—","Direction=H","UseDPDF=Y")</f>
        <v>4965.6880000000001</v>
      </c>
      <c r="L49" s="13">
        <f>_xll.BDH("XOM US Equity","BS_SH_OUT","FQ2 1992","FQ2 1992","Currency=USD","Period=FQ","BEST_FPERIOD_OVERRIDE=FQ","FILING_STATUS=OR","Sort=A","Dates=H","DateFormat=P","Fill=—","Direction=H","UseDPDF=Y")</f>
        <v>4966</v>
      </c>
      <c r="M49" s="13">
        <f>_xll.BDH("XOM US Equity","BS_SH_OUT","FQ3 1992","FQ3 1992","Currency=USD","Period=FQ","BEST_FPERIOD_OVERRIDE=FQ","FILING_STATUS=OR","Sort=A","Dates=H","DateFormat=P","Fill=—","Direction=H","UseDPDF=Y")</f>
        <v>4966</v>
      </c>
      <c r="N49" s="13">
        <f>_xll.BDH("XOM US Equity","BS_SH_OUT","FQ4 1992","FQ4 1992","Currency=USD","Period=FQ","BEST_FPERIOD_OVERRIDE=FQ","FILING_STATUS=OR","Sort=A","Dates=H","DateFormat=P","Fill=—","Direction=H","UseDPDF=Y")</f>
        <v>4968</v>
      </c>
      <c r="O49" s="13">
        <f>_xll.BDH("XOM US Equity","BS_SH_OUT","FQ1 1993","FQ1 1993","Currency=USD","Period=FQ","BEST_FPERIOD_OVERRIDE=FQ","FILING_STATUS=OR","Sort=A","Dates=H","DateFormat=P","Fill=—","Direction=H","UseDPDF=Y")</f>
        <v>4968</v>
      </c>
      <c r="P49" s="13">
        <f>_xll.BDH("XOM US Equity","BS_SH_OUT","FQ2 1993","FQ2 1993","Currency=USD","Period=FQ","BEST_FPERIOD_OVERRIDE=FQ","FILING_STATUS=OR","Sort=A","Dates=H","DateFormat=P","Fill=—","Direction=H","UseDPDF=Y")</f>
        <v>4968</v>
      </c>
      <c r="Q49" s="13">
        <f>_xll.BDH("XOM US Equity","BS_SH_OUT","FQ3 1993","FQ3 1993","Currency=USD","Period=FQ","BEST_FPERIOD_OVERRIDE=FQ","FILING_STATUS=OR","Sort=A","Dates=H","DateFormat=P","Fill=—","Direction=H","UseDPDF=Y")</f>
        <v>4968</v>
      </c>
      <c r="R49" s="13">
        <f>_xll.BDH("XOM US Equity","BS_SH_OUT","FQ4 1993","FQ4 1993","Currency=USD","Period=FQ","BEST_FPERIOD_OVERRIDE=FQ","FILING_STATUS=OR","Sort=A","Dates=H","DateFormat=P","Fill=—","Direction=H","UseDPDF=Y")</f>
        <v>4968</v>
      </c>
      <c r="S49" s="13">
        <f>_xll.BDH("XOM US Equity","BS_SH_OUT","FQ1 1994","FQ1 1994","Currency=USD","Period=FQ","BEST_FPERIOD_OVERRIDE=FQ","FILING_STATUS=OR","Sort=A","Dates=H","DateFormat=P","Fill=—","Direction=H","UseDPDF=Y")</f>
        <v>4968</v>
      </c>
      <c r="T49" s="13">
        <f>_xll.BDH("XOM US Equity","BS_SH_OUT","FQ2 1994","FQ2 1994","Currency=USD","Period=FQ","BEST_FPERIOD_OVERRIDE=FQ","FILING_STATUS=OR","Sort=A","Dates=H","DateFormat=P","Fill=—","Direction=H","UseDPDF=Y")</f>
        <v>4965.6602000000003</v>
      </c>
      <c r="U49" s="13">
        <f>_xll.BDH("XOM US Equity","BS_SH_OUT","FQ3 1994","FQ3 1994","Currency=USD","Period=FQ","BEST_FPERIOD_OVERRIDE=FQ","FILING_STATUS=OR","Sort=A","Dates=H","DateFormat=P","Fill=—","Direction=H","UseDPDF=Y")</f>
        <v>4968</v>
      </c>
      <c r="V49" s="13">
        <f>_xll.BDH("XOM US Equity","BS_SH_OUT","FQ4 1994","FQ4 1994","Currency=USD","Period=FQ","BEST_FPERIOD_OVERRIDE=FQ","FILING_STATUS=OR","Sort=A","Dates=H","DateFormat=P","Fill=—","Direction=H","UseDPDF=Y")</f>
        <v>4968</v>
      </c>
      <c r="W49" s="13">
        <f>_xll.BDH("XOM US Equity","BS_SH_OUT","FQ1 1995","FQ1 1995","Currency=USD","Period=FQ","BEST_FPERIOD_OVERRIDE=FQ","FILING_STATUS=OR","Sort=A","Dates=H","DateFormat=P","Fill=—","Direction=H","UseDPDF=Y")</f>
        <v>4968</v>
      </c>
      <c r="X49" s="13">
        <f>_xll.BDH("XOM US Equity","BS_SH_OUT","FQ2 1995","FQ2 1995","Currency=USD","Period=FQ","BEST_FPERIOD_OVERRIDE=FQ","FILING_STATUS=OR","Sort=A","Dates=H","DateFormat=P","Fill=—","Direction=H","UseDPDF=Y")</f>
        <v>4968</v>
      </c>
      <c r="Y49" s="13">
        <f>_xll.BDH("XOM US Equity","BS_SH_OUT","FQ3 1995","FQ3 1995","Currency=USD","Period=FQ","BEST_FPERIOD_OVERRIDE=FQ","FILING_STATUS=OR","Sort=A","Dates=H","DateFormat=P","Fill=—","Direction=H","UseDPDF=Y")</f>
        <v>4966.7119000000002</v>
      </c>
      <c r="Z49" s="13">
        <f>_xll.BDH("XOM US Equity","BS_SH_OUT","FQ4 1995","FQ4 1995","Currency=USD","Period=FQ","BEST_FPERIOD_OVERRIDE=FQ","FILING_STATUS=OR","Sort=A","Dates=H","DateFormat=P","Fill=—","Direction=H","UseDPDF=Y")</f>
        <v>4968.5239000000001</v>
      </c>
      <c r="AA49" s="13">
        <f>_xll.BDH("XOM US Equity","BS_SH_OUT","FQ1 1996","FQ1 1996","Currency=USD","Period=FQ","BEST_FPERIOD_OVERRIDE=FQ","FILING_STATUS=OR","Sort=A","Dates=H","DateFormat=P","Fill=—","Direction=H","UseDPDF=Y")</f>
        <v>4968.3041999999996</v>
      </c>
      <c r="AB49" s="13">
        <f>_xll.BDH("XOM US Equity","BS_SH_OUT","FQ2 1996","FQ2 1996","Currency=USD","Period=FQ","BEST_FPERIOD_OVERRIDE=FQ","FILING_STATUS=OR","Sort=A","Dates=H","DateFormat=P","Fill=—","Direction=H","UseDPDF=Y")</f>
        <v>4967.3999000000003</v>
      </c>
      <c r="AC49" s="13">
        <f>_xll.BDH("XOM US Equity","BS_SH_OUT","FQ3 1996","FQ3 1996","Currency=USD","Period=FQ","BEST_FPERIOD_OVERRIDE=FQ","FILING_STATUS=OR","Sort=A","Dates=H","DateFormat=P","Fill=—","Direction=H","UseDPDF=Y")</f>
        <v>4967.1239999999998</v>
      </c>
      <c r="AD49" s="13">
        <f>_xll.BDH("XOM US Equity","BS_SH_OUT","FQ4 1996","FQ4 1996","Currency=USD","Period=FQ","BEST_FPERIOD_OVERRIDE=FQ","FILING_STATUS=OR","Sort=A","Dates=H","DateFormat=P","Fill=—","Direction=H","UseDPDF=Y")</f>
        <v>4968.7002000000002</v>
      </c>
      <c r="AE49" s="13">
        <f>_xll.BDH("XOM US Equity","BS_SH_OUT","FQ1 1997","FQ1 1997","Currency=USD","Period=FQ","BEST_FPERIOD_OVERRIDE=FQ","FILING_STATUS=OR","Sort=A","Dates=H","DateFormat=P","Fill=—","Direction=H","UseDPDF=Y")</f>
        <v>4966.0478999999996</v>
      </c>
      <c r="AF49" s="13">
        <f>_xll.BDH("XOM US Equity","BS_SH_OUT","FQ2 1997","FQ2 1997","Currency=USD","Period=FQ","BEST_FPERIOD_OVERRIDE=FQ","FILING_STATUS=OR","Sort=A","Dates=H","DateFormat=P","Fill=—","Direction=H","UseDPDF=Y")</f>
        <v>4948</v>
      </c>
      <c r="AG49" s="13">
        <f>_xll.BDH("XOM US Equity","BS_SH_OUT","FQ3 1997","FQ3 1997","Currency=USD","Period=FQ","BEST_FPERIOD_OVERRIDE=FQ","FILING_STATUS=OR","Sort=A","Dates=H","DateFormat=P","Fill=—","Direction=H","UseDPDF=Y")</f>
        <v>4932</v>
      </c>
      <c r="AH49" s="13">
        <f>_xll.BDH("XOM US Equity","BS_SH_OUT","FQ4 1997","FQ4 1997","Currency=USD","Period=FQ","BEST_FPERIOD_OVERRIDE=FQ","FILING_STATUS=OR","Sort=A","Dates=H","DateFormat=P","Fill=—","Direction=H","UseDPDF=Y")</f>
        <v>4914</v>
      </c>
      <c r="AI49" s="13">
        <f>_xll.BDH("XOM US Equity","BS_SH_OUT","FQ1 1998","FQ1 1998","Currency=USD","Period=FQ","BEST_FPERIOD_OVERRIDE=FQ","FILING_STATUS=OR","Sort=A","Dates=H","DateFormat=P","Fill=—","Direction=H","UseDPDF=Y")</f>
        <v>4893.5834999999997</v>
      </c>
      <c r="AJ49" s="13">
        <f>_xll.BDH("XOM US Equity","BS_SH_OUT","FQ2 1998","FQ2 1998","Currency=USD","Period=FQ","BEST_FPERIOD_OVERRIDE=FQ","FILING_STATUS=OR","Sort=A","Dates=H","DateFormat=P","Fill=—","Direction=H","UseDPDF=Y")</f>
        <v>4876.8140000000003</v>
      </c>
    </row>
    <row r="50" spans="1:36" x14ac:dyDescent="0.25">
      <c r="A50" s="10" t="s">
        <v>223</v>
      </c>
      <c r="B50" s="10" t="s">
        <v>224</v>
      </c>
      <c r="C50" s="13">
        <f>_xll.BDH("XOM US Equity","BS_NUM_OF_TSY_SH","FQ1 1990","FQ1 1990","Currency=USD","Period=FQ","BEST_FPERIOD_OVERRIDE=FQ","FILING_STATUS=OR","Sort=A","Dates=H","DateFormat=P","Fill=—","Direction=H","UseDPDF=Y")</f>
        <v>2256</v>
      </c>
      <c r="D50" s="13">
        <f>_xll.BDH("XOM US Equity","BS_NUM_OF_TSY_SH","FQ2 1990","FQ2 1990","Currency=USD","Period=FQ","BEST_FPERIOD_OVERRIDE=FQ","FILING_STATUS=OR","Sort=A","Dates=H","DateFormat=P","Fill=—","Direction=H","UseDPDF=Y")</f>
        <v>2264</v>
      </c>
      <c r="E50" s="13">
        <f>_xll.BDH("XOM US Equity","BS_NUM_OF_TSY_SH","FQ3 1990","FQ3 1990","Currency=USD","Period=FQ","BEST_FPERIOD_OVERRIDE=FQ","FILING_STATUS=OR","Sort=A","Dates=H","DateFormat=P","Fill=—","Direction=H","UseDPDF=Y")</f>
        <v>2268</v>
      </c>
      <c r="F50" s="13">
        <f>_xll.BDH("XOM US Equity","BS_NUM_OF_TSY_SH","FQ4 1990","FQ4 1990","Currency=USD","Period=FQ","BEST_FPERIOD_OVERRIDE=FQ","FILING_STATUS=OR","Sort=A","Dates=H","DateFormat=P","Fill=—","Direction=H","UseDPDF=Y")</f>
        <v>2272</v>
      </c>
      <c r="G50" s="13">
        <f>_xll.BDH("XOM US Equity","BS_NUM_OF_TSY_SH","FQ1 1991","FQ1 1991","Currency=USD","Period=FQ","BEST_FPERIOD_OVERRIDE=FQ","FILING_STATUS=OR","Sort=A","Dates=H","DateFormat=P","Fill=—","Direction=H","UseDPDF=Y")</f>
        <v>2272</v>
      </c>
      <c r="H50" s="13">
        <f>_xll.BDH("XOM US Equity","BS_NUM_OF_TSY_SH","FQ2 1991","FQ2 1991","Currency=USD","Period=FQ","BEST_FPERIOD_OVERRIDE=FQ","FILING_STATUS=OR","Sort=A","Dates=H","DateFormat=P","Fill=—","Direction=H","UseDPDF=Y")</f>
        <v>2276</v>
      </c>
      <c r="I50" s="13">
        <f>_xll.BDH("XOM US Equity","BS_NUM_OF_TSY_SH","FQ3 1991","FQ3 1991","Currency=USD","Period=FQ","BEST_FPERIOD_OVERRIDE=FQ","FILING_STATUS=OR","Sort=A","Dates=H","DateFormat=P","Fill=—","Direction=H","UseDPDF=Y")</f>
        <v>2280</v>
      </c>
      <c r="J50" s="13">
        <f>_xll.BDH("XOM US Equity","BS_NUM_OF_TSY_SH","FQ4 1991","FQ4 1991","Currency=USD","Period=FQ","BEST_FPERIOD_OVERRIDE=FQ","FILING_STATUS=OR","Sort=A","Dates=H","DateFormat=P","Fill=—","Direction=H","UseDPDF=Y")</f>
        <v>2284</v>
      </c>
      <c r="K50" s="13">
        <f>_xll.BDH("XOM US Equity","BS_NUM_OF_TSY_SH","FQ1 1992","FQ1 1992","Currency=USD","Period=FQ","BEST_FPERIOD_OVERRIDE=FQ","FILING_STATUS=OR","Sort=A","Dates=H","DateFormat=P","Fill=—","Direction=H","UseDPDF=Y")</f>
        <v>2284</v>
      </c>
      <c r="L50" s="13">
        <f>_xll.BDH("XOM US Equity","BS_NUM_OF_TSY_SH","FQ2 1992","FQ2 1992","Currency=USD","Period=FQ","BEST_FPERIOD_OVERRIDE=FQ","FILING_STATUS=OR","Sort=A","Dates=H","DateFormat=P","Fill=—","Direction=H","UseDPDF=Y")</f>
        <v>2284</v>
      </c>
      <c r="M50" s="13">
        <f>_xll.BDH("XOM US Equity","BS_NUM_OF_TSY_SH","FQ3 1992","FQ3 1992","Currency=USD","Period=FQ","BEST_FPERIOD_OVERRIDE=FQ","FILING_STATUS=OR","Sort=A","Dates=H","DateFormat=P","Fill=—","Direction=H","UseDPDF=Y")</f>
        <v>2284</v>
      </c>
      <c r="N50" s="13">
        <f>_xll.BDH("XOM US Equity","BS_NUM_OF_TSY_SH","FQ4 1992","FQ4 1992","Currency=USD","Period=FQ","BEST_FPERIOD_OVERRIDE=FQ","FILING_STATUS=OR","Sort=A","Dates=H","DateFormat=P","Fill=—","Direction=H","UseDPDF=Y")</f>
        <v>2284</v>
      </c>
      <c r="O50" s="13">
        <f>_xll.BDH("XOM US Equity","BS_NUM_OF_TSY_SH","FQ1 1993","FQ1 1993","Currency=USD","Period=FQ","BEST_FPERIOD_OVERRIDE=FQ","FILING_STATUS=OR","Sort=A","Dates=H","DateFormat=P","Fill=—","Direction=H","UseDPDF=Y")</f>
        <v>2284</v>
      </c>
      <c r="P50" s="13">
        <f>_xll.BDH("XOM US Equity","BS_NUM_OF_TSY_SH","FQ2 1993","FQ2 1993","Currency=USD","Period=FQ","BEST_FPERIOD_OVERRIDE=FQ","FILING_STATUS=OR","Sort=A","Dates=H","DateFormat=P","Fill=—","Direction=H","UseDPDF=Y")</f>
        <v>2284</v>
      </c>
      <c r="Q50" s="13">
        <f>_xll.BDH("XOM US Equity","BS_NUM_OF_TSY_SH","FQ3 1993","FQ3 1993","Currency=USD","Period=FQ","BEST_FPERIOD_OVERRIDE=FQ","FILING_STATUS=OR","Sort=A","Dates=H","DateFormat=P","Fill=—","Direction=H","UseDPDF=Y")</f>
        <v>2284</v>
      </c>
      <c r="R50" s="13">
        <f>_xll.BDH("XOM US Equity","BS_NUM_OF_TSY_SH","FQ4 1993","FQ4 1993","Currency=USD","Period=FQ","BEST_FPERIOD_OVERRIDE=FQ","FILING_STATUS=OR","Sort=A","Dates=H","DateFormat=P","Fill=—","Direction=H","UseDPDF=Y")</f>
        <v>2284</v>
      </c>
      <c r="S50" s="13">
        <f>_xll.BDH("XOM US Equity","BS_NUM_OF_TSY_SH","FQ1 1994","FQ1 1994","Currency=USD","Period=FQ","BEST_FPERIOD_OVERRIDE=FQ","FILING_STATUS=OR","Sort=A","Dates=H","DateFormat=P","Fill=—","Direction=H","UseDPDF=Y")</f>
        <v>2284</v>
      </c>
      <c r="T50" s="13">
        <f>_xll.BDH("XOM US Equity","BS_NUM_OF_TSY_SH","FQ2 1994","FQ2 1994","Currency=USD","Period=FQ","BEST_FPERIOD_OVERRIDE=FQ","FILING_STATUS=OR","Sort=A","Dates=H","DateFormat=P","Fill=—","Direction=H","UseDPDF=Y")</f>
        <v>2284</v>
      </c>
      <c r="U50" s="13">
        <f>_xll.BDH("XOM US Equity","BS_NUM_OF_TSY_SH","FQ3 1994","FQ3 1994","Currency=USD","Period=FQ","BEST_FPERIOD_OVERRIDE=FQ","FILING_STATUS=OR","Sort=A","Dates=H","DateFormat=P","Fill=—","Direction=H","UseDPDF=Y")</f>
        <v>2284</v>
      </c>
      <c r="V50" s="13">
        <f>_xll.BDH("XOM US Equity","BS_NUM_OF_TSY_SH","FQ4 1994","FQ4 1994","Currency=USD","Period=FQ","BEST_FPERIOD_OVERRIDE=FQ","FILING_STATUS=OR","Sort=A","Dates=H","DateFormat=P","Fill=—","Direction=H","UseDPDF=Y")</f>
        <v>2284</v>
      </c>
      <c r="W50" s="13">
        <f>_xll.BDH("XOM US Equity","BS_NUM_OF_TSY_SH","FQ1 1995","FQ1 1995","Currency=USD","Period=FQ","BEST_FPERIOD_OVERRIDE=FQ","FILING_STATUS=OR","Sort=A","Dates=H","DateFormat=P","Fill=—","Direction=H","UseDPDF=Y")</f>
        <v>2284</v>
      </c>
      <c r="X50" s="13">
        <f>_xll.BDH("XOM US Equity","BS_NUM_OF_TSY_SH","FQ2 1995","FQ2 1995","Currency=USD","Period=FQ","BEST_FPERIOD_OVERRIDE=FQ","FILING_STATUS=OR","Sort=A","Dates=H","DateFormat=P","Fill=—","Direction=H","UseDPDF=Y")</f>
        <v>2284</v>
      </c>
      <c r="Y50" s="13">
        <f>_xll.BDH("XOM US Equity","BS_NUM_OF_TSY_SH","FQ3 1995","FQ3 1995","Currency=USD","Period=FQ","BEST_FPERIOD_OVERRIDE=FQ","FILING_STATUS=OR","Sort=A","Dates=H","DateFormat=P","Fill=—","Direction=H","UseDPDF=Y")</f>
        <v>2284</v>
      </c>
      <c r="Z50" s="13">
        <f>_xll.BDH("XOM US Equity","BS_NUM_OF_TSY_SH","FQ4 1995","FQ4 1995","Currency=USD","Period=FQ","BEST_FPERIOD_OVERRIDE=FQ","FILING_STATUS=OR","Sort=A","Dates=H","DateFormat=P","Fill=—","Direction=H","UseDPDF=Y")</f>
        <v>2284</v>
      </c>
      <c r="AA50" s="13">
        <f>_xll.BDH("XOM US Equity","BS_NUM_OF_TSY_SH","FQ1 1996","FQ1 1996","Currency=USD","Period=FQ","BEST_FPERIOD_OVERRIDE=FQ","FILING_STATUS=OR","Sort=A","Dates=H","DateFormat=P","Fill=—","Direction=H","UseDPDF=Y")</f>
        <v>2284</v>
      </c>
      <c r="AB50" s="13">
        <f>_xll.BDH("XOM US Equity","BS_NUM_OF_TSY_SH","FQ2 1996","FQ2 1996","Currency=USD","Period=FQ","BEST_FPERIOD_OVERRIDE=FQ","FILING_STATUS=OR","Sort=A","Dates=H","DateFormat=P","Fill=—","Direction=H","UseDPDF=Y")</f>
        <v>2284</v>
      </c>
      <c r="AC50" s="13">
        <f>_xll.BDH("XOM US Equity","BS_NUM_OF_TSY_SH","FQ3 1996","FQ3 1996","Currency=USD","Period=FQ","BEST_FPERIOD_OVERRIDE=FQ","FILING_STATUS=OR","Sort=A","Dates=H","DateFormat=P","Fill=—","Direction=H","UseDPDF=Y")</f>
        <v>2284</v>
      </c>
      <c r="AD50" s="13">
        <f>_xll.BDH("XOM US Equity","BS_NUM_OF_TSY_SH","FQ4 1996","FQ4 1996","Currency=USD","Period=FQ","BEST_FPERIOD_OVERRIDE=FQ","FILING_STATUS=OR","Sort=A","Dates=H","DateFormat=P","Fill=—","Direction=H","UseDPDF=Y")</f>
        <v>2284</v>
      </c>
      <c r="AE50" s="13">
        <f>_xll.BDH("XOM US Equity","BS_NUM_OF_TSY_SH","FQ1 1997","FQ1 1997","Currency=USD","Period=FQ","BEST_FPERIOD_OVERRIDE=FQ","FILING_STATUS=OR","Sort=A","Dates=H","DateFormat=P","Fill=—","Direction=H","UseDPDF=Y")</f>
        <v>2004</v>
      </c>
      <c r="AF50" s="13">
        <f>_xll.BDH("XOM US Equity","BS_NUM_OF_TSY_SH","FQ2 1997","FQ2 1997","Currency=USD","Period=FQ","BEST_FPERIOD_OVERRIDE=FQ","FILING_STATUS=OR","Sort=A","Dates=H","DateFormat=P","Fill=—","Direction=H","UseDPDF=Y")</f>
        <v>1020</v>
      </c>
      <c r="AG50" s="13">
        <f>_xll.BDH("XOM US Equity","BS_NUM_OF_TSY_SH","FQ3 1997","FQ3 1997","Currency=USD","Period=FQ","BEST_FPERIOD_OVERRIDE=FQ","FILING_STATUS=OR","Sort=A","Dates=H","DateFormat=P","Fill=—","Direction=H","UseDPDF=Y")</f>
        <v>1036</v>
      </c>
      <c r="AH50" s="13">
        <f>_xll.BDH("XOM US Equity","BS_NUM_OF_TSY_SH","FQ4 1997","FQ4 1997","Currency=USD","Period=FQ","BEST_FPERIOD_OVERRIDE=FQ","FILING_STATUS=OR","Sort=A","Dates=H","DateFormat=P","Fill=—","Direction=H","UseDPDF=Y")</f>
        <v>1054</v>
      </c>
      <c r="AI50" s="13">
        <f>_xll.BDH("XOM US Equity","BS_NUM_OF_TSY_SH","FQ1 1998","FQ1 1998","Currency=USD","Period=FQ","BEST_FPERIOD_OVERRIDE=FQ","FILING_STATUS=OR","Sort=A","Dates=H","DateFormat=P","Fill=—","Direction=H","UseDPDF=Y")</f>
        <v>1074</v>
      </c>
      <c r="AJ50" s="13">
        <f>_xll.BDH("XOM US Equity","BS_NUM_OF_TSY_SH","FQ2 1998","FQ2 1998","Currency=USD","Period=FQ","BEST_FPERIOD_OVERRIDE=FQ","FILING_STATUS=OR","Sort=A","Dates=H","DateFormat=P","Fill=—","Direction=H","UseDPDF=Y")</f>
        <v>1092</v>
      </c>
    </row>
    <row r="51" spans="1:36" x14ac:dyDescent="0.25">
      <c r="A51" s="10" t="s">
        <v>225</v>
      </c>
      <c r="B51" s="10" t="s">
        <v>226</v>
      </c>
      <c r="C51" s="13">
        <f>_xll.BDH("XOM US Equity","NET_DEBT","FQ1 1990","FQ1 1990","Currency=USD","Period=FQ","BEST_FPERIOD_OVERRIDE=FQ","FILING_STATUS=OR","SCALING_FORMAT=MLN","Sort=A","Dates=H","DateFormat=P","Fill=—","Direction=H","UseDPDF=Y")</f>
        <v>14000</v>
      </c>
      <c r="D51" s="13">
        <f>_xll.BDH("XOM US Equity","NET_DEBT","FQ2 1990","FQ2 1990","Currency=USD","Period=FQ","BEST_FPERIOD_OVERRIDE=FQ","FILING_STATUS=OR","SCALING_FORMAT=MLN","Sort=A","Dates=H","DateFormat=P","Fill=—","Direction=H","UseDPDF=Y")</f>
        <v>13229</v>
      </c>
      <c r="E51" s="13">
        <f>_xll.BDH("XOM US Equity","NET_DEBT","FQ3 1990","FQ3 1990","Currency=USD","Period=FQ","BEST_FPERIOD_OVERRIDE=FQ","FILING_STATUS=OR","SCALING_FORMAT=MLN","Sort=A","Dates=H","DateFormat=P","Fill=—","Direction=H","UseDPDF=Y")</f>
        <v>13543</v>
      </c>
      <c r="F51" s="13">
        <f>_xll.BDH("XOM US Equity","NET_DEBT","FQ4 1990","FQ4 1990","Currency=USD","Period=FQ","BEST_FPERIOD_OVERRIDE=FQ","FILING_STATUS=OR","SCALING_FORMAT=MLN","Sort=A","Dates=H","DateFormat=P","Fill=—","Direction=H","UseDPDF=Y")</f>
        <v>12398</v>
      </c>
      <c r="G51" s="13">
        <f>_xll.BDH("XOM US Equity","NET_DEBT","FQ1 1991","FQ1 1991","Currency=USD","Period=FQ","BEST_FPERIOD_OVERRIDE=FQ","FILING_STATUS=OR","SCALING_FORMAT=MLN","Sort=A","Dates=H","DateFormat=P","Fill=—","Direction=H","UseDPDF=Y")</f>
        <v>11111</v>
      </c>
      <c r="H51" s="13">
        <f>_xll.BDH("XOM US Equity","NET_DEBT","FQ2 1991","FQ2 1991","Currency=USD","Period=FQ","BEST_FPERIOD_OVERRIDE=FQ","FILING_STATUS=OR","SCALING_FORMAT=MLN","Sort=A","Dates=H","DateFormat=P","Fill=—","Direction=H","UseDPDF=Y")</f>
        <v>11062</v>
      </c>
      <c r="I51" s="13">
        <f>_xll.BDH("XOM US Equity","NET_DEBT","FQ3 1991","FQ3 1991","Currency=USD","Period=FQ","BEST_FPERIOD_OVERRIDE=FQ","FILING_STATUS=OR","SCALING_FORMAT=MLN","Sort=A","Dates=H","DateFormat=P","Fill=—","Direction=H","UseDPDF=Y")</f>
        <v>11092</v>
      </c>
      <c r="J51" s="13">
        <f>_xll.BDH("XOM US Equity","NET_DEBT","FQ4 1991","FQ4 1991","Currency=USD","Period=FQ","BEST_FPERIOD_OVERRIDE=FQ","FILING_STATUS=OR","SCALING_FORMAT=MLN","Sort=A","Dates=H","DateFormat=P","Fill=—","Direction=H","UseDPDF=Y")</f>
        <v>11455</v>
      </c>
      <c r="K51" s="13">
        <f>_xll.BDH("XOM US Equity","NET_DEBT","FQ1 1992","FQ1 1992","Currency=USD","Period=FQ","BEST_FPERIOD_OVERRIDE=FQ","FILING_STATUS=OR","SCALING_FORMAT=MLN","Sort=A","Dates=H","DateFormat=P","Fill=—","Direction=H","UseDPDF=Y")</f>
        <v>10870</v>
      </c>
      <c r="L51" s="13">
        <f>_xll.BDH("XOM US Equity","NET_DEBT","FQ2 1992","FQ2 1992","Currency=USD","Period=FQ","BEST_FPERIOD_OVERRIDE=FQ","FILING_STATUS=OR","SCALING_FORMAT=MLN","Sort=A","Dates=H","DateFormat=P","Fill=—","Direction=H","UseDPDF=Y")</f>
        <v>11662</v>
      </c>
      <c r="M51" s="13">
        <f>_xll.BDH("XOM US Equity","NET_DEBT","FQ3 1992","FQ3 1992","Currency=USD","Period=FQ","BEST_FPERIOD_OVERRIDE=FQ","FILING_STATUS=OR","SCALING_FORMAT=MLN","Sort=A","Dates=H","DateFormat=P","Fill=—","Direction=H","UseDPDF=Y")</f>
        <v>11396</v>
      </c>
      <c r="N51" s="13">
        <f>_xll.BDH("XOM US Equity","NET_DEBT","FQ4 1992","FQ4 1992","Currency=USD","Period=FQ","BEST_FPERIOD_OVERRIDE=FQ","FILING_STATUS=OR","SCALING_FORMAT=MLN","Sort=A","Dates=H","DateFormat=P","Fill=—","Direction=H","UseDPDF=Y")</f>
        <v>11909</v>
      </c>
      <c r="O51" s="13">
        <f>_xll.BDH("XOM US Equity","NET_DEBT","FQ1 1993","FQ1 1993","Currency=USD","Period=FQ","BEST_FPERIOD_OVERRIDE=FQ","FILING_STATUS=OR","SCALING_FORMAT=MLN","Sort=A","Dates=H","DateFormat=P","Fill=—","Direction=H","UseDPDF=Y")</f>
        <v>11468</v>
      </c>
      <c r="P51" s="13">
        <f>_xll.BDH("XOM US Equity","NET_DEBT","FQ2 1993","FQ2 1993","Currency=USD","Period=FQ","BEST_FPERIOD_OVERRIDE=FQ","FILING_STATUS=OR","SCALING_FORMAT=MLN","Sort=A","Dates=H","DateFormat=P","Fill=—","Direction=H","UseDPDF=Y")</f>
        <v>11428</v>
      </c>
      <c r="Q51" s="13">
        <f>_xll.BDH("XOM US Equity","NET_DEBT","FQ3 1993","FQ3 1993","Currency=USD","Period=FQ","BEST_FPERIOD_OVERRIDE=FQ","FILING_STATUS=OR","SCALING_FORMAT=MLN","Sort=A","Dates=H","DateFormat=P","Fill=—","Direction=H","UseDPDF=Y")</f>
        <v>10886</v>
      </c>
      <c r="R51" s="13">
        <f>_xll.BDH("XOM US Equity","NET_DEBT","FQ4 1993","FQ4 1993","Currency=USD","Period=FQ","BEST_FPERIOD_OVERRIDE=FQ","FILING_STATUS=OR","SCALING_FORMAT=MLN","Sort=A","Dates=H","DateFormat=P","Fill=—","Direction=H","UseDPDF=Y")</f>
        <v>10963</v>
      </c>
      <c r="S51" s="13">
        <f>_xll.BDH("XOM US Equity","NET_DEBT","FQ1 1994","FQ1 1994","Currency=USD","Period=FQ","BEST_FPERIOD_OVERRIDE=FQ","FILING_STATUS=OR","SCALING_FORMAT=MLN","Sort=A","Dates=H","DateFormat=P","Fill=—","Direction=H","UseDPDF=Y")</f>
        <v>10459</v>
      </c>
      <c r="T51" s="13">
        <f>_xll.BDH("XOM US Equity","NET_DEBT","FQ2 1994","FQ2 1994","Currency=USD","Period=FQ","BEST_FPERIOD_OVERRIDE=FQ","FILING_STATUS=OR","SCALING_FORMAT=MLN","Sort=A","Dates=H","DateFormat=P","Fill=—","Direction=H","UseDPDF=Y")</f>
        <v>10749</v>
      </c>
      <c r="U51" s="13">
        <f>_xll.BDH("XOM US Equity","NET_DEBT","FQ3 1994","FQ3 1994","Currency=USD","Period=FQ","BEST_FPERIOD_OVERRIDE=FQ","FILING_STATUS=OR","SCALING_FORMAT=MLN","Sort=A","Dates=H","DateFormat=P","Fill=—","Direction=H","UseDPDF=Y")</f>
        <v>10706</v>
      </c>
      <c r="V51" s="13">
        <f>_xll.BDH("XOM US Equity","NET_DEBT","FQ4 1994","FQ4 1994","Currency=USD","Period=FQ","BEST_FPERIOD_OVERRIDE=FQ","FILING_STATUS=OR","SCALING_FORMAT=MLN","Sort=A","Dates=H","DateFormat=P","Fill=—","Direction=H","UseDPDF=Y")</f>
        <v>10914</v>
      </c>
      <c r="W51" s="13">
        <f>_xll.BDH("XOM US Equity","NET_DEBT","FQ1 1995","FQ1 1995","Currency=USD","Period=FQ","BEST_FPERIOD_OVERRIDE=FQ","FILING_STATUS=OR","SCALING_FORMAT=MLN","Sort=A","Dates=H","DateFormat=P","Fill=—","Direction=H","UseDPDF=Y")</f>
        <v>9585</v>
      </c>
      <c r="X51" s="13">
        <f>_xll.BDH("XOM US Equity","NET_DEBT","FQ2 1995","FQ2 1995","Currency=USD","Period=FQ","BEST_FPERIOD_OVERRIDE=FQ","FILING_STATUS=OR","SCALING_FORMAT=MLN","Sort=A","Dates=H","DateFormat=P","Fill=—","Direction=H","UseDPDF=Y")</f>
        <v>9124</v>
      </c>
      <c r="Y51" s="13">
        <f>_xll.BDH("XOM US Equity","NET_DEBT","FQ3 1995","FQ3 1995","Currency=USD","Period=FQ","BEST_FPERIOD_OVERRIDE=FQ","FILING_STATUS=OR","SCALING_FORMAT=MLN","Sort=A","Dates=H","DateFormat=P","Fill=—","Direction=H","UseDPDF=Y")</f>
        <v>8375</v>
      </c>
      <c r="Z51" s="13">
        <f>_xll.BDH("XOM US Equity","NET_DEBT","FQ4 1995","FQ4 1995","Currency=USD","Period=FQ","BEST_FPERIOD_OVERRIDE=FQ","FILING_STATUS=OR","SCALING_FORMAT=MLN","Sort=A","Dates=H","DateFormat=P","Fill=—","Direction=H","UseDPDF=Y")</f>
        <v>8236</v>
      </c>
      <c r="AA51" s="13">
        <f>_xll.BDH("XOM US Equity","NET_DEBT","FQ1 1996","FQ1 1996","Currency=USD","Period=FQ","BEST_FPERIOD_OVERRIDE=FQ","FILING_STATUS=OR","SCALING_FORMAT=MLN","Sort=A","Dates=H","DateFormat=P","Fill=—","Direction=H","UseDPDF=Y")</f>
        <v>6449</v>
      </c>
      <c r="AB51" s="13">
        <f>_xll.BDH("XOM US Equity","NET_DEBT","FQ2 1996","FQ2 1996","Currency=USD","Period=FQ","BEST_FPERIOD_OVERRIDE=FQ","FILING_STATUS=OR","SCALING_FORMAT=MLN","Sort=A","Dates=H","DateFormat=P","Fill=—","Direction=H","UseDPDF=Y")</f>
        <v>6721</v>
      </c>
      <c r="AC51" s="13">
        <f>_xll.BDH("XOM US Equity","NET_DEBT","FQ3 1996","FQ3 1996","Currency=USD","Period=FQ","BEST_FPERIOD_OVERRIDE=FQ","FILING_STATUS=OR","SCALING_FORMAT=MLN","Sort=A","Dates=H","DateFormat=P","Fill=—","Direction=H","UseDPDF=Y")</f>
        <v>6757</v>
      </c>
      <c r="AD51" s="13">
        <f>_xll.BDH("XOM US Equity","NET_DEBT","FQ4 1996","FQ4 1996","Currency=USD","Period=FQ","BEST_FPERIOD_OVERRIDE=FQ","FILING_STATUS=OR","SCALING_FORMAT=MLN","Sort=A","Dates=H","DateFormat=P","Fill=—","Direction=H","UseDPDF=Y")</f>
        <v>6777</v>
      </c>
      <c r="AE51" s="13">
        <f>_xll.BDH("XOM US Equity","NET_DEBT","FQ1 1997","FQ1 1997","Currency=USD","Period=FQ","BEST_FPERIOD_OVERRIDE=FQ","FILING_STATUS=OR","SCALING_FORMAT=MLN","Sort=A","Dates=H","DateFormat=P","Fill=—","Direction=H","UseDPDF=Y")</f>
        <v>4558</v>
      </c>
      <c r="AF51" s="13">
        <f>_xll.BDH("XOM US Equity","NET_DEBT","FQ2 1997","FQ2 1997","Currency=USD","Period=FQ","BEST_FPERIOD_OVERRIDE=FQ","FILING_STATUS=OR","SCALING_FORMAT=MLN","Sort=A","Dates=H","DateFormat=P","Fill=—","Direction=H","UseDPDF=Y")</f>
        <v>4942</v>
      </c>
      <c r="AG51" s="13">
        <f>_xll.BDH("XOM US Equity","NET_DEBT","FQ3 1997","FQ3 1997","Currency=USD","Period=FQ","BEST_FPERIOD_OVERRIDE=FQ","FILING_STATUS=OR","SCALING_FORMAT=MLN","Sort=A","Dates=H","DateFormat=P","Fill=—","Direction=H","UseDPDF=Y")</f>
        <v>5129</v>
      </c>
      <c r="AH51" s="13">
        <f>_xll.BDH("XOM US Equity","NET_DEBT","FQ4 1997","FQ4 1997","Currency=USD","Period=FQ","BEST_FPERIOD_OVERRIDE=FQ","FILING_STATUS=OR","SCALING_FORMAT=MLN","Sort=A","Dates=H","DateFormat=P","Fill=—","Direction=H","UseDPDF=Y")</f>
        <v>5890</v>
      </c>
      <c r="AI51" s="13">
        <f>_xll.BDH("XOM US Equity","NET_DEBT","FQ1 1998","FQ1 1998","Currency=USD","Period=FQ","BEST_FPERIOD_OVERRIDE=FQ","FILING_STATUS=OR","SCALING_FORMAT=MLN","Sort=A","Dates=H","DateFormat=P","Fill=—","Direction=H","UseDPDF=Y")</f>
        <v>5969</v>
      </c>
      <c r="AJ51" s="13">
        <f>_xll.BDH("XOM US Equity","NET_DEBT","FQ2 1998","FQ2 1998","Currency=USD","Period=FQ","BEST_FPERIOD_OVERRIDE=FQ","FILING_STATUS=OR","SCALING_FORMAT=MLN","Sort=A","Dates=H","DateFormat=P","Fill=—","Direction=H","UseDPDF=Y")</f>
        <v>6774</v>
      </c>
    </row>
    <row r="52" spans="1:36" x14ac:dyDescent="0.25">
      <c r="A52" s="10" t="s">
        <v>227</v>
      </c>
      <c r="B52" s="10" t="s">
        <v>228</v>
      </c>
      <c r="C52" s="14">
        <f>_xll.BDH("XOM US Equity","NET_DEBT_TO_SHRHLDR_EQTY","FQ1 1990","FQ1 1990","Currency=USD","Period=FQ","BEST_FPERIOD_OVERRIDE=FQ","FILING_STATUS=OR","Sort=A","Dates=H","DateFormat=P","Fill=—","Direction=H","UseDPDF=Y")</f>
        <v>45.843000000000004</v>
      </c>
      <c r="D52" s="14">
        <f>_xll.BDH("XOM US Equity","NET_DEBT_TO_SHRHLDR_EQTY","FQ2 1990","FQ2 1990","Currency=USD","Period=FQ","BEST_FPERIOD_OVERRIDE=FQ","FILING_STATUS=OR","Sort=A","Dates=H","DateFormat=P","Fill=—","Direction=H","UseDPDF=Y")</f>
        <v>42.357199999999999</v>
      </c>
      <c r="E52" s="14">
        <f>_xll.BDH("XOM US Equity","NET_DEBT_TO_SHRHLDR_EQTY","FQ3 1990","FQ3 1990","Currency=USD","Period=FQ","BEST_FPERIOD_OVERRIDE=FQ","FILING_STATUS=OR","Sort=A","Dates=H","DateFormat=P","Fill=—","Direction=H","UseDPDF=Y")</f>
        <v>41.987299999999998</v>
      </c>
      <c r="F52" s="14">
        <f>_xll.BDH("XOM US Equity","NET_DEBT_TO_SHRHLDR_EQTY","FQ4 1990","FQ4 1990","Currency=USD","Period=FQ","BEST_FPERIOD_OVERRIDE=FQ","FILING_STATUS=OR","Sort=A","Dates=H","DateFormat=P","Fill=—","Direction=H","UseDPDF=Y")</f>
        <v>34.434100000000001</v>
      </c>
      <c r="G52" s="14">
        <f>_xll.BDH("XOM US Equity","NET_DEBT_TO_SHRHLDR_EQTY","FQ1 1991","FQ1 1991","Currency=USD","Period=FQ","BEST_FPERIOD_OVERRIDE=FQ","FILING_STATUS=OR","Sort=A","Dates=H","DateFormat=P","Fill=—","Direction=H","UseDPDF=Y")</f>
        <v>33.631999999999998</v>
      </c>
      <c r="H52" s="14">
        <f>_xll.BDH("XOM US Equity","NET_DEBT_TO_SHRHLDR_EQTY","FQ2 1991","FQ2 1991","Currency=USD","Period=FQ","BEST_FPERIOD_OVERRIDE=FQ","FILING_STATUS=OR","Sort=A","Dates=H","DateFormat=P","Fill=—","Direction=H","UseDPDF=Y")</f>
        <v>33.726599999999998</v>
      </c>
      <c r="I52" s="14">
        <f>_xll.BDH("XOM US Equity","NET_DEBT_TO_SHRHLDR_EQTY","FQ3 1991","FQ3 1991","Currency=USD","Period=FQ","BEST_FPERIOD_OVERRIDE=FQ","FILING_STATUS=OR","Sort=A","Dates=H","DateFormat=P","Fill=—","Direction=H","UseDPDF=Y")</f>
        <v>32.731400000000001</v>
      </c>
      <c r="J52" s="14">
        <f>_xll.BDH("XOM US Equity","NET_DEBT_TO_SHRHLDR_EQTY","FQ4 1991","FQ4 1991","Currency=USD","Period=FQ","BEST_FPERIOD_OVERRIDE=FQ","FILING_STATUS=OR","Sort=A","Dates=H","DateFormat=P","Fill=—","Direction=H","UseDPDF=Y")</f>
        <v>30.229099999999999</v>
      </c>
      <c r="K52" s="14">
        <f>_xll.BDH("XOM US Equity","NET_DEBT_TO_SHRHLDR_EQTY","FQ1 1992","FQ1 1992","Currency=USD","Period=FQ","BEST_FPERIOD_OVERRIDE=FQ","FILING_STATUS=OR","Sort=A","Dates=H","DateFormat=P","Fill=—","Direction=H","UseDPDF=Y")</f>
        <v>31.7437</v>
      </c>
      <c r="L52" s="14">
        <f>_xll.BDH("XOM US Equity","NET_DEBT_TO_SHRHLDR_EQTY","FQ2 1992","FQ2 1992","Currency=USD","Period=FQ","BEST_FPERIOD_OVERRIDE=FQ","FILING_STATUS=OR","Sort=A","Dates=H","DateFormat=P","Fill=—","Direction=H","UseDPDF=Y")</f>
        <v>33.0593</v>
      </c>
      <c r="M52" s="14">
        <f>_xll.BDH("XOM US Equity","NET_DEBT_TO_SHRHLDR_EQTY","FQ3 1992","FQ3 1992","Currency=USD","Period=FQ","BEST_FPERIOD_OVERRIDE=FQ","FILING_STATUS=OR","Sort=A","Dates=H","DateFormat=P","Fill=—","Direction=H","UseDPDF=Y")</f>
        <v>32.246699999999997</v>
      </c>
      <c r="N52" s="14">
        <f>_xll.BDH("XOM US Equity","NET_DEBT_TO_SHRHLDR_EQTY","FQ4 1992","FQ4 1992","Currency=USD","Period=FQ","BEST_FPERIOD_OVERRIDE=FQ","FILING_STATUS=OR","Sort=A","Dates=H","DateFormat=P","Fill=—","Direction=H","UseDPDF=Y")</f>
        <v>32.404600000000002</v>
      </c>
      <c r="O52" s="14">
        <f>_xll.BDH("XOM US Equity","NET_DEBT_TO_SHRHLDR_EQTY","FQ1 1993","FQ1 1993","Currency=USD","Period=FQ","BEST_FPERIOD_OVERRIDE=FQ","FILING_STATUS=OR","Sort=A","Dates=H","DateFormat=P","Fill=—","Direction=H","UseDPDF=Y")</f>
        <v>33.615699999999997</v>
      </c>
      <c r="P52" s="14">
        <f>_xll.BDH("XOM US Equity","NET_DEBT_TO_SHRHLDR_EQTY","FQ2 1993","FQ2 1993","Currency=USD","Period=FQ","BEST_FPERIOD_OVERRIDE=FQ","FILING_STATUS=OR","Sort=A","Dates=H","DateFormat=P","Fill=—","Direction=H","UseDPDF=Y")</f>
        <v>33.268299999999996</v>
      </c>
      <c r="Q52" s="14">
        <f>_xll.BDH("XOM US Equity","NET_DEBT_TO_SHRHLDR_EQTY","FQ3 1993","FQ3 1993","Currency=USD","Period=FQ","BEST_FPERIOD_OVERRIDE=FQ","FILING_STATUS=OR","Sort=A","Dates=H","DateFormat=P","Fill=—","Direction=H","UseDPDF=Y")</f>
        <v>31.418800000000001</v>
      </c>
      <c r="R52" s="14">
        <f>_xll.BDH("XOM US Equity","NET_DEBT_TO_SHRHLDR_EQTY","FQ4 1993","FQ4 1993","Currency=USD","Period=FQ","BEST_FPERIOD_OVERRIDE=FQ","FILING_STATUS=OR","Sort=A","Dates=H","DateFormat=P","Fill=—","Direction=H","UseDPDF=Y")</f>
        <v>29.480699999999999</v>
      </c>
      <c r="S52" s="14">
        <f>_xll.BDH("XOM US Equity","NET_DEBT_TO_SHRHLDR_EQTY","FQ1 1994","FQ1 1994","Currency=USD","Period=FQ","BEST_FPERIOD_OVERRIDE=FQ","FILING_STATUS=OR","Sort=A","Dates=H","DateFormat=P","Fill=—","Direction=H","UseDPDF=Y")</f>
        <v>29.668399999999998</v>
      </c>
      <c r="T52" s="14">
        <f>_xll.BDH("XOM US Equity","NET_DEBT_TO_SHRHLDR_EQTY","FQ2 1994","FQ2 1994","Currency=USD","Period=FQ","BEST_FPERIOD_OVERRIDE=FQ","FILING_STATUS=OR","Sort=A","Dates=H","DateFormat=P","Fill=—","Direction=H","UseDPDF=Y")</f>
        <v>29.9741</v>
      </c>
      <c r="U52" s="14">
        <f>_xll.BDH("XOM US Equity","NET_DEBT_TO_SHRHLDR_EQTY","FQ3 1994","FQ3 1994","Currency=USD","Period=FQ","BEST_FPERIOD_OVERRIDE=FQ","FILING_STATUS=OR","Sort=A","Dates=H","DateFormat=P","Fill=—","Direction=H","UseDPDF=Y")</f>
        <v>29.3187</v>
      </c>
      <c r="V52" s="14">
        <f>_xll.BDH("XOM US Equity","NET_DEBT_TO_SHRHLDR_EQTY","FQ4 1994","FQ4 1994","Currency=USD","Period=FQ","BEST_FPERIOD_OVERRIDE=FQ","FILING_STATUS=OR","Sort=A","Dates=H","DateFormat=P","Fill=—","Direction=H","UseDPDF=Y")</f>
        <v>27.572400000000002</v>
      </c>
      <c r="W52" s="14">
        <f>_xll.BDH("XOM US Equity","NET_DEBT_TO_SHRHLDR_EQTY","FQ1 1995","FQ1 1995","Currency=USD","Period=FQ","BEST_FPERIOD_OVERRIDE=FQ","FILING_STATUS=OR","Sort=A","Dates=H","DateFormat=P","Fill=—","Direction=H","UseDPDF=Y")</f>
        <v>24.462800000000001</v>
      </c>
      <c r="X52" s="14">
        <f>_xll.BDH("XOM US Equity","NET_DEBT_TO_SHRHLDR_EQTY","FQ2 1995","FQ2 1995","Currency=USD","Period=FQ","BEST_FPERIOD_OVERRIDE=FQ","FILING_STATUS=OR","Sort=A","Dates=H","DateFormat=P","Fill=—","Direction=H","UseDPDF=Y")</f>
        <v>22.810600000000001</v>
      </c>
      <c r="Y52" s="14">
        <f>_xll.BDH("XOM US Equity","NET_DEBT_TO_SHRHLDR_EQTY","FQ3 1995","FQ3 1995","Currency=USD","Period=FQ","BEST_FPERIOD_OVERRIDE=FQ","FILING_STATUS=OR","Sort=A","Dates=H","DateFormat=P","Fill=—","Direction=H","UseDPDF=Y")</f>
        <v>20.9192</v>
      </c>
      <c r="Z52" s="14">
        <f>_xll.BDH("XOM US Equity","NET_DEBT_TO_SHRHLDR_EQTY","FQ4 1995","FQ4 1995","Currency=USD","Period=FQ","BEST_FPERIOD_OVERRIDE=FQ","FILING_STATUS=OR","Sort=A","Dates=H","DateFormat=P","Fill=—","Direction=H","UseDPDF=Y")</f>
        <v>19.3306</v>
      </c>
      <c r="AA52" s="14">
        <f>_xll.BDH("XOM US Equity","NET_DEBT_TO_SHRHLDR_EQTY","FQ1 1996","FQ1 1996","Currency=USD","Period=FQ","BEST_FPERIOD_OVERRIDE=FQ","FILING_STATUS=OR","Sort=A","Dates=H","DateFormat=P","Fill=—","Direction=H","UseDPDF=Y")</f>
        <v>15.720800000000001</v>
      </c>
      <c r="AB52" s="14">
        <f>_xll.BDH("XOM US Equity","NET_DEBT_TO_SHRHLDR_EQTY","FQ2 1996","FQ2 1996","Currency=USD","Period=FQ","BEST_FPERIOD_OVERRIDE=FQ","FILING_STATUS=OR","Sort=A","Dates=H","DateFormat=P","Fill=—","Direction=H","UseDPDF=Y")</f>
        <v>16.242899999999999</v>
      </c>
      <c r="AC52" s="14">
        <f>_xll.BDH("XOM US Equity","NET_DEBT_TO_SHRHLDR_EQTY","FQ3 1996","FQ3 1996","Currency=USD","Period=FQ","BEST_FPERIOD_OVERRIDE=FQ","FILING_STATUS=OR","Sort=A","Dates=H","DateFormat=P","Fill=—","Direction=H","UseDPDF=Y")</f>
        <v>16.168600000000001</v>
      </c>
      <c r="AD52" s="14">
        <f>_xll.BDH("XOM US Equity","NET_DEBT_TO_SHRHLDR_EQTY","FQ4 1996","FQ4 1996","Currency=USD","Period=FQ","BEST_FPERIOD_OVERRIDE=FQ","FILING_STATUS=OR","Sort=A","Dates=H","DateFormat=P","Fill=—","Direction=H","UseDPDF=Y")</f>
        <v>14.908899999999999</v>
      </c>
      <c r="AE52" s="14">
        <f>_xll.BDH("XOM US Equity","NET_DEBT_TO_SHRHLDR_EQTY","FQ1 1997","FQ1 1997","Currency=USD","Period=FQ","BEST_FPERIOD_OVERRIDE=FQ","FILING_STATUS=OR","Sort=A","Dates=H","DateFormat=P","Fill=—","Direction=H","UseDPDF=Y")</f>
        <v>10.4374</v>
      </c>
      <c r="AF52" s="14">
        <f>_xll.BDH("XOM US Equity","NET_DEBT_TO_SHRHLDR_EQTY","FQ2 1997","FQ2 1997","Currency=USD","Period=FQ","BEST_FPERIOD_OVERRIDE=FQ","FILING_STATUS=OR","Sort=A","Dates=H","DateFormat=P","Fill=—","Direction=H","UseDPDF=Y")</f>
        <v>11.279199999999999</v>
      </c>
      <c r="AG52" s="14">
        <f>_xll.BDH("XOM US Equity","NET_DEBT_TO_SHRHLDR_EQTY","FQ3 1997","FQ3 1997","Currency=USD","Period=FQ","BEST_FPERIOD_OVERRIDE=FQ","FILING_STATUS=OR","Sort=A","Dates=H","DateFormat=P","Fill=—","Direction=H","UseDPDF=Y")</f>
        <v>11.83</v>
      </c>
      <c r="AH52" s="14">
        <f>_xll.BDH("XOM US Equity","NET_DEBT_TO_SHRHLDR_EQTY","FQ4 1997","FQ4 1997","Currency=USD","Period=FQ","BEST_FPERIOD_OVERRIDE=FQ","FILING_STATUS=OR","Sort=A","Dates=H","DateFormat=P","Fill=—","Direction=H","UseDPDF=Y")</f>
        <v>12.7957</v>
      </c>
      <c r="AI52" s="14">
        <f>_xll.BDH("XOM US Equity","NET_DEBT_TO_SHRHLDR_EQTY","FQ1 1998","FQ1 1998","Currency=USD","Period=FQ","BEST_FPERIOD_OVERRIDE=FQ","FILING_STATUS=OR","Sort=A","Dates=H","DateFormat=P","Fill=—","Direction=H","UseDPDF=Y")</f>
        <v>13.645</v>
      </c>
      <c r="AJ52" s="14">
        <f>_xll.BDH("XOM US Equity","NET_DEBT_TO_SHRHLDR_EQTY","FQ2 1998","FQ2 1998","Currency=USD","Period=FQ","BEST_FPERIOD_OVERRIDE=FQ","FILING_STATUS=OR","Sort=A","Dates=H","DateFormat=P","Fill=—","Direction=H","UseDPDF=Y")</f>
        <v>15.623799999999999</v>
      </c>
    </row>
    <row r="53" spans="1:36" x14ac:dyDescent="0.25">
      <c r="A53" s="10" t="s">
        <v>229</v>
      </c>
      <c r="B53" s="10" t="s">
        <v>230</v>
      </c>
      <c r="C53" s="14">
        <f>_xll.BDH("XOM US Equity","CUR_RATIO","FQ1 1990","FQ1 1990","Currency=USD","Period=FQ","BEST_FPERIOD_OVERRIDE=FQ","FILING_STATUS=OR","Sort=A","Dates=H","DateFormat=P","Fill=—","Direction=H","UseDPDF=Y")</f>
        <v>0.76959999999999995</v>
      </c>
      <c r="D53" s="14">
        <f>_xll.BDH("XOM US Equity","CUR_RATIO","FQ2 1990","FQ2 1990","Currency=USD","Period=FQ","BEST_FPERIOD_OVERRIDE=FQ","FILING_STATUS=OR","Sort=A","Dates=H","DateFormat=P","Fill=—","Direction=H","UseDPDF=Y")</f>
        <v>0.75739999999999996</v>
      </c>
      <c r="E53" s="14">
        <f>_xll.BDH("XOM US Equity","CUR_RATIO","FQ3 1990","FQ3 1990","Currency=USD","Period=FQ","BEST_FPERIOD_OVERRIDE=FQ","FILING_STATUS=OR","Sort=A","Dates=H","DateFormat=P","Fill=—","Direction=H","UseDPDF=Y")</f>
        <v>0.74319999999999997</v>
      </c>
      <c r="F53" s="14">
        <f>_xll.BDH("XOM US Equity","CUR_RATIO","FQ4 1990","FQ4 1990","Currency=USD","Period=FQ","BEST_FPERIOD_OVERRIDE=FQ","FILING_STATUS=OR","Sort=A","Dates=H","DateFormat=P","Fill=—","Direction=H","UseDPDF=Y")</f>
        <v>0.76319999999999999</v>
      </c>
      <c r="G53" s="14">
        <f>_xll.BDH("XOM US Equity","CUR_RATIO","FQ1 1991","FQ1 1991","Currency=USD","Period=FQ","BEST_FPERIOD_OVERRIDE=FQ","FILING_STATUS=OR","Sort=A","Dates=H","DateFormat=P","Fill=—","Direction=H","UseDPDF=Y")</f>
        <v>0.84250000000000003</v>
      </c>
      <c r="H53" s="14">
        <f>_xll.BDH("XOM US Equity","CUR_RATIO","FQ2 1991","FQ2 1991","Currency=USD","Period=FQ","BEST_FPERIOD_OVERRIDE=FQ","FILING_STATUS=OR","Sort=A","Dates=H","DateFormat=P","Fill=—","Direction=H","UseDPDF=Y")</f>
        <v>0.84009999999999996</v>
      </c>
      <c r="I53" s="14">
        <f>_xll.BDH("XOM US Equity","CUR_RATIO","FQ3 1991","FQ3 1991","Currency=USD","Period=FQ","BEST_FPERIOD_OVERRIDE=FQ","FILING_STATUS=OR","Sort=A","Dates=H","DateFormat=P","Fill=—","Direction=H","UseDPDF=Y")</f>
        <v>0.83560000000000001</v>
      </c>
      <c r="J53" s="14">
        <f>_xll.BDH("XOM US Equity","CUR_RATIO","FQ4 1991","FQ4 1991","Currency=USD","Period=FQ","BEST_FPERIOD_OVERRIDE=FQ","FILING_STATUS=OR","Sort=A","Dates=H","DateFormat=P","Fill=—","Direction=H","UseDPDF=Y")</f>
        <v>0.81579999999999997</v>
      </c>
      <c r="K53" s="14">
        <f>_xll.BDH("XOM US Equity","CUR_RATIO","FQ1 1992","FQ1 1992","Currency=USD","Period=FQ","BEST_FPERIOD_OVERRIDE=FQ","FILING_STATUS=OR","Sort=A","Dates=H","DateFormat=P","Fill=—","Direction=H","UseDPDF=Y")</f>
        <v>0.82499999999999996</v>
      </c>
      <c r="L53" s="14">
        <f>_xll.BDH("XOM US Equity","CUR_RATIO","FQ2 1992","FQ2 1992","Currency=USD","Period=FQ","BEST_FPERIOD_OVERRIDE=FQ","FILING_STATUS=OR","Sort=A","Dates=H","DateFormat=P","Fill=—","Direction=H","UseDPDF=Y")</f>
        <v>0.81579999999999997</v>
      </c>
      <c r="M53" s="14">
        <f>_xll.BDH("XOM US Equity","CUR_RATIO","FQ3 1992","FQ3 1992","Currency=USD","Period=FQ","BEST_FPERIOD_OVERRIDE=FQ","FILING_STATUS=OR","Sort=A","Dates=H","DateFormat=P","Fill=—","Direction=H","UseDPDF=Y")</f>
        <v>0.84409999999999996</v>
      </c>
      <c r="N53" s="14">
        <f>_xll.BDH("XOM US Equity","CUR_RATIO","FQ4 1992","FQ4 1992","Currency=USD","Period=FQ","BEST_FPERIOD_OVERRIDE=FQ","FILING_STATUS=OR","Sort=A","Dates=H","DateFormat=P","Fill=—","Direction=H","UseDPDF=Y")</f>
        <v>0.83530000000000004</v>
      </c>
      <c r="O53" s="14">
        <f>_xll.BDH("XOM US Equity","CUR_RATIO","FQ1 1993","FQ1 1993","Currency=USD","Period=FQ","BEST_FPERIOD_OVERRIDE=FQ","FILING_STATUS=OR","Sort=A","Dates=H","DateFormat=P","Fill=—","Direction=H","UseDPDF=Y")</f>
        <v>0.84940000000000004</v>
      </c>
      <c r="P53" s="14">
        <f>_xll.BDH("XOM US Equity","CUR_RATIO","FQ2 1993","FQ2 1993","Currency=USD","Period=FQ","BEST_FPERIOD_OVERRIDE=FQ","FILING_STATUS=OR","Sort=A","Dates=H","DateFormat=P","Fill=—","Direction=H","UseDPDF=Y")</f>
        <v>0.84730000000000005</v>
      </c>
      <c r="Q53" s="14">
        <f>_xll.BDH("XOM US Equity","CUR_RATIO","FQ3 1993","FQ3 1993","Currency=USD","Period=FQ","BEST_FPERIOD_OVERRIDE=FQ","FILING_STATUS=OR","Sort=A","Dates=H","DateFormat=P","Fill=—","Direction=H","UseDPDF=Y")</f>
        <v>0.8337</v>
      </c>
      <c r="R53" s="14">
        <f>_xll.BDH("XOM US Equity","CUR_RATIO","FQ4 1993","FQ4 1993","Currency=USD","Period=FQ","BEST_FPERIOD_OVERRIDE=FQ","FILING_STATUS=OR","Sort=A","Dates=H","DateFormat=P","Fill=—","Direction=H","UseDPDF=Y")</f>
        <v>0.79930000000000001</v>
      </c>
      <c r="S53" s="14">
        <f>_xll.BDH("XOM US Equity","CUR_RATIO","FQ1 1994","FQ1 1994","Currency=USD","Period=FQ","BEST_FPERIOD_OVERRIDE=FQ","FILING_STATUS=OR","Sort=A","Dates=H","DateFormat=P","Fill=—","Direction=H","UseDPDF=Y")</f>
        <v>0.84109999999999996</v>
      </c>
      <c r="T53" s="14">
        <f>_xll.BDH("XOM US Equity","CUR_RATIO","FQ2 1994","FQ2 1994","Currency=USD","Period=FQ","BEST_FPERIOD_OVERRIDE=FQ","FILING_STATUS=OR","Sort=A","Dates=H","DateFormat=P","Fill=—","Direction=H","UseDPDF=Y")</f>
        <v>0.84630000000000005</v>
      </c>
      <c r="U53" s="14">
        <f>_xll.BDH("XOM US Equity","CUR_RATIO","FQ3 1994","FQ3 1994","Currency=USD","Period=FQ","BEST_FPERIOD_OVERRIDE=FQ","FILING_STATUS=OR","Sort=A","Dates=H","DateFormat=P","Fill=—","Direction=H","UseDPDF=Y")</f>
        <v>0.85440000000000005</v>
      </c>
      <c r="V53" s="14">
        <f>_xll.BDH("XOM US Equity","CUR_RATIO","FQ4 1994","FQ4 1994","Currency=USD","Period=FQ","BEST_FPERIOD_OVERRIDE=FQ","FILING_STATUS=OR","Sort=A","Dates=H","DateFormat=P","Fill=—","Direction=H","UseDPDF=Y")</f>
        <v>0.84440000000000004</v>
      </c>
      <c r="W53" s="14">
        <f>_xll.BDH("XOM US Equity","CUR_RATIO","FQ1 1995","FQ1 1995","Currency=USD","Period=FQ","BEST_FPERIOD_OVERRIDE=FQ","FILING_STATUS=OR","Sort=A","Dates=H","DateFormat=P","Fill=—","Direction=H","UseDPDF=Y")</f>
        <v>0.92420000000000002</v>
      </c>
      <c r="X53" s="14">
        <f>_xll.BDH("XOM US Equity","CUR_RATIO","FQ2 1995","FQ2 1995","Currency=USD","Period=FQ","BEST_FPERIOD_OVERRIDE=FQ","FILING_STATUS=OR","Sort=A","Dates=H","DateFormat=P","Fill=—","Direction=H","UseDPDF=Y")</f>
        <v>0.92420000000000002</v>
      </c>
      <c r="Y53" s="14">
        <f>_xll.BDH("XOM US Equity","CUR_RATIO","FQ3 1995","FQ3 1995","Currency=USD","Period=FQ","BEST_FPERIOD_OVERRIDE=FQ","FILING_STATUS=OR","Sort=A","Dates=H","DateFormat=P","Fill=—","Direction=H","UseDPDF=Y")</f>
        <v>0.94159999999999999</v>
      </c>
      <c r="Z53" s="14">
        <f>_xll.BDH("XOM US Equity","CUR_RATIO","FQ4 1995","FQ4 1995","Currency=USD","Period=FQ","BEST_FPERIOD_OVERRIDE=FQ","FILING_STATUS=OR","Sort=A","Dates=H","DateFormat=P","Fill=—","Direction=H","UseDPDF=Y")</f>
        <v>0.92430000000000001</v>
      </c>
      <c r="AA53" s="14">
        <f>_xll.BDH("XOM US Equity","CUR_RATIO","FQ1 1996","FQ1 1996","Currency=USD","Period=FQ","BEST_FPERIOD_OVERRIDE=FQ","FILING_STATUS=OR","Sort=A","Dates=H","DateFormat=P","Fill=—","Direction=H","UseDPDF=Y")</f>
        <v>0.98770000000000002</v>
      </c>
      <c r="AB53" s="14">
        <f>_xll.BDH("XOM US Equity","CUR_RATIO","FQ2 1996","FQ2 1996","Currency=USD","Period=FQ","BEST_FPERIOD_OVERRIDE=FQ","FILING_STATUS=OR","Sort=A","Dates=H","DateFormat=P","Fill=—","Direction=H","UseDPDF=Y")</f>
        <v>0.98580000000000001</v>
      </c>
      <c r="AC53" s="14">
        <f>_xll.BDH("XOM US Equity","CUR_RATIO","FQ3 1996","FQ3 1996","Currency=USD","Period=FQ","BEST_FPERIOD_OVERRIDE=FQ","FILING_STATUS=OR","Sort=A","Dates=H","DateFormat=P","Fill=—","Direction=H","UseDPDF=Y")</f>
        <v>0.94310000000000005</v>
      </c>
      <c r="AD53" s="14">
        <f>_xll.BDH("XOM US Equity","CUR_RATIO","FQ4 1996","FQ4 1996","Currency=USD","Period=FQ","BEST_FPERIOD_OVERRIDE=FQ","FILING_STATUS=OR","Sort=A","Dates=H","DateFormat=P","Fill=—","Direction=H","UseDPDF=Y")</f>
        <v>1.0207999999999999</v>
      </c>
      <c r="AE53" s="14">
        <f>_xll.BDH("XOM US Equity","CUR_RATIO","FQ1 1997","FQ1 1997","Currency=USD","Period=FQ","BEST_FPERIOD_OVERRIDE=FQ","FILING_STATUS=OR","Sort=A","Dates=H","DateFormat=P","Fill=—","Direction=H","UseDPDF=Y")</f>
        <v>1.1379999999999999</v>
      </c>
      <c r="AF53" s="14">
        <f>_xll.BDH("XOM US Equity","CUR_RATIO","FQ2 1997","FQ2 1997","Currency=USD","Period=FQ","BEST_FPERIOD_OVERRIDE=FQ","FILING_STATUS=OR","Sort=A","Dates=H","DateFormat=P","Fill=—","Direction=H","UseDPDF=Y")</f>
        <v>1.1101000000000001</v>
      </c>
      <c r="AG53" s="14">
        <f>_xll.BDH("XOM US Equity","CUR_RATIO","FQ3 1997","FQ3 1997","Currency=USD","Period=FQ","BEST_FPERIOD_OVERRIDE=FQ","FILING_STATUS=OR","Sort=A","Dates=H","DateFormat=P","Fill=—","Direction=H","UseDPDF=Y")</f>
        <v>1.0709</v>
      </c>
      <c r="AH53" s="14">
        <f>_xll.BDH("XOM US Equity","CUR_RATIO","FQ4 1997","FQ4 1997","Currency=USD","Period=FQ","BEST_FPERIOD_OVERRIDE=FQ","FILING_STATUS=OR","Sort=A","Dates=H","DateFormat=P","Fill=—","Direction=H","UseDPDF=Y")</f>
        <v>1.0783</v>
      </c>
      <c r="AI53" s="14">
        <f>_xll.BDH("XOM US Equity","CUR_RATIO","FQ1 1998","FQ1 1998","Currency=USD","Period=FQ","BEST_FPERIOD_OVERRIDE=FQ","FILING_STATUS=OR","Sort=A","Dates=H","DateFormat=P","Fill=—","Direction=H","UseDPDF=Y")</f>
        <v>1.0789</v>
      </c>
      <c r="AJ53" s="14">
        <f>_xll.BDH("XOM US Equity","CUR_RATIO","FQ2 1998","FQ2 1998","Currency=USD","Period=FQ","BEST_FPERIOD_OVERRIDE=FQ","FILING_STATUS=OR","Sort=A","Dates=H","DateFormat=P","Fill=—","Direction=H","UseDPDF=Y")</f>
        <v>1.0427</v>
      </c>
    </row>
    <row r="54" spans="1:36" x14ac:dyDescent="0.25">
      <c r="A54" s="10" t="s">
        <v>231</v>
      </c>
      <c r="B54" s="10" t="s">
        <v>232</v>
      </c>
      <c r="C54" s="14" t="str">
        <f>_xll.BDH("XOM US Equity","CASH_CONVERSION_CYCLE","FQ1 1990","FQ1 1990","Currency=USD","Period=FQ","BEST_FPERIOD_OVERRIDE=FQ","FILING_STATUS=OR","FA_ADJUSTED=GAAP","Sort=A","Dates=H","DateFormat=P","Fill=—","Direction=H","UseDPDF=Y")</f>
        <v>—</v>
      </c>
      <c r="D54" s="14" t="str">
        <f>_xll.BDH("XOM US Equity","CASH_CONVERSION_CYCLE","FQ2 1990","FQ2 1990","Currency=USD","Period=FQ","BEST_FPERIOD_OVERRIDE=FQ","FILING_STATUS=OR","FA_ADJUSTED=GAAP","Sort=A","Dates=H","DateFormat=P","Fill=—","Direction=H","UseDPDF=Y")</f>
        <v>—</v>
      </c>
      <c r="E54" s="14" t="str">
        <f>_xll.BDH("XOM US Equity","CASH_CONVERSION_CYCLE","FQ3 1990","FQ3 1990","Currency=USD","Period=FQ","BEST_FPERIOD_OVERRIDE=FQ","FILING_STATUS=OR","FA_ADJUSTED=GAAP","Sort=A","Dates=H","DateFormat=P","Fill=—","Direction=H","UseDPDF=Y")</f>
        <v>—</v>
      </c>
      <c r="F54" s="14" t="str">
        <f>_xll.BDH("XOM US Equity","CASH_CONVERSION_CYCLE","FQ4 1990","FQ4 1990","Currency=USD","Period=FQ","BEST_FPERIOD_OVERRIDE=FQ","FILING_STATUS=OR","FA_ADJUSTED=GAAP","Sort=A","Dates=H","DateFormat=P","Fill=—","Direction=H","UseDPDF=Y")</f>
        <v>—</v>
      </c>
      <c r="G54" s="14">
        <f>_xll.BDH("XOM US Equity","CASH_CONVERSION_CYCLE","FQ1 1991","FQ1 1991","Currency=USD","Period=FQ","BEST_FPERIOD_OVERRIDE=FQ","FILING_STATUS=OR","FA_ADJUSTED=GAAP","Sort=A","Dates=H","DateFormat=P","Fill=—","Direction=H","UseDPDF=Y")</f>
        <v>-8.8995999999999995</v>
      </c>
      <c r="H54" s="14">
        <f>_xll.BDH("XOM US Equity","CASH_CONVERSION_CYCLE","FQ2 1991","FQ2 1991","Currency=USD","Period=FQ","BEST_FPERIOD_OVERRIDE=FQ","FILING_STATUS=OR","FA_ADJUSTED=GAAP","Sort=A","Dates=H","DateFormat=P","Fill=—","Direction=H","UseDPDF=Y")</f>
        <v>-10.7296</v>
      </c>
      <c r="I54" s="14">
        <f>_xll.BDH("XOM US Equity","CASH_CONVERSION_CYCLE","FQ3 1991","FQ3 1991","Currency=USD","Period=FQ","BEST_FPERIOD_OVERRIDE=FQ","FILING_STATUS=OR","FA_ADJUSTED=GAAP","Sort=A","Dates=H","DateFormat=P","Fill=—","Direction=H","UseDPDF=Y")</f>
        <v>-12.024100000000001</v>
      </c>
      <c r="J54" s="14">
        <f>_xll.BDH("XOM US Equity","CASH_CONVERSION_CYCLE","FQ4 1991","FQ4 1991","Currency=USD","Period=FQ","BEST_FPERIOD_OVERRIDE=FQ","FILING_STATUS=OR","FA_ADJUSTED=GAAP","Sort=A","Dates=H","DateFormat=P","Fill=—","Direction=H","UseDPDF=Y")</f>
        <v>12.997999999999999</v>
      </c>
      <c r="K54" s="14">
        <f>_xll.BDH("XOM US Equity","CASH_CONVERSION_CYCLE","FQ1 1992","FQ1 1992","Currency=USD","Period=FQ","BEST_FPERIOD_OVERRIDE=FQ","FILING_STATUS=OR","FA_ADJUSTED=GAAP","Sort=A","Dates=H","DateFormat=P","Fill=—","Direction=H","UseDPDF=Y")</f>
        <v>-12.160299999999999</v>
      </c>
      <c r="L54" s="14">
        <f>_xll.BDH("XOM US Equity","CASH_CONVERSION_CYCLE","FQ2 1992","FQ2 1992","Currency=USD","Period=FQ","BEST_FPERIOD_OVERRIDE=FQ","FILING_STATUS=OR","FA_ADJUSTED=GAAP","Sort=A","Dates=H","DateFormat=P","Fill=—","Direction=H","UseDPDF=Y")</f>
        <v>-11.695399999999999</v>
      </c>
      <c r="M54" s="14">
        <f>_xll.BDH("XOM US Equity","CASH_CONVERSION_CYCLE","FQ3 1992","FQ3 1992","Currency=USD","Period=FQ","BEST_FPERIOD_OVERRIDE=FQ","FILING_STATUS=OR","FA_ADJUSTED=GAAP","Sort=A","Dates=H","DateFormat=P","Fill=—","Direction=H","UseDPDF=Y")</f>
        <v>-11.7988</v>
      </c>
      <c r="N54" s="14">
        <f>_xll.BDH("XOM US Equity","CASH_CONVERSION_CYCLE","FQ4 1992","FQ4 1992","Currency=USD","Period=FQ","BEST_FPERIOD_OVERRIDE=FQ","FILING_STATUS=OR","FA_ADJUSTED=GAAP","Sort=A","Dates=H","DateFormat=P","Fill=—","Direction=H","UseDPDF=Y")</f>
        <v>14.1906</v>
      </c>
      <c r="O54" s="14">
        <f>_xll.BDH("XOM US Equity","CASH_CONVERSION_CYCLE","FQ1 1993","FQ1 1993","Currency=USD","Period=FQ","BEST_FPERIOD_OVERRIDE=FQ","FILING_STATUS=OR","FA_ADJUSTED=GAAP","Sort=A","Dates=H","DateFormat=P","Fill=—","Direction=H","UseDPDF=Y")</f>
        <v>-10.545199999999999</v>
      </c>
      <c r="P54" s="14">
        <f>_xll.BDH("XOM US Equity","CASH_CONVERSION_CYCLE","FQ2 1993","FQ2 1993","Currency=USD","Period=FQ","BEST_FPERIOD_OVERRIDE=FQ","FILING_STATUS=OR","FA_ADJUSTED=GAAP","Sort=A","Dates=H","DateFormat=P","Fill=—","Direction=H","UseDPDF=Y")</f>
        <v>-11.991300000000001</v>
      </c>
      <c r="Q54" s="14">
        <f>_xll.BDH("XOM US Equity","CASH_CONVERSION_CYCLE","FQ3 1993","FQ3 1993","Currency=USD","Period=FQ","BEST_FPERIOD_OVERRIDE=FQ","FILING_STATUS=OR","FA_ADJUSTED=GAAP","Sort=A","Dates=H","DateFormat=P","Fill=—","Direction=H","UseDPDF=Y")</f>
        <v>-13.845800000000001</v>
      </c>
      <c r="R54" s="14">
        <f>_xll.BDH("XOM US Equity","CASH_CONVERSION_CYCLE","FQ4 1993","FQ4 1993","Currency=USD","Period=FQ","BEST_FPERIOD_OVERRIDE=FQ","FILING_STATUS=OR","FA_ADJUSTED=GAAP","Sort=A","Dates=H","DateFormat=P","Fill=—","Direction=H","UseDPDF=Y")</f>
        <v>13.2143</v>
      </c>
      <c r="S54" s="14">
        <f>_xll.BDH("XOM US Equity","CASH_CONVERSION_CYCLE","FQ1 1994","FQ1 1994","Currency=USD","Period=FQ","BEST_FPERIOD_OVERRIDE=FQ","FILING_STATUS=OR","FA_ADJUSTED=GAAP","Sort=A","Dates=H","DateFormat=P","Fill=—","Direction=H","UseDPDF=Y")</f>
        <v>-13.664099999999999</v>
      </c>
      <c r="T54" s="14">
        <f>_xll.BDH("XOM US Equity","CASH_CONVERSION_CYCLE","FQ2 1994","FQ2 1994","Currency=USD","Period=FQ","BEST_FPERIOD_OVERRIDE=FQ","FILING_STATUS=OR","FA_ADJUSTED=GAAP","Sort=A","Dates=H","DateFormat=P","Fill=—","Direction=H","UseDPDF=Y")</f>
        <v>-13.840299999999999</v>
      </c>
      <c r="U54" s="14">
        <f>_xll.BDH("XOM US Equity","CASH_CONVERSION_CYCLE","FQ3 1994","FQ3 1994","Currency=USD","Period=FQ","BEST_FPERIOD_OVERRIDE=FQ","FILING_STATUS=OR","FA_ADJUSTED=GAAP","Sort=A","Dates=H","DateFormat=P","Fill=—","Direction=H","UseDPDF=Y")</f>
        <v>-14.856999999999999</v>
      </c>
      <c r="V54" s="14">
        <f>_xll.BDH("XOM US Equity","CASH_CONVERSION_CYCLE","FQ4 1994","FQ4 1994","Currency=USD","Period=FQ","BEST_FPERIOD_OVERRIDE=FQ","FILING_STATUS=OR","FA_ADJUSTED=GAAP","Sort=A","Dates=H","DateFormat=P","Fill=—","Direction=H","UseDPDF=Y")</f>
        <v>11.007300000000001</v>
      </c>
      <c r="W54" s="14">
        <f>_xll.BDH("XOM US Equity","CASH_CONVERSION_CYCLE","FQ1 1995","FQ1 1995","Currency=USD","Period=FQ","BEST_FPERIOD_OVERRIDE=FQ","FILING_STATUS=OR","FA_ADJUSTED=GAAP","Sort=A","Dates=H","DateFormat=P","Fill=—","Direction=H","UseDPDF=Y")</f>
        <v>-15.517099999999999</v>
      </c>
      <c r="X54" s="14">
        <f>_xll.BDH("XOM US Equity","CASH_CONVERSION_CYCLE","FQ2 1995","FQ2 1995","Currency=USD","Period=FQ","BEST_FPERIOD_OVERRIDE=FQ","FILING_STATUS=OR","FA_ADJUSTED=GAAP","Sort=A","Dates=H","DateFormat=P","Fill=—","Direction=H","UseDPDF=Y")</f>
        <v>-14.2852</v>
      </c>
      <c r="Y54" s="14">
        <f>_xll.BDH("XOM US Equity","CASH_CONVERSION_CYCLE","FQ3 1995","FQ3 1995","Currency=USD","Period=FQ","BEST_FPERIOD_OVERRIDE=FQ","FILING_STATUS=OR","FA_ADJUSTED=GAAP","Sort=A","Dates=H","DateFormat=P","Fill=—","Direction=H","UseDPDF=Y")</f>
        <v>-14.012499999999999</v>
      </c>
      <c r="Z54" s="14">
        <f>_xll.BDH("XOM US Equity","CASH_CONVERSION_CYCLE","FQ4 1995","FQ4 1995","Currency=USD","Period=FQ","BEST_FPERIOD_OVERRIDE=FQ","FILING_STATUS=OR","FA_ADJUSTED=GAAP","Sort=A","Dates=H","DateFormat=P","Fill=—","Direction=H","UseDPDF=Y")</f>
        <v>8.9482999999999997</v>
      </c>
      <c r="AA54" s="14">
        <f>_xll.BDH("XOM US Equity","CASH_CONVERSION_CYCLE","FQ1 1996","FQ1 1996","Currency=USD","Period=FQ","BEST_FPERIOD_OVERRIDE=FQ","FILING_STATUS=OR","FA_ADJUSTED=GAAP","Sort=A","Dates=H","DateFormat=P","Fill=—","Direction=H","UseDPDF=Y")</f>
        <v>-16.517099999999999</v>
      </c>
      <c r="AB54" s="14">
        <f>_xll.BDH("XOM US Equity","CASH_CONVERSION_CYCLE","FQ2 1996","FQ2 1996","Currency=USD","Period=FQ","BEST_FPERIOD_OVERRIDE=FQ","FILING_STATUS=OR","FA_ADJUSTED=GAAP","Sort=A","Dates=H","DateFormat=P","Fill=—","Direction=H","UseDPDF=Y")</f>
        <v>-15.1632</v>
      </c>
      <c r="AC54" s="14">
        <f>_xll.BDH("XOM US Equity","CASH_CONVERSION_CYCLE","FQ3 1996","FQ3 1996","Currency=USD","Period=FQ","BEST_FPERIOD_OVERRIDE=FQ","FILING_STATUS=OR","FA_ADJUSTED=GAAP","Sort=A","Dates=H","DateFormat=P","Fill=—","Direction=H","UseDPDF=Y")</f>
        <v>-15.4008</v>
      </c>
      <c r="AD54" s="14">
        <f>_xll.BDH("XOM US Equity","CASH_CONVERSION_CYCLE","FQ4 1996","FQ4 1996","Currency=USD","Period=FQ","BEST_FPERIOD_OVERRIDE=FQ","FILING_STATUS=OR","FA_ADJUSTED=GAAP","Sort=A","Dates=H","DateFormat=P","Fill=—","Direction=H","UseDPDF=Y")</f>
        <v>8.0001999999999995</v>
      </c>
      <c r="AE54" s="14">
        <f>_xll.BDH("XOM US Equity","CASH_CONVERSION_CYCLE","FQ1 1997","FQ1 1997","Currency=USD","Period=FQ","BEST_FPERIOD_OVERRIDE=FQ","FILING_STATUS=OR","FA_ADJUSTED=GAAP","Sort=A","Dates=H","DateFormat=P","Fill=—","Direction=H","UseDPDF=Y")</f>
        <v>-11.582599999999999</v>
      </c>
      <c r="AF54" s="14">
        <f>_xll.BDH("XOM US Equity","CASH_CONVERSION_CYCLE","FQ2 1997","FQ2 1997","Currency=USD","Period=FQ","BEST_FPERIOD_OVERRIDE=FQ","FILING_STATUS=OR","FA_ADJUSTED=GAAP","Sort=A","Dates=H","DateFormat=P","Fill=—","Direction=H","UseDPDF=Y")</f>
        <v>-10.9353</v>
      </c>
      <c r="AG54" s="14">
        <f>_xll.BDH("XOM US Equity","CASH_CONVERSION_CYCLE","FQ3 1997","FQ3 1997","Currency=USD","Period=FQ","BEST_FPERIOD_OVERRIDE=FQ","FILING_STATUS=OR","FA_ADJUSTED=GAAP","Sort=A","Dates=H","DateFormat=P","Fill=—","Direction=H","UseDPDF=Y")</f>
        <v>-13.572699999999999</v>
      </c>
      <c r="AH54" s="14">
        <f>_xll.BDH("XOM US Equity","CASH_CONVERSION_CYCLE","FQ4 1997","FQ4 1997","Currency=USD","Period=FQ","BEST_FPERIOD_OVERRIDE=FQ","FILING_STATUS=OR","FA_ADJUSTED=GAAP","Sort=A","Dates=H","DateFormat=P","Fill=—","Direction=H","UseDPDF=Y")</f>
        <v>9.9942999999999991</v>
      </c>
      <c r="AI54" s="14">
        <f>_xll.BDH("XOM US Equity","CASH_CONVERSION_CYCLE","FQ1 1998","FQ1 1998","Currency=USD","Period=FQ","BEST_FPERIOD_OVERRIDE=FQ","FILING_STATUS=OR","FA_ADJUSTED=GAAP","Sort=A","Dates=H","DateFormat=P","Fill=—","Direction=H","UseDPDF=Y")</f>
        <v>-15.041600000000001</v>
      </c>
      <c r="AJ54" s="14">
        <f>_xll.BDH("XOM US Equity","CASH_CONVERSION_CYCLE","FQ2 1998","FQ2 1998","Currency=USD","Period=FQ","BEST_FPERIOD_OVERRIDE=FQ","FILING_STATUS=OR","FA_ADJUSTED=GAAP","Sort=A","Dates=H","DateFormat=P","Fill=—","Direction=H","UseDPDF=Y")</f>
        <v>-16.903099999999998</v>
      </c>
    </row>
    <row r="55" spans="1:36" x14ac:dyDescent="0.25">
      <c r="A55" s="10" t="s">
        <v>233</v>
      </c>
      <c r="B55" s="10" t="s">
        <v>234</v>
      </c>
      <c r="C55" s="14" t="str">
        <f>_xll.BDH("XOM US Equity","NUM_OF_EMPLOYEES","FQ1 1990","FQ1 1990","Currency=USD","Period=FQ","BEST_FPERIOD_OVERRIDE=FQ","FILING_STATUS=OR","Sort=A","Dates=H","DateFormat=P","Fill=—","Direction=H","UseDPDF=Y")</f>
        <v>—</v>
      </c>
      <c r="D55" s="14" t="str">
        <f>_xll.BDH("XOM US Equity","NUM_OF_EMPLOYEES","FQ2 1990","FQ2 1990","Currency=USD","Period=FQ","BEST_FPERIOD_OVERRIDE=FQ","FILING_STATUS=OR","Sort=A","Dates=H","DateFormat=P","Fill=—","Direction=H","UseDPDF=Y")</f>
        <v>—</v>
      </c>
      <c r="E55" s="14" t="str">
        <f>_xll.BDH("XOM US Equity","NUM_OF_EMPLOYEES","FQ3 1990","FQ3 1990","Currency=USD","Period=FQ","BEST_FPERIOD_OVERRIDE=FQ","FILING_STATUS=OR","Sort=A","Dates=H","DateFormat=P","Fill=—","Direction=H","UseDPDF=Y")</f>
        <v>—</v>
      </c>
      <c r="F55" s="14">
        <f>_xll.BDH("XOM US Equity","NUM_OF_EMPLOYEES","FQ4 1990","FQ4 1990","Currency=USD","Period=FQ","BEST_FPERIOD_OVERRIDE=FQ","FILING_STATUS=OR","Sort=A","Dates=H","DateFormat=P","Fill=—","Direction=H","UseDPDF=Y")</f>
        <v>104000</v>
      </c>
      <c r="G55" s="14" t="str">
        <f>_xll.BDH("XOM US Equity","NUM_OF_EMPLOYEES","FQ1 1991","FQ1 1991","Currency=USD","Period=FQ","BEST_FPERIOD_OVERRIDE=FQ","FILING_STATUS=OR","Sort=A","Dates=H","DateFormat=P","Fill=—","Direction=H","UseDPDF=Y")</f>
        <v>—</v>
      </c>
      <c r="H55" s="14" t="str">
        <f>_xll.BDH("XOM US Equity","NUM_OF_EMPLOYEES","FQ2 1991","FQ2 1991","Currency=USD","Period=FQ","BEST_FPERIOD_OVERRIDE=FQ","FILING_STATUS=OR","Sort=A","Dates=H","DateFormat=P","Fill=—","Direction=H","UseDPDF=Y")</f>
        <v>—</v>
      </c>
      <c r="I55" s="14" t="str">
        <f>_xll.BDH("XOM US Equity","NUM_OF_EMPLOYEES","FQ3 1991","FQ3 1991","Currency=USD","Period=FQ","BEST_FPERIOD_OVERRIDE=FQ","FILING_STATUS=OR","Sort=A","Dates=H","DateFormat=P","Fill=—","Direction=H","UseDPDF=Y")</f>
        <v>—</v>
      </c>
      <c r="J55" s="14">
        <f>_xll.BDH("XOM US Equity","NUM_OF_EMPLOYEES","FQ4 1991","FQ4 1991","Currency=USD","Period=FQ","BEST_FPERIOD_OVERRIDE=FQ","FILING_STATUS=OR","Sort=A","Dates=H","DateFormat=P","Fill=—","Direction=H","UseDPDF=Y")</f>
        <v>101000</v>
      </c>
      <c r="K55" s="14" t="str">
        <f>_xll.BDH("XOM US Equity","NUM_OF_EMPLOYEES","FQ1 1992","FQ1 1992","Currency=USD","Period=FQ","BEST_FPERIOD_OVERRIDE=FQ","FILING_STATUS=OR","Sort=A","Dates=H","DateFormat=P","Fill=—","Direction=H","UseDPDF=Y")</f>
        <v>—</v>
      </c>
      <c r="L55" s="14" t="str">
        <f>_xll.BDH("XOM US Equity","NUM_OF_EMPLOYEES","FQ2 1992","FQ2 1992","Currency=USD","Period=FQ","BEST_FPERIOD_OVERRIDE=FQ","FILING_STATUS=OR","Sort=A","Dates=H","DateFormat=P","Fill=—","Direction=H","UseDPDF=Y")</f>
        <v>—</v>
      </c>
      <c r="M55" s="14" t="str">
        <f>_xll.BDH("XOM US Equity","NUM_OF_EMPLOYEES","FQ3 1992","FQ3 1992","Currency=USD","Period=FQ","BEST_FPERIOD_OVERRIDE=FQ","FILING_STATUS=OR","Sort=A","Dates=H","DateFormat=P","Fill=—","Direction=H","UseDPDF=Y")</f>
        <v>—</v>
      </c>
      <c r="N55" s="14">
        <f>_xll.BDH("XOM US Equity","NUM_OF_EMPLOYEES","FQ4 1992","FQ4 1992","Currency=USD","Period=FQ","BEST_FPERIOD_OVERRIDE=FQ","FILING_STATUS=OR","Sort=A","Dates=H","DateFormat=P","Fill=—","Direction=H","UseDPDF=Y")</f>
        <v>95000</v>
      </c>
      <c r="O55" s="14" t="str">
        <f>_xll.BDH("XOM US Equity","NUM_OF_EMPLOYEES","FQ1 1993","FQ1 1993","Currency=USD","Period=FQ","BEST_FPERIOD_OVERRIDE=FQ","FILING_STATUS=OR","Sort=A","Dates=H","DateFormat=P","Fill=—","Direction=H","UseDPDF=Y")</f>
        <v>—</v>
      </c>
      <c r="P55" s="14" t="str">
        <f>_xll.BDH("XOM US Equity","NUM_OF_EMPLOYEES","FQ2 1993","FQ2 1993","Currency=USD","Period=FQ","BEST_FPERIOD_OVERRIDE=FQ","FILING_STATUS=OR","Sort=A","Dates=H","DateFormat=P","Fill=—","Direction=H","UseDPDF=Y")</f>
        <v>—</v>
      </c>
      <c r="Q55" s="14" t="str">
        <f>_xll.BDH("XOM US Equity","NUM_OF_EMPLOYEES","FQ3 1993","FQ3 1993","Currency=USD","Period=FQ","BEST_FPERIOD_OVERRIDE=FQ","FILING_STATUS=OR","Sort=A","Dates=H","DateFormat=P","Fill=—","Direction=H","UseDPDF=Y")</f>
        <v>—</v>
      </c>
      <c r="R55" s="14" t="str">
        <f>_xll.BDH("XOM US Equity","NUM_OF_EMPLOYEES","FQ4 1993","FQ4 1993","Currency=USD","Period=FQ","BEST_FPERIOD_OVERRIDE=FQ","FILING_STATUS=OR","Sort=A","Dates=H","DateFormat=P","Fill=—","Direction=H","UseDPDF=Y")</f>
        <v>—</v>
      </c>
      <c r="S55" s="14" t="str">
        <f>_xll.BDH("XOM US Equity","NUM_OF_EMPLOYEES","FQ1 1994","FQ1 1994","Currency=USD","Period=FQ","BEST_FPERIOD_OVERRIDE=FQ","FILING_STATUS=OR","Sort=A","Dates=H","DateFormat=P","Fill=—","Direction=H","UseDPDF=Y")</f>
        <v>—</v>
      </c>
      <c r="T55" s="14" t="str">
        <f>_xll.BDH("XOM US Equity","NUM_OF_EMPLOYEES","FQ2 1994","FQ2 1994","Currency=USD","Period=FQ","BEST_FPERIOD_OVERRIDE=FQ","FILING_STATUS=OR","Sort=A","Dates=H","DateFormat=P","Fill=—","Direction=H","UseDPDF=Y")</f>
        <v>—</v>
      </c>
      <c r="U55" s="14" t="str">
        <f>_xll.BDH("XOM US Equity","NUM_OF_EMPLOYEES","FQ3 1994","FQ3 1994","Currency=USD","Period=FQ","BEST_FPERIOD_OVERRIDE=FQ","FILING_STATUS=OR","Sort=A","Dates=H","DateFormat=P","Fill=—","Direction=H","UseDPDF=Y")</f>
        <v>—</v>
      </c>
      <c r="V55" s="14" t="str">
        <f>_xll.BDH("XOM US Equity","NUM_OF_EMPLOYEES","FQ4 1994","FQ4 1994","Currency=USD","Period=FQ","BEST_FPERIOD_OVERRIDE=FQ","FILING_STATUS=OR","Sort=A","Dates=H","DateFormat=P","Fill=—","Direction=H","UseDPDF=Y")</f>
        <v>—</v>
      </c>
      <c r="W55" s="14" t="str">
        <f>_xll.BDH("XOM US Equity","NUM_OF_EMPLOYEES","FQ1 1995","FQ1 1995","Currency=USD","Period=FQ","BEST_FPERIOD_OVERRIDE=FQ","FILING_STATUS=OR","Sort=A","Dates=H","DateFormat=P","Fill=—","Direction=H","UseDPDF=Y")</f>
        <v>—</v>
      </c>
      <c r="X55" s="14" t="str">
        <f>_xll.BDH("XOM US Equity","NUM_OF_EMPLOYEES","FQ2 1995","FQ2 1995","Currency=USD","Period=FQ","BEST_FPERIOD_OVERRIDE=FQ","FILING_STATUS=OR","Sort=A","Dates=H","DateFormat=P","Fill=—","Direction=H","UseDPDF=Y")</f>
        <v>—</v>
      </c>
      <c r="Y55" s="14" t="str">
        <f>_xll.BDH("XOM US Equity","NUM_OF_EMPLOYEES","FQ3 1995","FQ3 1995","Currency=USD","Period=FQ","BEST_FPERIOD_OVERRIDE=FQ","FILING_STATUS=OR","Sort=A","Dates=H","DateFormat=P","Fill=—","Direction=H","UseDPDF=Y")</f>
        <v>—</v>
      </c>
      <c r="Z55" s="14" t="str">
        <f>_xll.BDH("XOM US Equity","NUM_OF_EMPLOYEES","FQ4 1995","FQ4 1995","Currency=USD","Period=FQ","BEST_FPERIOD_OVERRIDE=FQ","FILING_STATUS=OR","Sort=A","Dates=H","DateFormat=P","Fill=—","Direction=H","UseDPDF=Y")</f>
        <v>—</v>
      </c>
      <c r="AA55" s="14" t="str">
        <f>_xll.BDH("XOM US Equity","NUM_OF_EMPLOYEES","FQ1 1996","FQ1 1996","Currency=USD","Period=FQ","BEST_FPERIOD_OVERRIDE=FQ","FILING_STATUS=OR","Sort=A","Dates=H","DateFormat=P","Fill=—","Direction=H","UseDPDF=Y")</f>
        <v>—</v>
      </c>
      <c r="AB55" s="14" t="str">
        <f>_xll.BDH("XOM US Equity","NUM_OF_EMPLOYEES","FQ2 1996","FQ2 1996","Currency=USD","Period=FQ","BEST_FPERIOD_OVERRIDE=FQ","FILING_STATUS=OR","Sort=A","Dates=H","DateFormat=P","Fill=—","Direction=H","UseDPDF=Y")</f>
        <v>—</v>
      </c>
      <c r="AC55" s="14" t="str">
        <f>_xll.BDH("XOM US Equity","NUM_OF_EMPLOYEES","FQ3 1996","FQ3 1996","Currency=USD","Period=FQ","BEST_FPERIOD_OVERRIDE=FQ","FILING_STATUS=OR","Sort=A","Dates=H","DateFormat=P","Fill=—","Direction=H","UseDPDF=Y")</f>
        <v>—</v>
      </c>
      <c r="AD55" s="14" t="str">
        <f>_xll.BDH("XOM US Equity","NUM_OF_EMPLOYEES","FQ4 1996","FQ4 1996","Currency=USD","Period=FQ","BEST_FPERIOD_OVERRIDE=FQ","FILING_STATUS=OR","Sort=A","Dates=H","DateFormat=P","Fill=—","Direction=H","UseDPDF=Y")</f>
        <v>—</v>
      </c>
      <c r="AE55" s="14" t="str">
        <f>_xll.BDH("XOM US Equity","NUM_OF_EMPLOYEES","FQ1 1997","FQ1 1997","Currency=USD","Period=FQ","BEST_FPERIOD_OVERRIDE=FQ","FILING_STATUS=OR","Sort=A","Dates=H","DateFormat=P","Fill=—","Direction=H","UseDPDF=Y")</f>
        <v>—</v>
      </c>
      <c r="AF55" s="14" t="str">
        <f>_xll.BDH("XOM US Equity","NUM_OF_EMPLOYEES","FQ2 1997","FQ2 1997","Currency=USD","Period=FQ","BEST_FPERIOD_OVERRIDE=FQ","FILING_STATUS=OR","Sort=A","Dates=H","DateFormat=P","Fill=—","Direction=H","UseDPDF=Y")</f>
        <v>—</v>
      </c>
      <c r="AG55" s="14" t="str">
        <f>_xll.BDH("XOM US Equity","NUM_OF_EMPLOYEES","FQ3 1997","FQ3 1997","Currency=USD","Period=FQ","BEST_FPERIOD_OVERRIDE=FQ","FILING_STATUS=OR","Sort=A","Dates=H","DateFormat=P","Fill=—","Direction=H","UseDPDF=Y")</f>
        <v>—</v>
      </c>
      <c r="AH55" s="14" t="str">
        <f>_xll.BDH("XOM US Equity","NUM_OF_EMPLOYEES","FQ4 1997","FQ4 1997","Currency=USD","Period=FQ","BEST_FPERIOD_OVERRIDE=FQ","FILING_STATUS=OR","Sort=A","Dates=H","DateFormat=P","Fill=—","Direction=H","UseDPDF=Y")</f>
        <v>—</v>
      </c>
      <c r="AI55" s="14" t="str">
        <f>_xll.BDH("XOM US Equity","NUM_OF_EMPLOYEES","FQ1 1998","FQ1 1998","Currency=USD","Period=FQ","BEST_FPERIOD_OVERRIDE=FQ","FILING_STATUS=OR","Sort=A","Dates=H","DateFormat=P","Fill=—","Direction=H","UseDPDF=Y")</f>
        <v>—</v>
      </c>
      <c r="AJ55" s="14" t="str">
        <f>_xll.BDH("XOM US Equity","NUM_OF_EMPLOYEES","FQ2 1998","FQ2 1998","Currency=USD","Period=FQ","BEST_FPERIOD_OVERRIDE=FQ","FILING_STATUS=OR","Sort=A","Dates=H","DateFormat=P","Fill=—","Direction=H","UseDPDF=Y")</f>
        <v>—</v>
      </c>
    </row>
    <row r="56" spans="1:36" x14ac:dyDescent="0.25">
      <c r="A56" s="7" t="s">
        <v>144</v>
      </c>
      <c r="B56" s="7"/>
      <c r="C56" s="7" t="s">
        <v>4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6"/>
  <sheetViews>
    <sheetView topLeftCell="A13" workbookViewId="0"/>
  </sheetViews>
  <sheetFormatPr defaultRowHeight="15" x14ac:dyDescent="0.25"/>
  <cols>
    <col min="1" max="1" width="35.140625" customWidth="1"/>
    <col min="2" max="2" width="0" hidden="1" customWidth="1"/>
    <col min="3" max="36" width="11.85546875" customWidth="1"/>
  </cols>
  <sheetData>
    <row r="1" spans="1:3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20.25" x14ac:dyDescent="0.25">
      <c r="A2" s="8" t="s">
        <v>145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</row>
    <row r="3" spans="1:36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25">
      <c r="A4" s="3" t="s">
        <v>6</v>
      </c>
      <c r="B4" s="3"/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23</v>
      </c>
      <c r="T4" s="4" t="s">
        <v>24</v>
      </c>
      <c r="U4" s="4" t="s">
        <v>25</v>
      </c>
      <c r="V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31</v>
      </c>
      <c r="AB4" s="4" t="s">
        <v>32</v>
      </c>
      <c r="AC4" s="4" t="s">
        <v>33</v>
      </c>
      <c r="AD4" s="4" t="s">
        <v>34</v>
      </c>
      <c r="AE4" s="4" t="s">
        <v>35</v>
      </c>
      <c r="AF4" s="4" t="s">
        <v>36</v>
      </c>
      <c r="AG4" s="4" t="s">
        <v>37</v>
      </c>
      <c r="AH4" s="4" t="s">
        <v>38</v>
      </c>
      <c r="AI4" s="4" t="s">
        <v>39</v>
      </c>
      <c r="AJ4" s="4" t="s">
        <v>40</v>
      </c>
    </row>
    <row r="5" spans="1:36" x14ac:dyDescent="0.25">
      <c r="A5" s="9" t="s">
        <v>41</v>
      </c>
      <c r="B5" s="9"/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  <c r="L5" s="5" t="s">
        <v>51</v>
      </c>
      <c r="M5" s="5" t="s">
        <v>52</v>
      </c>
      <c r="N5" s="5" t="s">
        <v>53</v>
      </c>
      <c r="O5" s="5" t="s">
        <v>54</v>
      </c>
      <c r="P5" s="5" t="s">
        <v>55</v>
      </c>
      <c r="Q5" s="5" t="s">
        <v>56</v>
      </c>
      <c r="R5" s="5" t="s">
        <v>57</v>
      </c>
      <c r="S5" s="5" t="s">
        <v>58</v>
      </c>
      <c r="T5" s="5" t="s">
        <v>59</v>
      </c>
      <c r="U5" s="5" t="s">
        <v>60</v>
      </c>
      <c r="V5" s="5" t="s">
        <v>61</v>
      </c>
      <c r="W5" s="5" t="s">
        <v>62</v>
      </c>
      <c r="X5" s="5" t="s">
        <v>63</v>
      </c>
      <c r="Y5" s="5" t="s">
        <v>64</v>
      </c>
      <c r="Z5" s="5" t="s">
        <v>65</v>
      </c>
      <c r="AA5" s="5" t="s">
        <v>66</v>
      </c>
      <c r="AB5" s="5" t="s">
        <v>67</v>
      </c>
      <c r="AC5" s="5" t="s">
        <v>68</v>
      </c>
      <c r="AD5" s="5" t="s">
        <v>69</v>
      </c>
      <c r="AE5" s="5" t="s">
        <v>70</v>
      </c>
      <c r="AF5" s="5" t="s">
        <v>71</v>
      </c>
      <c r="AG5" s="5" t="s">
        <v>72</v>
      </c>
      <c r="AH5" s="5" t="s">
        <v>73</v>
      </c>
      <c r="AI5" s="5" t="s">
        <v>74</v>
      </c>
      <c r="AJ5" s="5" t="s">
        <v>75</v>
      </c>
    </row>
    <row r="6" spans="1:36" x14ac:dyDescent="0.25">
      <c r="A6" s="6" t="s">
        <v>235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</row>
    <row r="7" spans="1:36" x14ac:dyDescent="0.25">
      <c r="A7" s="10" t="s">
        <v>236</v>
      </c>
      <c r="B7" s="10" t="s">
        <v>237</v>
      </c>
      <c r="C7" s="13">
        <f>_xll.BDH("XOM US Equity","CF_NET_INC","FQ1 1990","FQ1 1990","Currency=USD","Period=FQ","BEST_FPERIOD_OVERRIDE=FQ","FILING_STATUS=OR","SCALING_FORMAT=MLN","Sort=A","Dates=H","DateFormat=P","Fill=—","Direction=H","UseDPDF=Y")</f>
        <v>1280</v>
      </c>
      <c r="D7" s="13">
        <f>_xll.BDH("XOM US Equity","CF_NET_INC","FQ2 1990","FQ2 1990","Currency=USD","Period=FQ","BEST_FPERIOD_OVERRIDE=FQ","FILING_STATUS=OR","SCALING_FORMAT=MLN","Sort=A","Dates=H","DateFormat=P","Fill=—","Direction=H","UseDPDF=Y")</f>
        <v>1100</v>
      </c>
      <c r="E7" s="13">
        <f>_xll.BDH("XOM US Equity","CF_NET_INC","FQ3 1990","FQ3 1990","Currency=USD","Period=FQ","BEST_FPERIOD_OVERRIDE=FQ","FILING_STATUS=OR","SCALING_FORMAT=MLN","Sort=A","Dates=H","DateFormat=P","Fill=—","Direction=H","UseDPDF=Y")</f>
        <v>1075</v>
      </c>
      <c r="F7" s="13">
        <f>_xll.BDH("XOM US Equity","CF_NET_INC","FQ4 1990","FQ4 1990","Currency=USD","Period=FQ","BEST_FPERIOD_OVERRIDE=FQ","FILING_STATUS=OR","SCALING_FORMAT=MLN","Sort=A","Dates=H","DateFormat=P","Fill=—","Direction=H","UseDPDF=Y")</f>
        <v>1555</v>
      </c>
      <c r="G7" s="13">
        <f>_xll.BDH("XOM US Equity","CF_NET_INC","FQ1 1991","FQ1 1991","Currency=USD","Period=FQ","BEST_FPERIOD_OVERRIDE=FQ","FILING_STATUS=OR","SCALING_FORMAT=MLN","Sort=A","Dates=H","DateFormat=P","Fill=—","Direction=H","UseDPDF=Y")</f>
        <v>2240</v>
      </c>
      <c r="H7" s="13">
        <f>_xll.BDH("XOM US Equity","CF_NET_INC","FQ2 1991","FQ2 1991","Currency=USD","Period=FQ","BEST_FPERIOD_OVERRIDE=FQ","FILING_STATUS=OR","SCALING_FORMAT=MLN","Sort=A","Dates=H","DateFormat=P","Fill=—","Direction=H","UseDPDF=Y")</f>
        <v>1125</v>
      </c>
      <c r="I7" s="13">
        <f>_xll.BDH("XOM US Equity","CF_NET_INC","FQ3 1991","FQ3 1991","Currency=USD","Period=FQ","BEST_FPERIOD_OVERRIDE=FQ","FILING_STATUS=OR","SCALING_FORMAT=MLN","Sort=A","Dates=H","DateFormat=P","Fill=—","Direction=H","UseDPDF=Y")</f>
        <v>1115</v>
      </c>
      <c r="J7" s="13">
        <f>_xll.BDH("XOM US Equity","CF_NET_INC","FQ4 1991","FQ4 1991","Currency=USD","Period=FQ","BEST_FPERIOD_OVERRIDE=FQ","FILING_STATUS=OR","SCALING_FORMAT=MLN","Sort=A","Dates=H","DateFormat=P","Fill=—","Direction=H","UseDPDF=Y")</f>
        <v>1120</v>
      </c>
      <c r="K7" s="13">
        <f>_xll.BDH("XOM US Equity","CF_NET_INC","FQ1 1992","FQ1 1992","Currency=USD","Period=FQ","BEST_FPERIOD_OVERRIDE=FQ","FILING_STATUS=OR","SCALING_FORMAT=MLN","Sort=A","Dates=H","DateFormat=P","Fill=—","Direction=H","UseDPDF=Y")</f>
        <v>1350</v>
      </c>
      <c r="L7" s="13">
        <f>_xll.BDH("XOM US Equity","CF_NET_INC","FQ2 1992","FQ2 1992","Currency=USD","Period=FQ","BEST_FPERIOD_OVERRIDE=FQ","FILING_STATUS=OR","SCALING_FORMAT=MLN","Sort=A","Dates=H","DateFormat=P","Fill=—","Direction=H","UseDPDF=Y")</f>
        <v>955</v>
      </c>
      <c r="M7" s="13">
        <f>_xll.BDH("XOM US Equity","CF_NET_INC","FQ3 1992","FQ3 1992","Currency=USD","Period=FQ","BEST_FPERIOD_OVERRIDE=FQ","FILING_STATUS=OR","SCALING_FORMAT=MLN","Sort=A","Dates=H","DateFormat=P","Fill=—","Direction=H","UseDPDF=Y")</f>
        <v>1135</v>
      </c>
      <c r="N7" s="13">
        <f>_xll.BDH("XOM US Equity","CF_NET_INC","FQ4 1992","FQ4 1992","Currency=USD","Period=FQ","BEST_FPERIOD_OVERRIDE=FQ","FILING_STATUS=OR","SCALING_FORMAT=MLN","Sort=A","Dates=H","DateFormat=P","Fill=—","Direction=H","UseDPDF=Y")</f>
        <v>1560</v>
      </c>
      <c r="O7" s="13">
        <f>_xll.BDH("XOM US Equity","CF_NET_INC","FQ1 1993","FQ1 1993","Currency=USD","Period=FQ","BEST_FPERIOD_OVERRIDE=FQ","FILING_STATUS=OR","SCALING_FORMAT=MLN","Sort=A","Dates=H","DateFormat=P","Fill=—","Direction=H","UseDPDF=Y")</f>
        <v>1185</v>
      </c>
      <c r="P7" s="13">
        <f>_xll.BDH("XOM US Equity","CF_NET_INC","FQ2 1993","FQ2 1993","Currency=USD","Period=FQ","BEST_FPERIOD_OVERRIDE=FQ","FILING_STATUS=OR","SCALING_FORMAT=MLN","Sort=A","Dates=H","DateFormat=P","Fill=—","Direction=H","UseDPDF=Y")</f>
        <v>1235</v>
      </c>
      <c r="Q7" s="13">
        <f>_xll.BDH("XOM US Equity","CF_NET_INC","FQ3 1993","FQ3 1993","Currency=USD","Period=FQ","BEST_FPERIOD_OVERRIDE=FQ","FILING_STATUS=OR","SCALING_FORMAT=MLN","Sort=A","Dates=H","DateFormat=P","Fill=—","Direction=H","UseDPDF=Y")</f>
        <v>1360</v>
      </c>
      <c r="R7" s="13">
        <f>_xll.BDH("XOM US Equity","CF_NET_INC","FQ4 1993","FQ4 1993","Currency=USD","Period=FQ","BEST_FPERIOD_OVERRIDE=FQ","FILING_STATUS=OR","SCALING_FORMAT=MLN","Sort=A","Dates=H","DateFormat=P","Fill=—","Direction=H","UseDPDF=Y")</f>
        <v>1500</v>
      </c>
      <c r="S7" s="13">
        <f>_xll.BDH("XOM US Equity","CF_NET_INC","FQ1 1994","FQ1 1994","Currency=USD","Period=FQ","BEST_FPERIOD_OVERRIDE=FQ","FILING_STATUS=OR","SCALING_FORMAT=MLN","Sort=A","Dates=H","DateFormat=P","Fill=—","Direction=H","UseDPDF=Y")</f>
        <v>1160</v>
      </c>
      <c r="T7" s="13">
        <f>_xll.BDH("XOM US Equity","CF_NET_INC","FQ2 1994","FQ2 1994","Currency=USD","Period=FQ","BEST_FPERIOD_OVERRIDE=FQ","FILING_STATUS=OR","SCALING_FORMAT=MLN","Sort=A","Dates=H","DateFormat=P","Fill=—","Direction=H","UseDPDF=Y")</f>
        <v>885</v>
      </c>
      <c r="U7" s="13">
        <f>_xll.BDH("XOM US Equity","CF_NET_INC","FQ3 1994","FQ3 1994","Currency=USD","Period=FQ","BEST_FPERIOD_OVERRIDE=FQ","FILING_STATUS=OR","SCALING_FORMAT=MLN","Sort=A","Dates=H","DateFormat=P","Fill=—","Direction=H","UseDPDF=Y")</f>
        <v>1155</v>
      </c>
      <c r="V7" s="13">
        <f>_xll.BDH("XOM US Equity","CF_NET_INC","FQ4 1994","FQ4 1994","Currency=USD","Period=FQ","BEST_FPERIOD_OVERRIDE=FQ","FILING_STATUS=OR","SCALING_FORMAT=MLN","Sort=A","Dates=H","DateFormat=P","Fill=—","Direction=H","UseDPDF=Y")</f>
        <v>1900</v>
      </c>
      <c r="W7" s="13">
        <f>_xll.BDH("XOM US Equity","CF_NET_INC","FQ1 1995","FQ1 1995","Currency=USD","Period=FQ","BEST_FPERIOD_OVERRIDE=FQ","FILING_STATUS=OR","SCALING_FORMAT=MLN","Sort=A","Dates=H","DateFormat=P","Fill=—","Direction=H","UseDPDF=Y")</f>
        <v>1660</v>
      </c>
      <c r="X7" s="13">
        <f>_xll.BDH("XOM US Equity","CF_NET_INC","FQ2 1995","FQ2 1995","Currency=USD","Period=FQ","BEST_FPERIOD_OVERRIDE=FQ","FILING_STATUS=OR","SCALING_FORMAT=MLN","Sort=A","Dates=H","DateFormat=P","Fill=—","Direction=H","UseDPDF=Y")</f>
        <v>1630</v>
      </c>
      <c r="Y7" s="13">
        <f>_xll.BDH("XOM US Equity","CF_NET_INC","FQ3 1995","FQ3 1995","Currency=USD","Period=FQ","BEST_FPERIOD_OVERRIDE=FQ","FILING_STATUS=OR","SCALING_FORMAT=MLN","Sort=A","Dates=H","DateFormat=P","Fill=—","Direction=H","UseDPDF=Y")</f>
        <v>1500</v>
      </c>
      <c r="Z7" s="13">
        <f>_xll.BDH("XOM US Equity","CF_NET_INC","FQ4 1995","FQ4 1995","Currency=USD","Period=FQ","BEST_FPERIOD_OVERRIDE=FQ","FILING_STATUS=OR","SCALING_FORMAT=MLN","Sort=A","Dates=H","DateFormat=P","Fill=—","Direction=H","UseDPDF=Y")</f>
        <v>1680</v>
      </c>
      <c r="AA7" s="13">
        <f>_xll.BDH("XOM US Equity","CF_NET_INC","FQ1 1996","FQ1 1996","Currency=USD","Period=FQ","BEST_FPERIOD_OVERRIDE=FQ","FILING_STATUS=OR","SCALING_FORMAT=MLN","Sort=A","Dates=H","DateFormat=P","Fill=—","Direction=H","UseDPDF=Y")</f>
        <v>1885</v>
      </c>
      <c r="AB7" s="13">
        <f>_xll.BDH("XOM US Equity","CF_NET_INC","FQ2 1996","FQ2 1996","Currency=USD","Period=FQ","BEST_FPERIOD_OVERRIDE=FQ","FILING_STATUS=OR","SCALING_FORMAT=MLN","Sort=A","Dates=H","DateFormat=P","Fill=—","Direction=H","UseDPDF=Y")</f>
        <v>1570</v>
      </c>
      <c r="AC7" s="13">
        <f>_xll.BDH("XOM US Equity","CF_NET_INC","FQ3 1996","FQ3 1996","Currency=USD","Period=FQ","BEST_FPERIOD_OVERRIDE=FQ","FILING_STATUS=OR","SCALING_FORMAT=MLN","Sort=A","Dates=H","DateFormat=P","Fill=—","Direction=H","UseDPDF=Y")</f>
        <v>1560</v>
      </c>
      <c r="AD7" s="13">
        <f>_xll.BDH("XOM US Equity","CF_NET_INC","FQ4 1996","FQ4 1996","Currency=USD","Period=FQ","BEST_FPERIOD_OVERRIDE=FQ","FILING_STATUS=OR","SCALING_FORMAT=MLN","Sort=A","Dates=H","DateFormat=P","Fill=—","Direction=H","UseDPDF=Y")</f>
        <v>2495</v>
      </c>
      <c r="AE7" s="13">
        <f>_xll.BDH("XOM US Equity","CF_NET_INC","FQ1 1997","FQ1 1997","Currency=USD","Period=FQ","BEST_FPERIOD_OVERRIDE=FQ","FILING_STATUS=OR","SCALING_FORMAT=MLN","Sort=A","Dates=H","DateFormat=P","Fill=—","Direction=H","UseDPDF=Y")</f>
        <v>2175</v>
      </c>
      <c r="AF7" s="13">
        <f>_xll.BDH("XOM US Equity","CF_NET_INC","FQ2 1997","FQ2 1997","Currency=USD","Period=FQ","BEST_FPERIOD_OVERRIDE=FQ","FILING_STATUS=OR","SCALING_FORMAT=MLN","Sort=A","Dates=H","DateFormat=P","Fill=—","Direction=H","UseDPDF=Y")</f>
        <v>1965</v>
      </c>
      <c r="AG7" s="13">
        <f>_xll.BDH("XOM US Equity","CF_NET_INC","FQ3 1997","FQ3 1997","Currency=USD","Period=FQ","BEST_FPERIOD_OVERRIDE=FQ","FILING_STATUS=OR","SCALING_FORMAT=MLN","Sort=A","Dates=H","DateFormat=P","Fill=—","Direction=H","UseDPDF=Y")</f>
        <v>1820</v>
      </c>
      <c r="AH7" s="13">
        <f>_xll.BDH("XOM US Equity","CF_NET_INC","FQ4 1997","FQ4 1997","Currency=USD","Period=FQ","BEST_FPERIOD_OVERRIDE=FQ","FILING_STATUS=OR","SCALING_FORMAT=MLN","Sort=A","Dates=H","DateFormat=P","Fill=—","Direction=H","UseDPDF=Y")</f>
        <v>2500</v>
      </c>
      <c r="AI7" s="13">
        <f>_xll.BDH("XOM US Equity","CF_NET_INC","FQ1 1998","FQ1 1998","Currency=USD","Period=FQ","BEST_FPERIOD_OVERRIDE=FQ","FILING_STATUS=OR","SCALING_FORMAT=MLN","Sort=A","Dates=H","DateFormat=P","Fill=—","Direction=H","UseDPDF=Y")</f>
        <v>1890</v>
      </c>
      <c r="AJ7" s="13">
        <f>_xll.BDH("XOM US Equity","CF_NET_INC","FQ2 1998","FQ2 1998","Currency=USD","Period=FQ","BEST_FPERIOD_OVERRIDE=FQ","FILING_STATUS=OR","SCALING_FORMAT=MLN","Sort=A","Dates=H","DateFormat=P","Fill=—","Direction=H","UseDPDF=Y")</f>
        <v>1620</v>
      </c>
    </row>
    <row r="8" spans="1:36" x14ac:dyDescent="0.25">
      <c r="A8" s="10" t="s">
        <v>238</v>
      </c>
      <c r="B8" s="10" t="s">
        <v>239</v>
      </c>
      <c r="C8" s="13">
        <f>_xll.BDH("XOM US Equity","CF_DEPR_AMORT","FQ1 1990","FQ1 1990","Currency=USD","Period=FQ","BEST_FPERIOD_OVERRIDE=FQ","FILING_STATUS=OR","SCALING_FORMAT=MLN","Sort=A","Dates=H","DateFormat=P","Fill=—","Direction=H","UseDPDF=Y")</f>
        <v>1286</v>
      </c>
      <c r="D8" s="13">
        <f>_xll.BDH("XOM US Equity","CF_DEPR_AMORT","FQ2 1990","FQ2 1990","Currency=USD","Period=FQ","BEST_FPERIOD_OVERRIDE=FQ","FILING_STATUS=OR","SCALING_FORMAT=MLN","Sort=A","Dates=H","DateFormat=P","Fill=—","Direction=H","UseDPDF=Y")</f>
        <v>1323</v>
      </c>
      <c r="E8" s="13">
        <f>_xll.BDH("XOM US Equity","CF_DEPR_AMORT","FQ3 1990","FQ3 1990","Currency=USD","Period=FQ","BEST_FPERIOD_OVERRIDE=FQ","FILING_STATUS=OR","SCALING_FORMAT=MLN","Sort=A","Dates=H","DateFormat=P","Fill=—","Direction=H","UseDPDF=Y")</f>
        <v>1185</v>
      </c>
      <c r="F8" s="13">
        <f>_xll.BDH("XOM US Equity","CF_DEPR_AMORT","FQ4 1990","FQ4 1990","Currency=USD","Period=FQ","BEST_FPERIOD_OVERRIDE=FQ","FILING_STATUS=OR","SCALING_FORMAT=MLN","Sort=A","Dates=H","DateFormat=P","Fill=—","Direction=H","UseDPDF=Y")</f>
        <v>1751</v>
      </c>
      <c r="G8" s="13">
        <f>_xll.BDH("XOM US Equity","CF_DEPR_AMORT","FQ1 1991","FQ1 1991","Currency=USD","Period=FQ","BEST_FPERIOD_OVERRIDE=FQ","FILING_STATUS=OR","SCALING_FORMAT=MLN","Sort=A","Dates=H","DateFormat=P","Fill=—","Direction=H","UseDPDF=Y")</f>
        <v>1205</v>
      </c>
      <c r="H8" s="13">
        <f>_xll.BDH("XOM US Equity","CF_DEPR_AMORT","FQ2 1991","FQ2 1991","Currency=USD","Period=FQ","BEST_FPERIOD_OVERRIDE=FQ","FILING_STATUS=OR","SCALING_FORMAT=MLN","Sort=A","Dates=H","DateFormat=P","Fill=—","Direction=H","UseDPDF=Y")</f>
        <v>1188</v>
      </c>
      <c r="I8" s="13">
        <f>_xll.BDH("XOM US Equity","CF_DEPR_AMORT","FQ3 1991","FQ3 1991","Currency=USD","Period=FQ","BEST_FPERIOD_OVERRIDE=FQ","FILING_STATUS=OR","SCALING_FORMAT=MLN","Sort=A","Dates=H","DateFormat=P","Fill=—","Direction=H","UseDPDF=Y")</f>
        <v>1194</v>
      </c>
      <c r="J8" s="13">
        <f>_xll.BDH("XOM US Equity","CF_DEPR_AMORT","FQ4 1991","FQ4 1991","Currency=USD","Period=FQ","BEST_FPERIOD_OVERRIDE=FQ","FILING_STATUS=OR","SCALING_FORMAT=MLN","Sort=A","Dates=H","DateFormat=P","Fill=—","Direction=H","UseDPDF=Y")</f>
        <v>1237</v>
      </c>
      <c r="K8" s="13">
        <f>_xll.BDH("XOM US Equity","CF_DEPR_AMORT","FQ1 1992","FQ1 1992","Currency=USD","Period=FQ","BEST_FPERIOD_OVERRIDE=FQ","FILING_STATUS=OR","SCALING_FORMAT=MLN","Sort=A","Dates=H","DateFormat=P","Fill=—","Direction=H","UseDPDF=Y")</f>
        <v>1302</v>
      </c>
      <c r="L8" s="13">
        <f>_xll.BDH("XOM US Equity","CF_DEPR_AMORT","FQ2 1992","FQ2 1992","Currency=USD","Period=FQ","BEST_FPERIOD_OVERRIDE=FQ","FILING_STATUS=OR","SCALING_FORMAT=MLN","Sort=A","Dates=H","DateFormat=P","Fill=—","Direction=H","UseDPDF=Y")</f>
        <v>1223</v>
      </c>
      <c r="M8" s="13">
        <f>_xll.BDH("XOM US Equity","CF_DEPR_AMORT","FQ3 1992","FQ3 1992","Currency=USD","Period=FQ","BEST_FPERIOD_OVERRIDE=FQ","FILING_STATUS=OR","SCALING_FORMAT=MLN","Sort=A","Dates=H","DateFormat=P","Fill=—","Direction=H","UseDPDF=Y")</f>
        <v>1035</v>
      </c>
      <c r="N8" s="13">
        <f>_xll.BDH("XOM US Equity","CF_DEPR_AMORT","FQ4 1992","FQ4 1992","Currency=USD","Period=FQ","BEST_FPERIOD_OVERRIDE=FQ","FILING_STATUS=OR","SCALING_FORMAT=MLN","Sort=A","Dates=H","DateFormat=P","Fill=—","Direction=H","UseDPDF=Y")</f>
        <v>1444</v>
      </c>
      <c r="O8" s="13">
        <f>_xll.BDH("XOM US Equity","CF_DEPR_AMORT","FQ1 1993","FQ1 1993","Currency=USD","Period=FQ","BEST_FPERIOD_OVERRIDE=FQ","FILING_STATUS=OR","SCALING_FORMAT=MLN","Sort=A","Dates=H","DateFormat=P","Fill=—","Direction=H","UseDPDF=Y")</f>
        <v>1194</v>
      </c>
      <c r="P8" s="13">
        <f>_xll.BDH("XOM US Equity","CF_DEPR_AMORT","FQ2 1993","FQ2 1993","Currency=USD","Period=FQ","BEST_FPERIOD_OVERRIDE=FQ","FILING_STATUS=OR","SCALING_FORMAT=MLN","Sort=A","Dates=H","DateFormat=P","Fill=—","Direction=H","UseDPDF=Y")</f>
        <v>1236</v>
      </c>
      <c r="Q8" s="13">
        <f>_xll.BDH("XOM US Equity","CF_DEPR_AMORT","FQ3 1993","FQ3 1993","Currency=USD","Period=FQ","BEST_FPERIOD_OVERRIDE=FQ","FILING_STATUS=OR","SCALING_FORMAT=MLN","Sort=A","Dates=H","DateFormat=P","Fill=—","Direction=H","UseDPDF=Y")</f>
        <v>1210</v>
      </c>
      <c r="R8" s="13">
        <f>_xll.BDH("XOM US Equity","CF_DEPR_AMORT","FQ4 1993","FQ4 1993","Currency=USD","Period=FQ","BEST_FPERIOD_OVERRIDE=FQ","FILING_STATUS=OR","SCALING_FORMAT=MLN","Sort=A","Dates=H","DateFormat=P","Fill=—","Direction=H","UseDPDF=Y")</f>
        <v>1244</v>
      </c>
      <c r="S8" s="13">
        <f>_xll.BDH("XOM US Equity","CF_DEPR_AMORT","FQ1 1994","FQ1 1994","Currency=USD","Period=FQ","BEST_FPERIOD_OVERRIDE=FQ","FILING_STATUS=OR","SCALING_FORMAT=MLN","Sort=A","Dates=H","DateFormat=P","Fill=—","Direction=H","UseDPDF=Y")</f>
        <v>1289</v>
      </c>
      <c r="T8" s="13">
        <f>_xll.BDH("XOM US Equity","CF_DEPR_AMORT","FQ2 1994","FQ2 1994","Currency=USD","Period=FQ","BEST_FPERIOD_OVERRIDE=FQ","FILING_STATUS=OR","SCALING_FORMAT=MLN","Sort=A","Dates=H","DateFormat=P","Fill=—","Direction=H","UseDPDF=Y")</f>
        <v>1233</v>
      </c>
      <c r="U8" s="13">
        <f>_xll.BDH("XOM US Equity","CF_DEPR_AMORT","FQ3 1994","FQ3 1994","Currency=USD","Period=FQ","BEST_FPERIOD_OVERRIDE=FQ","FILING_STATUS=OR","SCALING_FORMAT=MLN","Sort=A","Dates=H","DateFormat=P","Fill=—","Direction=H","UseDPDF=Y")</f>
        <v>1187</v>
      </c>
      <c r="V8" s="13">
        <f>_xll.BDH("XOM US Equity","CF_DEPR_AMORT","FQ4 1994","FQ4 1994","Currency=USD","Period=FQ","BEST_FPERIOD_OVERRIDE=FQ","FILING_STATUS=OR","SCALING_FORMAT=MLN","Sort=A","Dates=H","DateFormat=P","Fill=—","Direction=H","UseDPDF=Y")</f>
        <v>1306</v>
      </c>
      <c r="W8" s="13">
        <f>_xll.BDH("XOM US Equity","CF_DEPR_AMORT","FQ1 1995","FQ1 1995","Currency=USD","Period=FQ","BEST_FPERIOD_OVERRIDE=FQ","FILING_STATUS=OR","SCALING_FORMAT=MLN","Sort=A","Dates=H","DateFormat=P","Fill=—","Direction=H","UseDPDF=Y")</f>
        <v>1336</v>
      </c>
      <c r="X8" s="13">
        <f>_xll.BDH("XOM US Equity","CF_DEPR_AMORT","FQ2 1995","FQ2 1995","Currency=USD","Period=FQ","BEST_FPERIOD_OVERRIDE=FQ","FILING_STATUS=OR","SCALING_FORMAT=MLN","Sort=A","Dates=H","DateFormat=P","Fill=—","Direction=H","UseDPDF=Y")</f>
        <v>1328</v>
      </c>
      <c r="Y8" s="13">
        <f>_xll.BDH("XOM US Equity","CF_DEPR_AMORT","FQ3 1995","FQ3 1995","Currency=USD","Period=FQ","BEST_FPERIOD_OVERRIDE=FQ","FILING_STATUS=OR","SCALING_FORMAT=MLN","Sort=A","Dates=H","DateFormat=P","Fill=—","Direction=H","UseDPDF=Y")</f>
        <v>1340</v>
      </c>
      <c r="Z8" s="13">
        <f>_xll.BDH("XOM US Equity","CF_DEPR_AMORT","FQ4 1995","FQ4 1995","Currency=USD","Period=FQ","BEST_FPERIOD_OVERRIDE=FQ","FILING_STATUS=OR","SCALING_FORMAT=MLN","Sort=A","Dates=H","DateFormat=P","Fill=—","Direction=H","UseDPDF=Y")</f>
        <v>1382</v>
      </c>
      <c r="AA8" s="13">
        <f>_xll.BDH("XOM US Equity","CF_DEPR_AMORT","FQ1 1996","FQ1 1996","Currency=USD","Period=FQ","BEST_FPERIOD_OVERRIDE=FQ","FILING_STATUS=OR","SCALING_FORMAT=MLN","Sort=A","Dates=H","DateFormat=P","Fill=—","Direction=H","UseDPDF=Y")</f>
        <v>1372</v>
      </c>
      <c r="AB8" s="13">
        <f>_xll.BDH("XOM US Equity","CF_DEPR_AMORT","FQ2 1996","FQ2 1996","Currency=USD","Period=FQ","BEST_FPERIOD_OVERRIDE=FQ","FILING_STATUS=OR","SCALING_FORMAT=MLN","Sort=A","Dates=H","DateFormat=P","Fill=—","Direction=H","UseDPDF=Y")</f>
        <v>1306</v>
      </c>
      <c r="AC8" s="13">
        <f>_xll.BDH("XOM US Equity","CF_DEPR_AMORT","FQ3 1996","FQ3 1996","Currency=USD","Period=FQ","BEST_FPERIOD_OVERRIDE=FQ","FILING_STATUS=OR","SCALING_FORMAT=MLN","Sort=A","Dates=H","DateFormat=P","Fill=—","Direction=H","UseDPDF=Y")</f>
        <v>1307</v>
      </c>
      <c r="AD8" s="13">
        <f>_xll.BDH("XOM US Equity","CF_DEPR_AMORT","FQ4 1996","FQ4 1996","Currency=USD","Period=FQ","BEST_FPERIOD_OVERRIDE=FQ","FILING_STATUS=OR","SCALING_FORMAT=MLN","Sort=A","Dates=H","DateFormat=P","Fill=—","Direction=H","UseDPDF=Y")</f>
        <v>1344</v>
      </c>
      <c r="AE8" s="13">
        <f>_xll.BDH("XOM US Equity","CF_DEPR_AMORT","FQ1 1997","FQ1 1997","Currency=USD","Period=FQ","BEST_FPERIOD_OVERRIDE=FQ","FILING_STATUS=OR","SCALING_FORMAT=MLN","Sort=A","Dates=H","DateFormat=P","Fill=—","Direction=H","UseDPDF=Y")</f>
        <v>1365</v>
      </c>
      <c r="AF8" s="13">
        <f>_xll.BDH("XOM US Equity","CF_DEPR_AMORT","FQ2 1997","FQ2 1997","Currency=USD","Period=FQ","BEST_FPERIOD_OVERRIDE=FQ","FILING_STATUS=OR","SCALING_FORMAT=MLN","Sort=A","Dates=H","DateFormat=P","Fill=—","Direction=H","UseDPDF=Y")</f>
        <v>1342</v>
      </c>
      <c r="AG8" s="13">
        <f>_xll.BDH("XOM US Equity","CF_DEPR_AMORT","FQ3 1997","FQ3 1997","Currency=USD","Period=FQ","BEST_FPERIOD_OVERRIDE=FQ","FILING_STATUS=OR","SCALING_FORMAT=MLN","Sort=A","Dates=H","DateFormat=P","Fill=—","Direction=H","UseDPDF=Y")</f>
        <v>1361</v>
      </c>
      <c r="AH8" s="13">
        <f>_xll.BDH("XOM US Equity","CF_DEPR_AMORT","FQ4 1997","FQ4 1997","Currency=USD","Period=FQ","BEST_FPERIOD_OVERRIDE=FQ","FILING_STATUS=OR","SCALING_FORMAT=MLN","Sort=A","Dates=H","DateFormat=P","Fill=—","Direction=H","UseDPDF=Y")</f>
        <v>1406</v>
      </c>
      <c r="AI8" s="13">
        <f>_xll.BDH("XOM US Equity","CF_DEPR_AMORT","FQ1 1998","FQ1 1998","Currency=USD","Period=FQ","BEST_FPERIOD_OVERRIDE=FQ","FILING_STATUS=OR","SCALING_FORMAT=MLN","Sort=A","Dates=H","DateFormat=P","Fill=—","Direction=H","UseDPDF=Y")</f>
        <v>1388</v>
      </c>
      <c r="AJ8" s="13">
        <f>_xll.BDH("XOM US Equity","CF_DEPR_AMORT","FQ2 1998","FQ2 1998","Currency=USD","Period=FQ","BEST_FPERIOD_OVERRIDE=FQ","FILING_STATUS=OR","SCALING_FORMAT=MLN","Sort=A","Dates=H","DateFormat=P","Fill=—","Direction=H","UseDPDF=Y")</f>
        <v>1390</v>
      </c>
    </row>
    <row r="9" spans="1:36" x14ac:dyDescent="0.25">
      <c r="A9" s="10" t="s">
        <v>240</v>
      </c>
      <c r="B9" s="10" t="s">
        <v>241</v>
      </c>
      <c r="C9" s="13">
        <f>_xll.BDH("XOM US Equity","NON_CASH_ITEMS_DETAILED","FQ1 1990","FQ1 1990","Currency=USD","Period=FQ","BEST_FPERIOD_OVERRIDE=FQ","FILING_STATUS=OR","SCALING_FORMAT=MLN","Sort=A","Dates=H","DateFormat=P","Fill=—","Direction=H","UseDPDF=Y")</f>
        <v>127</v>
      </c>
      <c r="D9" s="13">
        <f>_xll.BDH("XOM US Equity","NON_CASH_ITEMS_DETAILED","FQ2 1990","FQ2 1990","Currency=USD","Period=FQ","BEST_FPERIOD_OVERRIDE=FQ","FILING_STATUS=OR","SCALING_FORMAT=MLN","Sort=A","Dates=H","DateFormat=P","Fill=—","Direction=H","UseDPDF=Y")</f>
        <v>54</v>
      </c>
      <c r="E9" s="13">
        <f>_xll.BDH("XOM US Equity","NON_CASH_ITEMS_DETAILED","FQ3 1990","FQ3 1990","Currency=USD","Period=FQ","BEST_FPERIOD_OVERRIDE=FQ","FILING_STATUS=OR","SCALING_FORMAT=MLN","Sort=A","Dates=H","DateFormat=P","Fill=—","Direction=H","UseDPDF=Y")</f>
        <v>-481</v>
      </c>
      <c r="F9" s="13">
        <f>_xll.BDH("XOM US Equity","NON_CASH_ITEMS_DETAILED","FQ4 1990","FQ4 1990","Currency=USD","Period=FQ","BEST_FPERIOD_OVERRIDE=FQ","FILING_STATUS=OR","SCALING_FORMAT=MLN","Sort=A","Dates=H","DateFormat=P","Fill=—","Direction=H","UseDPDF=Y")</f>
        <v>302</v>
      </c>
      <c r="G9" s="13">
        <f>_xll.BDH("XOM US Equity","NON_CASH_ITEMS_DETAILED","FQ1 1991","FQ1 1991","Currency=USD","Period=FQ","BEST_FPERIOD_OVERRIDE=FQ","FILING_STATUS=OR","SCALING_FORMAT=MLN","Sort=A","Dates=H","DateFormat=P","Fill=—","Direction=H","UseDPDF=Y")</f>
        <v>185</v>
      </c>
      <c r="H9" s="13">
        <f>_xll.BDH("XOM US Equity","NON_CASH_ITEMS_DETAILED","FQ2 1991","FQ2 1991","Currency=USD","Period=FQ","BEST_FPERIOD_OVERRIDE=FQ","FILING_STATUS=OR","SCALING_FORMAT=MLN","Sort=A","Dates=H","DateFormat=P","Fill=—","Direction=H","UseDPDF=Y")</f>
        <v>396</v>
      </c>
      <c r="I9" s="13">
        <f>_xll.BDH("XOM US Equity","NON_CASH_ITEMS_DETAILED","FQ3 1991","FQ3 1991","Currency=USD","Period=FQ","BEST_FPERIOD_OVERRIDE=FQ","FILING_STATUS=OR","SCALING_FORMAT=MLN","Sort=A","Dates=H","DateFormat=P","Fill=—","Direction=H","UseDPDF=Y")</f>
        <v>275</v>
      </c>
      <c r="J9" s="13">
        <f>_xll.BDH("XOM US Equity","NON_CASH_ITEMS_DETAILED","FQ4 1991","FQ4 1991","Currency=USD","Period=FQ","BEST_FPERIOD_OVERRIDE=FQ","FILING_STATUS=OR","SCALING_FORMAT=MLN","Sort=A","Dates=H","DateFormat=P","Fill=—","Direction=H","UseDPDF=Y")</f>
        <v>-203</v>
      </c>
      <c r="K9" s="13">
        <f>_xll.BDH("XOM US Equity","NON_CASH_ITEMS_DETAILED","FQ1 1992","FQ1 1992","Currency=USD","Period=FQ","BEST_FPERIOD_OVERRIDE=FQ","FILING_STATUS=OR","SCALING_FORMAT=MLN","Sort=A","Dates=H","DateFormat=P","Fill=—","Direction=H","UseDPDF=Y")</f>
        <v>-128</v>
      </c>
      <c r="L9" s="13">
        <f>_xll.BDH("XOM US Equity","NON_CASH_ITEMS_DETAILED","FQ2 1992","FQ2 1992","Currency=USD","Period=FQ","BEST_FPERIOD_OVERRIDE=FQ","FILING_STATUS=OR","SCALING_FORMAT=MLN","Sort=A","Dates=H","DateFormat=P","Fill=—","Direction=H","UseDPDF=Y")</f>
        <v>-62</v>
      </c>
      <c r="M9" s="13">
        <f>_xll.BDH("XOM US Equity","NON_CASH_ITEMS_DETAILED","FQ3 1992","FQ3 1992","Currency=USD","Period=FQ","BEST_FPERIOD_OVERRIDE=FQ","FILING_STATUS=OR","SCALING_FORMAT=MLN","Sort=A","Dates=H","DateFormat=P","Fill=—","Direction=H","UseDPDF=Y")</f>
        <v>257</v>
      </c>
      <c r="N9" s="13">
        <f>_xll.BDH("XOM US Equity","NON_CASH_ITEMS_DETAILED","FQ4 1992","FQ4 1992","Currency=USD","Period=FQ","BEST_FPERIOD_OVERRIDE=FQ","FILING_STATUS=OR","SCALING_FORMAT=MLN","Sort=A","Dates=H","DateFormat=P","Fill=—","Direction=H","UseDPDF=Y")</f>
        <v>-137</v>
      </c>
      <c r="O9" s="13">
        <f>_xll.BDH("XOM US Equity","NON_CASH_ITEMS_DETAILED","FQ1 1993","FQ1 1993","Currency=USD","Period=FQ","BEST_FPERIOD_OVERRIDE=FQ","FILING_STATUS=OR","SCALING_FORMAT=MLN","Sort=A","Dates=H","DateFormat=P","Fill=—","Direction=H","UseDPDF=Y")</f>
        <v>-35</v>
      </c>
      <c r="P9" s="13">
        <f>_xll.BDH("XOM US Equity","NON_CASH_ITEMS_DETAILED","FQ2 1993","FQ2 1993","Currency=USD","Period=FQ","BEST_FPERIOD_OVERRIDE=FQ","FILING_STATUS=OR","SCALING_FORMAT=MLN","Sort=A","Dates=H","DateFormat=P","Fill=—","Direction=H","UseDPDF=Y")</f>
        <v>340</v>
      </c>
      <c r="Q9" s="13">
        <f>_xll.BDH("XOM US Equity","NON_CASH_ITEMS_DETAILED","FQ3 1993","FQ3 1993","Currency=USD","Period=FQ","BEST_FPERIOD_OVERRIDE=FQ","FILING_STATUS=OR","SCALING_FORMAT=MLN","Sort=A","Dates=H","DateFormat=P","Fill=—","Direction=H","UseDPDF=Y")</f>
        <v>-299</v>
      </c>
      <c r="R9" s="13">
        <f>_xll.BDH("XOM US Equity","NON_CASH_ITEMS_DETAILED","FQ4 1993","FQ4 1993","Currency=USD","Period=FQ","BEST_FPERIOD_OVERRIDE=FQ","FILING_STATUS=OR","SCALING_FORMAT=MLN","Sort=A","Dates=H","DateFormat=P","Fill=—","Direction=H","UseDPDF=Y")</f>
        <v>309</v>
      </c>
      <c r="S9" s="13">
        <f>_xll.BDH("XOM US Equity","NON_CASH_ITEMS_DETAILED","FQ1 1994","FQ1 1994","Currency=USD","Period=FQ","BEST_FPERIOD_OVERRIDE=FQ","FILING_STATUS=OR","SCALING_FORMAT=MLN","Sort=A","Dates=H","DateFormat=P","Fill=—","Direction=H","UseDPDF=Y")</f>
        <v>59</v>
      </c>
      <c r="T9" s="13">
        <f>_xll.BDH("XOM US Equity","NON_CASH_ITEMS_DETAILED","FQ2 1994","FQ2 1994","Currency=USD","Period=FQ","BEST_FPERIOD_OVERRIDE=FQ","FILING_STATUS=OR","SCALING_FORMAT=MLN","Sort=A","Dates=H","DateFormat=P","Fill=—","Direction=H","UseDPDF=Y")</f>
        <v>-144</v>
      </c>
      <c r="U9" s="13">
        <f>_xll.BDH("XOM US Equity","NON_CASH_ITEMS_DETAILED","FQ3 1994","FQ3 1994","Currency=USD","Period=FQ","BEST_FPERIOD_OVERRIDE=FQ","FILING_STATUS=OR","SCALING_FORMAT=MLN","Sort=A","Dates=H","DateFormat=P","Fill=—","Direction=H","UseDPDF=Y")</f>
        <v>589</v>
      </c>
      <c r="V9" s="13">
        <f>_xll.BDH("XOM US Equity","NON_CASH_ITEMS_DETAILED","FQ4 1994","FQ4 1994","Currency=USD","Period=FQ","BEST_FPERIOD_OVERRIDE=FQ","FILING_STATUS=OR","SCALING_FORMAT=MLN","Sort=A","Dates=H","DateFormat=P","Fill=—","Direction=H","UseDPDF=Y")</f>
        <v>-479</v>
      </c>
      <c r="W9" s="13">
        <f>_xll.BDH("XOM US Equity","NON_CASH_ITEMS_DETAILED","FQ1 1995","FQ1 1995","Currency=USD","Period=FQ","BEST_FPERIOD_OVERRIDE=FQ","FILING_STATUS=OR","SCALING_FORMAT=MLN","Sort=A","Dates=H","DateFormat=P","Fill=—","Direction=H","UseDPDF=Y")</f>
        <v>74</v>
      </c>
      <c r="X9" s="13">
        <f>_xll.BDH("XOM US Equity","NON_CASH_ITEMS_DETAILED","FQ2 1995","FQ2 1995","Currency=USD","Period=FQ","BEST_FPERIOD_OVERRIDE=FQ","FILING_STATUS=OR","SCALING_FORMAT=MLN","Sort=A","Dates=H","DateFormat=P","Fill=—","Direction=H","UseDPDF=Y")</f>
        <v>310</v>
      </c>
      <c r="Y9" s="13">
        <f>_xll.BDH("XOM US Equity","NON_CASH_ITEMS_DETAILED","FQ3 1995","FQ3 1995","Currency=USD","Period=FQ","BEST_FPERIOD_OVERRIDE=FQ","FILING_STATUS=OR","SCALING_FORMAT=MLN","Sort=A","Dates=H","DateFormat=P","Fill=—","Direction=H","UseDPDF=Y")</f>
        <v>987</v>
      </c>
      <c r="Z9" s="13">
        <f>_xll.BDH("XOM US Equity","NON_CASH_ITEMS_DETAILED","FQ4 1995","FQ4 1995","Currency=USD","Period=FQ","BEST_FPERIOD_OVERRIDE=FQ","FILING_STATUS=OR","SCALING_FORMAT=MLN","Sort=A","Dates=H","DateFormat=P","Fill=—","Direction=H","UseDPDF=Y")</f>
        <v>630</v>
      </c>
      <c r="AA9" s="13">
        <f>_xll.BDH("XOM US Equity","NON_CASH_ITEMS_DETAILED","FQ1 1996","FQ1 1996","Currency=USD","Period=FQ","BEST_FPERIOD_OVERRIDE=FQ","FILING_STATUS=OR","SCALING_FORMAT=MLN","Sort=A","Dates=H","DateFormat=P","Fill=—","Direction=H","UseDPDF=Y")</f>
        <v>292</v>
      </c>
      <c r="AB9" s="13">
        <f>_xll.BDH("XOM US Equity","NON_CASH_ITEMS_DETAILED","FQ2 1996","FQ2 1996","Currency=USD","Period=FQ","BEST_FPERIOD_OVERRIDE=FQ","FILING_STATUS=OR","SCALING_FORMAT=MLN","Sort=A","Dates=H","DateFormat=P","Fill=—","Direction=H","UseDPDF=Y")</f>
        <v>472</v>
      </c>
      <c r="AC9" s="13">
        <f>_xll.BDH("XOM US Equity","NON_CASH_ITEMS_DETAILED","FQ3 1996","FQ3 1996","Currency=USD","Period=FQ","BEST_FPERIOD_OVERRIDE=FQ","FILING_STATUS=OR","SCALING_FORMAT=MLN","Sort=A","Dates=H","DateFormat=P","Fill=—","Direction=H","UseDPDF=Y")</f>
        <v>-198</v>
      </c>
      <c r="AD9" s="13">
        <f>_xll.BDH("XOM US Equity","NON_CASH_ITEMS_DETAILED","FQ4 1996","FQ4 1996","Currency=USD","Period=FQ","BEST_FPERIOD_OVERRIDE=FQ","FILING_STATUS=OR","SCALING_FORMAT=MLN","Sort=A","Dates=H","DateFormat=P","Fill=—","Direction=H","UseDPDF=Y")</f>
        <v>1178</v>
      </c>
      <c r="AE9" s="13">
        <f>_xll.BDH("XOM US Equity","NON_CASH_ITEMS_DETAILED","FQ1 1997","FQ1 1997","Currency=USD","Period=FQ","BEST_FPERIOD_OVERRIDE=FQ","FILING_STATUS=OR","SCALING_FORMAT=MLN","Sort=A","Dates=H","DateFormat=P","Fill=—","Direction=H","UseDPDF=Y")</f>
        <v>1101</v>
      </c>
      <c r="AF9" s="13">
        <f>_xll.BDH("XOM US Equity","NON_CASH_ITEMS_DETAILED","FQ2 1997","FQ2 1997","Currency=USD","Period=FQ","BEST_FPERIOD_OVERRIDE=FQ","FILING_STATUS=OR","SCALING_FORMAT=MLN","Sort=A","Dates=H","DateFormat=P","Fill=—","Direction=H","UseDPDF=Y")</f>
        <v>223</v>
      </c>
      <c r="AG9" s="13">
        <f>_xll.BDH("XOM US Equity","NON_CASH_ITEMS_DETAILED","FQ3 1997","FQ3 1997","Currency=USD","Period=FQ","BEST_FPERIOD_OVERRIDE=FQ","FILING_STATUS=OR","SCALING_FORMAT=MLN","Sort=A","Dates=H","DateFormat=P","Fill=—","Direction=H","UseDPDF=Y")</f>
        <v>434</v>
      </c>
      <c r="AH9" s="13">
        <f>_xll.BDH("XOM US Equity","NON_CASH_ITEMS_DETAILED","FQ4 1997","FQ4 1997","Currency=USD","Period=FQ","BEST_FPERIOD_OVERRIDE=FQ","FILING_STATUS=OR","SCALING_FORMAT=MLN","Sort=A","Dates=H","DateFormat=P","Fill=—","Direction=H","UseDPDF=Y")</f>
        <v>-45</v>
      </c>
      <c r="AI9" s="13">
        <f>_xll.BDH("XOM US Equity","NON_CASH_ITEMS_DETAILED","FQ1 1998","FQ1 1998","Currency=USD","Period=FQ","BEST_FPERIOD_OVERRIDE=FQ","FILING_STATUS=OR","SCALING_FORMAT=MLN","Sort=A","Dates=H","DateFormat=P","Fill=—","Direction=H","UseDPDF=Y")</f>
        <v>-159</v>
      </c>
      <c r="AJ9" s="13">
        <f>_xll.BDH("XOM US Equity","NON_CASH_ITEMS_DETAILED","FQ2 1998","FQ2 1998","Currency=USD","Period=FQ","BEST_FPERIOD_OVERRIDE=FQ","FILING_STATUS=OR","SCALING_FORMAT=MLN","Sort=A","Dates=H","DateFormat=P","Fill=—","Direction=H","UseDPDF=Y")</f>
        <v>-87</v>
      </c>
    </row>
    <row r="10" spans="1:36" x14ac:dyDescent="0.25">
      <c r="A10" s="10" t="s">
        <v>242</v>
      </c>
      <c r="B10" s="10" t="s">
        <v>243</v>
      </c>
      <c r="C10" s="13">
        <f>_xll.BDH("XOM US Equity","OTHER_NON_CASH_ADJ_LESS_DETAILED","FQ1 1990","FQ1 1990","Currency=USD","Period=FQ","BEST_FPERIOD_OVERRIDE=FQ","FILING_STATUS=OR","SCALING_FORMAT=MLN","Sort=A","Dates=H","DateFormat=P","Fill=—","Direction=H","UseDPDF=Y")</f>
        <v>127</v>
      </c>
      <c r="D10" s="13">
        <f>_xll.BDH("XOM US Equity","OTHER_NON_CASH_ADJ_LESS_DETAILED","FQ2 1990","FQ2 1990","Currency=USD","Period=FQ","BEST_FPERIOD_OVERRIDE=FQ","FILING_STATUS=OR","SCALING_FORMAT=MLN","Sort=A","Dates=H","DateFormat=P","Fill=—","Direction=H","UseDPDF=Y")</f>
        <v>54</v>
      </c>
      <c r="E10" s="13">
        <f>_xll.BDH("XOM US Equity","OTHER_NON_CASH_ADJ_LESS_DETAILED","FQ3 1990","FQ3 1990","Currency=USD","Period=FQ","BEST_FPERIOD_OVERRIDE=FQ","FILING_STATUS=OR","SCALING_FORMAT=MLN","Sort=A","Dates=H","DateFormat=P","Fill=—","Direction=H","UseDPDF=Y")</f>
        <v>-481</v>
      </c>
      <c r="F10" s="13">
        <f>_xll.BDH("XOM US Equity","OTHER_NON_CASH_ADJ_LESS_DETAILED","FQ4 1990","FQ4 1990","Currency=USD","Period=FQ","BEST_FPERIOD_OVERRIDE=FQ","FILING_STATUS=OR","SCALING_FORMAT=MLN","Sort=A","Dates=H","DateFormat=P","Fill=—","Direction=H","UseDPDF=Y")</f>
        <v>302</v>
      </c>
      <c r="G10" s="13">
        <f>_xll.BDH("XOM US Equity","OTHER_NON_CASH_ADJ_LESS_DETAILED","FQ1 1991","FQ1 1991","Currency=USD","Period=FQ","BEST_FPERIOD_OVERRIDE=FQ","FILING_STATUS=OR","SCALING_FORMAT=MLN","Sort=A","Dates=H","DateFormat=P","Fill=—","Direction=H","UseDPDF=Y")</f>
        <v>185</v>
      </c>
      <c r="H10" s="13">
        <f>_xll.BDH("XOM US Equity","OTHER_NON_CASH_ADJ_LESS_DETAILED","FQ2 1991","FQ2 1991","Currency=USD","Period=FQ","BEST_FPERIOD_OVERRIDE=FQ","FILING_STATUS=OR","SCALING_FORMAT=MLN","Sort=A","Dates=H","DateFormat=P","Fill=—","Direction=H","UseDPDF=Y")</f>
        <v>396</v>
      </c>
      <c r="I10" s="13">
        <f>_xll.BDH("XOM US Equity","OTHER_NON_CASH_ADJ_LESS_DETAILED","FQ3 1991","FQ3 1991","Currency=USD","Period=FQ","BEST_FPERIOD_OVERRIDE=FQ","FILING_STATUS=OR","SCALING_FORMAT=MLN","Sort=A","Dates=H","DateFormat=P","Fill=—","Direction=H","UseDPDF=Y")</f>
        <v>275</v>
      </c>
      <c r="J10" s="13">
        <f>_xll.BDH("XOM US Equity","OTHER_NON_CASH_ADJ_LESS_DETAILED","FQ4 1991","FQ4 1991","Currency=USD","Period=FQ","BEST_FPERIOD_OVERRIDE=FQ","FILING_STATUS=OR","SCALING_FORMAT=MLN","Sort=A","Dates=H","DateFormat=P","Fill=—","Direction=H","UseDPDF=Y")</f>
        <v>-203</v>
      </c>
      <c r="K10" s="13">
        <f>_xll.BDH("XOM US Equity","OTHER_NON_CASH_ADJ_LESS_DETAILED","FQ1 1992","FQ1 1992","Currency=USD","Period=FQ","BEST_FPERIOD_OVERRIDE=FQ","FILING_STATUS=OR","SCALING_FORMAT=MLN","Sort=A","Dates=H","DateFormat=P","Fill=—","Direction=H","UseDPDF=Y")</f>
        <v>-128</v>
      </c>
      <c r="L10" s="13">
        <f>_xll.BDH("XOM US Equity","OTHER_NON_CASH_ADJ_LESS_DETAILED","FQ2 1992","FQ2 1992","Currency=USD","Period=FQ","BEST_FPERIOD_OVERRIDE=FQ","FILING_STATUS=OR","SCALING_FORMAT=MLN","Sort=A","Dates=H","DateFormat=P","Fill=—","Direction=H","UseDPDF=Y")</f>
        <v>-62</v>
      </c>
      <c r="M10" s="13">
        <f>_xll.BDH("XOM US Equity","OTHER_NON_CASH_ADJ_LESS_DETAILED","FQ3 1992","FQ3 1992","Currency=USD","Period=FQ","BEST_FPERIOD_OVERRIDE=FQ","FILING_STATUS=OR","SCALING_FORMAT=MLN","Sort=A","Dates=H","DateFormat=P","Fill=—","Direction=H","UseDPDF=Y")</f>
        <v>257</v>
      </c>
      <c r="N10" s="13">
        <f>_xll.BDH("XOM US Equity","OTHER_NON_CASH_ADJ_LESS_DETAILED","FQ4 1992","FQ4 1992","Currency=USD","Period=FQ","BEST_FPERIOD_OVERRIDE=FQ","FILING_STATUS=OR","SCALING_FORMAT=MLN","Sort=A","Dates=H","DateFormat=P","Fill=—","Direction=H","UseDPDF=Y")</f>
        <v>-137</v>
      </c>
      <c r="O10" s="13">
        <f>_xll.BDH("XOM US Equity","OTHER_NON_CASH_ADJ_LESS_DETAILED","FQ1 1993","FQ1 1993","Currency=USD","Period=FQ","BEST_FPERIOD_OVERRIDE=FQ","FILING_STATUS=OR","SCALING_FORMAT=MLN","Sort=A","Dates=H","DateFormat=P","Fill=—","Direction=H","UseDPDF=Y")</f>
        <v>-35</v>
      </c>
      <c r="P10" s="13">
        <f>_xll.BDH("XOM US Equity","OTHER_NON_CASH_ADJ_LESS_DETAILED","FQ2 1993","FQ2 1993","Currency=USD","Period=FQ","BEST_FPERIOD_OVERRIDE=FQ","FILING_STATUS=OR","SCALING_FORMAT=MLN","Sort=A","Dates=H","DateFormat=P","Fill=—","Direction=H","UseDPDF=Y")</f>
        <v>340</v>
      </c>
      <c r="Q10" s="13">
        <f>_xll.BDH("XOM US Equity","OTHER_NON_CASH_ADJ_LESS_DETAILED","FQ3 1993","FQ3 1993","Currency=USD","Period=FQ","BEST_FPERIOD_OVERRIDE=FQ","FILING_STATUS=OR","SCALING_FORMAT=MLN","Sort=A","Dates=H","DateFormat=P","Fill=—","Direction=H","UseDPDF=Y")</f>
        <v>-299</v>
      </c>
      <c r="R10" s="13">
        <f>_xll.BDH("XOM US Equity","OTHER_NON_CASH_ADJ_LESS_DETAILED","FQ4 1993","FQ4 1993","Currency=USD","Period=FQ","BEST_FPERIOD_OVERRIDE=FQ","FILING_STATUS=OR","SCALING_FORMAT=MLN","Sort=A","Dates=H","DateFormat=P","Fill=—","Direction=H","UseDPDF=Y")</f>
        <v>309</v>
      </c>
      <c r="S10" s="13">
        <f>_xll.BDH("XOM US Equity","OTHER_NON_CASH_ADJ_LESS_DETAILED","FQ1 1994","FQ1 1994","Currency=USD","Period=FQ","BEST_FPERIOD_OVERRIDE=FQ","FILING_STATUS=OR","SCALING_FORMAT=MLN","Sort=A","Dates=H","DateFormat=P","Fill=—","Direction=H","UseDPDF=Y")</f>
        <v>59</v>
      </c>
      <c r="T10" s="13">
        <f>_xll.BDH("XOM US Equity","OTHER_NON_CASH_ADJ_LESS_DETAILED","FQ2 1994","FQ2 1994","Currency=USD","Period=FQ","BEST_FPERIOD_OVERRIDE=FQ","FILING_STATUS=OR","SCALING_FORMAT=MLN","Sort=A","Dates=H","DateFormat=P","Fill=—","Direction=H","UseDPDF=Y")</f>
        <v>-144</v>
      </c>
      <c r="U10" s="13">
        <f>_xll.BDH("XOM US Equity","OTHER_NON_CASH_ADJ_LESS_DETAILED","FQ3 1994","FQ3 1994","Currency=USD","Period=FQ","BEST_FPERIOD_OVERRIDE=FQ","FILING_STATUS=OR","SCALING_FORMAT=MLN","Sort=A","Dates=H","DateFormat=P","Fill=—","Direction=H","UseDPDF=Y")</f>
        <v>589</v>
      </c>
      <c r="V10" s="13">
        <f>_xll.BDH("XOM US Equity","OTHER_NON_CASH_ADJ_LESS_DETAILED","FQ4 1994","FQ4 1994","Currency=USD","Period=FQ","BEST_FPERIOD_OVERRIDE=FQ","FILING_STATUS=OR","SCALING_FORMAT=MLN","Sort=A","Dates=H","DateFormat=P","Fill=—","Direction=H","UseDPDF=Y")</f>
        <v>-479</v>
      </c>
      <c r="W10" s="13">
        <f>_xll.BDH("XOM US Equity","OTHER_NON_CASH_ADJ_LESS_DETAILED","FQ1 1995","FQ1 1995","Currency=USD","Period=FQ","BEST_FPERIOD_OVERRIDE=FQ","FILING_STATUS=OR","SCALING_FORMAT=MLN","Sort=A","Dates=H","DateFormat=P","Fill=—","Direction=H","UseDPDF=Y")</f>
        <v>74</v>
      </c>
      <c r="X10" s="13">
        <f>_xll.BDH("XOM US Equity","OTHER_NON_CASH_ADJ_LESS_DETAILED","FQ2 1995","FQ2 1995","Currency=USD","Period=FQ","BEST_FPERIOD_OVERRIDE=FQ","FILING_STATUS=OR","SCALING_FORMAT=MLN","Sort=A","Dates=H","DateFormat=P","Fill=—","Direction=H","UseDPDF=Y")</f>
        <v>310</v>
      </c>
      <c r="Y10" s="13">
        <f>_xll.BDH("XOM US Equity","OTHER_NON_CASH_ADJ_LESS_DETAILED","FQ3 1995","FQ3 1995","Currency=USD","Period=FQ","BEST_FPERIOD_OVERRIDE=FQ","FILING_STATUS=OR","SCALING_FORMAT=MLN","Sort=A","Dates=H","DateFormat=P","Fill=—","Direction=H","UseDPDF=Y")</f>
        <v>987</v>
      </c>
      <c r="Z10" s="13">
        <f>_xll.BDH("XOM US Equity","OTHER_NON_CASH_ADJ_LESS_DETAILED","FQ4 1995","FQ4 1995","Currency=USD","Period=FQ","BEST_FPERIOD_OVERRIDE=FQ","FILING_STATUS=OR","SCALING_FORMAT=MLN","Sort=A","Dates=H","DateFormat=P","Fill=—","Direction=H","UseDPDF=Y")</f>
        <v>630</v>
      </c>
      <c r="AA10" s="13">
        <f>_xll.BDH("XOM US Equity","OTHER_NON_CASH_ADJ_LESS_DETAILED","FQ1 1996","FQ1 1996","Currency=USD","Period=FQ","BEST_FPERIOD_OVERRIDE=FQ","FILING_STATUS=OR","SCALING_FORMAT=MLN","Sort=A","Dates=H","DateFormat=P","Fill=—","Direction=H","UseDPDF=Y")</f>
        <v>292</v>
      </c>
      <c r="AB10" s="13">
        <f>_xll.BDH("XOM US Equity","OTHER_NON_CASH_ADJ_LESS_DETAILED","FQ2 1996","FQ2 1996","Currency=USD","Period=FQ","BEST_FPERIOD_OVERRIDE=FQ","FILING_STATUS=OR","SCALING_FORMAT=MLN","Sort=A","Dates=H","DateFormat=P","Fill=—","Direction=H","UseDPDF=Y")</f>
        <v>472</v>
      </c>
      <c r="AC10" s="13">
        <f>_xll.BDH("XOM US Equity","OTHER_NON_CASH_ADJ_LESS_DETAILED","FQ3 1996","FQ3 1996","Currency=USD","Period=FQ","BEST_FPERIOD_OVERRIDE=FQ","FILING_STATUS=OR","SCALING_FORMAT=MLN","Sort=A","Dates=H","DateFormat=P","Fill=—","Direction=H","UseDPDF=Y")</f>
        <v>-198</v>
      </c>
      <c r="AD10" s="13">
        <f>_xll.BDH("XOM US Equity","OTHER_NON_CASH_ADJ_LESS_DETAILED","FQ4 1996","FQ4 1996","Currency=USD","Period=FQ","BEST_FPERIOD_OVERRIDE=FQ","FILING_STATUS=OR","SCALING_FORMAT=MLN","Sort=A","Dates=H","DateFormat=P","Fill=—","Direction=H","UseDPDF=Y")</f>
        <v>1178</v>
      </c>
      <c r="AE10" s="13">
        <f>_xll.BDH("XOM US Equity","OTHER_NON_CASH_ADJ_LESS_DETAILED","FQ1 1997","FQ1 1997","Currency=USD","Period=FQ","BEST_FPERIOD_OVERRIDE=FQ","FILING_STATUS=OR","SCALING_FORMAT=MLN","Sort=A","Dates=H","DateFormat=P","Fill=—","Direction=H","UseDPDF=Y")</f>
        <v>1101</v>
      </c>
      <c r="AF10" s="13">
        <f>_xll.BDH("XOM US Equity","OTHER_NON_CASH_ADJ_LESS_DETAILED","FQ2 1997","FQ2 1997","Currency=USD","Period=FQ","BEST_FPERIOD_OVERRIDE=FQ","FILING_STATUS=OR","SCALING_FORMAT=MLN","Sort=A","Dates=H","DateFormat=P","Fill=—","Direction=H","UseDPDF=Y")</f>
        <v>223</v>
      </c>
      <c r="AG10" s="13">
        <f>_xll.BDH("XOM US Equity","OTHER_NON_CASH_ADJ_LESS_DETAILED","FQ3 1997","FQ3 1997","Currency=USD","Period=FQ","BEST_FPERIOD_OVERRIDE=FQ","FILING_STATUS=OR","SCALING_FORMAT=MLN","Sort=A","Dates=H","DateFormat=P","Fill=—","Direction=H","UseDPDF=Y")</f>
        <v>434</v>
      </c>
      <c r="AH10" s="13">
        <f>_xll.BDH("XOM US Equity","OTHER_NON_CASH_ADJ_LESS_DETAILED","FQ4 1997","FQ4 1997","Currency=USD","Period=FQ","BEST_FPERIOD_OVERRIDE=FQ","FILING_STATUS=OR","SCALING_FORMAT=MLN","Sort=A","Dates=H","DateFormat=P","Fill=—","Direction=H","UseDPDF=Y")</f>
        <v>-45</v>
      </c>
      <c r="AI10" s="13">
        <f>_xll.BDH("XOM US Equity","OTHER_NON_CASH_ADJ_LESS_DETAILED","FQ1 1998","FQ1 1998","Currency=USD","Period=FQ","BEST_FPERIOD_OVERRIDE=FQ","FILING_STATUS=OR","SCALING_FORMAT=MLN","Sort=A","Dates=H","DateFormat=P","Fill=—","Direction=H","UseDPDF=Y")</f>
        <v>-159</v>
      </c>
      <c r="AJ10" s="13">
        <f>_xll.BDH("XOM US Equity","OTHER_NON_CASH_ADJ_LESS_DETAILED","FQ2 1998","FQ2 1998","Currency=USD","Period=FQ","BEST_FPERIOD_OVERRIDE=FQ","FILING_STATUS=OR","SCALING_FORMAT=MLN","Sort=A","Dates=H","DateFormat=P","Fill=—","Direction=H","UseDPDF=Y")</f>
        <v>-87</v>
      </c>
    </row>
    <row r="11" spans="1:36" x14ac:dyDescent="0.25">
      <c r="A11" s="10" t="s">
        <v>244</v>
      </c>
      <c r="B11" s="10" t="s">
        <v>245</v>
      </c>
      <c r="C11" s="13">
        <f>_xll.BDH("XOM US Equity","CF_CHNG_NON_CASH_WORK_CAP","FQ1 1990","FQ1 1990","Currency=USD","Period=FQ","BEST_FPERIOD_OVERRIDE=FQ","FILING_STATUS=OR","SCALING_FORMAT=MLN","Sort=A","Dates=H","DateFormat=P","Fill=—","Direction=H","UseDPDF=Y")</f>
        <v>-923</v>
      </c>
      <c r="D11" s="13">
        <f>_xll.BDH("XOM US Equity","CF_CHNG_NON_CASH_WORK_CAP","FQ2 1990","FQ2 1990","Currency=USD","Period=FQ","BEST_FPERIOD_OVERRIDE=FQ","FILING_STATUS=OR","SCALING_FORMAT=MLN","Sort=A","Dates=H","DateFormat=P","Fill=—","Direction=H","UseDPDF=Y")</f>
        <v>274</v>
      </c>
      <c r="E11" s="13">
        <f>_xll.BDH("XOM US Equity","CF_CHNG_NON_CASH_WORK_CAP","FQ3 1990","FQ3 1990","Currency=USD","Period=FQ","BEST_FPERIOD_OVERRIDE=FQ","FILING_STATUS=OR","SCALING_FORMAT=MLN","Sort=A","Dates=H","DateFormat=P","Fill=—","Direction=H","UseDPDF=Y")</f>
        <v>182</v>
      </c>
      <c r="F11" s="13">
        <f>_xll.BDH("XOM US Equity","CF_CHNG_NON_CASH_WORK_CAP","FQ4 1990","FQ4 1990","Currency=USD","Period=FQ","BEST_FPERIOD_OVERRIDE=FQ","FILING_STATUS=OR","SCALING_FORMAT=MLN","Sort=A","Dates=H","DateFormat=P","Fill=—","Direction=H","UseDPDF=Y")</f>
        <v>556</v>
      </c>
      <c r="G11" s="13">
        <f>_xll.BDH("XOM US Equity","CF_CHNG_NON_CASH_WORK_CAP","FQ1 1991","FQ1 1991","Currency=USD","Period=FQ","BEST_FPERIOD_OVERRIDE=FQ","FILING_STATUS=OR","SCALING_FORMAT=MLN","Sort=A","Dates=H","DateFormat=P","Fill=—","Direction=H","UseDPDF=Y")</f>
        <v>-880</v>
      </c>
      <c r="H11" s="13">
        <f>_xll.BDH("XOM US Equity","CF_CHNG_NON_CASH_WORK_CAP","FQ2 1991","FQ2 1991","Currency=USD","Period=FQ","BEST_FPERIOD_OVERRIDE=FQ","FILING_STATUS=OR","SCALING_FORMAT=MLN","Sort=A","Dates=H","DateFormat=P","Fill=—","Direction=H","UseDPDF=Y")</f>
        <v>-116</v>
      </c>
      <c r="I11" s="13">
        <f>_xll.BDH("XOM US Equity","CF_CHNG_NON_CASH_WORK_CAP","FQ3 1991","FQ3 1991","Currency=USD","Period=FQ","BEST_FPERIOD_OVERRIDE=FQ","FILING_STATUS=OR","SCALING_FORMAT=MLN","Sort=A","Dates=H","DateFormat=P","Fill=—","Direction=H","UseDPDF=Y")</f>
        <v>215</v>
      </c>
      <c r="J11" s="13">
        <f>_xll.BDH("XOM US Equity","CF_CHNG_NON_CASH_WORK_CAP","FQ4 1991","FQ4 1991","Currency=USD","Period=FQ","BEST_FPERIOD_OVERRIDE=FQ","FILING_STATUS=OR","SCALING_FORMAT=MLN","Sort=A","Dates=H","DateFormat=P","Fill=—","Direction=H","UseDPDF=Y")</f>
        <v>646</v>
      </c>
      <c r="K11" s="13">
        <f>_xll.BDH("XOM US Equity","CF_CHNG_NON_CASH_WORK_CAP","FQ1 1992","FQ1 1992","Currency=USD","Period=FQ","BEST_FPERIOD_OVERRIDE=FQ","FILING_STATUS=OR","SCALING_FORMAT=MLN","Sort=A","Dates=H","DateFormat=P","Fill=—","Direction=H","UseDPDF=Y")</f>
        <v>-44</v>
      </c>
      <c r="L11" s="13">
        <f>_xll.BDH("XOM US Equity","CF_CHNG_NON_CASH_WORK_CAP","FQ2 1992","FQ2 1992","Currency=USD","Period=FQ","BEST_FPERIOD_OVERRIDE=FQ","FILING_STATUS=OR","SCALING_FORMAT=MLN","Sort=A","Dates=H","DateFormat=P","Fill=—","Direction=H","UseDPDF=Y")</f>
        <v>-360</v>
      </c>
      <c r="M11" s="13">
        <f>_xll.BDH("XOM US Equity","CF_CHNG_NON_CASH_WORK_CAP","FQ3 1992","FQ3 1992","Currency=USD","Period=FQ","BEST_FPERIOD_OVERRIDE=FQ","FILING_STATUS=OR","SCALING_FORMAT=MLN","Sort=A","Dates=H","DateFormat=P","Fill=—","Direction=H","UseDPDF=Y")</f>
        <v>164</v>
      </c>
      <c r="N11" s="13">
        <f>_xll.BDH("XOM US Equity","CF_CHNG_NON_CASH_WORK_CAP","FQ4 1992","FQ4 1992","Currency=USD","Period=FQ","BEST_FPERIOD_OVERRIDE=FQ","FILING_STATUS=OR","SCALING_FORMAT=MLN","Sort=A","Dates=H","DateFormat=P","Fill=—","Direction=H","UseDPDF=Y")</f>
        <v>-83</v>
      </c>
      <c r="O11" s="13">
        <f>_xll.BDH("XOM US Equity","CF_CHNG_NON_CASH_WORK_CAP","FQ1 1993","FQ1 1993","Currency=USD","Period=FQ","BEST_FPERIOD_OVERRIDE=FQ","FILING_STATUS=OR","SCALING_FORMAT=MLN","Sort=A","Dates=H","DateFormat=P","Fill=—","Direction=H","UseDPDF=Y")</f>
        <v>268</v>
      </c>
      <c r="P11" s="13">
        <f>_xll.BDH("XOM US Equity","CF_CHNG_NON_CASH_WORK_CAP","FQ2 1993","FQ2 1993","Currency=USD","Period=FQ","BEST_FPERIOD_OVERRIDE=FQ","FILING_STATUS=OR","SCALING_FORMAT=MLN","Sort=A","Dates=H","DateFormat=P","Fill=—","Direction=H","UseDPDF=Y")</f>
        <v>-123</v>
      </c>
      <c r="Q11" s="13">
        <f>_xll.BDH("XOM US Equity","CF_CHNG_NON_CASH_WORK_CAP","FQ3 1993","FQ3 1993","Currency=USD","Period=FQ","BEST_FPERIOD_OVERRIDE=FQ","FILING_STATUS=OR","SCALING_FORMAT=MLN","Sort=A","Dates=H","DateFormat=P","Fill=—","Direction=H","UseDPDF=Y")</f>
        <v>906</v>
      </c>
      <c r="R11" s="13">
        <f>_xll.BDH("XOM US Equity","CF_CHNG_NON_CASH_WORK_CAP","FQ4 1993","FQ4 1993","Currency=USD","Period=FQ","BEST_FPERIOD_OVERRIDE=FQ","FILING_STATUS=OR","SCALING_FORMAT=MLN","Sort=A","Dates=H","DateFormat=P","Fill=—","Direction=H","UseDPDF=Y")</f>
        <v>-27</v>
      </c>
      <c r="S11" s="13">
        <f>_xll.BDH("XOM US Equity","CF_CHNG_NON_CASH_WORK_CAP","FQ1 1994","FQ1 1994","Currency=USD","Period=FQ","BEST_FPERIOD_OVERRIDE=FQ","FILING_STATUS=OR","SCALING_FORMAT=MLN","Sort=A","Dates=H","DateFormat=P","Fill=—","Direction=H","UseDPDF=Y")</f>
        <v>-145</v>
      </c>
      <c r="T11" s="13">
        <f>_xll.BDH("XOM US Equity","CF_CHNG_NON_CASH_WORK_CAP","FQ2 1994","FQ2 1994","Currency=USD","Period=FQ","BEST_FPERIOD_OVERRIDE=FQ","FILING_STATUS=OR","SCALING_FORMAT=MLN","Sort=A","Dates=H","DateFormat=P","Fill=—","Direction=H","UseDPDF=Y")</f>
        <v>81</v>
      </c>
      <c r="U11" s="13">
        <f>_xll.BDH("XOM US Equity","CF_CHNG_NON_CASH_WORK_CAP","FQ3 1994","FQ3 1994","Currency=USD","Period=FQ","BEST_FPERIOD_OVERRIDE=FQ","FILING_STATUS=OR","SCALING_FORMAT=MLN","Sort=A","Dates=H","DateFormat=P","Fill=—","Direction=H","UseDPDF=Y")</f>
        <v>-248</v>
      </c>
      <c r="V11" s="13">
        <f>_xll.BDH("XOM US Equity","CF_CHNG_NON_CASH_WORK_CAP","FQ4 1994","FQ4 1994","Currency=USD","Period=FQ","BEST_FPERIOD_OVERRIDE=FQ","FILING_STATUS=OR","SCALING_FORMAT=MLN","Sort=A","Dates=H","DateFormat=P","Fill=—","Direction=H","UseDPDF=Y")</f>
        <v>23</v>
      </c>
      <c r="W11" s="13">
        <f>_xll.BDH("XOM US Equity","CF_CHNG_NON_CASH_WORK_CAP","FQ1 1995","FQ1 1995","Currency=USD","Period=FQ","BEST_FPERIOD_OVERRIDE=FQ","FILING_STATUS=OR","SCALING_FORMAT=MLN","Sort=A","Dates=H","DateFormat=P","Fill=—","Direction=H","UseDPDF=Y")</f>
        <v>212</v>
      </c>
      <c r="X11" s="13">
        <f>_xll.BDH("XOM US Equity","CF_CHNG_NON_CASH_WORK_CAP","FQ2 1995","FQ2 1995","Currency=USD","Period=FQ","BEST_FPERIOD_OVERRIDE=FQ","FILING_STATUS=OR","SCALING_FORMAT=MLN","Sort=A","Dates=H","DateFormat=P","Fill=—","Direction=H","UseDPDF=Y")</f>
        <v>-220</v>
      </c>
      <c r="Y11" s="13">
        <f>_xll.BDH("XOM US Equity","CF_CHNG_NON_CASH_WORK_CAP","FQ3 1995","FQ3 1995","Currency=USD","Period=FQ","BEST_FPERIOD_OVERRIDE=FQ","FILING_STATUS=OR","SCALING_FORMAT=MLN","Sort=A","Dates=H","DateFormat=P","Fill=—","Direction=H","UseDPDF=Y")</f>
        <v>117</v>
      </c>
      <c r="Z11" s="13">
        <f>_xll.BDH("XOM US Equity","CF_CHNG_NON_CASH_WORK_CAP","FQ4 1995","FQ4 1995","Currency=USD","Period=FQ","BEST_FPERIOD_OVERRIDE=FQ","FILING_STATUS=OR","SCALING_FORMAT=MLN","Sort=A","Dates=H","DateFormat=P","Fill=—","Direction=H","UseDPDF=Y")</f>
        <v>-119</v>
      </c>
      <c r="AA11" s="13">
        <f>_xll.BDH("XOM US Equity","CF_CHNG_NON_CASH_WORK_CAP","FQ1 1996","FQ1 1996","Currency=USD","Period=FQ","BEST_FPERIOD_OVERRIDE=FQ","FILING_STATUS=OR","SCALING_FORMAT=MLN","Sort=A","Dates=H","DateFormat=P","Fill=—","Direction=H","UseDPDF=Y")</f>
        <v>528</v>
      </c>
      <c r="AB11" s="13">
        <f>_xll.BDH("XOM US Equity","CF_CHNG_NON_CASH_WORK_CAP","FQ2 1996","FQ2 1996","Currency=USD","Period=FQ","BEST_FPERIOD_OVERRIDE=FQ","FILING_STATUS=OR","SCALING_FORMAT=MLN","Sort=A","Dates=H","DateFormat=P","Fill=—","Direction=H","UseDPDF=Y")</f>
        <v>-365</v>
      </c>
      <c r="AC11" s="13">
        <f>_xll.BDH("XOM US Equity","CF_CHNG_NON_CASH_WORK_CAP","FQ3 1996","FQ3 1996","Currency=USD","Period=FQ","BEST_FPERIOD_OVERRIDE=FQ","FILING_STATUS=OR","SCALING_FORMAT=MLN","Sort=A","Dates=H","DateFormat=P","Fill=—","Direction=H","UseDPDF=Y")</f>
        <v>471</v>
      </c>
      <c r="AD11" s="13">
        <f>_xll.BDH("XOM US Equity","CF_CHNG_NON_CASH_WORK_CAP","FQ4 1996","FQ4 1996","Currency=USD","Period=FQ","BEST_FPERIOD_OVERRIDE=FQ","FILING_STATUS=OR","SCALING_FORMAT=MLN","Sort=A","Dates=H","DateFormat=P","Fill=—","Direction=H","UseDPDF=Y")</f>
        <v>-2055</v>
      </c>
      <c r="AE11" s="13">
        <f>_xll.BDH("XOM US Equity","CF_CHNG_NON_CASH_WORK_CAP","FQ1 1997","FQ1 1997","Currency=USD","Period=FQ","BEST_FPERIOD_OVERRIDE=FQ","FILING_STATUS=OR","SCALING_FORMAT=MLN","Sort=A","Dates=H","DateFormat=P","Fill=—","Direction=H","UseDPDF=Y")</f>
        <v>-127</v>
      </c>
      <c r="AF11" s="13">
        <f>_xll.BDH("XOM US Equity","CF_CHNG_NON_CASH_WORK_CAP","FQ2 1997","FQ2 1997","Currency=USD","Period=FQ","BEST_FPERIOD_OVERRIDE=FQ","FILING_STATUS=OR","SCALING_FORMAT=MLN","Sort=A","Dates=H","DateFormat=P","Fill=—","Direction=H","UseDPDF=Y")</f>
        <v>-117</v>
      </c>
      <c r="AG11" s="13">
        <f>_xll.BDH("XOM US Equity","CF_CHNG_NON_CASH_WORK_CAP","FQ3 1997","FQ3 1997","Currency=USD","Period=FQ","BEST_FPERIOD_OVERRIDE=FQ","FILING_STATUS=OR","SCALING_FORMAT=MLN","Sort=A","Dates=H","DateFormat=P","Fill=—","Direction=H","UseDPDF=Y")</f>
        <v>473</v>
      </c>
      <c r="AH11" s="13">
        <f>_xll.BDH("XOM US Equity","CF_CHNG_NON_CASH_WORK_CAP","FQ4 1997","FQ4 1997","Currency=USD","Period=FQ","BEST_FPERIOD_OVERRIDE=FQ","FILING_STATUS=OR","SCALING_FORMAT=MLN","Sort=A","Dates=H","DateFormat=P","Fill=—","Direction=H","UseDPDF=Y")</f>
        <v>-1200</v>
      </c>
      <c r="AI11" s="13">
        <f>_xll.BDH("XOM US Equity","CF_CHNG_NON_CASH_WORK_CAP","FQ1 1998","FQ1 1998","Currency=USD","Period=FQ","BEST_FPERIOD_OVERRIDE=FQ","FILING_STATUS=OR","SCALING_FORMAT=MLN","Sort=A","Dates=H","DateFormat=P","Fill=—","Direction=H","UseDPDF=Y")</f>
        <v>-45</v>
      </c>
      <c r="AJ11" s="13">
        <f>_xll.BDH("XOM US Equity","CF_CHNG_NON_CASH_WORK_CAP","FQ2 1998","FQ2 1998","Currency=USD","Period=FQ","BEST_FPERIOD_OVERRIDE=FQ","FILING_STATUS=OR","SCALING_FORMAT=MLN","Sort=A","Dates=H","DateFormat=P","Fill=—","Direction=H","UseDPDF=Y")</f>
        <v>40</v>
      </c>
    </row>
    <row r="12" spans="1:36" x14ac:dyDescent="0.25">
      <c r="A12" s="10" t="s">
        <v>246</v>
      </c>
      <c r="B12" s="10" t="s">
        <v>247</v>
      </c>
      <c r="C12" s="13">
        <f>_xll.BDH("XOM US Equity","INC_DEC_IN_OT_OP_AST_LIAB_DETAIL","FQ1 1990","FQ1 1990","Currency=USD","Period=FQ","BEST_FPERIOD_OVERRIDE=FQ","FILING_STATUS=OR","SCALING_FORMAT=MLN","Sort=A","Dates=H","DateFormat=P","Fill=—","Direction=H","UseDPDF=Y")</f>
        <v>-923</v>
      </c>
      <c r="D12" s="13">
        <f>_xll.BDH("XOM US Equity","INC_DEC_IN_OT_OP_AST_LIAB_DETAIL","FQ2 1990","FQ2 1990","Currency=USD","Period=FQ","BEST_FPERIOD_OVERRIDE=FQ","FILING_STATUS=OR","SCALING_FORMAT=MLN","Sort=A","Dates=H","DateFormat=P","Fill=—","Direction=H","UseDPDF=Y")</f>
        <v>274</v>
      </c>
      <c r="E12" s="13">
        <f>_xll.BDH("XOM US Equity","INC_DEC_IN_OT_OP_AST_LIAB_DETAIL","FQ3 1990","FQ3 1990","Currency=USD","Period=FQ","BEST_FPERIOD_OVERRIDE=FQ","FILING_STATUS=OR","SCALING_FORMAT=MLN","Sort=A","Dates=H","DateFormat=P","Fill=—","Direction=H","UseDPDF=Y")</f>
        <v>182</v>
      </c>
      <c r="F12" s="13">
        <f>_xll.BDH("XOM US Equity","INC_DEC_IN_OT_OP_AST_LIAB_DETAIL","FQ4 1990","FQ4 1990","Currency=USD","Period=FQ","BEST_FPERIOD_OVERRIDE=FQ","FILING_STATUS=OR","SCALING_FORMAT=MLN","Sort=A","Dates=H","DateFormat=P","Fill=—","Direction=H","UseDPDF=Y")</f>
        <v>556</v>
      </c>
      <c r="G12" s="13">
        <f>_xll.BDH("XOM US Equity","INC_DEC_IN_OT_OP_AST_LIAB_DETAIL","FQ1 1991","FQ1 1991","Currency=USD","Period=FQ","BEST_FPERIOD_OVERRIDE=FQ","FILING_STATUS=OR","SCALING_FORMAT=MLN","Sort=A","Dates=H","DateFormat=P","Fill=—","Direction=H","UseDPDF=Y")</f>
        <v>-880</v>
      </c>
      <c r="H12" s="13">
        <f>_xll.BDH("XOM US Equity","INC_DEC_IN_OT_OP_AST_LIAB_DETAIL","FQ2 1991","FQ2 1991","Currency=USD","Period=FQ","BEST_FPERIOD_OVERRIDE=FQ","FILING_STATUS=OR","SCALING_FORMAT=MLN","Sort=A","Dates=H","DateFormat=P","Fill=—","Direction=H","UseDPDF=Y")</f>
        <v>-116</v>
      </c>
      <c r="I12" s="13">
        <f>_xll.BDH("XOM US Equity","INC_DEC_IN_OT_OP_AST_LIAB_DETAIL","FQ3 1991","FQ3 1991","Currency=USD","Period=FQ","BEST_FPERIOD_OVERRIDE=FQ","FILING_STATUS=OR","SCALING_FORMAT=MLN","Sort=A","Dates=H","DateFormat=P","Fill=—","Direction=H","UseDPDF=Y")</f>
        <v>215</v>
      </c>
      <c r="J12" s="13">
        <f>_xll.BDH("XOM US Equity","INC_DEC_IN_OT_OP_AST_LIAB_DETAIL","FQ4 1991","FQ4 1991","Currency=USD","Period=FQ","BEST_FPERIOD_OVERRIDE=FQ","FILING_STATUS=OR","SCALING_FORMAT=MLN","Sort=A","Dates=H","DateFormat=P","Fill=—","Direction=H","UseDPDF=Y")</f>
        <v>646</v>
      </c>
      <c r="K12" s="13">
        <f>_xll.BDH("XOM US Equity","INC_DEC_IN_OT_OP_AST_LIAB_DETAIL","FQ1 1992","FQ1 1992","Currency=USD","Period=FQ","BEST_FPERIOD_OVERRIDE=FQ","FILING_STATUS=OR","SCALING_FORMAT=MLN","Sort=A","Dates=H","DateFormat=P","Fill=—","Direction=H","UseDPDF=Y")</f>
        <v>-44</v>
      </c>
      <c r="L12" s="13">
        <f>_xll.BDH("XOM US Equity","INC_DEC_IN_OT_OP_AST_LIAB_DETAIL","FQ2 1992","FQ2 1992","Currency=USD","Period=FQ","BEST_FPERIOD_OVERRIDE=FQ","FILING_STATUS=OR","SCALING_FORMAT=MLN","Sort=A","Dates=H","DateFormat=P","Fill=—","Direction=H","UseDPDF=Y")</f>
        <v>-360</v>
      </c>
      <c r="M12" s="13">
        <f>_xll.BDH("XOM US Equity","INC_DEC_IN_OT_OP_AST_LIAB_DETAIL","FQ3 1992","FQ3 1992","Currency=USD","Period=FQ","BEST_FPERIOD_OVERRIDE=FQ","FILING_STATUS=OR","SCALING_FORMAT=MLN","Sort=A","Dates=H","DateFormat=P","Fill=—","Direction=H","UseDPDF=Y")</f>
        <v>164</v>
      </c>
      <c r="N12" s="13">
        <f>_xll.BDH("XOM US Equity","INC_DEC_IN_OT_OP_AST_LIAB_DETAIL","FQ4 1992","FQ4 1992","Currency=USD","Period=FQ","BEST_FPERIOD_OVERRIDE=FQ","FILING_STATUS=OR","SCALING_FORMAT=MLN","Sort=A","Dates=H","DateFormat=P","Fill=—","Direction=H","UseDPDF=Y")</f>
        <v>-83</v>
      </c>
      <c r="O12" s="13">
        <f>_xll.BDH("XOM US Equity","INC_DEC_IN_OT_OP_AST_LIAB_DETAIL","FQ1 1993","FQ1 1993","Currency=USD","Period=FQ","BEST_FPERIOD_OVERRIDE=FQ","FILING_STATUS=OR","SCALING_FORMAT=MLN","Sort=A","Dates=H","DateFormat=P","Fill=—","Direction=H","UseDPDF=Y")</f>
        <v>268</v>
      </c>
      <c r="P12" s="13">
        <f>_xll.BDH("XOM US Equity","INC_DEC_IN_OT_OP_AST_LIAB_DETAIL","FQ2 1993","FQ2 1993","Currency=USD","Period=FQ","BEST_FPERIOD_OVERRIDE=FQ","FILING_STATUS=OR","SCALING_FORMAT=MLN","Sort=A","Dates=H","DateFormat=P","Fill=—","Direction=H","UseDPDF=Y")</f>
        <v>-123</v>
      </c>
      <c r="Q12" s="13">
        <f>_xll.BDH("XOM US Equity","INC_DEC_IN_OT_OP_AST_LIAB_DETAIL","FQ3 1993","FQ3 1993","Currency=USD","Period=FQ","BEST_FPERIOD_OVERRIDE=FQ","FILING_STATUS=OR","SCALING_FORMAT=MLN","Sort=A","Dates=H","DateFormat=P","Fill=—","Direction=H","UseDPDF=Y")</f>
        <v>906</v>
      </c>
      <c r="R12" s="13">
        <f>_xll.BDH("XOM US Equity","INC_DEC_IN_OT_OP_AST_LIAB_DETAIL","FQ4 1993","FQ4 1993","Currency=USD","Period=FQ","BEST_FPERIOD_OVERRIDE=FQ","FILING_STATUS=OR","SCALING_FORMAT=MLN","Sort=A","Dates=H","DateFormat=P","Fill=—","Direction=H","UseDPDF=Y")</f>
        <v>-27</v>
      </c>
      <c r="S12" s="13">
        <f>_xll.BDH("XOM US Equity","INC_DEC_IN_OT_OP_AST_LIAB_DETAIL","FQ1 1994","FQ1 1994","Currency=USD","Period=FQ","BEST_FPERIOD_OVERRIDE=FQ","FILING_STATUS=OR","SCALING_FORMAT=MLN","Sort=A","Dates=H","DateFormat=P","Fill=—","Direction=H","UseDPDF=Y")</f>
        <v>-145</v>
      </c>
      <c r="T12" s="13">
        <f>_xll.BDH("XOM US Equity","INC_DEC_IN_OT_OP_AST_LIAB_DETAIL","FQ2 1994","FQ2 1994","Currency=USD","Period=FQ","BEST_FPERIOD_OVERRIDE=FQ","FILING_STATUS=OR","SCALING_FORMAT=MLN","Sort=A","Dates=H","DateFormat=P","Fill=—","Direction=H","UseDPDF=Y")</f>
        <v>81</v>
      </c>
      <c r="U12" s="13">
        <f>_xll.BDH("XOM US Equity","INC_DEC_IN_OT_OP_AST_LIAB_DETAIL","FQ3 1994","FQ3 1994","Currency=USD","Period=FQ","BEST_FPERIOD_OVERRIDE=FQ","FILING_STATUS=OR","SCALING_FORMAT=MLN","Sort=A","Dates=H","DateFormat=P","Fill=—","Direction=H","UseDPDF=Y")</f>
        <v>-248</v>
      </c>
      <c r="V12" s="13">
        <f>_xll.BDH("XOM US Equity","INC_DEC_IN_OT_OP_AST_LIAB_DETAIL","FQ4 1994","FQ4 1994","Currency=USD","Period=FQ","BEST_FPERIOD_OVERRIDE=FQ","FILING_STATUS=OR","SCALING_FORMAT=MLN","Sort=A","Dates=H","DateFormat=P","Fill=—","Direction=H","UseDPDF=Y")</f>
        <v>23</v>
      </c>
      <c r="W12" s="13">
        <f>_xll.BDH("XOM US Equity","INC_DEC_IN_OT_OP_AST_LIAB_DETAIL","FQ1 1995","FQ1 1995","Currency=USD","Period=FQ","BEST_FPERIOD_OVERRIDE=FQ","FILING_STATUS=OR","SCALING_FORMAT=MLN","Sort=A","Dates=H","DateFormat=P","Fill=—","Direction=H","UseDPDF=Y")</f>
        <v>212</v>
      </c>
      <c r="X12" s="13">
        <f>_xll.BDH("XOM US Equity","INC_DEC_IN_OT_OP_AST_LIAB_DETAIL","FQ2 1995","FQ2 1995","Currency=USD","Period=FQ","BEST_FPERIOD_OVERRIDE=FQ","FILING_STATUS=OR","SCALING_FORMAT=MLN","Sort=A","Dates=H","DateFormat=P","Fill=—","Direction=H","UseDPDF=Y")</f>
        <v>-220</v>
      </c>
      <c r="Y12" s="13">
        <f>_xll.BDH("XOM US Equity","INC_DEC_IN_OT_OP_AST_LIAB_DETAIL","FQ3 1995","FQ3 1995","Currency=USD","Period=FQ","BEST_FPERIOD_OVERRIDE=FQ","FILING_STATUS=OR","SCALING_FORMAT=MLN","Sort=A","Dates=H","DateFormat=P","Fill=—","Direction=H","UseDPDF=Y")</f>
        <v>117</v>
      </c>
      <c r="Z12" s="13">
        <f>_xll.BDH("XOM US Equity","INC_DEC_IN_OT_OP_AST_LIAB_DETAIL","FQ4 1995","FQ4 1995","Currency=USD","Period=FQ","BEST_FPERIOD_OVERRIDE=FQ","FILING_STATUS=OR","SCALING_FORMAT=MLN","Sort=A","Dates=H","DateFormat=P","Fill=—","Direction=H","UseDPDF=Y")</f>
        <v>-119</v>
      </c>
      <c r="AA12" s="13">
        <f>_xll.BDH("XOM US Equity","INC_DEC_IN_OT_OP_AST_LIAB_DETAIL","FQ1 1996","FQ1 1996","Currency=USD","Period=FQ","BEST_FPERIOD_OVERRIDE=FQ","FILING_STATUS=OR","SCALING_FORMAT=MLN","Sort=A","Dates=H","DateFormat=P","Fill=—","Direction=H","UseDPDF=Y")</f>
        <v>528</v>
      </c>
      <c r="AB12" s="13">
        <f>_xll.BDH("XOM US Equity","INC_DEC_IN_OT_OP_AST_LIAB_DETAIL","FQ2 1996","FQ2 1996","Currency=USD","Period=FQ","BEST_FPERIOD_OVERRIDE=FQ","FILING_STATUS=OR","SCALING_FORMAT=MLN","Sort=A","Dates=H","DateFormat=P","Fill=—","Direction=H","UseDPDF=Y")</f>
        <v>-365</v>
      </c>
      <c r="AC12" s="13">
        <f>_xll.BDH("XOM US Equity","INC_DEC_IN_OT_OP_AST_LIAB_DETAIL","FQ3 1996","FQ3 1996","Currency=USD","Period=FQ","BEST_FPERIOD_OVERRIDE=FQ","FILING_STATUS=OR","SCALING_FORMAT=MLN","Sort=A","Dates=H","DateFormat=P","Fill=—","Direction=H","UseDPDF=Y")</f>
        <v>471</v>
      </c>
      <c r="AD12" s="13">
        <f>_xll.BDH("XOM US Equity","INC_DEC_IN_OT_OP_AST_LIAB_DETAIL","FQ4 1996","FQ4 1996","Currency=USD","Period=FQ","BEST_FPERIOD_OVERRIDE=FQ","FILING_STATUS=OR","SCALING_FORMAT=MLN","Sort=A","Dates=H","DateFormat=P","Fill=—","Direction=H","UseDPDF=Y")</f>
        <v>-2055</v>
      </c>
      <c r="AE12" s="13">
        <f>_xll.BDH("XOM US Equity","INC_DEC_IN_OT_OP_AST_LIAB_DETAIL","FQ1 1997","FQ1 1997","Currency=USD","Period=FQ","BEST_FPERIOD_OVERRIDE=FQ","FILING_STATUS=OR","SCALING_FORMAT=MLN","Sort=A","Dates=H","DateFormat=P","Fill=—","Direction=H","UseDPDF=Y")</f>
        <v>-127</v>
      </c>
      <c r="AF12" s="13">
        <f>_xll.BDH("XOM US Equity","INC_DEC_IN_OT_OP_AST_LIAB_DETAIL","FQ2 1997","FQ2 1997","Currency=USD","Period=FQ","BEST_FPERIOD_OVERRIDE=FQ","FILING_STATUS=OR","SCALING_FORMAT=MLN","Sort=A","Dates=H","DateFormat=P","Fill=—","Direction=H","UseDPDF=Y")</f>
        <v>-117</v>
      </c>
      <c r="AG12" s="13">
        <f>_xll.BDH("XOM US Equity","INC_DEC_IN_OT_OP_AST_LIAB_DETAIL","FQ3 1997","FQ3 1997","Currency=USD","Period=FQ","BEST_FPERIOD_OVERRIDE=FQ","FILING_STATUS=OR","SCALING_FORMAT=MLN","Sort=A","Dates=H","DateFormat=P","Fill=—","Direction=H","UseDPDF=Y")</f>
        <v>473</v>
      </c>
      <c r="AH12" s="13">
        <f>_xll.BDH("XOM US Equity","INC_DEC_IN_OT_OP_AST_LIAB_DETAIL","FQ4 1997","FQ4 1997","Currency=USD","Period=FQ","BEST_FPERIOD_OVERRIDE=FQ","FILING_STATUS=OR","SCALING_FORMAT=MLN","Sort=A","Dates=H","DateFormat=P","Fill=—","Direction=H","UseDPDF=Y")</f>
        <v>-1200</v>
      </c>
      <c r="AI12" s="13">
        <f>_xll.BDH("XOM US Equity","INC_DEC_IN_OT_OP_AST_LIAB_DETAIL","FQ1 1998","FQ1 1998","Currency=USD","Period=FQ","BEST_FPERIOD_OVERRIDE=FQ","FILING_STATUS=OR","SCALING_FORMAT=MLN","Sort=A","Dates=H","DateFormat=P","Fill=—","Direction=H","UseDPDF=Y")</f>
        <v>-45</v>
      </c>
      <c r="AJ12" s="13">
        <f>_xll.BDH("XOM US Equity","INC_DEC_IN_OT_OP_AST_LIAB_DETAIL","FQ2 1998","FQ2 1998","Currency=USD","Period=FQ","BEST_FPERIOD_OVERRIDE=FQ","FILING_STATUS=OR","SCALING_FORMAT=MLN","Sort=A","Dates=H","DateFormat=P","Fill=—","Direction=H","UseDPDF=Y")</f>
        <v>40</v>
      </c>
    </row>
    <row r="13" spans="1:36" x14ac:dyDescent="0.25">
      <c r="A13" s="6" t="s">
        <v>235</v>
      </c>
      <c r="B13" s="6" t="s">
        <v>248</v>
      </c>
      <c r="C13" s="16">
        <f>_xll.BDH("XOM US Equity","CF_CASH_FROM_OPER","FQ1 1990","FQ1 1990","Currency=USD","Period=FQ","BEST_FPERIOD_OVERRIDE=FQ","FILING_STATUS=OR","SCALING_FORMAT=MLN","Sort=A","Dates=H","DateFormat=P","Fill=—","Direction=H","UseDPDF=Y")</f>
        <v>1770</v>
      </c>
      <c r="D13" s="16">
        <f>_xll.BDH("XOM US Equity","CF_CASH_FROM_OPER","FQ2 1990","FQ2 1990","Currency=USD","Period=FQ","BEST_FPERIOD_OVERRIDE=FQ","FILING_STATUS=OR","SCALING_FORMAT=MLN","Sort=A","Dates=H","DateFormat=P","Fill=—","Direction=H","UseDPDF=Y")</f>
        <v>2751</v>
      </c>
      <c r="E13" s="16">
        <f>_xll.BDH("XOM US Equity","CF_CASH_FROM_OPER","FQ3 1990","FQ3 1990","Currency=USD","Period=FQ","BEST_FPERIOD_OVERRIDE=FQ","FILING_STATUS=OR","SCALING_FORMAT=MLN","Sort=A","Dates=H","DateFormat=P","Fill=—","Direction=H","UseDPDF=Y")</f>
        <v>1961</v>
      </c>
      <c r="F13" s="16">
        <f>_xll.BDH("XOM US Equity","CF_CASH_FROM_OPER","FQ4 1990","FQ4 1990","Currency=USD","Period=FQ","BEST_FPERIOD_OVERRIDE=FQ","FILING_STATUS=OR","SCALING_FORMAT=MLN","Sort=A","Dates=H","DateFormat=P","Fill=—","Direction=H","UseDPDF=Y")</f>
        <v>4164</v>
      </c>
      <c r="G13" s="16">
        <f>_xll.BDH("XOM US Equity","CF_CASH_FROM_OPER","FQ1 1991","FQ1 1991","Currency=USD","Period=FQ","BEST_FPERIOD_OVERRIDE=FQ","FILING_STATUS=OR","SCALING_FORMAT=MLN","Sort=A","Dates=H","DateFormat=P","Fill=—","Direction=H","UseDPDF=Y")</f>
        <v>2750</v>
      </c>
      <c r="H13" s="16">
        <f>_xll.BDH("XOM US Equity","CF_CASH_FROM_OPER","FQ2 1991","FQ2 1991","Currency=USD","Period=FQ","BEST_FPERIOD_OVERRIDE=FQ","FILING_STATUS=OR","SCALING_FORMAT=MLN","Sort=A","Dates=H","DateFormat=P","Fill=—","Direction=H","UseDPDF=Y")</f>
        <v>2593</v>
      </c>
      <c r="I13" s="16">
        <f>_xll.BDH("XOM US Equity","CF_CASH_FROM_OPER","FQ3 1991","FQ3 1991","Currency=USD","Period=FQ","BEST_FPERIOD_OVERRIDE=FQ","FILING_STATUS=OR","SCALING_FORMAT=MLN","Sort=A","Dates=H","DateFormat=P","Fill=—","Direction=H","UseDPDF=Y")</f>
        <v>2799</v>
      </c>
      <c r="J13" s="16">
        <f>_xll.BDH("XOM US Equity","CF_CASH_FROM_OPER","FQ4 1991","FQ4 1991","Currency=USD","Period=FQ","BEST_FPERIOD_OVERRIDE=FQ","FILING_STATUS=OR","SCALING_FORMAT=MLN","Sort=A","Dates=H","DateFormat=P","Fill=—","Direction=H","UseDPDF=Y")</f>
        <v>2800</v>
      </c>
      <c r="K13" s="16">
        <f>_xll.BDH("XOM US Equity","CF_CASH_FROM_OPER","FQ1 1992","FQ1 1992","Currency=USD","Period=FQ","BEST_FPERIOD_OVERRIDE=FQ","FILING_STATUS=OR","SCALING_FORMAT=MLN","Sort=A","Dates=H","DateFormat=P","Fill=—","Direction=H","UseDPDF=Y")</f>
        <v>2480</v>
      </c>
      <c r="L13" s="16">
        <f>_xll.BDH("XOM US Equity","CF_CASH_FROM_OPER","FQ2 1992","FQ2 1992","Currency=USD","Period=FQ","BEST_FPERIOD_OVERRIDE=FQ","FILING_STATUS=OR","SCALING_FORMAT=MLN","Sort=A","Dates=H","DateFormat=P","Fill=—","Direction=H","UseDPDF=Y")</f>
        <v>1756</v>
      </c>
      <c r="M13" s="16">
        <f>_xll.BDH("XOM US Equity","CF_CASH_FROM_OPER","FQ3 1992","FQ3 1992","Currency=USD","Period=FQ","BEST_FPERIOD_OVERRIDE=FQ","FILING_STATUS=OR","SCALING_FORMAT=MLN","Sort=A","Dates=H","DateFormat=P","Fill=—","Direction=H","UseDPDF=Y")</f>
        <v>2591</v>
      </c>
      <c r="N13" s="16">
        <f>_xll.BDH("XOM US Equity","CF_CASH_FROM_OPER","FQ4 1992","FQ4 1992","Currency=USD","Period=FQ","BEST_FPERIOD_OVERRIDE=FQ","FILING_STATUS=OR","SCALING_FORMAT=MLN","Sort=A","Dates=H","DateFormat=P","Fill=—","Direction=H","UseDPDF=Y")</f>
        <v>2784</v>
      </c>
      <c r="O13" s="16">
        <f>_xll.BDH("XOM US Equity","CF_CASH_FROM_OPER","FQ1 1993","FQ1 1993","Currency=USD","Period=FQ","BEST_FPERIOD_OVERRIDE=FQ","FILING_STATUS=OR","SCALING_FORMAT=MLN","Sort=A","Dates=H","DateFormat=P","Fill=—","Direction=H","UseDPDF=Y")</f>
        <v>2612</v>
      </c>
      <c r="P13" s="16">
        <f>_xll.BDH("XOM US Equity","CF_CASH_FROM_OPER","FQ2 1993","FQ2 1993","Currency=USD","Period=FQ","BEST_FPERIOD_OVERRIDE=FQ","FILING_STATUS=OR","SCALING_FORMAT=MLN","Sort=A","Dates=H","DateFormat=P","Fill=—","Direction=H","UseDPDF=Y")</f>
        <v>2688</v>
      </c>
      <c r="Q13" s="16">
        <f>_xll.BDH("XOM US Equity","CF_CASH_FROM_OPER","FQ3 1993","FQ3 1993","Currency=USD","Period=FQ","BEST_FPERIOD_OVERRIDE=FQ","FILING_STATUS=OR","SCALING_FORMAT=MLN","Sort=A","Dates=H","DateFormat=P","Fill=—","Direction=H","UseDPDF=Y")</f>
        <v>3177</v>
      </c>
      <c r="R13" s="16">
        <f>_xll.BDH("XOM US Equity","CF_CASH_FROM_OPER","FQ4 1993","FQ4 1993","Currency=USD","Period=FQ","BEST_FPERIOD_OVERRIDE=FQ","FILING_STATUS=OR","SCALING_FORMAT=MLN","Sort=A","Dates=H","DateFormat=P","Fill=—","Direction=H","UseDPDF=Y")</f>
        <v>3026</v>
      </c>
      <c r="S13" s="16">
        <f>_xll.BDH("XOM US Equity","CF_CASH_FROM_OPER","FQ1 1994","FQ1 1994","Currency=USD","Period=FQ","BEST_FPERIOD_OVERRIDE=FQ","FILING_STATUS=OR","SCALING_FORMAT=MLN","Sort=A","Dates=H","DateFormat=P","Fill=—","Direction=H","UseDPDF=Y")</f>
        <v>2363</v>
      </c>
      <c r="T13" s="16">
        <f>_xll.BDH("XOM US Equity","CF_CASH_FROM_OPER","FQ2 1994","FQ2 1994","Currency=USD","Period=FQ","BEST_FPERIOD_OVERRIDE=FQ","FILING_STATUS=OR","SCALING_FORMAT=MLN","Sort=A","Dates=H","DateFormat=P","Fill=—","Direction=H","UseDPDF=Y")</f>
        <v>2055</v>
      </c>
      <c r="U13" s="16">
        <f>_xll.BDH("XOM US Equity","CF_CASH_FROM_OPER","FQ3 1994","FQ3 1994","Currency=USD","Period=FQ","BEST_FPERIOD_OVERRIDE=FQ","FILING_STATUS=OR","SCALING_FORMAT=MLN","Sort=A","Dates=H","DateFormat=P","Fill=—","Direction=H","UseDPDF=Y")</f>
        <v>2683</v>
      </c>
      <c r="V13" s="16">
        <f>_xll.BDH("XOM US Equity","CF_CASH_FROM_OPER","FQ4 1994","FQ4 1994","Currency=USD","Period=FQ","BEST_FPERIOD_OVERRIDE=FQ","FILING_STATUS=OR","SCALING_FORMAT=MLN","Sort=A","Dates=H","DateFormat=P","Fill=—","Direction=H","UseDPDF=Y")</f>
        <v>2750</v>
      </c>
      <c r="W13" s="16">
        <f>_xll.BDH("XOM US Equity","CF_CASH_FROM_OPER","FQ1 1995","FQ1 1995","Currency=USD","Period=FQ","BEST_FPERIOD_OVERRIDE=FQ","FILING_STATUS=OR","SCALING_FORMAT=MLN","Sort=A","Dates=H","DateFormat=P","Fill=—","Direction=H","UseDPDF=Y")</f>
        <v>3282</v>
      </c>
      <c r="X13" s="16">
        <f>_xll.BDH("XOM US Equity","CF_CASH_FROM_OPER","FQ2 1995","FQ2 1995","Currency=USD","Period=FQ","BEST_FPERIOD_OVERRIDE=FQ","FILING_STATUS=OR","SCALING_FORMAT=MLN","Sort=A","Dates=H","DateFormat=P","Fill=—","Direction=H","UseDPDF=Y")</f>
        <v>3048</v>
      </c>
      <c r="Y13" s="16">
        <f>_xll.BDH("XOM US Equity","CF_CASH_FROM_OPER","FQ3 1995","FQ3 1995","Currency=USD","Period=FQ","BEST_FPERIOD_OVERRIDE=FQ","FILING_STATUS=OR","SCALING_FORMAT=MLN","Sort=A","Dates=H","DateFormat=P","Fill=—","Direction=H","UseDPDF=Y")</f>
        <v>3944</v>
      </c>
      <c r="Z13" s="16">
        <f>_xll.BDH("XOM US Equity","CF_CASH_FROM_OPER","FQ4 1995","FQ4 1995","Currency=USD","Period=FQ","BEST_FPERIOD_OVERRIDE=FQ","FILING_STATUS=OR","SCALING_FORMAT=MLN","Sort=A","Dates=H","DateFormat=P","Fill=—","Direction=H","UseDPDF=Y")</f>
        <v>3573</v>
      </c>
      <c r="AA13" s="16">
        <f>_xll.BDH("XOM US Equity","CF_CASH_FROM_OPER","FQ1 1996","FQ1 1996","Currency=USD","Period=FQ","BEST_FPERIOD_OVERRIDE=FQ","FILING_STATUS=OR","SCALING_FORMAT=MLN","Sort=A","Dates=H","DateFormat=P","Fill=—","Direction=H","UseDPDF=Y")</f>
        <v>4077</v>
      </c>
      <c r="AB13" s="16">
        <f>_xll.BDH("XOM US Equity","CF_CASH_FROM_OPER","FQ2 1996","FQ2 1996","Currency=USD","Period=FQ","BEST_FPERIOD_OVERRIDE=FQ","FILING_STATUS=OR","SCALING_FORMAT=MLN","Sort=A","Dates=H","DateFormat=P","Fill=—","Direction=H","UseDPDF=Y")</f>
        <v>2983</v>
      </c>
      <c r="AC13" s="16">
        <f>_xll.BDH("XOM US Equity","CF_CASH_FROM_OPER","FQ3 1996","FQ3 1996","Currency=USD","Period=FQ","BEST_FPERIOD_OVERRIDE=FQ","FILING_STATUS=OR","SCALING_FORMAT=MLN","Sort=A","Dates=H","DateFormat=P","Fill=—","Direction=H","UseDPDF=Y")</f>
        <v>3140</v>
      </c>
      <c r="AD13" s="16">
        <f>_xll.BDH("XOM US Equity","CF_CASH_FROM_OPER","FQ4 1996","FQ4 1996","Currency=USD","Period=FQ","BEST_FPERIOD_OVERRIDE=FQ","FILING_STATUS=OR","SCALING_FORMAT=MLN","Sort=A","Dates=H","DateFormat=P","Fill=—","Direction=H","UseDPDF=Y")</f>
        <v>2962</v>
      </c>
      <c r="AE13" s="16">
        <f>_xll.BDH("XOM US Equity","CF_CASH_FROM_OPER","FQ1 1997","FQ1 1997","Currency=USD","Period=FQ","BEST_FPERIOD_OVERRIDE=FQ","FILING_STATUS=OR","SCALING_FORMAT=MLN","Sort=A","Dates=H","DateFormat=P","Fill=—","Direction=H","UseDPDF=Y")</f>
        <v>4514</v>
      </c>
      <c r="AF13" s="16">
        <f>_xll.BDH("XOM US Equity","CF_CASH_FROM_OPER","FQ2 1997","FQ2 1997","Currency=USD","Period=FQ","BEST_FPERIOD_OVERRIDE=FQ","FILING_STATUS=OR","SCALING_FORMAT=MLN","Sort=A","Dates=H","DateFormat=P","Fill=—","Direction=H","UseDPDF=Y")</f>
        <v>3413</v>
      </c>
      <c r="AG13" s="16">
        <f>_xll.BDH("XOM US Equity","CF_CASH_FROM_OPER","FQ3 1997","FQ3 1997","Currency=USD","Period=FQ","BEST_FPERIOD_OVERRIDE=FQ","FILING_STATUS=OR","SCALING_FORMAT=MLN","Sort=A","Dates=H","DateFormat=P","Fill=—","Direction=H","UseDPDF=Y")</f>
        <v>4088</v>
      </c>
      <c r="AH13" s="16">
        <f>_xll.BDH("XOM US Equity","CF_CASH_FROM_OPER","FQ4 1997","FQ4 1997","Currency=USD","Period=FQ","BEST_FPERIOD_OVERRIDE=FQ","FILING_STATUS=OR","SCALING_FORMAT=MLN","Sort=A","Dates=H","DateFormat=P","Fill=—","Direction=H","UseDPDF=Y")</f>
        <v>2661</v>
      </c>
      <c r="AI13" s="16">
        <f>_xll.BDH("XOM US Equity","CF_CASH_FROM_OPER","FQ1 1998","FQ1 1998","Currency=USD","Period=FQ","BEST_FPERIOD_OVERRIDE=FQ","FILING_STATUS=OR","SCALING_FORMAT=MLN","Sort=A","Dates=H","DateFormat=P","Fill=—","Direction=H","UseDPDF=Y")</f>
        <v>3074</v>
      </c>
      <c r="AJ13" s="16">
        <f>_xll.BDH("XOM US Equity","CF_CASH_FROM_OPER","FQ2 1998","FQ2 1998","Currency=USD","Period=FQ","BEST_FPERIOD_OVERRIDE=FQ","FILING_STATUS=OR","SCALING_FORMAT=MLN","Sort=A","Dates=H","DateFormat=P","Fill=—","Direction=H","UseDPDF=Y")</f>
        <v>2963</v>
      </c>
    </row>
    <row r="14" spans="1:36" x14ac:dyDescent="0.25">
      <c r="A14" s="6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</row>
    <row r="15" spans="1:36" x14ac:dyDescent="0.25">
      <c r="A15" s="6" t="s">
        <v>249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</row>
    <row r="16" spans="1:36" x14ac:dyDescent="0.25">
      <c r="A16" s="10" t="s">
        <v>250</v>
      </c>
      <c r="B16" s="10" t="s">
        <v>251</v>
      </c>
      <c r="C16" s="13" t="str">
        <f>_xll.BDH("XOM US Equity","CHG_IN_FXD_&amp;_INTANG_AST_DETAILED","FQ1 1990","FQ1 1990","Currency=USD","Period=FQ","BEST_FPERIOD_OVERRIDE=FQ","FILING_STATUS=OR","SCALING_FORMAT=MLN","Sort=A","Dates=H","DateFormat=P","Fill=—","Direction=H","UseDPDF=Y")</f>
        <v>—</v>
      </c>
      <c r="D16" s="13" t="str">
        <f>_xll.BDH("XOM US Equity","CHG_IN_FXD_&amp;_INTANG_AST_DETAILED","FQ2 1990","FQ2 1990","Currency=USD","Period=FQ","BEST_FPERIOD_OVERRIDE=FQ","FILING_STATUS=OR","SCALING_FORMAT=MLN","Sort=A","Dates=H","DateFormat=P","Fill=—","Direction=H","UseDPDF=Y")</f>
        <v>—</v>
      </c>
      <c r="E16" s="13" t="str">
        <f>_xll.BDH("XOM US Equity","CHG_IN_FXD_&amp;_INTANG_AST_DETAILED","FQ3 1990","FQ3 1990","Currency=USD","Period=FQ","BEST_FPERIOD_OVERRIDE=FQ","FILING_STATUS=OR","SCALING_FORMAT=MLN","Sort=A","Dates=H","DateFormat=P","Fill=—","Direction=H","UseDPDF=Y")</f>
        <v>—</v>
      </c>
      <c r="F16" s="13" t="str">
        <f>_xll.BDH("XOM US Equity","CHG_IN_FXD_&amp;_INTANG_AST_DETAILED","FQ4 1990","FQ4 1990","Currency=USD","Period=FQ","BEST_FPERIOD_OVERRIDE=FQ","FILING_STATUS=OR","SCALING_FORMAT=MLN","Sort=A","Dates=H","DateFormat=P","Fill=—","Direction=H","UseDPDF=Y")</f>
        <v>—</v>
      </c>
      <c r="G16" s="13" t="str">
        <f>_xll.BDH("XOM US Equity","CHG_IN_FXD_&amp;_INTANG_AST_DETAILED","FQ1 1991","FQ1 1991","Currency=USD","Period=FQ","BEST_FPERIOD_OVERRIDE=FQ","FILING_STATUS=OR","SCALING_FORMAT=MLN","Sort=A","Dates=H","DateFormat=P","Fill=—","Direction=H","UseDPDF=Y")</f>
        <v>—</v>
      </c>
      <c r="H16" s="13" t="str">
        <f>_xll.BDH("XOM US Equity","CHG_IN_FXD_&amp;_INTANG_AST_DETAILED","FQ2 1991","FQ2 1991","Currency=USD","Period=FQ","BEST_FPERIOD_OVERRIDE=FQ","FILING_STATUS=OR","SCALING_FORMAT=MLN","Sort=A","Dates=H","DateFormat=P","Fill=—","Direction=H","UseDPDF=Y")</f>
        <v>—</v>
      </c>
      <c r="I16" s="13" t="str">
        <f>_xll.BDH("XOM US Equity","CHG_IN_FXD_&amp;_INTANG_AST_DETAILED","FQ3 1991","FQ3 1991","Currency=USD","Period=FQ","BEST_FPERIOD_OVERRIDE=FQ","FILING_STATUS=OR","SCALING_FORMAT=MLN","Sort=A","Dates=H","DateFormat=P","Fill=—","Direction=H","UseDPDF=Y")</f>
        <v>—</v>
      </c>
      <c r="J16" s="13" t="str">
        <f>_xll.BDH("XOM US Equity","CHG_IN_FXD_&amp;_INTANG_AST_DETAILED","FQ4 1991","FQ4 1991","Currency=USD","Period=FQ","BEST_FPERIOD_OVERRIDE=FQ","FILING_STATUS=OR","SCALING_FORMAT=MLN","Sort=A","Dates=H","DateFormat=P","Fill=—","Direction=H","UseDPDF=Y")</f>
        <v>—</v>
      </c>
      <c r="K16" s="13" t="str">
        <f>_xll.BDH("XOM US Equity","CHG_IN_FXD_&amp;_INTANG_AST_DETAILED","FQ1 1992","FQ1 1992","Currency=USD","Period=FQ","BEST_FPERIOD_OVERRIDE=FQ","FILING_STATUS=OR","SCALING_FORMAT=MLN","Sort=A","Dates=H","DateFormat=P","Fill=—","Direction=H","UseDPDF=Y")</f>
        <v>—</v>
      </c>
      <c r="L16" s="13" t="str">
        <f>_xll.BDH("XOM US Equity","CHG_IN_FXD_&amp;_INTANG_AST_DETAILED","FQ2 1992","FQ2 1992","Currency=USD","Period=FQ","BEST_FPERIOD_OVERRIDE=FQ","FILING_STATUS=OR","SCALING_FORMAT=MLN","Sort=A","Dates=H","DateFormat=P","Fill=—","Direction=H","UseDPDF=Y")</f>
        <v>—</v>
      </c>
      <c r="M16" s="13" t="str">
        <f>_xll.BDH("XOM US Equity","CHG_IN_FXD_&amp;_INTANG_AST_DETAILED","FQ3 1992","FQ3 1992","Currency=USD","Period=FQ","BEST_FPERIOD_OVERRIDE=FQ","FILING_STATUS=OR","SCALING_FORMAT=MLN","Sort=A","Dates=H","DateFormat=P","Fill=—","Direction=H","UseDPDF=Y")</f>
        <v>—</v>
      </c>
      <c r="N16" s="13" t="str">
        <f>_xll.BDH("XOM US Equity","CHG_IN_FXD_&amp;_INTANG_AST_DETAILED","FQ4 1992","FQ4 1992","Currency=USD","Period=FQ","BEST_FPERIOD_OVERRIDE=FQ","FILING_STATUS=OR","SCALING_FORMAT=MLN","Sort=A","Dates=H","DateFormat=P","Fill=—","Direction=H","UseDPDF=Y")</f>
        <v>—</v>
      </c>
      <c r="O16" s="13" t="str">
        <f>_xll.BDH("XOM US Equity","CHG_IN_FXD_&amp;_INTANG_AST_DETAILED","FQ1 1993","FQ1 1993","Currency=USD","Period=FQ","BEST_FPERIOD_OVERRIDE=FQ","FILING_STATUS=OR","SCALING_FORMAT=MLN","Sort=A","Dates=H","DateFormat=P","Fill=—","Direction=H","UseDPDF=Y")</f>
        <v>—</v>
      </c>
      <c r="P16" s="13" t="str">
        <f>_xll.BDH("XOM US Equity","CHG_IN_FXD_&amp;_INTANG_AST_DETAILED","FQ2 1993","FQ2 1993","Currency=USD","Period=FQ","BEST_FPERIOD_OVERRIDE=FQ","FILING_STATUS=OR","SCALING_FORMAT=MLN","Sort=A","Dates=H","DateFormat=P","Fill=—","Direction=H","UseDPDF=Y")</f>
        <v>—</v>
      </c>
      <c r="Q16" s="13" t="str">
        <f>_xll.BDH("XOM US Equity","CHG_IN_FXD_&amp;_INTANG_AST_DETAILED","FQ3 1993","FQ3 1993","Currency=USD","Period=FQ","BEST_FPERIOD_OVERRIDE=FQ","FILING_STATUS=OR","SCALING_FORMAT=MLN","Sort=A","Dates=H","DateFormat=P","Fill=—","Direction=H","UseDPDF=Y")</f>
        <v>—</v>
      </c>
      <c r="R16" s="13" t="str">
        <f>_xll.BDH("XOM US Equity","CHG_IN_FXD_&amp;_INTANG_AST_DETAILED","FQ4 1993","FQ4 1993","Currency=USD","Period=FQ","BEST_FPERIOD_OVERRIDE=FQ","FILING_STATUS=OR","SCALING_FORMAT=MLN","Sort=A","Dates=H","DateFormat=P","Fill=—","Direction=H","UseDPDF=Y")</f>
        <v>—</v>
      </c>
      <c r="S16" s="13" t="str">
        <f>_xll.BDH("XOM US Equity","CHG_IN_FXD_&amp;_INTANG_AST_DETAILED","FQ1 1994","FQ1 1994","Currency=USD","Period=FQ","BEST_FPERIOD_OVERRIDE=FQ","FILING_STATUS=OR","SCALING_FORMAT=MLN","Sort=A","Dates=H","DateFormat=P","Fill=—","Direction=H","UseDPDF=Y")</f>
        <v>—</v>
      </c>
      <c r="T16" s="13" t="str">
        <f>_xll.BDH("XOM US Equity","CHG_IN_FXD_&amp;_INTANG_AST_DETAILED","FQ2 1994","FQ2 1994","Currency=USD","Period=FQ","BEST_FPERIOD_OVERRIDE=FQ","FILING_STATUS=OR","SCALING_FORMAT=MLN","Sort=A","Dates=H","DateFormat=P","Fill=—","Direction=H","UseDPDF=Y")</f>
        <v>—</v>
      </c>
      <c r="U16" s="13" t="str">
        <f>_xll.BDH("XOM US Equity","CHG_IN_FXD_&amp;_INTANG_AST_DETAILED","FQ3 1994","FQ3 1994","Currency=USD","Period=FQ","BEST_FPERIOD_OVERRIDE=FQ","FILING_STATUS=OR","SCALING_FORMAT=MLN","Sort=A","Dates=H","DateFormat=P","Fill=—","Direction=H","UseDPDF=Y")</f>
        <v>—</v>
      </c>
      <c r="V16" s="13" t="str">
        <f>_xll.BDH("XOM US Equity","CHG_IN_FXD_&amp;_INTANG_AST_DETAILED","FQ4 1994","FQ4 1994","Currency=USD","Period=FQ","BEST_FPERIOD_OVERRIDE=FQ","FILING_STATUS=OR","SCALING_FORMAT=MLN","Sort=A","Dates=H","DateFormat=P","Fill=—","Direction=H","UseDPDF=Y")</f>
        <v>—</v>
      </c>
      <c r="W16" s="13">
        <f>_xll.BDH("XOM US Equity","CHG_IN_FXD_&amp;_INTANG_AST_DETAILED","FQ1 1995","FQ1 1995","Currency=USD","Period=FQ","BEST_FPERIOD_OVERRIDE=FQ","FILING_STATUS=OR","SCALING_FORMAT=MLN","Sort=A","Dates=H","DateFormat=P","Fill=—","Direction=H","UseDPDF=Y")</f>
        <v>-1399</v>
      </c>
      <c r="X16" s="13">
        <f>_xll.BDH("XOM US Equity","CHG_IN_FXD_&amp;_INTANG_AST_DETAILED","FQ2 1995","FQ2 1995","Currency=USD","Period=FQ","BEST_FPERIOD_OVERRIDE=FQ","FILING_STATUS=OR","SCALING_FORMAT=MLN","Sort=A","Dates=H","DateFormat=P","Fill=—","Direction=H","UseDPDF=Y")</f>
        <v>-1647</v>
      </c>
      <c r="Y16" s="13">
        <f>_xll.BDH("XOM US Equity","CHG_IN_FXD_&amp;_INTANG_AST_DETAILED","FQ3 1995","FQ3 1995","Currency=USD","Period=FQ","BEST_FPERIOD_OVERRIDE=FQ","FILING_STATUS=OR","SCALING_FORMAT=MLN","Sort=A","Dates=H","DateFormat=P","Fill=—","Direction=H","UseDPDF=Y")</f>
        <v>-1779</v>
      </c>
      <c r="Z16" s="13">
        <f>_xll.BDH("XOM US Equity","CHG_IN_FXD_&amp;_INTANG_AST_DETAILED","FQ4 1995","FQ4 1995","Currency=USD","Period=FQ","BEST_FPERIOD_OVERRIDE=FQ","FILING_STATUS=OR","SCALING_FORMAT=MLN","Sort=A","Dates=H","DateFormat=P","Fill=—","Direction=H","UseDPDF=Y")</f>
        <v>-2303</v>
      </c>
      <c r="AA16" s="13">
        <f>_xll.BDH("XOM US Equity","CHG_IN_FXD_&amp;_INTANG_AST_DETAILED","FQ1 1996","FQ1 1996","Currency=USD","Period=FQ","BEST_FPERIOD_OVERRIDE=FQ","FILING_STATUS=OR","SCALING_FORMAT=MLN","Sort=A","Dates=H","DateFormat=P","Fill=—","Direction=H","UseDPDF=Y")</f>
        <v>-1413</v>
      </c>
      <c r="AB16" s="13">
        <f>_xll.BDH("XOM US Equity","CHG_IN_FXD_&amp;_INTANG_AST_DETAILED","FQ2 1996","FQ2 1996","Currency=USD","Period=FQ","BEST_FPERIOD_OVERRIDE=FQ","FILING_STATUS=OR","SCALING_FORMAT=MLN","Sort=A","Dates=H","DateFormat=P","Fill=—","Direction=H","UseDPDF=Y")</f>
        <v>-1846</v>
      </c>
      <c r="AC16" s="13">
        <f>_xll.BDH("XOM US Equity","CHG_IN_FXD_&amp;_INTANG_AST_DETAILED","FQ3 1996","FQ3 1996","Currency=USD","Period=FQ","BEST_FPERIOD_OVERRIDE=FQ","FILING_STATUS=OR","SCALING_FORMAT=MLN","Sort=A","Dates=H","DateFormat=P","Fill=—","Direction=H","UseDPDF=Y")</f>
        <v>-1842</v>
      </c>
      <c r="AD16" s="13">
        <f>_xll.BDH("XOM US Equity","CHG_IN_FXD_&amp;_INTANG_AST_DETAILED","FQ4 1996","FQ4 1996","Currency=USD","Period=FQ","BEST_FPERIOD_OVERRIDE=FQ","FILING_STATUS=OR","SCALING_FORMAT=MLN","Sort=A","Dates=H","DateFormat=P","Fill=—","Direction=H","UseDPDF=Y")</f>
        <v>-2108</v>
      </c>
      <c r="AE16" s="13">
        <f>_xll.BDH("XOM US Equity","CHG_IN_FXD_&amp;_INTANG_AST_DETAILED","FQ1 1997","FQ1 1997","Currency=USD","Period=FQ","BEST_FPERIOD_OVERRIDE=FQ","FILING_STATUS=OR","SCALING_FORMAT=MLN","Sort=A","Dates=H","DateFormat=P","Fill=—","Direction=H","UseDPDF=Y")</f>
        <v>-1481</v>
      </c>
      <c r="AF16" s="13">
        <f>_xll.BDH("XOM US Equity","CHG_IN_FXD_&amp;_INTANG_AST_DETAILED","FQ2 1997","FQ2 1997","Currency=USD","Period=FQ","BEST_FPERIOD_OVERRIDE=FQ","FILING_STATUS=OR","SCALING_FORMAT=MLN","Sort=A","Dates=H","DateFormat=P","Fill=—","Direction=H","UseDPDF=Y")</f>
        <v>-1850</v>
      </c>
      <c r="AG16" s="13">
        <f>_xll.BDH("XOM US Equity","CHG_IN_FXD_&amp;_INTANG_AST_DETAILED","FQ3 1997","FQ3 1997","Currency=USD","Period=FQ","BEST_FPERIOD_OVERRIDE=FQ","FILING_STATUS=OR","SCALING_FORMAT=MLN","Sort=A","Dates=H","DateFormat=P","Fill=—","Direction=H","UseDPDF=Y")</f>
        <v>-1969</v>
      </c>
      <c r="AH16" s="13">
        <f>_xll.BDH("XOM US Equity","CHG_IN_FXD_&amp;_INTANG_AST_DETAILED","FQ4 1997","FQ4 1997","Currency=USD","Period=FQ","BEST_FPERIOD_OVERRIDE=FQ","FILING_STATUS=OR","SCALING_FORMAT=MLN","Sort=A","Dates=H","DateFormat=P","Fill=—","Direction=H","UseDPDF=Y")</f>
        <v>-2093</v>
      </c>
      <c r="AI16" s="13">
        <f>_xll.BDH("XOM US Equity","CHG_IN_FXD_&amp;_INTANG_AST_DETAILED","FQ1 1998","FQ1 1998","Currency=USD","Period=FQ","BEST_FPERIOD_OVERRIDE=FQ","FILING_STATUS=OR","SCALING_FORMAT=MLN","Sort=A","Dates=H","DateFormat=P","Fill=—","Direction=H","UseDPDF=Y")</f>
        <v>-1584</v>
      </c>
      <c r="AJ16" s="13">
        <f>_xll.BDH("XOM US Equity","CHG_IN_FXD_&amp;_INTANG_AST_DETAILED","FQ2 1998","FQ2 1998","Currency=USD","Period=FQ","BEST_FPERIOD_OVERRIDE=FQ","FILING_STATUS=OR","SCALING_FORMAT=MLN","Sort=A","Dates=H","DateFormat=P","Fill=—","Direction=H","UseDPDF=Y")</f>
        <v>-1899</v>
      </c>
    </row>
    <row r="17" spans="1:36" x14ac:dyDescent="0.25">
      <c r="A17" s="10" t="s">
        <v>252</v>
      </c>
      <c r="B17" s="10" t="s">
        <v>253</v>
      </c>
      <c r="C17" s="13" t="str">
        <f>_xll.BDH("XOM US Equity","DISP_FXD_&amp;_INTANGIBLES_DETAILED","FQ1 1990","FQ1 1990","Currency=USD","Period=FQ","BEST_FPERIOD_OVERRIDE=FQ","FILING_STATUS=OR","SCALING_FORMAT=MLN","Sort=A","Dates=H","DateFormat=P","Fill=—","Direction=H","UseDPDF=Y")</f>
        <v>—</v>
      </c>
      <c r="D17" s="13" t="str">
        <f>_xll.BDH("XOM US Equity","DISP_FXD_&amp;_INTANGIBLES_DETAILED","FQ2 1990","FQ2 1990","Currency=USD","Period=FQ","BEST_FPERIOD_OVERRIDE=FQ","FILING_STATUS=OR","SCALING_FORMAT=MLN","Sort=A","Dates=H","DateFormat=P","Fill=—","Direction=H","UseDPDF=Y")</f>
        <v>—</v>
      </c>
      <c r="E17" s="13" t="str">
        <f>_xll.BDH("XOM US Equity","DISP_FXD_&amp;_INTANGIBLES_DETAILED","FQ3 1990","FQ3 1990","Currency=USD","Period=FQ","BEST_FPERIOD_OVERRIDE=FQ","FILING_STATUS=OR","SCALING_FORMAT=MLN","Sort=A","Dates=H","DateFormat=P","Fill=—","Direction=H","UseDPDF=Y")</f>
        <v>—</v>
      </c>
      <c r="F17" s="13" t="str">
        <f>_xll.BDH("XOM US Equity","DISP_FXD_&amp;_INTANGIBLES_DETAILED","FQ4 1990","FQ4 1990","Currency=USD","Period=FQ","BEST_FPERIOD_OVERRIDE=FQ","FILING_STATUS=OR","SCALING_FORMAT=MLN","Sort=A","Dates=H","DateFormat=P","Fill=—","Direction=H","UseDPDF=Y")</f>
        <v>—</v>
      </c>
      <c r="G17" s="13" t="str">
        <f>_xll.BDH("XOM US Equity","DISP_FXD_&amp;_INTANGIBLES_DETAILED","FQ1 1991","FQ1 1991","Currency=USD","Period=FQ","BEST_FPERIOD_OVERRIDE=FQ","FILING_STATUS=OR","SCALING_FORMAT=MLN","Sort=A","Dates=H","DateFormat=P","Fill=—","Direction=H","UseDPDF=Y")</f>
        <v>—</v>
      </c>
      <c r="H17" s="13" t="str">
        <f>_xll.BDH("XOM US Equity","DISP_FXD_&amp;_INTANGIBLES_DETAILED","FQ2 1991","FQ2 1991","Currency=USD","Period=FQ","BEST_FPERIOD_OVERRIDE=FQ","FILING_STATUS=OR","SCALING_FORMAT=MLN","Sort=A","Dates=H","DateFormat=P","Fill=—","Direction=H","UseDPDF=Y")</f>
        <v>—</v>
      </c>
      <c r="I17" s="13" t="str">
        <f>_xll.BDH("XOM US Equity","DISP_FXD_&amp;_INTANGIBLES_DETAILED","FQ3 1991","FQ3 1991","Currency=USD","Period=FQ","BEST_FPERIOD_OVERRIDE=FQ","FILING_STATUS=OR","SCALING_FORMAT=MLN","Sort=A","Dates=H","DateFormat=P","Fill=—","Direction=H","UseDPDF=Y")</f>
        <v>—</v>
      </c>
      <c r="J17" s="13" t="str">
        <f>_xll.BDH("XOM US Equity","DISP_FXD_&amp;_INTANGIBLES_DETAILED","FQ4 1991","FQ4 1991","Currency=USD","Period=FQ","BEST_FPERIOD_OVERRIDE=FQ","FILING_STATUS=OR","SCALING_FORMAT=MLN","Sort=A","Dates=H","DateFormat=P","Fill=—","Direction=H","UseDPDF=Y")</f>
        <v>—</v>
      </c>
      <c r="K17" s="13" t="str">
        <f>_xll.BDH("XOM US Equity","DISP_FXD_&amp;_INTANGIBLES_DETAILED","FQ1 1992","FQ1 1992","Currency=USD","Period=FQ","BEST_FPERIOD_OVERRIDE=FQ","FILING_STATUS=OR","SCALING_FORMAT=MLN","Sort=A","Dates=H","DateFormat=P","Fill=—","Direction=H","UseDPDF=Y")</f>
        <v>—</v>
      </c>
      <c r="L17" s="13" t="str">
        <f>_xll.BDH("XOM US Equity","DISP_FXD_&amp;_INTANGIBLES_DETAILED","FQ2 1992","FQ2 1992","Currency=USD","Period=FQ","BEST_FPERIOD_OVERRIDE=FQ","FILING_STATUS=OR","SCALING_FORMAT=MLN","Sort=A","Dates=H","DateFormat=P","Fill=—","Direction=H","UseDPDF=Y")</f>
        <v>—</v>
      </c>
      <c r="M17" s="13" t="str">
        <f>_xll.BDH("XOM US Equity","DISP_FXD_&amp;_INTANGIBLES_DETAILED","FQ3 1992","FQ3 1992","Currency=USD","Period=FQ","BEST_FPERIOD_OVERRIDE=FQ","FILING_STATUS=OR","SCALING_FORMAT=MLN","Sort=A","Dates=H","DateFormat=P","Fill=—","Direction=H","UseDPDF=Y")</f>
        <v>—</v>
      </c>
      <c r="N17" s="13" t="str">
        <f>_xll.BDH("XOM US Equity","DISP_FXD_&amp;_INTANGIBLES_DETAILED","FQ4 1992","FQ4 1992","Currency=USD","Period=FQ","BEST_FPERIOD_OVERRIDE=FQ","FILING_STATUS=OR","SCALING_FORMAT=MLN","Sort=A","Dates=H","DateFormat=P","Fill=—","Direction=H","UseDPDF=Y")</f>
        <v>—</v>
      </c>
      <c r="O17" s="13" t="str">
        <f>_xll.BDH("XOM US Equity","DISP_FXD_&amp;_INTANGIBLES_DETAILED","FQ1 1993","FQ1 1993","Currency=USD","Period=FQ","BEST_FPERIOD_OVERRIDE=FQ","FILING_STATUS=OR","SCALING_FORMAT=MLN","Sort=A","Dates=H","DateFormat=P","Fill=—","Direction=H","UseDPDF=Y")</f>
        <v>—</v>
      </c>
      <c r="P17" s="13" t="str">
        <f>_xll.BDH("XOM US Equity","DISP_FXD_&amp;_INTANGIBLES_DETAILED","FQ2 1993","FQ2 1993","Currency=USD","Period=FQ","BEST_FPERIOD_OVERRIDE=FQ","FILING_STATUS=OR","SCALING_FORMAT=MLN","Sort=A","Dates=H","DateFormat=P","Fill=—","Direction=H","UseDPDF=Y")</f>
        <v>—</v>
      </c>
      <c r="Q17" s="13" t="str">
        <f>_xll.BDH("XOM US Equity","DISP_FXD_&amp;_INTANGIBLES_DETAILED","FQ3 1993","FQ3 1993","Currency=USD","Period=FQ","BEST_FPERIOD_OVERRIDE=FQ","FILING_STATUS=OR","SCALING_FORMAT=MLN","Sort=A","Dates=H","DateFormat=P","Fill=—","Direction=H","UseDPDF=Y")</f>
        <v>—</v>
      </c>
      <c r="R17" s="13" t="str">
        <f>_xll.BDH("XOM US Equity","DISP_FXD_&amp;_INTANGIBLES_DETAILED","FQ4 1993","FQ4 1993","Currency=USD","Period=FQ","BEST_FPERIOD_OVERRIDE=FQ","FILING_STATUS=OR","SCALING_FORMAT=MLN","Sort=A","Dates=H","DateFormat=P","Fill=—","Direction=H","UseDPDF=Y")</f>
        <v>—</v>
      </c>
      <c r="S17" s="13" t="str">
        <f>_xll.BDH("XOM US Equity","DISP_FXD_&amp;_INTANGIBLES_DETAILED","FQ1 1994","FQ1 1994","Currency=USD","Period=FQ","BEST_FPERIOD_OVERRIDE=FQ","FILING_STATUS=OR","SCALING_FORMAT=MLN","Sort=A","Dates=H","DateFormat=P","Fill=—","Direction=H","UseDPDF=Y")</f>
        <v>—</v>
      </c>
      <c r="T17" s="13" t="str">
        <f>_xll.BDH("XOM US Equity","DISP_FXD_&amp;_INTANGIBLES_DETAILED","FQ2 1994","FQ2 1994","Currency=USD","Period=FQ","BEST_FPERIOD_OVERRIDE=FQ","FILING_STATUS=OR","SCALING_FORMAT=MLN","Sort=A","Dates=H","DateFormat=P","Fill=—","Direction=H","UseDPDF=Y")</f>
        <v>—</v>
      </c>
      <c r="U17" s="13" t="str">
        <f>_xll.BDH("XOM US Equity","DISP_FXD_&amp;_INTANGIBLES_DETAILED","FQ3 1994","FQ3 1994","Currency=USD","Period=FQ","BEST_FPERIOD_OVERRIDE=FQ","FILING_STATUS=OR","SCALING_FORMAT=MLN","Sort=A","Dates=H","DateFormat=P","Fill=—","Direction=H","UseDPDF=Y")</f>
        <v>—</v>
      </c>
      <c r="V17" s="13" t="str">
        <f>_xll.BDH("XOM US Equity","DISP_FXD_&amp;_INTANGIBLES_DETAILED","FQ4 1994","FQ4 1994","Currency=USD","Period=FQ","BEST_FPERIOD_OVERRIDE=FQ","FILING_STATUS=OR","SCALING_FORMAT=MLN","Sort=A","Dates=H","DateFormat=P","Fill=—","Direction=H","UseDPDF=Y")</f>
        <v>—</v>
      </c>
      <c r="W17" s="13" t="str">
        <f>_xll.BDH("XOM US Equity","DISP_FXD_&amp;_INTANGIBLES_DETAILED","FQ1 1995","FQ1 1995","Currency=USD","Period=FQ","BEST_FPERIOD_OVERRIDE=FQ","FILING_STATUS=OR","SCALING_FORMAT=MLN","Sort=A","Dates=H","DateFormat=P","Fill=—","Direction=H","UseDPDF=Y")</f>
        <v>—</v>
      </c>
      <c r="X17" s="13" t="str">
        <f>_xll.BDH("XOM US Equity","DISP_FXD_&amp;_INTANGIBLES_DETAILED","FQ2 1995","FQ2 1995","Currency=USD","Period=FQ","BEST_FPERIOD_OVERRIDE=FQ","FILING_STATUS=OR","SCALING_FORMAT=MLN","Sort=A","Dates=H","DateFormat=P","Fill=—","Direction=H","UseDPDF=Y")</f>
        <v>—</v>
      </c>
      <c r="Y17" s="13" t="str">
        <f>_xll.BDH("XOM US Equity","DISP_FXD_&amp;_INTANGIBLES_DETAILED","FQ3 1995","FQ3 1995","Currency=USD","Period=FQ","BEST_FPERIOD_OVERRIDE=FQ","FILING_STATUS=OR","SCALING_FORMAT=MLN","Sort=A","Dates=H","DateFormat=P","Fill=—","Direction=H","UseDPDF=Y")</f>
        <v>—</v>
      </c>
      <c r="Z17" s="13" t="str">
        <f>_xll.BDH("XOM US Equity","DISP_FXD_&amp;_INTANGIBLES_DETAILED","FQ4 1995","FQ4 1995","Currency=USD","Period=FQ","BEST_FPERIOD_OVERRIDE=FQ","FILING_STATUS=OR","SCALING_FORMAT=MLN","Sort=A","Dates=H","DateFormat=P","Fill=—","Direction=H","UseDPDF=Y")</f>
        <v>—</v>
      </c>
      <c r="AA17" s="13" t="str">
        <f>_xll.BDH("XOM US Equity","DISP_FXD_&amp;_INTANGIBLES_DETAILED","FQ1 1996","FQ1 1996","Currency=USD","Period=FQ","BEST_FPERIOD_OVERRIDE=FQ","FILING_STATUS=OR","SCALING_FORMAT=MLN","Sort=A","Dates=H","DateFormat=P","Fill=—","Direction=H","UseDPDF=Y")</f>
        <v>—</v>
      </c>
      <c r="AB17" s="13" t="str">
        <f>_xll.BDH("XOM US Equity","DISP_FXD_&amp;_INTANGIBLES_DETAILED","FQ2 1996","FQ2 1996","Currency=USD","Period=FQ","BEST_FPERIOD_OVERRIDE=FQ","FILING_STATUS=OR","SCALING_FORMAT=MLN","Sort=A","Dates=H","DateFormat=P","Fill=—","Direction=H","UseDPDF=Y")</f>
        <v>—</v>
      </c>
      <c r="AC17" s="13" t="str">
        <f>_xll.BDH("XOM US Equity","DISP_FXD_&amp;_INTANGIBLES_DETAILED","FQ3 1996","FQ3 1996","Currency=USD","Period=FQ","BEST_FPERIOD_OVERRIDE=FQ","FILING_STATUS=OR","SCALING_FORMAT=MLN","Sort=A","Dates=H","DateFormat=P","Fill=—","Direction=H","UseDPDF=Y")</f>
        <v>—</v>
      </c>
      <c r="AD17" s="13" t="str">
        <f>_xll.BDH("XOM US Equity","DISP_FXD_&amp;_INTANGIBLES_DETAILED","FQ4 1996","FQ4 1996","Currency=USD","Period=FQ","BEST_FPERIOD_OVERRIDE=FQ","FILING_STATUS=OR","SCALING_FORMAT=MLN","Sort=A","Dates=H","DateFormat=P","Fill=—","Direction=H","UseDPDF=Y")</f>
        <v>—</v>
      </c>
      <c r="AE17" s="13">
        <f>_xll.BDH("XOM US Equity","DISP_FXD_&amp;_INTANGIBLES_DETAILED","FQ1 1997","FQ1 1997","Currency=USD","Period=FQ","BEST_FPERIOD_OVERRIDE=FQ","FILING_STATUS=OR","SCALING_FORMAT=MLN","Sort=A","Dates=H","DateFormat=P","Fill=—","Direction=H","UseDPDF=Y")</f>
        <v>0</v>
      </c>
      <c r="AF17" s="13">
        <f>_xll.BDH("XOM US Equity","DISP_FXD_&amp;_INTANGIBLES_DETAILED","FQ2 1997","FQ2 1997","Currency=USD","Period=FQ","BEST_FPERIOD_OVERRIDE=FQ","FILING_STATUS=OR","SCALING_FORMAT=MLN","Sort=A","Dates=H","DateFormat=P","Fill=—","Direction=H","UseDPDF=Y")</f>
        <v>0</v>
      </c>
      <c r="AG17" s="13">
        <f>_xll.BDH("XOM US Equity","DISP_FXD_&amp;_INTANGIBLES_DETAILED","FQ3 1997","FQ3 1997","Currency=USD","Period=FQ","BEST_FPERIOD_OVERRIDE=FQ","FILING_STATUS=OR","SCALING_FORMAT=MLN","Sort=A","Dates=H","DateFormat=P","Fill=—","Direction=H","UseDPDF=Y")</f>
        <v>0</v>
      </c>
      <c r="AH17" s="13">
        <f>_xll.BDH("XOM US Equity","DISP_FXD_&amp;_INTANGIBLES_DETAILED","FQ4 1997","FQ4 1997","Currency=USD","Period=FQ","BEST_FPERIOD_OVERRIDE=FQ","FILING_STATUS=OR","SCALING_FORMAT=MLN","Sort=A","Dates=H","DateFormat=P","Fill=—","Direction=H","UseDPDF=Y")</f>
        <v>0</v>
      </c>
      <c r="AI17" s="13">
        <f>_xll.BDH("XOM US Equity","DISP_FXD_&amp;_INTANGIBLES_DETAILED","FQ1 1998","FQ1 1998","Currency=USD","Period=FQ","BEST_FPERIOD_OVERRIDE=FQ","FILING_STATUS=OR","SCALING_FORMAT=MLN","Sort=A","Dates=H","DateFormat=P","Fill=—","Direction=H","UseDPDF=Y")</f>
        <v>125</v>
      </c>
      <c r="AJ17" s="13">
        <f>_xll.BDH("XOM US Equity","DISP_FXD_&amp;_INTANGIBLES_DETAILED","FQ2 1998","FQ2 1998","Currency=USD","Period=FQ","BEST_FPERIOD_OVERRIDE=FQ","FILING_STATUS=OR","SCALING_FORMAT=MLN","Sort=A","Dates=H","DateFormat=P","Fill=—","Direction=H","UseDPDF=Y")</f>
        <v>136</v>
      </c>
    </row>
    <row r="18" spans="1:36" x14ac:dyDescent="0.25">
      <c r="A18" s="10" t="s">
        <v>254</v>
      </c>
      <c r="B18" s="10" t="s">
        <v>255</v>
      </c>
      <c r="C18" s="13" t="str">
        <f>_xll.BDH("XOM US Equity","ACQUIS_FXD_&amp;_INTANG_DETAILED","FQ1 1990","FQ1 1990","Currency=USD","Period=FQ","BEST_FPERIOD_OVERRIDE=FQ","FILING_STATUS=OR","SCALING_FORMAT=MLN","Sort=A","Dates=H","DateFormat=P","Fill=—","Direction=H","UseDPDF=Y")</f>
        <v>—</v>
      </c>
      <c r="D18" s="13" t="str">
        <f>_xll.BDH("XOM US Equity","ACQUIS_FXD_&amp;_INTANG_DETAILED","FQ2 1990","FQ2 1990","Currency=USD","Period=FQ","BEST_FPERIOD_OVERRIDE=FQ","FILING_STATUS=OR","SCALING_FORMAT=MLN","Sort=A","Dates=H","DateFormat=P","Fill=—","Direction=H","UseDPDF=Y")</f>
        <v>—</v>
      </c>
      <c r="E18" s="13" t="str">
        <f>_xll.BDH("XOM US Equity","ACQUIS_FXD_&amp;_INTANG_DETAILED","FQ3 1990","FQ3 1990","Currency=USD","Period=FQ","BEST_FPERIOD_OVERRIDE=FQ","FILING_STATUS=OR","SCALING_FORMAT=MLN","Sort=A","Dates=H","DateFormat=P","Fill=—","Direction=H","UseDPDF=Y")</f>
        <v>—</v>
      </c>
      <c r="F18" s="13" t="str">
        <f>_xll.BDH("XOM US Equity","ACQUIS_FXD_&amp;_INTANG_DETAILED","FQ4 1990","FQ4 1990","Currency=USD","Period=FQ","BEST_FPERIOD_OVERRIDE=FQ","FILING_STATUS=OR","SCALING_FORMAT=MLN","Sort=A","Dates=H","DateFormat=P","Fill=—","Direction=H","UseDPDF=Y")</f>
        <v>—</v>
      </c>
      <c r="G18" s="13" t="str">
        <f>_xll.BDH("XOM US Equity","ACQUIS_FXD_&amp;_INTANG_DETAILED","FQ1 1991","FQ1 1991","Currency=USD","Period=FQ","BEST_FPERIOD_OVERRIDE=FQ","FILING_STATUS=OR","SCALING_FORMAT=MLN","Sort=A","Dates=H","DateFormat=P","Fill=—","Direction=H","UseDPDF=Y")</f>
        <v>—</v>
      </c>
      <c r="H18" s="13" t="str">
        <f>_xll.BDH("XOM US Equity","ACQUIS_FXD_&amp;_INTANG_DETAILED","FQ2 1991","FQ2 1991","Currency=USD","Period=FQ","BEST_FPERIOD_OVERRIDE=FQ","FILING_STATUS=OR","SCALING_FORMAT=MLN","Sort=A","Dates=H","DateFormat=P","Fill=—","Direction=H","UseDPDF=Y")</f>
        <v>—</v>
      </c>
      <c r="I18" s="13" t="str">
        <f>_xll.BDH("XOM US Equity","ACQUIS_FXD_&amp;_INTANG_DETAILED","FQ3 1991","FQ3 1991","Currency=USD","Period=FQ","BEST_FPERIOD_OVERRIDE=FQ","FILING_STATUS=OR","SCALING_FORMAT=MLN","Sort=A","Dates=H","DateFormat=P","Fill=—","Direction=H","UseDPDF=Y")</f>
        <v>—</v>
      </c>
      <c r="J18" s="13" t="str">
        <f>_xll.BDH("XOM US Equity","ACQUIS_FXD_&amp;_INTANG_DETAILED","FQ4 1991","FQ4 1991","Currency=USD","Period=FQ","BEST_FPERIOD_OVERRIDE=FQ","FILING_STATUS=OR","SCALING_FORMAT=MLN","Sort=A","Dates=H","DateFormat=P","Fill=—","Direction=H","UseDPDF=Y")</f>
        <v>—</v>
      </c>
      <c r="K18" s="13" t="str">
        <f>_xll.BDH("XOM US Equity","ACQUIS_FXD_&amp;_INTANG_DETAILED","FQ1 1992","FQ1 1992","Currency=USD","Period=FQ","BEST_FPERIOD_OVERRIDE=FQ","FILING_STATUS=OR","SCALING_FORMAT=MLN","Sort=A","Dates=H","DateFormat=P","Fill=—","Direction=H","UseDPDF=Y")</f>
        <v>—</v>
      </c>
      <c r="L18" s="13" t="str">
        <f>_xll.BDH("XOM US Equity","ACQUIS_FXD_&amp;_INTANG_DETAILED","FQ2 1992","FQ2 1992","Currency=USD","Period=FQ","BEST_FPERIOD_OVERRIDE=FQ","FILING_STATUS=OR","SCALING_FORMAT=MLN","Sort=A","Dates=H","DateFormat=P","Fill=—","Direction=H","UseDPDF=Y")</f>
        <v>—</v>
      </c>
      <c r="M18" s="13" t="str">
        <f>_xll.BDH("XOM US Equity","ACQUIS_FXD_&amp;_INTANG_DETAILED","FQ3 1992","FQ3 1992","Currency=USD","Period=FQ","BEST_FPERIOD_OVERRIDE=FQ","FILING_STATUS=OR","SCALING_FORMAT=MLN","Sort=A","Dates=H","DateFormat=P","Fill=—","Direction=H","UseDPDF=Y")</f>
        <v>—</v>
      </c>
      <c r="N18" s="13" t="str">
        <f>_xll.BDH("XOM US Equity","ACQUIS_FXD_&amp;_INTANG_DETAILED","FQ4 1992","FQ4 1992","Currency=USD","Period=FQ","BEST_FPERIOD_OVERRIDE=FQ","FILING_STATUS=OR","SCALING_FORMAT=MLN","Sort=A","Dates=H","DateFormat=P","Fill=—","Direction=H","UseDPDF=Y")</f>
        <v>—</v>
      </c>
      <c r="O18" s="13" t="str">
        <f>_xll.BDH("XOM US Equity","ACQUIS_FXD_&amp;_INTANG_DETAILED","FQ1 1993","FQ1 1993","Currency=USD","Period=FQ","BEST_FPERIOD_OVERRIDE=FQ","FILING_STATUS=OR","SCALING_FORMAT=MLN","Sort=A","Dates=H","DateFormat=P","Fill=—","Direction=H","UseDPDF=Y")</f>
        <v>—</v>
      </c>
      <c r="P18" s="13" t="str">
        <f>_xll.BDH("XOM US Equity","ACQUIS_FXD_&amp;_INTANG_DETAILED","FQ2 1993","FQ2 1993","Currency=USD","Period=FQ","BEST_FPERIOD_OVERRIDE=FQ","FILING_STATUS=OR","SCALING_FORMAT=MLN","Sort=A","Dates=H","DateFormat=P","Fill=—","Direction=H","UseDPDF=Y")</f>
        <v>—</v>
      </c>
      <c r="Q18" s="13" t="str">
        <f>_xll.BDH("XOM US Equity","ACQUIS_FXD_&amp;_INTANG_DETAILED","FQ3 1993","FQ3 1993","Currency=USD","Period=FQ","BEST_FPERIOD_OVERRIDE=FQ","FILING_STATUS=OR","SCALING_FORMAT=MLN","Sort=A","Dates=H","DateFormat=P","Fill=—","Direction=H","UseDPDF=Y")</f>
        <v>—</v>
      </c>
      <c r="R18" s="13" t="str">
        <f>_xll.BDH("XOM US Equity","ACQUIS_FXD_&amp;_INTANG_DETAILED","FQ4 1993","FQ4 1993","Currency=USD","Period=FQ","BEST_FPERIOD_OVERRIDE=FQ","FILING_STATUS=OR","SCALING_FORMAT=MLN","Sort=A","Dates=H","DateFormat=P","Fill=—","Direction=H","UseDPDF=Y")</f>
        <v>—</v>
      </c>
      <c r="S18" s="13" t="str">
        <f>_xll.BDH("XOM US Equity","ACQUIS_FXD_&amp;_INTANG_DETAILED","FQ1 1994","FQ1 1994","Currency=USD","Period=FQ","BEST_FPERIOD_OVERRIDE=FQ","FILING_STATUS=OR","SCALING_FORMAT=MLN","Sort=A","Dates=H","DateFormat=P","Fill=—","Direction=H","UseDPDF=Y")</f>
        <v>—</v>
      </c>
      <c r="T18" s="13" t="str">
        <f>_xll.BDH("XOM US Equity","ACQUIS_FXD_&amp;_INTANG_DETAILED","FQ2 1994","FQ2 1994","Currency=USD","Period=FQ","BEST_FPERIOD_OVERRIDE=FQ","FILING_STATUS=OR","SCALING_FORMAT=MLN","Sort=A","Dates=H","DateFormat=P","Fill=—","Direction=H","UseDPDF=Y")</f>
        <v>—</v>
      </c>
      <c r="U18" s="13" t="str">
        <f>_xll.BDH("XOM US Equity","ACQUIS_FXD_&amp;_INTANG_DETAILED","FQ3 1994","FQ3 1994","Currency=USD","Period=FQ","BEST_FPERIOD_OVERRIDE=FQ","FILING_STATUS=OR","SCALING_FORMAT=MLN","Sort=A","Dates=H","DateFormat=P","Fill=—","Direction=H","UseDPDF=Y")</f>
        <v>—</v>
      </c>
      <c r="V18" s="13" t="str">
        <f>_xll.BDH("XOM US Equity","ACQUIS_FXD_&amp;_INTANG_DETAILED","FQ4 1994","FQ4 1994","Currency=USD","Period=FQ","BEST_FPERIOD_OVERRIDE=FQ","FILING_STATUS=OR","SCALING_FORMAT=MLN","Sort=A","Dates=H","DateFormat=P","Fill=—","Direction=H","UseDPDF=Y")</f>
        <v>—</v>
      </c>
      <c r="W18" s="13">
        <f>_xll.BDH("XOM US Equity","ACQUIS_FXD_&amp;_INTANG_DETAILED","FQ1 1995","FQ1 1995","Currency=USD","Period=FQ","BEST_FPERIOD_OVERRIDE=FQ","FILING_STATUS=OR","SCALING_FORMAT=MLN","Sort=A","Dates=H","DateFormat=P","Fill=—","Direction=H","UseDPDF=Y")</f>
        <v>-1399</v>
      </c>
      <c r="X18" s="13">
        <f>_xll.BDH("XOM US Equity","ACQUIS_FXD_&amp;_INTANG_DETAILED","FQ2 1995","FQ2 1995","Currency=USD","Period=FQ","BEST_FPERIOD_OVERRIDE=FQ","FILING_STATUS=OR","SCALING_FORMAT=MLN","Sort=A","Dates=H","DateFormat=P","Fill=—","Direction=H","UseDPDF=Y")</f>
        <v>-1647</v>
      </c>
      <c r="Y18" s="13">
        <f>_xll.BDH("XOM US Equity","ACQUIS_FXD_&amp;_INTANG_DETAILED","FQ3 1995","FQ3 1995","Currency=USD","Period=FQ","BEST_FPERIOD_OVERRIDE=FQ","FILING_STATUS=OR","SCALING_FORMAT=MLN","Sort=A","Dates=H","DateFormat=P","Fill=—","Direction=H","UseDPDF=Y")</f>
        <v>-1779</v>
      </c>
      <c r="Z18" s="13">
        <f>_xll.BDH("XOM US Equity","ACQUIS_FXD_&amp;_INTANG_DETAILED","FQ4 1995","FQ4 1995","Currency=USD","Period=FQ","BEST_FPERIOD_OVERRIDE=FQ","FILING_STATUS=OR","SCALING_FORMAT=MLN","Sort=A","Dates=H","DateFormat=P","Fill=—","Direction=H","UseDPDF=Y")</f>
        <v>-2303</v>
      </c>
      <c r="AA18" s="13">
        <f>_xll.BDH("XOM US Equity","ACQUIS_FXD_&amp;_INTANG_DETAILED","FQ1 1996","FQ1 1996","Currency=USD","Period=FQ","BEST_FPERIOD_OVERRIDE=FQ","FILING_STATUS=OR","SCALING_FORMAT=MLN","Sort=A","Dates=H","DateFormat=P","Fill=—","Direction=H","UseDPDF=Y")</f>
        <v>-1413</v>
      </c>
      <c r="AB18" s="13">
        <f>_xll.BDH("XOM US Equity","ACQUIS_FXD_&amp;_INTANG_DETAILED","FQ2 1996","FQ2 1996","Currency=USD","Period=FQ","BEST_FPERIOD_OVERRIDE=FQ","FILING_STATUS=OR","SCALING_FORMAT=MLN","Sort=A","Dates=H","DateFormat=P","Fill=—","Direction=H","UseDPDF=Y")</f>
        <v>-1846</v>
      </c>
      <c r="AC18" s="13">
        <f>_xll.BDH("XOM US Equity","ACQUIS_FXD_&amp;_INTANG_DETAILED","FQ3 1996","FQ3 1996","Currency=USD","Period=FQ","BEST_FPERIOD_OVERRIDE=FQ","FILING_STATUS=OR","SCALING_FORMAT=MLN","Sort=A","Dates=H","DateFormat=P","Fill=—","Direction=H","UseDPDF=Y")</f>
        <v>-1842</v>
      </c>
      <c r="AD18" s="13">
        <f>_xll.BDH("XOM US Equity","ACQUIS_FXD_&amp;_INTANG_DETAILED","FQ4 1996","FQ4 1996","Currency=USD","Period=FQ","BEST_FPERIOD_OVERRIDE=FQ","FILING_STATUS=OR","SCALING_FORMAT=MLN","Sort=A","Dates=H","DateFormat=P","Fill=—","Direction=H","UseDPDF=Y")</f>
        <v>-2108</v>
      </c>
      <c r="AE18" s="13">
        <f>_xll.BDH("XOM US Equity","ACQUIS_FXD_&amp;_INTANG_DETAILED","FQ1 1997","FQ1 1997","Currency=USD","Period=FQ","BEST_FPERIOD_OVERRIDE=FQ","FILING_STATUS=OR","SCALING_FORMAT=MLN","Sort=A","Dates=H","DateFormat=P","Fill=—","Direction=H","UseDPDF=Y")</f>
        <v>-1481</v>
      </c>
      <c r="AF18" s="13">
        <f>_xll.BDH("XOM US Equity","ACQUIS_FXD_&amp;_INTANG_DETAILED","FQ2 1997","FQ2 1997","Currency=USD","Period=FQ","BEST_FPERIOD_OVERRIDE=FQ","FILING_STATUS=OR","SCALING_FORMAT=MLN","Sort=A","Dates=H","DateFormat=P","Fill=—","Direction=H","UseDPDF=Y")</f>
        <v>-1850</v>
      </c>
      <c r="AG18" s="13">
        <f>_xll.BDH("XOM US Equity","ACQUIS_FXD_&amp;_INTANG_DETAILED","FQ3 1997","FQ3 1997","Currency=USD","Period=FQ","BEST_FPERIOD_OVERRIDE=FQ","FILING_STATUS=OR","SCALING_FORMAT=MLN","Sort=A","Dates=H","DateFormat=P","Fill=—","Direction=H","UseDPDF=Y")</f>
        <v>-1969</v>
      </c>
      <c r="AH18" s="13">
        <f>_xll.BDH("XOM US Equity","ACQUIS_FXD_&amp;_INTANG_DETAILED","FQ4 1997","FQ4 1997","Currency=USD","Period=FQ","BEST_FPERIOD_OVERRIDE=FQ","FILING_STATUS=OR","SCALING_FORMAT=MLN","Sort=A","Dates=H","DateFormat=P","Fill=—","Direction=H","UseDPDF=Y")</f>
        <v>-2093</v>
      </c>
      <c r="AI18" s="13">
        <f>_xll.BDH("XOM US Equity","ACQUIS_FXD_&amp;_INTANG_DETAILED","FQ1 1998","FQ1 1998","Currency=USD","Period=FQ","BEST_FPERIOD_OVERRIDE=FQ","FILING_STATUS=OR","SCALING_FORMAT=MLN","Sort=A","Dates=H","DateFormat=P","Fill=—","Direction=H","UseDPDF=Y")</f>
        <v>-1709</v>
      </c>
      <c r="AJ18" s="13">
        <f>_xll.BDH("XOM US Equity","ACQUIS_FXD_&amp;_INTANG_DETAILED","FQ2 1998","FQ2 1998","Currency=USD","Period=FQ","BEST_FPERIOD_OVERRIDE=FQ","FILING_STATUS=OR","SCALING_FORMAT=MLN","Sort=A","Dates=H","DateFormat=P","Fill=—","Direction=H","UseDPDF=Y")</f>
        <v>-2035</v>
      </c>
    </row>
    <row r="19" spans="1:36" x14ac:dyDescent="0.25">
      <c r="A19" s="10" t="s">
        <v>256</v>
      </c>
      <c r="B19" s="10" t="s">
        <v>257</v>
      </c>
      <c r="C19" s="13" t="str">
        <f>_xll.BDH("XOM US Equity","NET_CHG_IN_LT_INVEST_DETAILED","FQ1 1990","FQ1 1990","Currency=USD","Period=FQ","BEST_FPERIOD_OVERRIDE=FQ","FILING_STATUS=OR","SCALING_FORMAT=MLN","Sort=A","Dates=H","DateFormat=P","Fill=—","Direction=H","UseDPDF=Y")</f>
        <v>—</v>
      </c>
      <c r="D19" s="13" t="str">
        <f>_xll.BDH("XOM US Equity","NET_CHG_IN_LT_INVEST_DETAILED","FQ2 1990","FQ2 1990","Currency=USD","Period=FQ","BEST_FPERIOD_OVERRIDE=FQ","FILING_STATUS=OR","SCALING_FORMAT=MLN","Sort=A","Dates=H","DateFormat=P","Fill=—","Direction=H","UseDPDF=Y")</f>
        <v>—</v>
      </c>
      <c r="E19" s="13" t="str">
        <f>_xll.BDH("XOM US Equity","NET_CHG_IN_LT_INVEST_DETAILED","FQ3 1990","FQ3 1990","Currency=USD","Period=FQ","BEST_FPERIOD_OVERRIDE=FQ","FILING_STATUS=OR","SCALING_FORMAT=MLN","Sort=A","Dates=H","DateFormat=P","Fill=—","Direction=H","UseDPDF=Y")</f>
        <v>—</v>
      </c>
      <c r="F19" s="13" t="str">
        <f>_xll.BDH("XOM US Equity","NET_CHG_IN_LT_INVEST_DETAILED","FQ4 1990","FQ4 1990","Currency=USD","Period=FQ","BEST_FPERIOD_OVERRIDE=FQ","FILING_STATUS=OR","SCALING_FORMAT=MLN","Sort=A","Dates=H","DateFormat=P","Fill=—","Direction=H","UseDPDF=Y")</f>
        <v>—</v>
      </c>
      <c r="G19" s="13" t="str">
        <f>_xll.BDH("XOM US Equity","NET_CHG_IN_LT_INVEST_DETAILED","FQ1 1991","FQ1 1991","Currency=USD","Period=FQ","BEST_FPERIOD_OVERRIDE=FQ","FILING_STATUS=OR","SCALING_FORMAT=MLN","Sort=A","Dates=H","DateFormat=P","Fill=—","Direction=H","UseDPDF=Y")</f>
        <v>—</v>
      </c>
      <c r="H19" s="13" t="str">
        <f>_xll.BDH("XOM US Equity","NET_CHG_IN_LT_INVEST_DETAILED","FQ2 1991","FQ2 1991","Currency=USD","Period=FQ","BEST_FPERIOD_OVERRIDE=FQ","FILING_STATUS=OR","SCALING_FORMAT=MLN","Sort=A","Dates=H","DateFormat=P","Fill=—","Direction=H","UseDPDF=Y")</f>
        <v>—</v>
      </c>
      <c r="I19" s="13" t="str">
        <f>_xll.BDH("XOM US Equity","NET_CHG_IN_LT_INVEST_DETAILED","FQ3 1991","FQ3 1991","Currency=USD","Period=FQ","BEST_FPERIOD_OVERRIDE=FQ","FILING_STATUS=OR","SCALING_FORMAT=MLN","Sort=A","Dates=H","DateFormat=P","Fill=—","Direction=H","UseDPDF=Y")</f>
        <v>—</v>
      </c>
      <c r="J19" s="13" t="str">
        <f>_xll.BDH("XOM US Equity","NET_CHG_IN_LT_INVEST_DETAILED","FQ4 1991","FQ4 1991","Currency=USD","Period=FQ","BEST_FPERIOD_OVERRIDE=FQ","FILING_STATUS=OR","SCALING_FORMAT=MLN","Sort=A","Dates=H","DateFormat=P","Fill=—","Direction=H","UseDPDF=Y")</f>
        <v>—</v>
      </c>
      <c r="K19" s="13" t="str">
        <f>_xll.BDH("XOM US Equity","NET_CHG_IN_LT_INVEST_DETAILED","FQ1 1992","FQ1 1992","Currency=USD","Period=FQ","BEST_FPERIOD_OVERRIDE=FQ","FILING_STATUS=OR","SCALING_FORMAT=MLN","Sort=A","Dates=H","DateFormat=P","Fill=—","Direction=H","UseDPDF=Y")</f>
        <v>—</v>
      </c>
      <c r="L19" s="13" t="str">
        <f>_xll.BDH("XOM US Equity","NET_CHG_IN_LT_INVEST_DETAILED","FQ2 1992","FQ2 1992","Currency=USD","Period=FQ","BEST_FPERIOD_OVERRIDE=FQ","FILING_STATUS=OR","SCALING_FORMAT=MLN","Sort=A","Dates=H","DateFormat=P","Fill=—","Direction=H","UseDPDF=Y")</f>
        <v>—</v>
      </c>
      <c r="M19" s="13" t="str">
        <f>_xll.BDH("XOM US Equity","NET_CHG_IN_LT_INVEST_DETAILED","FQ3 1992","FQ3 1992","Currency=USD","Period=FQ","BEST_FPERIOD_OVERRIDE=FQ","FILING_STATUS=OR","SCALING_FORMAT=MLN","Sort=A","Dates=H","DateFormat=P","Fill=—","Direction=H","UseDPDF=Y")</f>
        <v>—</v>
      </c>
      <c r="N19" s="13" t="str">
        <f>_xll.BDH("XOM US Equity","NET_CHG_IN_LT_INVEST_DETAILED","FQ4 1992","FQ4 1992","Currency=USD","Period=FQ","BEST_FPERIOD_OVERRIDE=FQ","FILING_STATUS=OR","SCALING_FORMAT=MLN","Sort=A","Dates=H","DateFormat=P","Fill=—","Direction=H","UseDPDF=Y")</f>
        <v>—</v>
      </c>
      <c r="O19" s="13" t="str">
        <f>_xll.BDH("XOM US Equity","NET_CHG_IN_LT_INVEST_DETAILED","FQ1 1993","FQ1 1993","Currency=USD","Period=FQ","BEST_FPERIOD_OVERRIDE=FQ","FILING_STATUS=OR","SCALING_FORMAT=MLN","Sort=A","Dates=H","DateFormat=P","Fill=—","Direction=H","UseDPDF=Y")</f>
        <v>—</v>
      </c>
      <c r="P19" s="13" t="str">
        <f>_xll.BDH("XOM US Equity","NET_CHG_IN_LT_INVEST_DETAILED","FQ2 1993","FQ2 1993","Currency=USD","Period=FQ","BEST_FPERIOD_OVERRIDE=FQ","FILING_STATUS=OR","SCALING_FORMAT=MLN","Sort=A","Dates=H","DateFormat=P","Fill=—","Direction=H","UseDPDF=Y")</f>
        <v>—</v>
      </c>
      <c r="Q19" s="13" t="str">
        <f>_xll.BDH("XOM US Equity","NET_CHG_IN_LT_INVEST_DETAILED","FQ3 1993","FQ3 1993","Currency=USD","Period=FQ","BEST_FPERIOD_OVERRIDE=FQ","FILING_STATUS=OR","SCALING_FORMAT=MLN","Sort=A","Dates=H","DateFormat=P","Fill=—","Direction=H","UseDPDF=Y")</f>
        <v>—</v>
      </c>
      <c r="R19" s="13" t="str">
        <f>_xll.BDH("XOM US Equity","NET_CHG_IN_LT_INVEST_DETAILED","FQ4 1993","FQ4 1993","Currency=USD","Period=FQ","BEST_FPERIOD_OVERRIDE=FQ","FILING_STATUS=OR","SCALING_FORMAT=MLN","Sort=A","Dates=H","DateFormat=P","Fill=—","Direction=H","UseDPDF=Y")</f>
        <v>—</v>
      </c>
      <c r="S19" s="13" t="str">
        <f>_xll.BDH("XOM US Equity","NET_CHG_IN_LT_INVEST_DETAILED","FQ1 1994","FQ1 1994","Currency=USD","Period=FQ","BEST_FPERIOD_OVERRIDE=FQ","FILING_STATUS=OR","SCALING_FORMAT=MLN","Sort=A","Dates=H","DateFormat=P","Fill=—","Direction=H","UseDPDF=Y")</f>
        <v>—</v>
      </c>
      <c r="T19" s="13" t="str">
        <f>_xll.BDH("XOM US Equity","NET_CHG_IN_LT_INVEST_DETAILED","FQ2 1994","FQ2 1994","Currency=USD","Period=FQ","BEST_FPERIOD_OVERRIDE=FQ","FILING_STATUS=OR","SCALING_FORMAT=MLN","Sort=A","Dates=H","DateFormat=P","Fill=—","Direction=H","UseDPDF=Y")</f>
        <v>—</v>
      </c>
      <c r="U19" s="13" t="str">
        <f>_xll.BDH("XOM US Equity","NET_CHG_IN_LT_INVEST_DETAILED","FQ3 1994","FQ3 1994","Currency=USD","Period=FQ","BEST_FPERIOD_OVERRIDE=FQ","FILING_STATUS=OR","SCALING_FORMAT=MLN","Sort=A","Dates=H","DateFormat=P","Fill=—","Direction=H","UseDPDF=Y")</f>
        <v>—</v>
      </c>
      <c r="V19" s="13" t="str">
        <f>_xll.BDH("XOM US Equity","NET_CHG_IN_LT_INVEST_DETAILED","FQ4 1994","FQ4 1994","Currency=USD","Period=FQ","BEST_FPERIOD_OVERRIDE=FQ","FILING_STATUS=OR","SCALING_FORMAT=MLN","Sort=A","Dates=H","DateFormat=P","Fill=—","Direction=H","UseDPDF=Y")</f>
        <v>—</v>
      </c>
      <c r="W19" s="13" t="str">
        <f>_xll.BDH("XOM US Equity","NET_CHG_IN_LT_INVEST_DETAILED","FQ1 1995","FQ1 1995","Currency=USD","Period=FQ","BEST_FPERIOD_OVERRIDE=FQ","FILING_STATUS=OR","SCALING_FORMAT=MLN","Sort=A","Dates=H","DateFormat=P","Fill=—","Direction=H","UseDPDF=Y")</f>
        <v>—</v>
      </c>
      <c r="X19" s="13" t="str">
        <f>_xll.BDH("XOM US Equity","NET_CHG_IN_LT_INVEST_DETAILED","FQ2 1995","FQ2 1995","Currency=USD","Period=FQ","BEST_FPERIOD_OVERRIDE=FQ","FILING_STATUS=OR","SCALING_FORMAT=MLN","Sort=A","Dates=H","DateFormat=P","Fill=—","Direction=H","UseDPDF=Y")</f>
        <v>—</v>
      </c>
      <c r="Y19" s="13" t="str">
        <f>_xll.BDH("XOM US Equity","NET_CHG_IN_LT_INVEST_DETAILED","FQ3 1995","FQ3 1995","Currency=USD","Period=FQ","BEST_FPERIOD_OVERRIDE=FQ","FILING_STATUS=OR","SCALING_FORMAT=MLN","Sort=A","Dates=H","DateFormat=P","Fill=—","Direction=H","UseDPDF=Y")</f>
        <v>—</v>
      </c>
      <c r="Z19" s="13" t="str">
        <f>_xll.BDH("XOM US Equity","NET_CHG_IN_LT_INVEST_DETAILED","FQ4 1995","FQ4 1995","Currency=USD","Period=FQ","BEST_FPERIOD_OVERRIDE=FQ","FILING_STATUS=OR","SCALING_FORMAT=MLN","Sort=A","Dates=H","DateFormat=P","Fill=—","Direction=H","UseDPDF=Y")</f>
        <v>—</v>
      </c>
      <c r="AA19" s="13" t="str">
        <f>_xll.BDH("XOM US Equity","NET_CHG_IN_LT_INVEST_DETAILED","FQ1 1996","FQ1 1996","Currency=USD","Period=FQ","BEST_FPERIOD_OVERRIDE=FQ","FILING_STATUS=OR","SCALING_FORMAT=MLN","Sort=A","Dates=H","DateFormat=P","Fill=—","Direction=H","UseDPDF=Y")</f>
        <v>—</v>
      </c>
      <c r="AB19" s="13" t="str">
        <f>_xll.BDH("XOM US Equity","NET_CHG_IN_LT_INVEST_DETAILED","FQ2 1996","FQ2 1996","Currency=USD","Period=FQ","BEST_FPERIOD_OVERRIDE=FQ","FILING_STATUS=OR","SCALING_FORMAT=MLN","Sort=A","Dates=H","DateFormat=P","Fill=—","Direction=H","UseDPDF=Y")</f>
        <v>—</v>
      </c>
      <c r="AC19" s="13" t="str">
        <f>_xll.BDH("XOM US Equity","NET_CHG_IN_LT_INVEST_DETAILED","FQ3 1996","FQ3 1996","Currency=USD","Period=FQ","BEST_FPERIOD_OVERRIDE=FQ","FILING_STATUS=OR","SCALING_FORMAT=MLN","Sort=A","Dates=H","DateFormat=P","Fill=—","Direction=H","UseDPDF=Y")</f>
        <v>—</v>
      </c>
      <c r="AD19" s="13" t="str">
        <f>_xll.BDH("XOM US Equity","NET_CHG_IN_LT_INVEST_DETAILED","FQ4 1996","FQ4 1996","Currency=USD","Period=FQ","BEST_FPERIOD_OVERRIDE=FQ","FILING_STATUS=OR","SCALING_FORMAT=MLN","Sort=A","Dates=H","DateFormat=P","Fill=—","Direction=H","UseDPDF=Y")</f>
        <v>—</v>
      </c>
      <c r="AE19" s="13">
        <f>_xll.BDH("XOM US Equity","NET_CHG_IN_LT_INVEST_DETAILED","FQ1 1997","FQ1 1997","Currency=USD","Period=FQ","BEST_FPERIOD_OVERRIDE=FQ","FILING_STATUS=OR","SCALING_FORMAT=MLN","Sort=A","Dates=H","DateFormat=P","Fill=—","Direction=H","UseDPDF=Y")</f>
        <v>0</v>
      </c>
      <c r="AF19" s="13">
        <f>_xll.BDH("XOM US Equity","NET_CHG_IN_LT_INVEST_DETAILED","FQ2 1997","FQ2 1997","Currency=USD","Period=FQ","BEST_FPERIOD_OVERRIDE=FQ","FILING_STATUS=OR","SCALING_FORMAT=MLN","Sort=A","Dates=H","DateFormat=P","Fill=—","Direction=H","UseDPDF=Y")</f>
        <v>0</v>
      </c>
      <c r="AG19" s="13">
        <f>_xll.BDH("XOM US Equity","NET_CHG_IN_LT_INVEST_DETAILED","FQ3 1997","FQ3 1997","Currency=USD","Period=FQ","BEST_FPERIOD_OVERRIDE=FQ","FILING_STATUS=OR","SCALING_FORMAT=MLN","Sort=A","Dates=H","DateFormat=P","Fill=—","Direction=H","UseDPDF=Y")</f>
        <v>0</v>
      </c>
      <c r="AH19" s="13">
        <f>_xll.BDH("XOM US Equity","NET_CHG_IN_LT_INVEST_DETAILED","FQ4 1997","FQ4 1997","Currency=USD","Period=FQ","BEST_FPERIOD_OVERRIDE=FQ","FILING_STATUS=OR","SCALING_FORMAT=MLN","Sort=A","Dates=H","DateFormat=P","Fill=—","Direction=H","UseDPDF=Y")</f>
        <v>0</v>
      </c>
      <c r="AI19" s="13">
        <f>_xll.BDH("XOM US Equity","NET_CHG_IN_LT_INVEST_DETAILED","FQ1 1998","FQ1 1998","Currency=USD","Period=FQ","BEST_FPERIOD_OVERRIDE=FQ","FILING_STATUS=OR","SCALING_FORMAT=MLN","Sort=A","Dates=H","DateFormat=P","Fill=—","Direction=H","UseDPDF=Y")</f>
        <v>0</v>
      </c>
      <c r="AJ19" s="13">
        <f>_xll.BDH("XOM US Equity","NET_CHG_IN_LT_INVEST_DETAILED","FQ2 1998","FQ2 1998","Currency=USD","Period=FQ","BEST_FPERIOD_OVERRIDE=FQ","FILING_STATUS=OR","SCALING_FORMAT=MLN","Sort=A","Dates=H","DateFormat=P","Fill=—","Direction=H","UseDPDF=Y")</f>
        <v>0</v>
      </c>
    </row>
    <row r="20" spans="1:36" x14ac:dyDescent="0.25">
      <c r="A20" s="10" t="s">
        <v>258</v>
      </c>
      <c r="B20" s="10" t="s">
        <v>259</v>
      </c>
      <c r="C20" s="13" t="str">
        <f>_xll.BDH("XOM US Equity","CF_DECR_INVEST","FQ1 1990","FQ1 1990","Currency=USD","Period=FQ","BEST_FPERIOD_OVERRIDE=FQ","FILING_STATUS=OR","SCALING_FORMAT=MLN","Sort=A","Dates=H","DateFormat=P","Fill=—","Direction=H","UseDPDF=Y")</f>
        <v>—</v>
      </c>
      <c r="D20" s="13" t="str">
        <f>_xll.BDH("XOM US Equity","CF_DECR_INVEST","FQ2 1990","FQ2 1990","Currency=USD","Period=FQ","BEST_FPERIOD_OVERRIDE=FQ","FILING_STATUS=OR","SCALING_FORMAT=MLN","Sort=A","Dates=H","DateFormat=P","Fill=—","Direction=H","UseDPDF=Y")</f>
        <v>—</v>
      </c>
      <c r="E20" s="13" t="str">
        <f>_xll.BDH("XOM US Equity","CF_DECR_INVEST","FQ3 1990","FQ3 1990","Currency=USD","Period=FQ","BEST_FPERIOD_OVERRIDE=FQ","FILING_STATUS=OR","SCALING_FORMAT=MLN","Sort=A","Dates=H","DateFormat=P","Fill=—","Direction=H","UseDPDF=Y")</f>
        <v>—</v>
      </c>
      <c r="F20" s="13" t="str">
        <f>_xll.BDH("XOM US Equity","CF_DECR_INVEST","FQ4 1990","FQ4 1990","Currency=USD","Period=FQ","BEST_FPERIOD_OVERRIDE=FQ","FILING_STATUS=OR","SCALING_FORMAT=MLN","Sort=A","Dates=H","DateFormat=P","Fill=—","Direction=H","UseDPDF=Y")</f>
        <v>—</v>
      </c>
      <c r="G20" s="13" t="str">
        <f>_xll.BDH("XOM US Equity","CF_DECR_INVEST","FQ1 1991","FQ1 1991","Currency=USD","Period=FQ","BEST_FPERIOD_OVERRIDE=FQ","FILING_STATUS=OR","SCALING_FORMAT=MLN","Sort=A","Dates=H","DateFormat=P","Fill=—","Direction=H","UseDPDF=Y")</f>
        <v>—</v>
      </c>
      <c r="H20" s="13" t="str">
        <f>_xll.BDH("XOM US Equity","CF_DECR_INVEST","FQ2 1991","FQ2 1991","Currency=USD","Period=FQ","BEST_FPERIOD_OVERRIDE=FQ","FILING_STATUS=OR","SCALING_FORMAT=MLN","Sort=A","Dates=H","DateFormat=P","Fill=—","Direction=H","UseDPDF=Y")</f>
        <v>—</v>
      </c>
      <c r="I20" s="13" t="str">
        <f>_xll.BDH("XOM US Equity","CF_DECR_INVEST","FQ3 1991","FQ3 1991","Currency=USD","Period=FQ","BEST_FPERIOD_OVERRIDE=FQ","FILING_STATUS=OR","SCALING_FORMAT=MLN","Sort=A","Dates=H","DateFormat=P","Fill=—","Direction=H","UseDPDF=Y")</f>
        <v>—</v>
      </c>
      <c r="J20" s="13" t="str">
        <f>_xll.BDH("XOM US Equity","CF_DECR_INVEST","FQ4 1991","FQ4 1991","Currency=USD","Period=FQ","BEST_FPERIOD_OVERRIDE=FQ","FILING_STATUS=OR","SCALING_FORMAT=MLN","Sort=A","Dates=H","DateFormat=P","Fill=—","Direction=H","UseDPDF=Y")</f>
        <v>—</v>
      </c>
      <c r="K20" s="13" t="str">
        <f>_xll.BDH("XOM US Equity","CF_DECR_INVEST","FQ1 1992","FQ1 1992","Currency=USD","Period=FQ","BEST_FPERIOD_OVERRIDE=FQ","FILING_STATUS=OR","SCALING_FORMAT=MLN","Sort=A","Dates=H","DateFormat=P","Fill=—","Direction=H","UseDPDF=Y")</f>
        <v>—</v>
      </c>
      <c r="L20" s="13" t="str">
        <f>_xll.BDH("XOM US Equity","CF_DECR_INVEST","FQ2 1992","FQ2 1992","Currency=USD","Period=FQ","BEST_FPERIOD_OVERRIDE=FQ","FILING_STATUS=OR","SCALING_FORMAT=MLN","Sort=A","Dates=H","DateFormat=P","Fill=—","Direction=H","UseDPDF=Y")</f>
        <v>—</v>
      </c>
      <c r="M20" s="13" t="str">
        <f>_xll.BDH("XOM US Equity","CF_DECR_INVEST","FQ3 1992","FQ3 1992","Currency=USD","Period=FQ","BEST_FPERIOD_OVERRIDE=FQ","FILING_STATUS=OR","SCALING_FORMAT=MLN","Sort=A","Dates=H","DateFormat=P","Fill=—","Direction=H","UseDPDF=Y")</f>
        <v>—</v>
      </c>
      <c r="N20" s="13" t="str">
        <f>_xll.BDH("XOM US Equity","CF_DECR_INVEST","FQ4 1992","FQ4 1992","Currency=USD","Period=FQ","BEST_FPERIOD_OVERRIDE=FQ","FILING_STATUS=OR","SCALING_FORMAT=MLN","Sort=A","Dates=H","DateFormat=P","Fill=—","Direction=H","UseDPDF=Y")</f>
        <v>—</v>
      </c>
      <c r="O20" s="13" t="str">
        <f>_xll.BDH("XOM US Equity","CF_DECR_INVEST","FQ1 1993","FQ1 1993","Currency=USD","Period=FQ","BEST_FPERIOD_OVERRIDE=FQ","FILING_STATUS=OR","SCALING_FORMAT=MLN","Sort=A","Dates=H","DateFormat=P","Fill=—","Direction=H","UseDPDF=Y")</f>
        <v>—</v>
      </c>
      <c r="P20" s="13" t="str">
        <f>_xll.BDH("XOM US Equity","CF_DECR_INVEST","FQ2 1993","FQ2 1993","Currency=USD","Period=FQ","BEST_FPERIOD_OVERRIDE=FQ","FILING_STATUS=OR","SCALING_FORMAT=MLN","Sort=A","Dates=H","DateFormat=P","Fill=—","Direction=H","UseDPDF=Y")</f>
        <v>—</v>
      </c>
      <c r="Q20" s="13" t="str">
        <f>_xll.BDH("XOM US Equity","CF_DECR_INVEST","FQ3 1993","FQ3 1993","Currency=USD","Period=FQ","BEST_FPERIOD_OVERRIDE=FQ","FILING_STATUS=OR","SCALING_FORMAT=MLN","Sort=A","Dates=H","DateFormat=P","Fill=—","Direction=H","UseDPDF=Y")</f>
        <v>—</v>
      </c>
      <c r="R20" s="13" t="str">
        <f>_xll.BDH("XOM US Equity","CF_DECR_INVEST","FQ4 1993","FQ4 1993","Currency=USD","Period=FQ","BEST_FPERIOD_OVERRIDE=FQ","FILING_STATUS=OR","SCALING_FORMAT=MLN","Sort=A","Dates=H","DateFormat=P","Fill=—","Direction=H","UseDPDF=Y")</f>
        <v>—</v>
      </c>
      <c r="S20" s="13" t="str">
        <f>_xll.BDH("XOM US Equity","CF_DECR_INVEST","FQ1 1994","FQ1 1994","Currency=USD","Period=FQ","BEST_FPERIOD_OVERRIDE=FQ","FILING_STATUS=OR","SCALING_FORMAT=MLN","Sort=A","Dates=H","DateFormat=P","Fill=—","Direction=H","UseDPDF=Y")</f>
        <v>—</v>
      </c>
      <c r="T20" s="13" t="str">
        <f>_xll.BDH("XOM US Equity","CF_DECR_INVEST","FQ2 1994","FQ2 1994","Currency=USD","Period=FQ","BEST_FPERIOD_OVERRIDE=FQ","FILING_STATUS=OR","SCALING_FORMAT=MLN","Sort=A","Dates=H","DateFormat=P","Fill=—","Direction=H","UseDPDF=Y")</f>
        <v>—</v>
      </c>
      <c r="U20" s="13" t="str">
        <f>_xll.BDH("XOM US Equity","CF_DECR_INVEST","FQ3 1994","FQ3 1994","Currency=USD","Period=FQ","BEST_FPERIOD_OVERRIDE=FQ","FILING_STATUS=OR","SCALING_FORMAT=MLN","Sort=A","Dates=H","DateFormat=P","Fill=—","Direction=H","UseDPDF=Y")</f>
        <v>—</v>
      </c>
      <c r="V20" s="13" t="str">
        <f>_xll.BDH("XOM US Equity","CF_DECR_INVEST","FQ4 1994","FQ4 1994","Currency=USD","Period=FQ","BEST_FPERIOD_OVERRIDE=FQ","FILING_STATUS=OR","SCALING_FORMAT=MLN","Sort=A","Dates=H","DateFormat=P","Fill=—","Direction=H","UseDPDF=Y")</f>
        <v>—</v>
      </c>
      <c r="W20" s="13" t="str">
        <f>_xll.BDH("XOM US Equity","CF_DECR_INVEST","FQ1 1995","FQ1 1995","Currency=USD","Period=FQ","BEST_FPERIOD_OVERRIDE=FQ","FILING_STATUS=OR","SCALING_FORMAT=MLN","Sort=A","Dates=H","DateFormat=P","Fill=—","Direction=H","UseDPDF=Y")</f>
        <v>—</v>
      </c>
      <c r="X20" s="13" t="str">
        <f>_xll.BDH("XOM US Equity","CF_DECR_INVEST","FQ2 1995","FQ2 1995","Currency=USD","Period=FQ","BEST_FPERIOD_OVERRIDE=FQ","FILING_STATUS=OR","SCALING_FORMAT=MLN","Sort=A","Dates=H","DateFormat=P","Fill=—","Direction=H","UseDPDF=Y")</f>
        <v>—</v>
      </c>
      <c r="Y20" s="13" t="str">
        <f>_xll.BDH("XOM US Equity","CF_DECR_INVEST","FQ3 1995","FQ3 1995","Currency=USD","Period=FQ","BEST_FPERIOD_OVERRIDE=FQ","FILING_STATUS=OR","SCALING_FORMAT=MLN","Sort=A","Dates=H","DateFormat=P","Fill=—","Direction=H","UseDPDF=Y")</f>
        <v>—</v>
      </c>
      <c r="Z20" s="13" t="str">
        <f>_xll.BDH("XOM US Equity","CF_DECR_INVEST","FQ4 1995","FQ4 1995","Currency=USD","Period=FQ","BEST_FPERIOD_OVERRIDE=FQ","FILING_STATUS=OR","SCALING_FORMAT=MLN","Sort=A","Dates=H","DateFormat=P","Fill=—","Direction=H","UseDPDF=Y")</f>
        <v>—</v>
      </c>
      <c r="AA20" s="13" t="str">
        <f>_xll.BDH("XOM US Equity","CF_DECR_INVEST","FQ1 1996","FQ1 1996","Currency=USD","Period=FQ","BEST_FPERIOD_OVERRIDE=FQ","FILING_STATUS=OR","SCALING_FORMAT=MLN","Sort=A","Dates=H","DateFormat=P","Fill=—","Direction=H","UseDPDF=Y")</f>
        <v>—</v>
      </c>
      <c r="AB20" s="13" t="str">
        <f>_xll.BDH("XOM US Equity","CF_DECR_INVEST","FQ2 1996","FQ2 1996","Currency=USD","Period=FQ","BEST_FPERIOD_OVERRIDE=FQ","FILING_STATUS=OR","SCALING_FORMAT=MLN","Sort=A","Dates=H","DateFormat=P","Fill=—","Direction=H","UseDPDF=Y")</f>
        <v>—</v>
      </c>
      <c r="AC20" s="13" t="str">
        <f>_xll.BDH("XOM US Equity","CF_DECR_INVEST","FQ3 1996","FQ3 1996","Currency=USD","Period=FQ","BEST_FPERIOD_OVERRIDE=FQ","FILING_STATUS=OR","SCALING_FORMAT=MLN","Sort=A","Dates=H","DateFormat=P","Fill=—","Direction=H","UseDPDF=Y")</f>
        <v>—</v>
      </c>
      <c r="AD20" s="13" t="str">
        <f>_xll.BDH("XOM US Equity","CF_DECR_INVEST","FQ4 1996","FQ4 1996","Currency=USD","Period=FQ","BEST_FPERIOD_OVERRIDE=FQ","FILING_STATUS=OR","SCALING_FORMAT=MLN","Sort=A","Dates=H","DateFormat=P","Fill=—","Direction=H","UseDPDF=Y")</f>
        <v>—</v>
      </c>
      <c r="AE20" s="13">
        <f>_xll.BDH("XOM US Equity","CF_DECR_INVEST","FQ1 1997","FQ1 1997","Currency=USD","Period=FQ","BEST_FPERIOD_OVERRIDE=FQ","FILING_STATUS=OR","SCALING_FORMAT=MLN","Sort=A","Dates=H","DateFormat=P","Fill=—","Direction=H","UseDPDF=Y")</f>
        <v>0</v>
      </c>
      <c r="AF20" s="13">
        <f>_xll.BDH("XOM US Equity","CF_DECR_INVEST","FQ2 1997","FQ2 1997","Currency=USD","Period=FQ","BEST_FPERIOD_OVERRIDE=FQ","FILING_STATUS=OR","SCALING_FORMAT=MLN","Sort=A","Dates=H","DateFormat=P","Fill=—","Direction=H","UseDPDF=Y")</f>
        <v>0</v>
      </c>
      <c r="AG20" s="13">
        <f>_xll.BDH("XOM US Equity","CF_DECR_INVEST","FQ3 1997","FQ3 1997","Currency=USD","Period=FQ","BEST_FPERIOD_OVERRIDE=FQ","FILING_STATUS=OR","SCALING_FORMAT=MLN","Sort=A","Dates=H","DateFormat=P","Fill=—","Direction=H","UseDPDF=Y")</f>
        <v>0</v>
      </c>
      <c r="AH20" s="13">
        <f>_xll.BDH("XOM US Equity","CF_DECR_INVEST","FQ4 1997","FQ4 1997","Currency=USD","Period=FQ","BEST_FPERIOD_OVERRIDE=FQ","FILING_STATUS=OR","SCALING_FORMAT=MLN","Sort=A","Dates=H","DateFormat=P","Fill=—","Direction=H","UseDPDF=Y")</f>
        <v>0</v>
      </c>
      <c r="AI20" s="13">
        <f>_xll.BDH("XOM US Equity","CF_DECR_INVEST","FQ1 1998","FQ1 1998","Currency=USD","Period=FQ","BEST_FPERIOD_OVERRIDE=FQ","FILING_STATUS=OR","SCALING_FORMAT=MLN","Sort=A","Dates=H","DateFormat=P","Fill=—","Direction=H","UseDPDF=Y")</f>
        <v>0</v>
      </c>
      <c r="AJ20" s="13">
        <f>_xll.BDH("XOM US Equity","CF_DECR_INVEST","FQ2 1998","FQ2 1998","Currency=USD","Period=FQ","BEST_FPERIOD_OVERRIDE=FQ","FILING_STATUS=OR","SCALING_FORMAT=MLN","Sort=A","Dates=H","DateFormat=P","Fill=—","Direction=H","UseDPDF=Y")</f>
        <v>0</v>
      </c>
    </row>
    <row r="21" spans="1:36" x14ac:dyDescent="0.25">
      <c r="A21" s="10" t="s">
        <v>260</v>
      </c>
      <c r="B21" s="10" t="s">
        <v>261</v>
      </c>
      <c r="C21" s="13" t="str">
        <f>_xll.BDH("XOM US Equity","CF_INCR_INVEST","FQ1 1990","FQ1 1990","Currency=USD","Period=FQ","BEST_FPERIOD_OVERRIDE=FQ","FILING_STATUS=OR","SCALING_FORMAT=MLN","Sort=A","Dates=H","DateFormat=P","Fill=—","Direction=H","UseDPDF=Y")</f>
        <v>—</v>
      </c>
      <c r="D21" s="13" t="str">
        <f>_xll.BDH("XOM US Equity","CF_INCR_INVEST","FQ2 1990","FQ2 1990","Currency=USD","Period=FQ","BEST_FPERIOD_OVERRIDE=FQ","FILING_STATUS=OR","SCALING_FORMAT=MLN","Sort=A","Dates=H","DateFormat=P","Fill=—","Direction=H","UseDPDF=Y")</f>
        <v>—</v>
      </c>
      <c r="E21" s="13" t="str">
        <f>_xll.BDH("XOM US Equity","CF_INCR_INVEST","FQ3 1990","FQ3 1990","Currency=USD","Period=FQ","BEST_FPERIOD_OVERRIDE=FQ","FILING_STATUS=OR","SCALING_FORMAT=MLN","Sort=A","Dates=H","DateFormat=P","Fill=—","Direction=H","UseDPDF=Y")</f>
        <v>—</v>
      </c>
      <c r="F21" s="13" t="str">
        <f>_xll.BDH("XOM US Equity","CF_INCR_INVEST","FQ4 1990","FQ4 1990","Currency=USD","Period=FQ","BEST_FPERIOD_OVERRIDE=FQ","FILING_STATUS=OR","SCALING_FORMAT=MLN","Sort=A","Dates=H","DateFormat=P","Fill=—","Direction=H","UseDPDF=Y")</f>
        <v>—</v>
      </c>
      <c r="G21" s="13" t="str">
        <f>_xll.BDH("XOM US Equity","CF_INCR_INVEST","FQ1 1991","FQ1 1991","Currency=USD","Period=FQ","BEST_FPERIOD_OVERRIDE=FQ","FILING_STATUS=OR","SCALING_FORMAT=MLN","Sort=A","Dates=H","DateFormat=P","Fill=—","Direction=H","UseDPDF=Y")</f>
        <v>—</v>
      </c>
      <c r="H21" s="13" t="str">
        <f>_xll.BDH("XOM US Equity","CF_INCR_INVEST","FQ2 1991","FQ2 1991","Currency=USD","Period=FQ","BEST_FPERIOD_OVERRIDE=FQ","FILING_STATUS=OR","SCALING_FORMAT=MLN","Sort=A","Dates=H","DateFormat=P","Fill=—","Direction=H","UseDPDF=Y")</f>
        <v>—</v>
      </c>
      <c r="I21" s="13" t="str">
        <f>_xll.BDH("XOM US Equity","CF_INCR_INVEST","FQ3 1991","FQ3 1991","Currency=USD","Period=FQ","BEST_FPERIOD_OVERRIDE=FQ","FILING_STATUS=OR","SCALING_FORMAT=MLN","Sort=A","Dates=H","DateFormat=P","Fill=—","Direction=H","UseDPDF=Y")</f>
        <v>—</v>
      </c>
      <c r="J21" s="13" t="str">
        <f>_xll.BDH("XOM US Equity","CF_INCR_INVEST","FQ4 1991","FQ4 1991","Currency=USD","Period=FQ","BEST_FPERIOD_OVERRIDE=FQ","FILING_STATUS=OR","SCALING_FORMAT=MLN","Sort=A","Dates=H","DateFormat=P","Fill=—","Direction=H","UseDPDF=Y")</f>
        <v>—</v>
      </c>
      <c r="K21" s="13" t="str">
        <f>_xll.BDH("XOM US Equity","CF_INCR_INVEST","FQ1 1992","FQ1 1992","Currency=USD","Period=FQ","BEST_FPERIOD_OVERRIDE=FQ","FILING_STATUS=OR","SCALING_FORMAT=MLN","Sort=A","Dates=H","DateFormat=P","Fill=—","Direction=H","UseDPDF=Y")</f>
        <v>—</v>
      </c>
      <c r="L21" s="13" t="str">
        <f>_xll.BDH("XOM US Equity","CF_INCR_INVEST","FQ2 1992","FQ2 1992","Currency=USD","Period=FQ","BEST_FPERIOD_OVERRIDE=FQ","FILING_STATUS=OR","SCALING_FORMAT=MLN","Sort=A","Dates=H","DateFormat=P","Fill=—","Direction=H","UseDPDF=Y")</f>
        <v>—</v>
      </c>
      <c r="M21" s="13" t="str">
        <f>_xll.BDH("XOM US Equity","CF_INCR_INVEST","FQ3 1992","FQ3 1992","Currency=USD","Period=FQ","BEST_FPERIOD_OVERRIDE=FQ","FILING_STATUS=OR","SCALING_FORMAT=MLN","Sort=A","Dates=H","DateFormat=P","Fill=—","Direction=H","UseDPDF=Y")</f>
        <v>—</v>
      </c>
      <c r="N21" s="13" t="str">
        <f>_xll.BDH("XOM US Equity","CF_INCR_INVEST","FQ4 1992","FQ4 1992","Currency=USD","Period=FQ","BEST_FPERIOD_OVERRIDE=FQ","FILING_STATUS=OR","SCALING_FORMAT=MLN","Sort=A","Dates=H","DateFormat=P","Fill=—","Direction=H","UseDPDF=Y")</f>
        <v>—</v>
      </c>
      <c r="O21" s="13" t="str">
        <f>_xll.BDH("XOM US Equity","CF_INCR_INVEST","FQ1 1993","FQ1 1993","Currency=USD","Period=FQ","BEST_FPERIOD_OVERRIDE=FQ","FILING_STATUS=OR","SCALING_FORMAT=MLN","Sort=A","Dates=H","DateFormat=P","Fill=—","Direction=H","UseDPDF=Y")</f>
        <v>—</v>
      </c>
      <c r="P21" s="13" t="str">
        <f>_xll.BDH("XOM US Equity","CF_INCR_INVEST","FQ2 1993","FQ2 1993","Currency=USD","Period=FQ","BEST_FPERIOD_OVERRIDE=FQ","FILING_STATUS=OR","SCALING_FORMAT=MLN","Sort=A","Dates=H","DateFormat=P","Fill=—","Direction=H","UseDPDF=Y")</f>
        <v>—</v>
      </c>
      <c r="Q21" s="13" t="str">
        <f>_xll.BDH("XOM US Equity","CF_INCR_INVEST","FQ3 1993","FQ3 1993","Currency=USD","Period=FQ","BEST_FPERIOD_OVERRIDE=FQ","FILING_STATUS=OR","SCALING_FORMAT=MLN","Sort=A","Dates=H","DateFormat=P","Fill=—","Direction=H","UseDPDF=Y")</f>
        <v>—</v>
      </c>
      <c r="R21" s="13" t="str">
        <f>_xll.BDH("XOM US Equity","CF_INCR_INVEST","FQ4 1993","FQ4 1993","Currency=USD","Period=FQ","BEST_FPERIOD_OVERRIDE=FQ","FILING_STATUS=OR","SCALING_FORMAT=MLN","Sort=A","Dates=H","DateFormat=P","Fill=—","Direction=H","UseDPDF=Y")</f>
        <v>—</v>
      </c>
      <c r="S21" s="13" t="str">
        <f>_xll.BDH("XOM US Equity","CF_INCR_INVEST","FQ1 1994","FQ1 1994","Currency=USD","Period=FQ","BEST_FPERIOD_OVERRIDE=FQ","FILING_STATUS=OR","SCALING_FORMAT=MLN","Sort=A","Dates=H","DateFormat=P","Fill=—","Direction=H","UseDPDF=Y")</f>
        <v>—</v>
      </c>
      <c r="T21" s="13" t="str">
        <f>_xll.BDH("XOM US Equity","CF_INCR_INVEST","FQ2 1994","FQ2 1994","Currency=USD","Period=FQ","BEST_FPERIOD_OVERRIDE=FQ","FILING_STATUS=OR","SCALING_FORMAT=MLN","Sort=A","Dates=H","DateFormat=P","Fill=—","Direction=H","UseDPDF=Y")</f>
        <v>—</v>
      </c>
      <c r="U21" s="13" t="str">
        <f>_xll.BDH("XOM US Equity","CF_INCR_INVEST","FQ3 1994","FQ3 1994","Currency=USD","Period=FQ","BEST_FPERIOD_OVERRIDE=FQ","FILING_STATUS=OR","SCALING_FORMAT=MLN","Sort=A","Dates=H","DateFormat=P","Fill=—","Direction=H","UseDPDF=Y")</f>
        <v>—</v>
      </c>
      <c r="V21" s="13" t="str">
        <f>_xll.BDH("XOM US Equity","CF_INCR_INVEST","FQ4 1994","FQ4 1994","Currency=USD","Period=FQ","BEST_FPERIOD_OVERRIDE=FQ","FILING_STATUS=OR","SCALING_FORMAT=MLN","Sort=A","Dates=H","DateFormat=P","Fill=—","Direction=H","UseDPDF=Y")</f>
        <v>—</v>
      </c>
      <c r="W21" s="13" t="str">
        <f>_xll.BDH("XOM US Equity","CF_INCR_INVEST","FQ1 1995","FQ1 1995","Currency=USD","Period=FQ","BEST_FPERIOD_OVERRIDE=FQ","FILING_STATUS=OR","SCALING_FORMAT=MLN","Sort=A","Dates=H","DateFormat=P","Fill=—","Direction=H","UseDPDF=Y")</f>
        <v>—</v>
      </c>
      <c r="X21" s="13" t="str">
        <f>_xll.BDH("XOM US Equity","CF_INCR_INVEST","FQ2 1995","FQ2 1995","Currency=USD","Period=FQ","BEST_FPERIOD_OVERRIDE=FQ","FILING_STATUS=OR","SCALING_FORMAT=MLN","Sort=A","Dates=H","DateFormat=P","Fill=—","Direction=H","UseDPDF=Y")</f>
        <v>—</v>
      </c>
      <c r="Y21" s="13" t="str">
        <f>_xll.BDH("XOM US Equity","CF_INCR_INVEST","FQ3 1995","FQ3 1995","Currency=USD","Period=FQ","BEST_FPERIOD_OVERRIDE=FQ","FILING_STATUS=OR","SCALING_FORMAT=MLN","Sort=A","Dates=H","DateFormat=P","Fill=—","Direction=H","UseDPDF=Y")</f>
        <v>—</v>
      </c>
      <c r="Z21" s="13" t="str">
        <f>_xll.BDH("XOM US Equity","CF_INCR_INVEST","FQ4 1995","FQ4 1995","Currency=USD","Period=FQ","BEST_FPERIOD_OVERRIDE=FQ","FILING_STATUS=OR","SCALING_FORMAT=MLN","Sort=A","Dates=H","DateFormat=P","Fill=—","Direction=H","UseDPDF=Y")</f>
        <v>—</v>
      </c>
      <c r="AA21" s="13" t="str">
        <f>_xll.BDH("XOM US Equity","CF_INCR_INVEST","FQ1 1996","FQ1 1996","Currency=USD","Period=FQ","BEST_FPERIOD_OVERRIDE=FQ","FILING_STATUS=OR","SCALING_FORMAT=MLN","Sort=A","Dates=H","DateFormat=P","Fill=—","Direction=H","UseDPDF=Y")</f>
        <v>—</v>
      </c>
      <c r="AB21" s="13" t="str">
        <f>_xll.BDH("XOM US Equity","CF_INCR_INVEST","FQ2 1996","FQ2 1996","Currency=USD","Period=FQ","BEST_FPERIOD_OVERRIDE=FQ","FILING_STATUS=OR","SCALING_FORMAT=MLN","Sort=A","Dates=H","DateFormat=P","Fill=—","Direction=H","UseDPDF=Y")</f>
        <v>—</v>
      </c>
      <c r="AC21" s="13" t="str">
        <f>_xll.BDH("XOM US Equity","CF_INCR_INVEST","FQ3 1996","FQ3 1996","Currency=USD","Period=FQ","BEST_FPERIOD_OVERRIDE=FQ","FILING_STATUS=OR","SCALING_FORMAT=MLN","Sort=A","Dates=H","DateFormat=P","Fill=—","Direction=H","UseDPDF=Y")</f>
        <v>—</v>
      </c>
      <c r="AD21" s="13" t="str">
        <f>_xll.BDH("XOM US Equity","CF_INCR_INVEST","FQ4 1996","FQ4 1996","Currency=USD","Period=FQ","BEST_FPERIOD_OVERRIDE=FQ","FILING_STATUS=OR","SCALING_FORMAT=MLN","Sort=A","Dates=H","DateFormat=P","Fill=—","Direction=H","UseDPDF=Y")</f>
        <v>—</v>
      </c>
      <c r="AE21" s="13">
        <f>_xll.BDH("XOM US Equity","CF_INCR_INVEST","FQ1 1997","FQ1 1997","Currency=USD","Period=FQ","BEST_FPERIOD_OVERRIDE=FQ","FILING_STATUS=OR","SCALING_FORMAT=MLN","Sort=A","Dates=H","DateFormat=P","Fill=—","Direction=H","UseDPDF=Y")</f>
        <v>0</v>
      </c>
      <c r="AF21" s="13">
        <f>_xll.BDH("XOM US Equity","CF_INCR_INVEST","FQ2 1997","FQ2 1997","Currency=USD","Period=FQ","BEST_FPERIOD_OVERRIDE=FQ","FILING_STATUS=OR","SCALING_FORMAT=MLN","Sort=A","Dates=H","DateFormat=P","Fill=—","Direction=H","UseDPDF=Y")</f>
        <v>0</v>
      </c>
      <c r="AG21" s="13">
        <f>_xll.BDH("XOM US Equity","CF_INCR_INVEST","FQ3 1997","FQ3 1997","Currency=USD","Period=FQ","BEST_FPERIOD_OVERRIDE=FQ","FILING_STATUS=OR","SCALING_FORMAT=MLN","Sort=A","Dates=H","DateFormat=P","Fill=—","Direction=H","UseDPDF=Y")</f>
        <v>0</v>
      </c>
      <c r="AH21" s="13">
        <f>_xll.BDH("XOM US Equity","CF_INCR_INVEST","FQ4 1997","FQ4 1997","Currency=USD","Period=FQ","BEST_FPERIOD_OVERRIDE=FQ","FILING_STATUS=OR","SCALING_FORMAT=MLN","Sort=A","Dates=H","DateFormat=P","Fill=—","Direction=H","UseDPDF=Y")</f>
        <v>0</v>
      </c>
      <c r="AI21" s="13">
        <f>_xll.BDH("XOM US Equity","CF_INCR_INVEST","FQ1 1998","FQ1 1998","Currency=USD","Period=FQ","BEST_FPERIOD_OVERRIDE=FQ","FILING_STATUS=OR","SCALING_FORMAT=MLN","Sort=A","Dates=H","DateFormat=P","Fill=—","Direction=H","UseDPDF=Y")</f>
        <v>0</v>
      </c>
      <c r="AJ21" s="13">
        <f>_xll.BDH("XOM US Equity","CF_INCR_INVEST","FQ2 1998","FQ2 1998","Currency=USD","Period=FQ","BEST_FPERIOD_OVERRIDE=FQ","FILING_STATUS=OR","SCALING_FORMAT=MLN","Sort=A","Dates=H","DateFormat=P","Fill=—","Direction=H","UseDPDF=Y")</f>
        <v>0</v>
      </c>
    </row>
    <row r="22" spans="1:36" x14ac:dyDescent="0.25">
      <c r="A22" s="10" t="s">
        <v>262</v>
      </c>
      <c r="B22" s="10" t="s">
        <v>263</v>
      </c>
      <c r="C22" s="13" t="str">
        <f>_xll.BDH("XOM US Equity","OTHER_INVESTING_ACT_DETAILED","FQ1 1990","FQ1 1990","Currency=USD","Period=FQ","BEST_FPERIOD_OVERRIDE=FQ","FILING_STATUS=OR","SCALING_FORMAT=MLN","Sort=A","Dates=H","DateFormat=P","Fill=—","Direction=H","UseDPDF=Y")</f>
        <v>—</v>
      </c>
      <c r="D22" s="13" t="str">
        <f>_xll.BDH("XOM US Equity","OTHER_INVESTING_ACT_DETAILED","FQ2 1990","FQ2 1990","Currency=USD","Period=FQ","BEST_FPERIOD_OVERRIDE=FQ","FILING_STATUS=OR","SCALING_FORMAT=MLN","Sort=A","Dates=H","DateFormat=P","Fill=—","Direction=H","UseDPDF=Y")</f>
        <v>—</v>
      </c>
      <c r="E22" s="13" t="str">
        <f>_xll.BDH("XOM US Equity","OTHER_INVESTING_ACT_DETAILED","FQ3 1990","FQ3 1990","Currency=USD","Period=FQ","BEST_FPERIOD_OVERRIDE=FQ","FILING_STATUS=OR","SCALING_FORMAT=MLN","Sort=A","Dates=H","DateFormat=P","Fill=—","Direction=H","UseDPDF=Y")</f>
        <v>—</v>
      </c>
      <c r="F22" s="13" t="str">
        <f>_xll.BDH("XOM US Equity","OTHER_INVESTING_ACT_DETAILED","FQ4 1990","FQ4 1990","Currency=USD","Period=FQ","BEST_FPERIOD_OVERRIDE=FQ","FILING_STATUS=OR","SCALING_FORMAT=MLN","Sort=A","Dates=H","DateFormat=P","Fill=—","Direction=H","UseDPDF=Y")</f>
        <v>—</v>
      </c>
      <c r="G22" s="13" t="str">
        <f>_xll.BDH("XOM US Equity","OTHER_INVESTING_ACT_DETAILED","FQ1 1991","FQ1 1991","Currency=USD","Period=FQ","BEST_FPERIOD_OVERRIDE=FQ","FILING_STATUS=OR","SCALING_FORMAT=MLN","Sort=A","Dates=H","DateFormat=P","Fill=—","Direction=H","UseDPDF=Y")</f>
        <v>—</v>
      </c>
      <c r="H22" s="13" t="str">
        <f>_xll.BDH("XOM US Equity","OTHER_INVESTING_ACT_DETAILED","FQ2 1991","FQ2 1991","Currency=USD","Period=FQ","BEST_FPERIOD_OVERRIDE=FQ","FILING_STATUS=OR","SCALING_FORMAT=MLN","Sort=A","Dates=H","DateFormat=P","Fill=—","Direction=H","UseDPDF=Y")</f>
        <v>—</v>
      </c>
      <c r="I22" s="13" t="str">
        <f>_xll.BDH("XOM US Equity","OTHER_INVESTING_ACT_DETAILED","FQ3 1991","FQ3 1991","Currency=USD","Period=FQ","BEST_FPERIOD_OVERRIDE=FQ","FILING_STATUS=OR","SCALING_FORMAT=MLN","Sort=A","Dates=H","DateFormat=P","Fill=—","Direction=H","UseDPDF=Y")</f>
        <v>—</v>
      </c>
      <c r="J22" s="13" t="str">
        <f>_xll.BDH("XOM US Equity","OTHER_INVESTING_ACT_DETAILED","FQ4 1991","FQ4 1991","Currency=USD","Period=FQ","BEST_FPERIOD_OVERRIDE=FQ","FILING_STATUS=OR","SCALING_FORMAT=MLN","Sort=A","Dates=H","DateFormat=P","Fill=—","Direction=H","UseDPDF=Y")</f>
        <v>—</v>
      </c>
      <c r="K22" s="13" t="str">
        <f>_xll.BDH("XOM US Equity","OTHER_INVESTING_ACT_DETAILED","FQ1 1992","FQ1 1992","Currency=USD","Period=FQ","BEST_FPERIOD_OVERRIDE=FQ","FILING_STATUS=OR","SCALING_FORMAT=MLN","Sort=A","Dates=H","DateFormat=P","Fill=—","Direction=H","UseDPDF=Y")</f>
        <v>—</v>
      </c>
      <c r="L22" s="13" t="str">
        <f>_xll.BDH("XOM US Equity","OTHER_INVESTING_ACT_DETAILED","FQ2 1992","FQ2 1992","Currency=USD","Period=FQ","BEST_FPERIOD_OVERRIDE=FQ","FILING_STATUS=OR","SCALING_FORMAT=MLN","Sort=A","Dates=H","DateFormat=P","Fill=—","Direction=H","UseDPDF=Y")</f>
        <v>—</v>
      </c>
      <c r="M22" s="13" t="str">
        <f>_xll.BDH("XOM US Equity","OTHER_INVESTING_ACT_DETAILED","FQ3 1992","FQ3 1992","Currency=USD","Period=FQ","BEST_FPERIOD_OVERRIDE=FQ","FILING_STATUS=OR","SCALING_FORMAT=MLN","Sort=A","Dates=H","DateFormat=P","Fill=—","Direction=H","UseDPDF=Y")</f>
        <v>—</v>
      </c>
      <c r="N22" s="13" t="str">
        <f>_xll.BDH("XOM US Equity","OTHER_INVESTING_ACT_DETAILED","FQ4 1992","FQ4 1992","Currency=USD","Period=FQ","BEST_FPERIOD_OVERRIDE=FQ","FILING_STATUS=OR","SCALING_FORMAT=MLN","Sort=A","Dates=H","DateFormat=P","Fill=—","Direction=H","UseDPDF=Y")</f>
        <v>—</v>
      </c>
      <c r="O22" s="13" t="str">
        <f>_xll.BDH("XOM US Equity","OTHER_INVESTING_ACT_DETAILED","FQ1 1993","FQ1 1993","Currency=USD","Period=FQ","BEST_FPERIOD_OVERRIDE=FQ","FILING_STATUS=OR","SCALING_FORMAT=MLN","Sort=A","Dates=H","DateFormat=P","Fill=—","Direction=H","UseDPDF=Y")</f>
        <v>—</v>
      </c>
      <c r="P22" s="13" t="str">
        <f>_xll.BDH("XOM US Equity","OTHER_INVESTING_ACT_DETAILED","FQ2 1993","FQ2 1993","Currency=USD","Period=FQ","BEST_FPERIOD_OVERRIDE=FQ","FILING_STATUS=OR","SCALING_FORMAT=MLN","Sort=A","Dates=H","DateFormat=P","Fill=—","Direction=H","UseDPDF=Y")</f>
        <v>—</v>
      </c>
      <c r="Q22" s="13" t="str">
        <f>_xll.BDH("XOM US Equity","OTHER_INVESTING_ACT_DETAILED","FQ3 1993","FQ3 1993","Currency=USD","Period=FQ","BEST_FPERIOD_OVERRIDE=FQ","FILING_STATUS=OR","SCALING_FORMAT=MLN","Sort=A","Dates=H","DateFormat=P","Fill=—","Direction=H","UseDPDF=Y")</f>
        <v>—</v>
      </c>
      <c r="R22" s="13" t="str">
        <f>_xll.BDH("XOM US Equity","OTHER_INVESTING_ACT_DETAILED","FQ4 1993","FQ4 1993","Currency=USD","Period=FQ","BEST_FPERIOD_OVERRIDE=FQ","FILING_STATUS=OR","SCALING_FORMAT=MLN","Sort=A","Dates=H","DateFormat=P","Fill=—","Direction=H","UseDPDF=Y")</f>
        <v>—</v>
      </c>
      <c r="S22" s="13" t="str">
        <f>_xll.BDH("XOM US Equity","OTHER_INVESTING_ACT_DETAILED","FQ1 1994","FQ1 1994","Currency=USD","Period=FQ","BEST_FPERIOD_OVERRIDE=FQ","FILING_STATUS=OR","SCALING_FORMAT=MLN","Sort=A","Dates=H","DateFormat=P","Fill=—","Direction=H","UseDPDF=Y")</f>
        <v>—</v>
      </c>
      <c r="T22" s="13" t="str">
        <f>_xll.BDH("XOM US Equity","OTHER_INVESTING_ACT_DETAILED","FQ2 1994","FQ2 1994","Currency=USD","Period=FQ","BEST_FPERIOD_OVERRIDE=FQ","FILING_STATUS=OR","SCALING_FORMAT=MLN","Sort=A","Dates=H","DateFormat=P","Fill=—","Direction=H","UseDPDF=Y")</f>
        <v>—</v>
      </c>
      <c r="U22" s="13" t="str">
        <f>_xll.BDH("XOM US Equity","OTHER_INVESTING_ACT_DETAILED","FQ3 1994","FQ3 1994","Currency=USD","Period=FQ","BEST_FPERIOD_OVERRIDE=FQ","FILING_STATUS=OR","SCALING_FORMAT=MLN","Sort=A","Dates=H","DateFormat=P","Fill=—","Direction=H","UseDPDF=Y")</f>
        <v>—</v>
      </c>
      <c r="V22" s="13" t="str">
        <f>_xll.BDH("XOM US Equity","OTHER_INVESTING_ACT_DETAILED","FQ4 1994","FQ4 1994","Currency=USD","Period=FQ","BEST_FPERIOD_OVERRIDE=FQ","FILING_STATUS=OR","SCALING_FORMAT=MLN","Sort=A","Dates=H","DateFormat=P","Fill=—","Direction=H","UseDPDF=Y")</f>
        <v>—</v>
      </c>
      <c r="W22" s="13">
        <f>_xll.BDH("XOM US Equity","OTHER_INVESTING_ACT_DETAILED","FQ1 1995","FQ1 1995","Currency=USD","Period=FQ","BEST_FPERIOD_OVERRIDE=FQ","FILING_STATUS=OR","SCALING_FORMAT=MLN","Sort=A","Dates=H","DateFormat=P","Fill=—","Direction=H","UseDPDF=Y")</f>
        <v>1399</v>
      </c>
      <c r="X22" s="13">
        <f>_xll.BDH("XOM US Equity","OTHER_INVESTING_ACT_DETAILED","FQ2 1995","FQ2 1995","Currency=USD","Period=FQ","BEST_FPERIOD_OVERRIDE=FQ","FILING_STATUS=OR","SCALING_FORMAT=MLN","Sort=A","Dates=H","DateFormat=P","Fill=—","Direction=H","UseDPDF=Y")</f>
        <v>1647</v>
      </c>
      <c r="Y22" s="13">
        <f>_xll.BDH("XOM US Equity","OTHER_INVESTING_ACT_DETAILED","FQ3 1995","FQ3 1995","Currency=USD","Period=FQ","BEST_FPERIOD_OVERRIDE=FQ","FILING_STATUS=OR","SCALING_FORMAT=MLN","Sort=A","Dates=H","DateFormat=P","Fill=—","Direction=H","UseDPDF=Y")</f>
        <v>0</v>
      </c>
      <c r="Z22" s="13">
        <f>_xll.BDH("XOM US Equity","OTHER_INVESTING_ACT_DETAILED","FQ4 1995","FQ4 1995","Currency=USD","Period=FQ","BEST_FPERIOD_OVERRIDE=FQ","FILING_STATUS=OR","SCALING_FORMAT=MLN","Sort=A","Dates=H","DateFormat=P","Fill=—","Direction=H","UseDPDF=Y")</f>
        <v>0</v>
      </c>
      <c r="AA22" s="13">
        <f>_xll.BDH("XOM US Equity","OTHER_INVESTING_ACT_DETAILED","FQ1 1996","FQ1 1996","Currency=USD","Period=FQ","BEST_FPERIOD_OVERRIDE=FQ","FILING_STATUS=OR","SCALING_FORMAT=MLN","Sort=A","Dates=H","DateFormat=P","Fill=—","Direction=H","UseDPDF=Y")</f>
        <v>0</v>
      </c>
      <c r="AB22" s="13">
        <f>_xll.BDH("XOM US Equity","OTHER_INVESTING_ACT_DETAILED","FQ2 1996","FQ2 1996","Currency=USD","Period=FQ","BEST_FPERIOD_OVERRIDE=FQ","FILING_STATUS=OR","SCALING_FORMAT=MLN","Sort=A","Dates=H","DateFormat=P","Fill=—","Direction=H","UseDPDF=Y")</f>
        <v>1846</v>
      </c>
      <c r="AC22" s="13">
        <f>_xll.BDH("XOM US Equity","OTHER_INVESTING_ACT_DETAILED","FQ3 1996","FQ3 1996","Currency=USD","Period=FQ","BEST_FPERIOD_OVERRIDE=FQ","FILING_STATUS=OR","SCALING_FORMAT=MLN","Sort=A","Dates=H","DateFormat=P","Fill=—","Direction=H","UseDPDF=Y")</f>
        <v>0</v>
      </c>
      <c r="AD22" s="13">
        <f>_xll.BDH("XOM US Equity","OTHER_INVESTING_ACT_DETAILED","FQ4 1996","FQ4 1996","Currency=USD","Period=FQ","BEST_FPERIOD_OVERRIDE=FQ","FILING_STATUS=OR","SCALING_FORMAT=MLN","Sort=A","Dates=H","DateFormat=P","Fill=—","Direction=H","UseDPDF=Y")</f>
        <v>0</v>
      </c>
      <c r="AE22" s="13">
        <f>_xll.BDH("XOM US Equity","OTHER_INVESTING_ACT_DETAILED","FQ1 1997","FQ1 1997","Currency=USD","Period=FQ","BEST_FPERIOD_OVERRIDE=FQ","FILING_STATUS=OR","SCALING_FORMAT=MLN","Sort=A","Dates=H","DateFormat=P","Fill=—","Direction=H","UseDPDF=Y")</f>
        <v>387</v>
      </c>
      <c r="AF22" s="13">
        <f>_xll.BDH("XOM US Equity","OTHER_INVESTING_ACT_DETAILED","FQ2 1997","FQ2 1997","Currency=USD","Period=FQ","BEST_FPERIOD_OVERRIDE=FQ","FILING_STATUS=OR","SCALING_FORMAT=MLN","Sort=A","Dates=H","DateFormat=P","Fill=—","Direction=H","UseDPDF=Y")</f>
        <v>-118</v>
      </c>
      <c r="AG22" s="13">
        <f>_xll.BDH("XOM US Equity","OTHER_INVESTING_ACT_DETAILED","FQ3 1997","FQ3 1997","Currency=USD","Period=FQ","BEST_FPERIOD_OVERRIDE=FQ","FILING_STATUS=OR","SCALING_FORMAT=MLN","Sort=A","Dates=H","DateFormat=P","Fill=—","Direction=H","UseDPDF=Y")</f>
        <v>-170</v>
      </c>
      <c r="AH22" s="13">
        <f>_xll.BDH("XOM US Equity","OTHER_INVESTING_ACT_DETAILED","FQ4 1997","FQ4 1997","Currency=USD","Period=FQ","BEST_FPERIOD_OVERRIDE=FQ","FILING_STATUS=OR","SCALING_FORMAT=MLN","Sort=A","Dates=H","DateFormat=P","Fill=—","Direction=H","UseDPDF=Y")</f>
        <v>503</v>
      </c>
      <c r="AI22" s="13">
        <f>_xll.BDH("XOM US Equity","OTHER_INVESTING_ACT_DETAILED","FQ1 1998","FQ1 1998","Currency=USD","Period=FQ","BEST_FPERIOD_OVERRIDE=FQ","FILING_STATUS=OR","SCALING_FORMAT=MLN","Sort=A","Dates=H","DateFormat=P","Fill=—","Direction=H","UseDPDF=Y")</f>
        <v>407</v>
      </c>
      <c r="AJ22" s="13">
        <f>_xll.BDH("XOM US Equity","OTHER_INVESTING_ACT_DETAILED","FQ2 1998","FQ2 1998","Currency=USD","Period=FQ","BEST_FPERIOD_OVERRIDE=FQ","FILING_STATUS=OR","SCALING_FORMAT=MLN","Sort=A","Dates=H","DateFormat=P","Fill=—","Direction=H","UseDPDF=Y")</f>
        <v>-44</v>
      </c>
    </row>
    <row r="23" spans="1:36" x14ac:dyDescent="0.25">
      <c r="A23" s="6" t="s">
        <v>249</v>
      </c>
      <c r="B23" s="6" t="s">
        <v>264</v>
      </c>
      <c r="C23" s="16" t="str">
        <f>_xll.BDH("XOM US Equity","CF_CASH_FROM_INV_ACT","FQ1 1990","FQ1 1990","Currency=USD","Period=FQ","BEST_FPERIOD_OVERRIDE=FQ","FILING_STATUS=OR","SCALING_FORMAT=MLN","Sort=A","Dates=H","DateFormat=P","Fill=—","Direction=H","UseDPDF=Y")</f>
        <v>—</v>
      </c>
      <c r="D23" s="16" t="str">
        <f>_xll.BDH("XOM US Equity","CF_CASH_FROM_INV_ACT","FQ2 1990","FQ2 1990","Currency=USD","Period=FQ","BEST_FPERIOD_OVERRIDE=FQ","FILING_STATUS=OR","SCALING_FORMAT=MLN","Sort=A","Dates=H","DateFormat=P","Fill=—","Direction=H","UseDPDF=Y")</f>
        <v>—</v>
      </c>
      <c r="E23" s="16" t="str">
        <f>_xll.BDH("XOM US Equity","CF_CASH_FROM_INV_ACT","FQ3 1990","FQ3 1990","Currency=USD","Period=FQ","BEST_FPERIOD_OVERRIDE=FQ","FILING_STATUS=OR","SCALING_FORMAT=MLN","Sort=A","Dates=H","DateFormat=P","Fill=—","Direction=H","UseDPDF=Y")</f>
        <v>—</v>
      </c>
      <c r="F23" s="16" t="str">
        <f>_xll.BDH("XOM US Equity","CF_CASH_FROM_INV_ACT","FQ4 1990","FQ4 1990","Currency=USD","Period=FQ","BEST_FPERIOD_OVERRIDE=FQ","FILING_STATUS=OR","SCALING_FORMAT=MLN","Sort=A","Dates=H","DateFormat=P","Fill=—","Direction=H","UseDPDF=Y")</f>
        <v>—</v>
      </c>
      <c r="G23" s="16" t="str">
        <f>_xll.BDH("XOM US Equity","CF_CASH_FROM_INV_ACT","FQ1 1991","FQ1 1991","Currency=USD","Period=FQ","BEST_FPERIOD_OVERRIDE=FQ","FILING_STATUS=OR","SCALING_FORMAT=MLN","Sort=A","Dates=H","DateFormat=P","Fill=—","Direction=H","UseDPDF=Y")</f>
        <v>—</v>
      </c>
      <c r="H23" s="16" t="str">
        <f>_xll.BDH("XOM US Equity","CF_CASH_FROM_INV_ACT","FQ2 1991","FQ2 1991","Currency=USD","Period=FQ","BEST_FPERIOD_OVERRIDE=FQ","FILING_STATUS=OR","SCALING_FORMAT=MLN","Sort=A","Dates=H","DateFormat=P","Fill=—","Direction=H","UseDPDF=Y")</f>
        <v>—</v>
      </c>
      <c r="I23" s="16" t="str">
        <f>_xll.BDH("XOM US Equity","CF_CASH_FROM_INV_ACT","FQ3 1991","FQ3 1991","Currency=USD","Period=FQ","BEST_FPERIOD_OVERRIDE=FQ","FILING_STATUS=OR","SCALING_FORMAT=MLN","Sort=A","Dates=H","DateFormat=P","Fill=—","Direction=H","UseDPDF=Y")</f>
        <v>—</v>
      </c>
      <c r="J23" s="16" t="str">
        <f>_xll.BDH("XOM US Equity","CF_CASH_FROM_INV_ACT","FQ4 1991","FQ4 1991","Currency=USD","Period=FQ","BEST_FPERIOD_OVERRIDE=FQ","FILING_STATUS=OR","SCALING_FORMAT=MLN","Sort=A","Dates=H","DateFormat=P","Fill=—","Direction=H","UseDPDF=Y")</f>
        <v>—</v>
      </c>
      <c r="K23" s="16" t="str">
        <f>_xll.BDH("XOM US Equity","CF_CASH_FROM_INV_ACT","FQ1 1992","FQ1 1992","Currency=USD","Period=FQ","BEST_FPERIOD_OVERRIDE=FQ","FILING_STATUS=OR","SCALING_FORMAT=MLN","Sort=A","Dates=H","DateFormat=P","Fill=—","Direction=H","UseDPDF=Y")</f>
        <v>—</v>
      </c>
      <c r="L23" s="16" t="str">
        <f>_xll.BDH("XOM US Equity","CF_CASH_FROM_INV_ACT","FQ2 1992","FQ2 1992","Currency=USD","Period=FQ","BEST_FPERIOD_OVERRIDE=FQ","FILING_STATUS=OR","SCALING_FORMAT=MLN","Sort=A","Dates=H","DateFormat=P","Fill=—","Direction=H","UseDPDF=Y")</f>
        <v>—</v>
      </c>
      <c r="M23" s="16" t="str">
        <f>_xll.BDH("XOM US Equity","CF_CASH_FROM_INV_ACT","FQ3 1992","FQ3 1992","Currency=USD","Period=FQ","BEST_FPERIOD_OVERRIDE=FQ","FILING_STATUS=OR","SCALING_FORMAT=MLN","Sort=A","Dates=H","DateFormat=P","Fill=—","Direction=H","UseDPDF=Y")</f>
        <v>—</v>
      </c>
      <c r="N23" s="16" t="str">
        <f>_xll.BDH("XOM US Equity","CF_CASH_FROM_INV_ACT","FQ4 1992","FQ4 1992","Currency=USD","Period=FQ","BEST_FPERIOD_OVERRIDE=FQ","FILING_STATUS=OR","SCALING_FORMAT=MLN","Sort=A","Dates=H","DateFormat=P","Fill=—","Direction=H","UseDPDF=Y")</f>
        <v>—</v>
      </c>
      <c r="O23" s="16" t="str">
        <f>_xll.BDH("XOM US Equity","CF_CASH_FROM_INV_ACT","FQ1 1993","FQ1 1993","Currency=USD","Period=FQ","BEST_FPERIOD_OVERRIDE=FQ","FILING_STATUS=OR","SCALING_FORMAT=MLN","Sort=A","Dates=H","DateFormat=P","Fill=—","Direction=H","UseDPDF=Y")</f>
        <v>—</v>
      </c>
      <c r="P23" s="16" t="str">
        <f>_xll.BDH("XOM US Equity","CF_CASH_FROM_INV_ACT","FQ2 1993","FQ2 1993","Currency=USD","Period=FQ","BEST_FPERIOD_OVERRIDE=FQ","FILING_STATUS=OR","SCALING_FORMAT=MLN","Sort=A","Dates=H","DateFormat=P","Fill=—","Direction=H","UseDPDF=Y")</f>
        <v>—</v>
      </c>
      <c r="Q23" s="16" t="str">
        <f>_xll.BDH("XOM US Equity","CF_CASH_FROM_INV_ACT","FQ3 1993","FQ3 1993","Currency=USD","Period=FQ","BEST_FPERIOD_OVERRIDE=FQ","FILING_STATUS=OR","SCALING_FORMAT=MLN","Sort=A","Dates=H","DateFormat=P","Fill=—","Direction=H","UseDPDF=Y")</f>
        <v>—</v>
      </c>
      <c r="R23" s="16" t="str">
        <f>_xll.BDH("XOM US Equity","CF_CASH_FROM_INV_ACT","FQ4 1993","FQ4 1993","Currency=USD","Period=FQ","BEST_FPERIOD_OVERRIDE=FQ","FILING_STATUS=OR","SCALING_FORMAT=MLN","Sort=A","Dates=H","DateFormat=P","Fill=—","Direction=H","UseDPDF=Y")</f>
        <v>—</v>
      </c>
      <c r="S23" s="16" t="str">
        <f>_xll.BDH("XOM US Equity","CF_CASH_FROM_INV_ACT","FQ1 1994","FQ1 1994","Currency=USD","Period=FQ","BEST_FPERIOD_OVERRIDE=FQ","FILING_STATUS=OR","SCALING_FORMAT=MLN","Sort=A","Dates=H","DateFormat=P","Fill=—","Direction=H","UseDPDF=Y")</f>
        <v>—</v>
      </c>
      <c r="T23" s="16" t="str">
        <f>_xll.BDH("XOM US Equity","CF_CASH_FROM_INV_ACT","FQ2 1994","FQ2 1994","Currency=USD","Period=FQ","BEST_FPERIOD_OVERRIDE=FQ","FILING_STATUS=OR","SCALING_FORMAT=MLN","Sort=A","Dates=H","DateFormat=P","Fill=—","Direction=H","UseDPDF=Y")</f>
        <v>—</v>
      </c>
      <c r="U23" s="16" t="str">
        <f>_xll.BDH("XOM US Equity","CF_CASH_FROM_INV_ACT","FQ3 1994","FQ3 1994","Currency=USD","Period=FQ","BEST_FPERIOD_OVERRIDE=FQ","FILING_STATUS=OR","SCALING_FORMAT=MLN","Sort=A","Dates=H","DateFormat=P","Fill=—","Direction=H","UseDPDF=Y")</f>
        <v>—</v>
      </c>
      <c r="V23" s="16" t="str">
        <f>_xll.BDH("XOM US Equity","CF_CASH_FROM_INV_ACT","FQ4 1994","FQ4 1994","Currency=USD","Period=FQ","BEST_FPERIOD_OVERRIDE=FQ","FILING_STATUS=OR","SCALING_FORMAT=MLN","Sort=A","Dates=H","DateFormat=P","Fill=—","Direction=H","UseDPDF=Y")</f>
        <v>—</v>
      </c>
      <c r="W23" s="16" t="str">
        <f>_xll.BDH("XOM US Equity","CF_CASH_FROM_INV_ACT","FQ1 1995","FQ1 1995","Currency=USD","Period=FQ","BEST_FPERIOD_OVERRIDE=FQ","FILING_STATUS=OR","SCALING_FORMAT=MLN","Sort=A","Dates=H","DateFormat=P","Fill=—","Direction=H","UseDPDF=Y")</f>
        <v>—</v>
      </c>
      <c r="X23" s="16" t="str">
        <f>_xll.BDH("XOM US Equity","CF_CASH_FROM_INV_ACT","FQ2 1995","FQ2 1995","Currency=USD","Period=FQ","BEST_FPERIOD_OVERRIDE=FQ","FILING_STATUS=OR","SCALING_FORMAT=MLN","Sort=A","Dates=H","DateFormat=P","Fill=—","Direction=H","UseDPDF=Y")</f>
        <v>—</v>
      </c>
      <c r="Y23" s="16">
        <f>_xll.BDH("XOM US Equity","CF_CASH_FROM_INV_ACT","FQ3 1995","FQ3 1995","Currency=USD","Period=FQ","BEST_FPERIOD_OVERRIDE=FQ","FILING_STATUS=OR","SCALING_FORMAT=MLN","Sort=A","Dates=H","DateFormat=P","Fill=—","Direction=H","UseDPDF=Y")</f>
        <v>-1779</v>
      </c>
      <c r="Z23" s="16">
        <f>_xll.BDH("XOM US Equity","CF_CASH_FROM_INV_ACT","FQ4 1995","FQ4 1995","Currency=USD","Period=FQ","BEST_FPERIOD_OVERRIDE=FQ","FILING_STATUS=OR","SCALING_FORMAT=MLN","Sort=A","Dates=H","DateFormat=P","Fill=—","Direction=H","UseDPDF=Y")</f>
        <v>-2303</v>
      </c>
      <c r="AA23" s="16">
        <f>_xll.BDH("XOM US Equity","CF_CASH_FROM_INV_ACT","FQ1 1996","FQ1 1996","Currency=USD","Period=FQ","BEST_FPERIOD_OVERRIDE=FQ","FILING_STATUS=OR","SCALING_FORMAT=MLN","Sort=A","Dates=H","DateFormat=P","Fill=—","Direction=H","UseDPDF=Y")</f>
        <v>-1413</v>
      </c>
      <c r="AB23" s="16" t="str">
        <f>_xll.BDH("XOM US Equity","CF_CASH_FROM_INV_ACT","FQ2 1996","FQ2 1996","Currency=USD","Period=FQ","BEST_FPERIOD_OVERRIDE=FQ","FILING_STATUS=OR","SCALING_FORMAT=MLN","Sort=A","Dates=H","DateFormat=P","Fill=—","Direction=H","UseDPDF=Y")</f>
        <v>—</v>
      </c>
      <c r="AC23" s="16">
        <f>_xll.BDH("XOM US Equity","CF_CASH_FROM_INV_ACT","FQ3 1996","FQ3 1996","Currency=USD","Period=FQ","BEST_FPERIOD_OVERRIDE=FQ","FILING_STATUS=OR","SCALING_FORMAT=MLN","Sort=A","Dates=H","DateFormat=P","Fill=—","Direction=H","UseDPDF=Y")</f>
        <v>-1842</v>
      </c>
      <c r="AD23" s="16">
        <f>_xll.BDH("XOM US Equity","CF_CASH_FROM_INV_ACT","FQ4 1996","FQ4 1996","Currency=USD","Period=FQ","BEST_FPERIOD_OVERRIDE=FQ","FILING_STATUS=OR","SCALING_FORMAT=MLN","Sort=A","Dates=H","DateFormat=P","Fill=—","Direction=H","UseDPDF=Y")</f>
        <v>-2108</v>
      </c>
      <c r="AE23" s="16">
        <f>_xll.BDH("XOM US Equity","CF_CASH_FROM_INV_ACT","FQ1 1997","FQ1 1997","Currency=USD","Period=FQ","BEST_FPERIOD_OVERRIDE=FQ","FILING_STATUS=OR","SCALING_FORMAT=MLN","Sort=A","Dates=H","DateFormat=P","Fill=—","Direction=H","UseDPDF=Y")</f>
        <v>-1094</v>
      </c>
      <c r="AF23" s="16">
        <f>_xll.BDH("XOM US Equity","CF_CASH_FROM_INV_ACT","FQ2 1997","FQ2 1997","Currency=USD","Period=FQ","BEST_FPERIOD_OVERRIDE=FQ","FILING_STATUS=OR","SCALING_FORMAT=MLN","Sort=A","Dates=H","DateFormat=P","Fill=—","Direction=H","UseDPDF=Y")</f>
        <v>-1968</v>
      </c>
      <c r="AG23" s="16">
        <f>_xll.BDH("XOM US Equity","CF_CASH_FROM_INV_ACT","FQ3 1997","FQ3 1997","Currency=USD","Period=FQ","BEST_FPERIOD_OVERRIDE=FQ","FILING_STATUS=OR","SCALING_FORMAT=MLN","Sort=A","Dates=H","DateFormat=P","Fill=—","Direction=H","UseDPDF=Y")</f>
        <v>-2139</v>
      </c>
      <c r="AH23" s="16">
        <f>_xll.BDH("XOM US Equity","CF_CASH_FROM_INV_ACT","FQ4 1997","FQ4 1997","Currency=USD","Period=FQ","BEST_FPERIOD_OVERRIDE=FQ","FILING_STATUS=OR","SCALING_FORMAT=MLN","Sort=A","Dates=H","DateFormat=P","Fill=—","Direction=H","UseDPDF=Y")</f>
        <v>-1590</v>
      </c>
      <c r="AI23" s="16">
        <f>_xll.BDH("XOM US Equity","CF_CASH_FROM_INV_ACT","FQ1 1998","FQ1 1998","Currency=USD","Period=FQ","BEST_FPERIOD_OVERRIDE=FQ","FILING_STATUS=OR","SCALING_FORMAT=MLN","Sort=A","Dates=H","DateFormat=P","Fill=—","Direction=H","UseDPDF=Y")</f>
        <v>-1177</v>
      </c>
      <c r="AJ23" s="16">
        <f>_xll.BDH("XOM US Equity","CF_CASH_FROM_INV_ACT","FQ2 1998","FQ2 1998","Currency=USD","Period=FQ","BEST_FPERIOD_OVERRIDE=FQ","FILING_STATUS=OR","SCALING_FORMAT=MLN","Sort=A","Dates=H","DateFormat=P","Fill=—","Direction=H","UseDPDF=Y")</f>
        <v>-1943</v>
      </c>
    </row>
    <row r="24" spans="1:36" x14ac:dyDescent="0.25">
      <c r="A24" s="6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</row>
    <row r="25" spans="1:36" x14ac:dyDescent="0.25">
      <c r="A25" s="6" t="s">
        <v>265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</row>
    <row r="26" spans="1:36" x14ac:dyDescent="0.25">
      <c r="A26" s="10" t="s">
        <v>266</v>
      </c>
      <c r="B26" s="10" t="s">
        <v>267</v>
      </c>
      <c r="C26" s="13" t="str">
        <f>_xll.BDH("XOM US Equity","CF_DVD_PAID","FQ1 1990","FQ1 1990","Currency=USD","Period=FQ","BEST_FPERIOD_OVERRIDE=FQ","FILING_STATUS=OR","SCALING_FORMAT=MLN","Sort=A","Dates=H","DateFormat=P","Fill=—","Direction=H","UseDPDF=Y")</f>
        <v>—</v>
      </c>
      <c r="D26" s="13" t="str">
        <f>_xll.BDH("XOM US Equity","CF_DVD_PAID","FQ2 1990","FQ2 1990","Currency=USD","Period=FQ","BEST_FPERIOD_OVERRIDE=FQ","FILING_STATUS=OR","SCALING_FORMAT=MLN","Sort=A","Dates=H","DateFormat=P","Fill=—","Direction=H","UseDPDF=Y")</f>
        <v>—</v>
      </c>
      <c r="E26" s="13" t="str">
        <f>_xll.BDH("XOM US Equity","CF_DVD_PAID","FQ3 1990","FQ3 1990","Currency=USD","Period=FQ","BEST_FPERIOD_OVERRIDE=FQ","FILING_STATUS=OR","SCALING_FORMAT=MLN","Sort=A","Dates=H","DateFormat=P","Fill=—","Direction=H","UseDPDF=Y")</f>
        <v>—</v>
      </c>
      <c r="F26" s="13" t="str">
        <f>_xll.BDH("XOM US Equity","CF_DVD_PAID","FQ4 1990","FQ4 1990","Currency=USD","Period=FQ","BEST_FPERIOD_OVERRIDE=FQ","FILING_STATUS=OR","SCALING_FORMAT=MLN","Sort=A","Dates=H","DateFormat=P","Fill=—","Direction=H","UseDPDF=Y")</f>
        <v>—</v>
      </c>
      <c r="G26" s="13" t="str">
        <f>_xll.BDH("XOM US Equity","CF_DVD_PAID","FQ1 1991","FQ1 1991","Currency=USD","Period=FQ","BEST_FPERIOD_OVERRIDE=FQ","FILING_STATUS=OR","SCALING_FORMAT=MLN","Sort=A","Dates=H","DateFormat=P","Fill=—","Direction=H","UseDPDF=Y")</f>
        <v>—</v>
      </c>
      <c r="H26" s="13" t="str">
        <f>_xll.BDH("XOM US Equity","CF_DVD_PAID","FQ2 1991","FQ2 1991","Currency=USD","Period=FQ","BEST_FPERIOD_OVERRIDE=FQ","FILING_STATUS=OR","SCALING_FORMAT=MLN","Sort=A","Dates=H","DateFormat=P","Fill=—","Direction=H","UseDPDF=Y")</f>
        <v>—</v>
      </c>
      <c r="I26" s="13" t="str">
        <f>_xll.BDH("XOM US Equity","CF_DVD_PAID","FQ3 1991","FQ3 1991","Currency=USD","Period=FQ","BEST_FPERIOD_OVERRIDE=FQ","FILING_STATUS=OR","SCALING_FORMAT=MLN","Sort=A","Dates=H","DateFormat=P","Fill=—","Direction=H","UseDPDF=Y")</f>
        <v>—</v>
      </c>
      <c r="J26" s="13" t="str">
        <f>_xll.BDH("XOM US Equity","CF_DVD_PAID","FQ4 1991","FQ4 1991","Currency=USD","Period=FQ","BEST_FPERIOD_OVERRIDE=FQ","FILING_STATUS=OR","SCALING_FORMAT=MLN","Sort=A","Dates=H","DateFormat=P","Fill=—","Direction=H","UseDPDF=Y")</f>
        <v>—</v>
      </c>
      <c r="K26" s="13" t="str">
        <f>_xll.BDH("XOM US Equity","CF_DVD_PAID","FQ1 1992","FQ1 1992","Currency=USD","Period=FQ","BEST_FPERIOD_OVERRIDE=FQ","FILING_STATUS=OR","SCALING_FORMAT=MLN","Sort=A","Dates=H","DateFormat=P","Fill=—","Direction=H","UseDPDF=Y")</f>
        <v>—</v>
      </c>
      <c r="L26" s="13" t="str">
        <f>_xll.BDH("XOM US Equity","CF_DVD_PAID","FQ2 1992","FQ2 1992","Currency=USD","Period=FQ","BEST_FPERIOD_OVERRIDE=FQ","FILING_STATUS=OR","SCALING_FORMAT=MLN","Sort=A","Dates=H","DateFormat=P","Fill=—","Direction=H","UseDPDF=Y")</f>
        <v>—</v>
      </c>
      <c r="M26" s="13" t="str">
        <f>_xll.BDH("XOM US Equity","CF_DVD_PAID","FQ3 1992","FQ3 1992","Currency=USD","Period=FQ","BEST_FPERIOD_OVERRIDE=FQ","FILING_STATUS=OR","SCALING_FORMAT=MLN","Sort=A","Dates=H","DateFormat=P","Fill=—","Direction=H","UseDPDF=Y")</f>
        <v>—</v>
      </c>
      <c r="N26" s="13" t="str">
        <f>_xll.BDH("XOM US Equity","CF_DVD_PAID","FQ4 1992","FQ4 1992","Currency=USD","Period=FQ","BEST_FPERIOD_OVERRIDE=FQ","FILING_STATUS=OR","SCALING_FORMAT=MLN","Sort=A","Dates=H","DateFormat=P","Fill=—","Direction=H","UseDPDF=Y")</f>
        <v>—</v>
      </c>
      <c r="O26" s="13" t="str">
        <f>_xll.BDH("XOM US Equity","CF_DVD_PAID","FQ1 1993","FQ1 1993","Currency=USD","Period=FQ","BEST_FPERIOD_OVERRIDE=FQ","FILING_STATUS=OR","SCALING_FORMAT=MLN","Sort=A","Dates=H","DateFormat=P","Fill=—","Direction=H","UseDPDF=Y")</f>
        <v>—</v>
      </c>
      <c r="P26" s="13" t="str">
        <f>_xll.BDH("XOM US Equity","CF_DVD_PAID","FQ2 1993","FQ2 1993","Currency=USD","Period=FQ","BEST_FPERIOD_OVERRIDE=FQ","FILING_STATUS=OR","SCALING_FORMAT=MLN","Sort=A","Dates=H","DateFormat=P","Fill=—","Direction=H","UseDPDF=Y")</f>
        <v>—</v>
      </c>
      <c r="Q26" s="13" t="str">
        <f>_xll.BDH("XOM US Equity","CF_DVD_PAID","FQ3 1993","FQ3 1993","Currency=USD","Period=FQ","BEST_FPERIOD_OVERRIDE=FQ","FILING_STATUS=OR","SCALING_FORMAT=MLN","Sort=A","Dates=H","DateFormat=P","Fill=—","Direction=H","UseDPDF=Y")</f>
        <v>—</v>
      </c>
      <c r="R26" s="13" t="str">
        <f>_xll.BDH("XOM US Equity","CF_DVD_PAID","FQ4 1993","FQ4 1993","Currency=USD","Period=FQ","BEST_FPERIOD_OVERRIDE=FQ","FILING_STATUS=OR","SCALING_FORMAT=MLN","Sort=A","Dates=H","DateFormat=P","Fill=—","Direction=H","UseDPDF=Y")</f>
        <v>—</v>
      </c>
      <c r="S26" s="13" t="str">
        <f>_xll.BDH("XOM US Equity","CF_DVD_PAID","FQ1 1994","FQ1 1994","Currency=USD","Period=FQ","BEST_FPERIOD_OVERRIDE=FQ","FILING_STATUS=OR","SCALING_FORMAT=MLN","Sort=A","Dates=H","DateFormat=P","Fill=—","Direction=H","UseDPDF=Y")</f>
        <v>—</v>
      </c>
      <c r="T26" s="13" t="str">
        <f>_xll.BDH("XOM US Equity","CF_DVD_PAID","FQ2 1994","FQ2 1994","Currency=USD","Period=FQ","BEST_FPERIOD_OVERRIDE=FQ","FILING_STATUS=OR","SCALING_FORMAT=MLN","Sort=A","Dates=H","DateFormat=P","Fill=—","Direction=H","UseDPDF=Y")</f>
        <v>—</v>
      </c>
      <c r="U26" s="13" t="str">
        <f>_xll.BDH("XOM US Equity","CF_DVD_PAID","FQ3 1994","FQ3 1994","Currency=USD","Period=FQ","BEST_FPERIOD_OVERRIDE=FQ","FILING_STATUS=OR","SCALING_FORMAT=MLN","Sort=A","Dates=H","DateFormat=P","Fill=—","Direction=H","UseDPDF=Y")</f>
        <v>—</v>
      </c>
      <c r="V26" s="13" t="str">
        <f>_xll.BDH("XOM US Equity","CF_DVD_PAID","FQ4 1994","FQ4 1994","Currency=USD","Period=FQ","BEST_FPERIOD_OVERRIDE=FQ","FILING_STATUS=OR","SCALING_FORMAT=MLN","Sort=A","Dates=H","DateFormat=P","Fill=—","Direction=H","UseDPDF=Y")</f>
        <v>—</v>
      </c>
      <c r="W26" s="13" t="str">
        <f>_xll.BDH("XOM US Equity","CF_DVD_PAID","FQ1 1995","FQ1 1995","Currency=USD","Period=FQ","BEST_FPERIOD_OVERRIDE=FQ","FILING_STATUS=OR","SCALING_FORMAT=MLN","Sort=A","Dates=H","DateFormat=P","Fill=—","Direction=H","UseDPDF=Y")</f>
        <v>—</v>
      </c>
      <c r="X26" s="13" t="str">
        <f>_xll.BDH("XOM US Equity","CF_DVD_PAID","FQ2 1995","FQ2 1995","Currency=USD","Period=FQ","BEST_FPERIOD_OVERRIDE=FQ","FILING_STATUS=OR","SCALING_FORMAT=MLN","Sort=A","Dates=H","DateFormat=P","Fill=—","Direction=H","UseDPDF=Y")</f>
        <v>—</v>
      </c>
      <c r="Y26" s="13" t="str">
        <f>_xll.BDH("XOM US Equity","CF_DVD_PAID","FQ3 1995","FQ3 1995","Currency=USD","Period=FQ","BEST_FPERIOD_OVERRIDE=FQ","FILING_STATUS=OR","SCALING_FORMAT=MLN","Sort=A","Dates=H","DateFormat=P","Fill=—","Direction=H","UseDPDF=Y")</f>
        <v>—</v>
      </c>
      <c r="Z26" s="13" t="str">
        <f>_xll.BDH("XOM US Equity","CF_DVD_PAID","FQ4 1995","FQ4 1995","Currency=USD","Period=FQ","BEST_FPERIOD_OVERRIDE=FQ","FILING_STATUS=OR","SCALING_FORMAT=MLN","Sort=A","Dates=H","DateFormat=P","Fill=—","Direction=H","UseDPDF=Y")</f>
        <v>—</v>
      </c>
      <c r="AA26" s="13" t="str">
        <f>_xll.BDH("XOM US Equity","CF_DVD_PAID","FQ1 1996","FQ1 1996","Currency=USD","Period=FQ","BEST_FPERIOD_OVERRIDE=FQ","FILING_STATUS=OR","SCALING_FORMAT=MLN","Sort=A","Dates=H","DateFormat=P","Fill=—","Direction=H","UseDPDF=Y")</f>
        <v>—</v>
      </c>
      <c r="AB26" s="13" t="str">
        <f>_xll.BDH("XOM US Equity","CF_DVD_PAID","FQ2 1996","FQ2 1996","Currency=USD","Period=FQ","BEST_FPERIOD_OVERRIDE=FQ","FILING_STATUS=OR","SCALING_FORMAT=MLN","Sort=A","Dates=H","DateFormat=P","Fill=—","Direction=H","UseDPDF=Y")</f>
        <v>—</v>
      </c>
      <c r="AC26" s="13" t="str">
        <f>_xll.BDH("XOM US Equity","CF_DVD_PAID","FQ3 1996","FQ3 1996","Currency=USD","Period=FQ","BEST_FPERIOD_OVERRIDE=FQ","FILING_STATUS=OR","SCALING_FORMAT=MLN","Sort=A","Dates=H","DateFormat=P","Fill=—","Direction=H","UseDPDF=Y")</f>
        <v>—</v>
      </c>
      <c r="AD26" s="13" t="str">
        <f>_xll.BDH("XOM US Equity","CF_DVD_PAID","FQ4 1996","FQ4 1996","Currency=USD","Period=FQ","BEST_FPERIOD_OVERRIDE=FQ","FILING_STATUS=OR","SCALING_FORMAT=MLN","Sort=A","Dates=H","DateFormat=P","Fill=—","Direction=H","UseDPDF=Y")</f>
        <v>—</v>
      </c>
      <c r="AE26" s="13">
        <f>_xll.BDH("XOM US Equity","CF_DVD_PAID","FQ1 1997","FQ1 1997","Currency=USD","Period=FQ","BEST_FPERIOD_OVERRIDE=FQ","FILING_STATUS=OR","SCALING_FORMAT=MLN","Sort=A","Dates=H","DateFormat=P","Fill=—","Direction=H","UseDPDF=Y")</f>
        <v>-986</v>
      </c>
      <c r="AF26" s="13">
        <f>_xll.BDH("XOM US Equity","CF_DVD_PAID","FQ2 1997","FQ2 1997","Currency=USD","Period=FQ","BEST_FPERIOD_OVERRIDE=FQ","FILING_STATUS=OR","SCALING_FORMAT=MLN","Sort=A","Dates=H","DateFormat=P","Fill=—","Direction=H","UseDPDF=Y")</f>
        <v>-1021</v>
      </c>
      <c r="AG26" s="13">
        <f>_xll.BDH("XOM US Equity","CF_DVD_PAID","FQ3 1997","FQ3 1997","Currency=USD","Period=FQ","BEST_FPERIOD_OVERRIDE=FQ","FILING_STATUS=OR","SCALING_FORMAT=MLN","Sort=A","Dates=H","DateFormat=P","Fill=—","Direction=H","UseDPDF=Y")</f>
        <v>-1017</v>
      </c>
      <c r="AH26" s="13">
        <f>_xll.BDH("XOM US Equity","CF_DVD_PAID","FQ4 1997","FQ4 1997","Currency=USD","Period=FQ","BEST_FPERIOD_OVERRIDE=FQ","FILING_STATUS=OR","SCALING_FORMAT=MLN","Sort=A","Dates=H","DateFormat=P","Fill=—","Direction=H","UseDPDF=Y")</f>
        <v>-1014</v>
      </c>
      <c r="AI26" s="13">
        <f>_xll.BDH("XOM US Equity","CF_DVD_PAID","FQ1 1998","FQ1 1998","Currency=USD","Period=FQ","BEST_FPERIOD_OVERRIDE=FQ","FILING_STATUS=OR","SCALING_FORMAT=MLN","Sort=A","Dates=H","DateFormat=P","Fill=—","Direction=H","UseDPDF=Y")</f>
        <v>-1083</v>
      </c>
      <c r="AJ26" s="13">
        <f>_xll.BDH("XOM US Equity","CF_DVD_PAID","FQ2 1998","FQ2 1998","Currency=USD","Period=FQ","BEST_FPERIOD_OVERRIDE=FQ","FILING_STATUS=OR","SCALING_FORMAT=MLN","Sort=A","Dates=H","DateFormat=P","Fill=—","Direction=H","UseDPDF=Y")</f>
        <v>-1079</v>
      </c>
    </row>
    <row r="27" spans="1:36" x14ac:dyDescent="0.25">
      <c r="A27" s="10" t="s">
        <v>268</v>
      </c>
      <c r="B27" s="10" t="s">
        <v>269</v>
      </c>
      <c r="C27" s="13" t="str">
        <f>_xll.BDH("XOM US Equity","PROC_FR_REPAYMNTS_BOR_DETAILED","FQ1 1990","FQ1 1990","Currency=USD","Period=FQ","BEST_FPERIOD_OVERRIDE=FQ","FILING_STATUS=OR","SCALING_FORMAT=MLN","Sort=A","Dates=H","DateFormat=P","Fill=—","Direction=H","UseDPDF=Y")</f>
        <v>—</v>
      </c>
      <c r="D27" s="13" t="str">
        <f>_xll.BDH("XOM US Equity","PROC_FR_REPAYMNTS_BOR_DETAILED","FQ2 1990","FQ2 1990","Currency=USD","Period=FQ","BEST_FPERIOD_OVERRIDE=FQ","FILING_STATUS=OR","SCALING_FORMAT=MLN","Sort=A","Dates=H","DateFormat=P","Fill=—","Direction=H","UseDPDF=Y")</f>
        <v>—</v>
      </c>
      <c r="E27" s="13" t="str">
        <f>_xll.BDH("XOM US Equity","PROC_FR_REPAYMNTS_BOR_DETAILED","FQ3 1990","FQ3 1990","Currency=USD","Period=FQ","BEST_FPERIOD_OVERRIDE=FQ","FILING_STATUS=OR","SCALING_FORMAT=MLN","Sort=A","Dates=H","DateFormat=P","Fill=—","Direction=H","UseDPDF=Y")</f>
        <v>—</v>
      </c>
      <c r="F27" s="13" t="str">
        <f>_xll.BDH("XOM US Equity","PROC_FR_REPAYMNTS_BOR_DETAILED","FQ4 1990","FQ4 1990","Currency=USD","Period=FQ","BEST_FPERIOD_OVERRIDE=FQ","FILING_STATUS=OR","SCALING_FORMAT=MLN","Sort=A","Dates=H","DateFormat=P","Fill=—","Direction=H","UseDPDF=Y")</f>
        <v>—</v>
      </c>
      <c r="G27" s="13" t="str">
        <f>_xll.BDH("XOM US Equity","PROC_FR_REPAYMNTS_BOR_DETAILED","FQ1 1991","FQ1 1991","Currency=USD","Period=FQ","BEST_FPERIOD_OVERRIDE=FQ","FILING_STATUS=OR","SCALING_FORMAT=MLN","Sort=A","Dates=H","DateFormat=P","Fill=—","Direction=H","UseDPDF=Y")</f>
        <v>—</v>
      </c>
      <c r="H27" s="13" t="str">
        <f>_xll.BDH("XOM US Equity","PROC_FR_REPAYMNTS_BOR_DETAILED","FQ2 1991","FQ2 1991","Currency=USD","Period=FQ","BEST_FPERIOD_OVERRIDE=FQ","FILING_STATUS=OR","SCALING_FORMAT=MLN","Sort=A","Dates=H","DateFormat=P","Fill=—","Direction=H","UseDPDF=Y")</f>
        <v>—</v>
      </c>
      <c r="I27" s="13" t="str">
        <f>_xll.BDH("XOM US Equity","PROC_FR_REPAYMNTS_BOR_DETAILED","FQ3 1991","FQ3 1991","Currency=USD","Period=FQ","BEST_FPERIOD_OVERRIDE=FQ","FILING_STATUS=OR","SCALING_FORMAT=MLN","Sort=A","Dates=H","DateFormat=P","Fill=—","Direction=H","UseDPDF=Y")</f>
        <v>—</v>
      </c>
      <c r="J27" s="13" t="str">
        <f>_xll.BDH("XOM US Equity","PROC_FR_REPAYMNTS_BOR_DETAILED","FQ4 1991","FQ4 1991","Currency=USD","Period=FQ","BEST_FPERIOD_OVERRIDE=FQ","FILING_STATUS=OR","SCALING_FORMAT=MLN","Sort=A","Dates=H","DateFormat=P","Fill=—","Direction=H","UseDPDF=Y")</f>
        <v>—</v>
      </c>
      <c r="K27" s="13" t="str">
        <f>_xll.BDH("XOM US Equity","PROC_FR_REPAYMNTS_BOR_DETAILED","FQ1 1992","FQ1 1992","Currency=USD","Period=FQ","BEST_FPERIOD_OVERRIDE=FQ","FILING_STATUS=OR","SCALING_FORMAT=MLN","Sort=A","Dates=H","DateFormat=P","Fill=—","Direction=H","UseDPDF=Y")</f>
        <v>—</v>
      </c>
      <c r="L27" s="13" t="str">
        <f>_xll.BDH("XOM US Equity","PROC_FR_REPAYMNTS_BOR_DETAILED","FQ2 1992","FQ2 1992","Currency=USD","Period=FQ","BEST_FPERIOD_OVERRIDE=FQ","FILING_STATUS=OR","SCALING_FORMAT=MLN","Sort=A","Dates=H","DateFormat=P","Fill=—","Direction=H","UseDPDF=Y")</f>
        <v>—</v>
      </c>
      <c r="M27" s="13" t="str">
        <f>_xll.BDH("XOM US Equity","PROC_FR_REPAYMNTS_BOR_DETAILED","FQ3 1992","FQ3 1992","Currency=USD","Period=FQ","BEST_FPERIOD_OVERRIDE=FQ","FILING_STATUS=OR","SCALING_FORMAT=MLN","Sort=A","Dates=H","DateFormat=P","Fill=—","Direction=H","UseDPDF=Y")</f>
        <v>—</v>
      </c>
      <c r="N27" s="13" t="str">
        <f>_xll.BDH("XOM US Equity","PROC_FR_REPAYMNTS_BOR_DETAILED","FQ4 1992","FQ4 1992","Currency=USD","Period=FQ","BEST_FPERIOD_OVERRIDE=FQ","FILING_STATUS=OR","SCALING_FORMAT=MLN","Sort=A","Dates=H","DateFormat=P","Fill=—","Direction=H","UseDPDF=Y")</f>
        <v>—</v>
      </c>
      <c r="O27" s="13" t="str">
        <f>_xll.BDH("XOM US Equity","PROC_FR_REPAYMNTS_BOR_DETAILED","FQ1 1993","FQ1 1993","Currency=USD","Period=FQ","BEST_FPERIOD_OVERRIDE=FQ","FILING_STATUS=OR","SCALING_FORMAT=MLN","Sort=A","Dates=H","DateFormat=P","Fill=—","Direction=H","UseDPDF=Y")</f>
        <v>—</v>
      </c>
      <c r="P27" s="13" t="str">
        <f>_xll.BDH("XOM US Equity","PROC_FR_REPAYMNTS_BOR_DETAILED","FQ2 1993","FQ2 1993","Currency=USD","Period=FQ","BEST_FPERIOD_OVERRIDE=FQ","FILING_STATUS=OR","SCALING_FORMAT=MLN","Sort=A","Dates=H","DateFormat=P","Fill=—","Direction=H","UseDPDF=Y")</f>
        <v>—</v>
      </c>
      <c r="Q27" s="13" t="str">
        <f>_xll.BDH("XOM US Equity","PROC_FR_REPAYMNTS_BOR_DETAILED","FQ3 1993","FQ3 1993","Currency=USD","Period=FQ","BEST_FPERIOD_OVERRIDE=FQ","FILING_STATUS=OR","SCALING_FORMAT=MLN","Sort=A","Dates=H","DateFormat=P","Fill=—","Direction=H","UseDPDF=Y")</f>
        <v>—</v>
      </c>
      <c r="R27" s="13" t="str">
        <f>_xll.BDH("XOM US Equity","PROC_FR_REPAYMNTS_BOR_DETAILED","FQ4 1993","FQ4 1993","Currency=USD","Period=FQ","BEST_FPERIOD_OVERRIDE=FQ","FILING_STATUS=OR","SCALING_FORMAT=MLN","Sort=A","Dates=H","DateFormat=P","Fill=—","Direction=H","UseDPDF=Y")</f>
        <v>—</v>
      </c>
      <c r="S27" s="13" t="str">
        <f>_xll.BDH("XOM US Equity","PROC_FR_REPAYMNTS_BOR_DETAILED","FQ1 1994","FQ1 1994","Currency=USD","Period=FQ","BEST_FPERIOD_OVERRIDE=FQ","FILING_STATUS=OR","SCALING_FORMAT=MLN","Sort=A","Dates=H","DateFormat=P","Fill=—","Direction=H","UseDPDF=Y")</f>
        <v>—</v>
      </c>
      <c r="T27" s="13" t="str">
        <f>_xll.BDH("XOM US Equity","PROC_FR_REPAYMNTS_BOR_DETAILED","FQ2 1994","FQ2 1994","Currency=USD","Period=FQ","BEST_FPERIOD_OVERRIDE=FQ","FILING_STATUS=OR","SCALING_FORMAT=MLN","Sort=A","Dates=H","DateFormat=P","Fill=—","Direction=H","UseDPDF=Y")</f>
        <v>—</v>
      </c>
      <c r="U27" s="13" t="str">
        <f>_xll.BDH("XOM US Equity","PROC_FR_REPAYMNTS_BOR_DETAILED","FQ3 1994","FQ3 1994","Currency=USD","Period=FQ","BEST_FPERIOD_OVERRIDE=FQ","FILING_STATUS=OR","SCALING_FORMAT=MLN","Sort=A","Dates=H","DateFormat=P","Fill=—","Direction=H","UseDPDF=Y")</f>
        <v>—</v>
      </c>
      <c r="V27" s="13" t="str">
        <f>_xll.BDH("XOM US Equity","PROC_FR_REPAYMNTS_BOR_DETAILED","FQ4 1994","FQ4 1994","Currency=USD","Period=FQ","BEST_FPERIOD_OVERRIDE=FQ","FILING_STATUS=OR","SCALING_FORMAT=MLN","Sort=A","Dates=H","DateFormat=P","Fill=—","Direction=H","UseDPDF=Y")</f>
        <v>—</v>
      </c>
      <c r="W27" s="13" t="str">
        <f>_xll.BDH("XOM US Equity","PROC_FR_REPAYMNTS_BOR_DETAILED","FQ1 1995","FQ1 1995","Currency=USD","Period=FQ","BEST_FPERIOD_OVERRIDE=FQ","FILING_STATUS=OR","SCALING_FORMAT=MLN","Sort=A","Dates=H","DateFormat=P","Fill=—","Direction=H","UseDPDF=Y")</f>
        <v>—</v>
      </c>
      <c r="X27" s="13" t="str">
        <f>_xll.BDH("XOM US Equity","PROC_FR_REPAYMNTS_BOR_DETAILED","FQ2 1995","FQ2 1995","Currency=USD","Period=FQ","BEST_FPERIOD_OVERRIDE=FQ","FILING_STATUS=OR","SCALING_FORMAT=MLN","Sort=A","Dates=H","DateFormat=P","Fill=—","Direction=H","UseDPDF=Y")</f>
        <v>—</v>
      </c>
      <c r="Y27" s="13" t="str">
        <f>_xll.BDH("XOM US Equity","PROC_FR_REPAYMNTS_BOR_DETAILED","FQ3 1995","FQ3 1995","Currency=USD","Period=FQ","BEST_FPERIOD_OVERRIDE=FQ","FILING_STATUS=OR","SCALING_FORMAT=MLN","Sort=A","Dates=H","DateFormat=P","Fill=—","Direction=H","UseDPDF=Y")</f>
        <v>—</v>
      </c>
      <c r="Z27" s="13" t="str">
        <f>_xll.BDH("XOM US Equity","PROC_FR_REPAYMNTS_BOR_DETAILED","FQ4 1995","FQ4 1995","Currency=USD","Period=FQ","BEST_FPERIOD_OVERRIDE=FQ","FILING_STATUS=OR","SCALING_FORMAT=MLN","Sort=A","Dates=H","DateFormat=P","Fill=—","Direction=H","UseDPDF=Y")</f>
        <v>—</v>
      </c>
      <c r="AA27" s="13" t="str">
        <f>_xll.BDH("XOM US Equity","PROC_FR_REPAYMNTS_BOR_DETAILED","FQ1 1996","FQ1 1996","Currency=USD","Period=FQ","BEST_FPERIOD_OVERRIDE=FQ","FILING_STATUS=OR","SCALING_FORMAT=MLN","Sort=A","Dates=H","DateFormat=P","Fill=—","Direction=H","UseDPDF=Y")</f>
        <v>—</v>
      </c>
      <c r="AB27" s="13" t="str">
        <f>_xll.BDH("XOM US Equity","PROC_FR_REPAYMNTS_BOR_DETAILED","FQ2 1996","FQ2 1996","Currency=USD","Period=FQ","BEST_FPERIOD_OVERRIDE=FQ","FILING_STATUS=OR","SCALING_FORMAT=MLN","Sort=A","Dates=H","DateFormat=P","Fill=—","Direction=H","UseDPDF=Y")</f>
        <v>—</v>
      </c>
      <c r="AC27" s="13" t="str">
        <f>_xll.BDH("XOM US Equity","PROC_FR_REPAYMNTS_BOR_DETAILED","FQ3 1996","FQ3 1996","Currency=USD","Period=FQ","BEST_FPERIOD_OVERRIDE=FQ","FILING_STATUS=OR","SCALING_FORMAT=MLN","Sort=A","Dates=H","DateFormat=P","Fill=—","Direction=H","UseDPDF=Y")</f>
        <v>—</v>
      </c>
      <c r="AD27" s="13" t="str">
        <f>_xll.BDH("XOM US Equity","PROC_FR_REPAYMNTS_BOR_DETAILED","FQ4 1996","FQ4 1996","Currency=USD","Period=FQ","BEST_FPERIOD_OVERRIDE=FQ","FILING_STATUS=OR","SCALING_FORMAT=MLN","Sort=A","Dates=H","DateFormat=P","Fill=—","Direction=H","UseDPDF=Y")</f>
        <v>—</v>
      </c>
      <c r="AE27" s="13">
        <f>_xll.BDH("XOM US Equity","PROC_FR_REPAYMNTS_BOR_DETAILED","FQ1 1997","FQ1 1997","Currency=USD","Period=FQ","BEST_FPERIOD_OVERRIDE=FQ","FILING_STATUS=OR","SCALING_FORMAT=MLN","Sort=A","Dates=H","DateFormat=P","Fill=—","Direction=H","UseDPDF=Y")</f>
        <v>84</v>
      </c>
      <c r="AF27" s="13">
        <f>_xll.BDH("XOM US Equity","PROC_FR_REPAYMNTS_BOR_DETAILED","FQ2 1997","FQ2 1997","Currency=USD","Period=FQ","BEST_FPERIOD_OVERRIDE=FQ","FILING_STATUS=OR","SCALING_FORMAT=MLN","Sort=A","Dates=H","DateFormat=P","Fill=—","Direction=H","UseDPDF=Y")</f>
        <v>-55</v>
      </c>
      <c r="AG27" s="13">
        <f>_xll.BDH("XOM US Equity","PROC_FR_REPAYMNTS_BOR_DETAILED","FQ3 1997","FQ3 1997","Currency=USD","Period=FQ","BEST_FPERIOD_OVERRIDE=FQ","FILING_STATUS=OR","SCALING_FORMAT=MLN","Sort=A","Dates=H","DateFormat=P","Fill=—","Direction=H","UseDPDF=Y")</f>
        <v>-60</v>
      </c>
      <c r="AH27" s="13">
        <f>_xll.BDH("XOM US Equity","PROC_FR_REPAYMNTS_BOR_DETAILED","FQ4 1997","FQ4 1997","Currency=USD","Period=FQ","BEST_FPERIOD_OVERRIDE=FQ","FILING_STATUS=OR","SCALING_FORMAT=MLN","Sort=A","Dates=H","DateFormat=P","Fill=—","Direction=H","UseDPDF=Y")</f>
        <v>39</v>
      </c>
      <c r="AI27" s="13">
        <f>_xll.BDH("XOM US Equity","PROC_FR_REPAYMNTS_BOR_DETAILED","FQ1 1998","FQ1 1998","Currency=USD","Period=FQ","BEST_FPERIOD_OVERRIDE=FQ","FILING_STATUS=OR","SCALING_FORMAT=MLN","Sort=A","Dates=H","DateFormat=P","Fill=—","Direction=H","UseDPDF=Y")</f>
        <v>-186</v>
      </c>
      <c r="AJ27" s="13">
        <f>_xll.BDH("XOM US Equity","PROC_FR_REPAYMNTS_BOR_DETAILED","FQ2 1998","FQ2 1998","Currency=USD","Period=FQ","BEST_FPERIOD_OVERRIDE=FQ","FILING_STATUS=OR","SCALING_FORMAT=MLN","Sort=A","Dates=H","DateFormat=P","Fill=—","Direction=H","UseDPDF=Y")</f>
        <v>-174</v>
      </c>
    </row>
    <row r="28" spans="1:36" x14ac:dyDescent="0.25">
      <c r="A28" s="10" t="s">
        <v>270</v>
      </c>
      <c r="B28" s="10" t="s">
        <v>271</v>
      </c>
      <c r="C28" s="13" t="str">
        <f>_xll.BDH("XOM US Equity","PROC_FR_REPURCH_EQTY_DETAILED","FQ1 1990","FQ1 1990","Currency=USD","Period=FQ","BEST_FPERIOD_OVERRIDE=FQ","FILING_STATUS=OR","SCALING_FORMAT=MLN","Sort=A","Dates=H","DateFormat=P","Fill=—","Direction=H","UseDPDF=Y")</f>
        <v>—</v>
      </c>
      <c r="D28" s="13" t="str">
        <f>_xll.BDH("XOM US Equity","PROC_FR_REPURCH_EQTY_DETAILED","FQ2 1990","FQ2 1990","Currency=USD","Period=FQ","BEST_FPERIOD_OVERRIDE=FQ","FILING_STATUS=OR","SCALING_FORMAT=MLN","Sort=A","Dates=H","DateFormat=P","Fill=—","Direction=H","UseDPDF=Y")</f>
        <v>—</v>
      </c>
      <c r="E28" s="13" t="str">
        <f>_xll.BDH("XOM US Equity","PROC_FR_REPURCH_EQTY_DETAILED","FQ3 1990","FQ3 1990","Currency=USD","Period=FQ","BEST_FPERIOD_OVERRIDE=FQ","FILING_STATUS=OR","SCALING_FORMAT=MLN","Sort=A","Dates=H","DateFormat=P","Fill=—","Direction=H","UseDPDF=Y")</f>
        <v>—</v>
      </c>
      <c r="F28" s="13" t="str">
        <f>_xll.BDH("XOM US Equity","PROC_FR_REPURCH_EQTY_DETAILED","FQ4 1990","FQ4 1990","Currency=USD","Period=FQ","BEST_FPERIOD_OVERRIDE=FQ","FILING_STATUS=OR","SCALING_FORMAT=MLN","Sort=A","Dates=H","DateFormat=P","Fill=—","Direction=H","UseDPDF=Y")</f>
        <v>—</v>
      </c>
      <c r="G28" s="13" t="str">
        <f>_xll.BDH("XOM US Equity","PROC_FR_REPURCH_EQTY_DETAILED","FQ1 1991","FQ1 1991","Currency=USD","Period=FQ","BEST_FPERIOD_OVERRIDE=FQ","FILING_STATUS=OR","SCALING_FORMAT=MLN","Sort=A","Dates=H","DateFormat=P","Fill=—","Direction=H","UseDPDF=Y")</f>
        <v>—</v>
      </c>
      <c r="H28" s="13" t="str">
        <f>_xll.BDH("XOM US Equity","PROC_FR_REPURCH_EQTY_DETAILED","FQ2 1991","FQ2 1991","Currency=USD","Period=FQ","BEST_FPERIOD_OVERRIDE=FQ","FILING_STATUS=OR","SCALING_FORMAT=MLN","Sort=A","Dates=H","DateFormat=P","Fill=—","Direction=H","UseDPDF=Y")</f>
        <v>—</v>
      </c>
      <c r="I28" s="13" t="str">
        <f>_xll.BDH("XOM US Equity","PROC_FR_REPURCH_EQTY_DETAILED","FQ3 1991","FQ3 1991","Currency=USD","Period=FQ","BEST_FPERIOD_OVERRIDE=FQ","FILING_STATUS=OR","SCALING_FORMAT=MLN","Sort=A","Dates=H","DateFormat=P","Fill=—","Direction=H","UseDPDF=Y")</f>
        <v>—</v>
      </c>
      <c r="J28" s="13" t="str">
        <f>_xll.BDH("XOM US Equity","PROC_FR_REPURCH_EQTY_DETAILED","FQ4 1991","FQ4 1991","Currency=USD","Period=FQ","BEST_FPERIOD_OVERRIDE=FQ","FILING_STATUS=OR","SCALING_FORMAT=MLN","Sort=A","Dates=H","DateFormat=P","Fill=—","Direction=H","UseDPDF=Y")</f>
        <v>—</v>
      </c>
      <c r="K28" s="13" t="str">
        <f>_xll.BDH("XOM US Equity","PROC_FR_REPURCH_EQTY_DETAILED","FQ1 1992","FQ1 1992","Currency=USD","Period=FQ","BEST_FPERIOD_OVERRIDE=FQ","FILING_STATUS=OR","SCALING_FORMAT=MLN","Sort=A","Dates=H","DateFormat=P","Fill=—","Direction=H","UseDPDF=Y")</f>
        <v>—</v>
      </c>
      <c r="L28" s="13" t="str">
        <f>_xll.BDH("XOM US Equity","PROC_FR_REPURCH_EQTY_DETAILED","FQ2 1992","FQ2 1992","Currency=USD","Period=FQ","BEST_FPERIOD_OVERRIDE=FQ","FILING_STATUS=OR","SCALING_FORMAT=MLN","Sort=A","Dates=H","DateFormat=P","Fill=—","Direction=H","UseDPDF=Y")</f>
        <v>—</v>
      </c>
      <c r="M28" s="13" t="str">
        <f>_xll.BDH("XOM US Equity","PROC_FR_REPURCH_EQTY_DETAILED","FQ3 1992","FQ3 1992","Currency=USD","Period=FQ","BEST_FPERIOD_OVERRIDE=FQ","FILING_STATUS=OR","SCALING_FORMAT=MLN","Sort=A","Dates=H","DateFormat=P","Fill=—","Direction=H","UseDPDF=Y")</f>
        <v>—</v>
      </c>
      <c r="N28" s="13" t="str">
        <f>_xll.BDH("XOM US Equity","PROC_FR_REPURCH_EQTY_DETAILED","FQ4 1992","FQ4 1992","Currency=USD","Period=FQ","BEST_FPERIOD_OVERRIDE=FQ","FILING_STATUS=OR","SCALING_FORMAT=MLN","Sort=A","Dates=H","DateFormat=P","Fill=—","Direction=H","UseDPDF=Y")</f>
        <v>—</v>
      </c>
      <c r="O28" s="13" t="str">
        <f>_xll.BDH("XOM US Equity","PROC_FR_REPURCH_EQTY_DETAILED","FQ1 1993","FQ1 1993","Currency=USD","Period=FQ","BEST_FPERIOD_OVERRIDE=FQ","FILING_STATUS=OR","SCALING_FORMAT=MLN","Sort=A","Dates=H","DateFormat=P","Fill=—","Direction=H","UseDPDF=Y")</f>
        <v>—</v>
      </c>
      <c r="P28" s="13" t="str">
        <f>_xll.BDH("XOM US Equity","PROC_FR_REPURCH_EQTY_DETAILED","FQ2 1993","FQ2 1993","Currency=USD","Period=FQ","BEST_FPERIOD_OVERRIDE=FQ","FILING_STATUS=OR","SCALING_FORMAT=MLN","Sort=A","Dates=H","DateFormat=P","Fill=—","Direction=H","UseDPDF=Y")</f>
        <v>—</v>
      </c>
      <c r="Q28" s="13" t="str">
        <f>_xll.BDH("XOM US Equity","PROC_FR_REPURCH_EQTY_DETAILED","FQ3 1993","FQ3 1993","Currency=USD","Period=FQ","BEST_FPERIOD_OVERRIDE=FQ","FILING_STATUS=OR","SCALING_FORMAT=MLN","Sort=A","Dates=H","DateFormat=P","Fill=—","Direction=H","UseDPDF=Y")</f>
        <v>—</v>
      </c>
      <c r="R28" s="13" t="str">
        <f>_xll.BDH("XOM US Equity","PROC_FR_REPURCH_EQTY_DETAILED","FQ4 1993","FQ4 1993","Currency=USD","Period=FQ","BEST_FPERIOD_OVERRIDE=FQ","FILING_STATUS=OR","SCALING_FORMAT=MLN","Sort=A","Dates=H","DateFormat=P","Fill=—","Direction=H","UseDPDF=Y")</f>
        <v>—</v>
      </c>
      <c r="S28" s="13" t="str">
        <f>_xll.BDH("XOM US Equity","PROC_FR_REPURCH_EQTY_DETAILED","FQ1 1994","FQ1 1994","Currency=USD","Period=FQ","BEST_FPERIOD_OVERRIDE=FQ","FILING_STATUS=OR","SCALING_FORMAT=MLN","Sort=A","Dates=H","DateFormat=P","Fill=—","Direction=H","UseDPDF=Y")</f>
        <v>—</v>
      </c>
      <c r="T28" s="13" t="str">
        <f>_xll.BDH("XOM US Equity","PROC_FR_REPURCH_EQTY_DETAILED","FQ2 1994","FQ2 1994","Currency=USD","Period=FQ","BEST_FPERIOD_OVERRIDE=FQ","FILING_STATUS=OR","SCALING_FORMAT=MLN","Sort=A","Dates=H","DateFormat=P","Fill=—","Direction=H","UseDPDF=Y")</f>
        <v>—</v>
      </c>
      <c r="U28" s="13" t="str">
        <f>_xll.BDH("XOM US Equity","PROC_FR_REPURCH_EQTY_DETAILED","FQ3 1994","FQ3 1994","Currency=USD","Period=FQ","BEST_FPERIOD_OVERRIDE=FQ","FILING_STATUS=OR","SCALING_FORMAT=MLN","Sort=A","Dates=H","DateFormat=P","Fill=—","Direction=H","UseDPDF=Y")</f>
        <v>—</v>
      </c>
      <c r="V28" s="13" t="str">
        <f>_xll.BDH("XOM US Equity","PROC_FR_REPURCH_EQTY_DETAILED","FQ4 1994","FQ4 1994","Currency=USD","Period=FQ","BEST_FPERIOD_OVERRIDE=FQ","FILING_STATUS=OR","SCALING_FORMAT=MLN","Sort=A","Dates=H","DateFormat=P","Fill=—","Direction=H","UseDPDF=Y")</f>
        <v>—</v>
      </c>
      <c r="W28" s="13" t="str">
        <f>_xll.BDH("XOM US Equity","PROC_FR_REPURCH_EQTY_DETAILED","FQ1 1995","FQ1 1995","Currency=USD","Period=FQ","BEST_FPERIOD_OVERRIDE=FQ","FILING_STATUS=OR","SCALING_FORMAT=MLN","Sort=A","Dates=H","DateFormat=P","Fill=—","Direction=H","UseDPDF=Y")</f>
        <v>—</v>
      </c>
      <c r="X28" s="13" t="str">
        <f>_xll.BDH("XOM US Equity","PROC_FR_REPURCH_EQTY_DETAILED","FQ2 1995","FQ2 1995","Currency=USD","Period=FQ","BEST_FPERIOD_OVERRIDE=FQ","FILING_STATUS=OR","SCALING_FORMAT=MLN","Sort=A","Dates=H","DateFormat=P","Fill=—","Direction=H","UseDPDF=Y")</f>
        <v>—</v>
      </c>
      <c r="Y28" s="13" t="str">
        <f>_xll.BDH("XOM US Equity","PROC_FR_REPURCH_EQTY_DETAILED","FQ3 1995","FQ3 1995","Currency=USD","Period=FQ","BEST_FPERIOD_OVERRIDE=FQ","FILING_STATUS=OR","SCALING_FORMAT=MLN","Sort=A","Dates=H","DateFormat=P","Fill=—","Direction=H","UseDPDF=Y")</f>
        <v>—</v>
      </c>
      <c r="Z28" s="13" t="str">
        <f>_xll.BDH("XOM US Equity","PROC_FR_REPURCH_EQTY_DETAILED","FQ4 1995","FQ4 1995","Currency=USD","Period=FQ","BEST_FPERIOD_OVERRIDE=FQ","FILING_STATUS=OR","SCALING_FORMAT=MLN","Sort=A","Dates=H","DateFormat=P","Fill=—","Direction=H","UseDPDF=Y")</f>
        <v>—</v>
      </c>
      <c r="AA28" s="13" t="str">
        <f>_xll.BDH("XOM US Equity","PROC_FR_REPURCH_EQTY_DETAILED","FQ1 1996","FQ1 1996","Currency=USD","Period=FQ","BEST_FPERIOD_OVERRIDE=FQ","FILING_STATUS=OR","SCALING_FORMAT=MLN","Sort=A","Dates=H","DateFormat=P","Fill=—","Direction=H","UseDPDF=Y")</f>
        <v>—</v>
      </c>
      <c r="AB28" s="13" t="str">
        <f>_xll.BDH("XOM US Equity","PROC_FR_REPURCH_EQTY_DETAILED","FQ2 1996","FQ2 1996","Currency=USD","Period=FQ","BEST_FPERIOD_OVERRIDE=FQ","FILING_STATUS=OR","SCALING_FORMAT=MLN","Sort=A","Dates=H","DateFormat=P","Fill=—","Direction=H","UseDPDF=Y")</f>
        <v>—</v>
      </c>
      <c r="AC28" s="13" t="str">
        <f>_xll.BDH("XOM US Equity","PROC_FR_REPURCH_EQTY_DETAILED","FQ3 1996","FQ3 1996","Currency=USD","Period=FQ","BEST_FPERIOD_OVERRIDE=FQ","FILING_STATUS=OR","SCALING_FORMAT=MLN","Sort=A","Dates=H","DateFormat=P","Fill=—","Direction=H","UseDPDF=Y")</f>
        <v>—</v>
      </c>
      <c r="AD28" s="13" t="str">
        <f>_xll.BDH("XOM US Equity","PROC_FR_REPURCH_EQTY_DETAILED","FQ4 1996","FQ4 1996","Currency=USD","Period=FQ","BEST_FPERIOD_OVERRIDE=FQ","FILING_STATUS=OR","SCALING_FORMAT=MLN","Sort=A","Dates=H","DateFormat=P","Fill=—","Direction=H","UseDPDF=Y")</f>
        <v>—</v>
      </c>
      <c r="AE28" s="13">
        <f>_xll.BDH("XOM US Equity","PROC_FR_REPURCH_EQTY_DETAILED","FQ1 1997","FQ1 1997","Currency=USD","Period=FQ","BEST_FPERIOD_OVERRIDE=FQ","FILING_STATUS=OR","SCALING_FORMAT=MLN","Sort=A","Dates=H","DateFormat=P","Fill=—","Direction=H","UseDPDF=Y")</f>
        <v>-166</v>
      </c>
      <c r="AF28" s="13">
        <f>_xll.BDH("XOM US Equity","PROC_FR_REPURCH_EQTY_DETAILED","FQ2 1997","FQ2 1997","Currency=USD","Period=FQ","BEST_FPERIOD_OVERRIDE=FQ","FILING_STATUS=OR","SCALING_FORMAT=MLN","Sort=A","Dates=H","DateFormat=P","Fill=—","Direction=H","UseDPDF=Y")</f>
        <v>-821</v>
      </c>
      <c r="AG28" s="13">
        <f>_xll.BDH("XOM US Equity","PROC_FR_REPURCH_EQTY_DETAILED","FQ3 1997","FQ3 1997","Currency=USD","Period=FQ","BEST_FPERIOD_OVERRIDE=FQ","FILING_STATUS=OR","SCALING_FORMAT=MLN","Sort=A","Dates=H","DateFormat=P","Fill=—","Direction=H","UseDPDF=Y")</f>
        <v>-568</v>
      </c>
      <c r="AH28" s="13">
        <f>_xll.BDH("XOM US Equity","PROC_FR_REPURCH_EQTY_DETAILED","FQ4 1997","FQ4 1997","Currency=USD","Period=FQ","BEST_FPERIOD_OVERRIDE=FQ","FILING_STATUS=OR","SCALING_FORMAT=MLN","Sort=A","Dates=H","DateFormat=P","Fill=—","Direction=H","UseDPDF=Y")</f>
        <v>-691</v>
      </c>
      <c r="AI28" s="13">
        <f>_xll.BDH("XOM US Equity","PROC_FR_REPURCH_EQTY_DETAILED","FQ1 1998","FQ1 1998","Currency=USD","Period=FQ","BEST_FPERIOD_OVERRIDE=FQ","FILING_STATUS=OR","SCALING_FORMAT=MLN","Sort=A","Dates=H","DateFormat=P","Fill=—","Direction=H","UseDPDF=Y")</f>
        <v>-797</v>
      </c>
      <c r="AJ28" s="13">
        <f>_xll.BDH("XOM US Equity","PROC_FR_REPURCH_EQTY_DETAILED","FQ2 1998","FQ2 1998","Currency=USD","Period=FQ","BEST_FPERIOD_OVERRIDE=FQ","FILING_STATUS=OR","SCALING_FORMAT=MLN","Sort=A","Dates=H","DateFormat=P","Fill=—","Direction=H","UseDPDF=Y")</f>
        <v>-856</v>
      </c>
    </row>
    <row r="29" spans="1:36" x14ac:dyDescent="0.25">
      <c r="A29" s="10" t="s">
        <v>272</v>
      </c>
      <c r="B29" s="10" t="s">
        <v>273</v>
      </c>
      <c r="C29" s="13" t="str">
        <f>_xll.BDH("XOM US Equity","CF_INCR_CAP_STOCK","FQ1 1990","FQ1 1990","Currency=USD","Period=FQ","BEST_FPERIOD_OVERRIDE=FQ","FILING_STATUS=OR","SCALING_FORMAT=MLN","Sort=A","Dates=H","DateFormat=P","Fill=—","Direction=H","UseDPDF=Y")</f>
        <v>—</v>
      </c>
      <c r="D29" s="13" t="str">
        <f>_xll.BDH("XOM US Equity","CF_INCR_CAP_STOCK","FQ2 1990","FQ2 1990","Currency=USD","Period=FQ","BEST_FPERIOD_OVERRIDE=FQ","FILING_STATUS=OR","SCALING_FORMAT=MLN","Sort=A","Dates=H","DateFormat=P","Fill=—","Direction=H","UseDPDF=Y")</f>
        <v>—</v>
      </c>
      <c r="E29" s="13" t="str">
        <f>_xll.BDH("XOM US Equity","CF_INCR_CAP_STOCK","FQ3 1990","FQ3 1990","Currency=USD","Period=FQ","BEST_FPERIOD_OVERRIDE=FQ","FILING_STATUS=OR","SCALING_FORMAT=MLN","Sort=A","Dates=H","DateFormat=P","Fill=—","Direction=H","UseDPDF=Y")</f>
        <v>—</v>
      </c>
      <c r="F29" s="13" t="str">
        <f>_xll.BDH("XOM US Equity","CF_INCR_CAP_STOCK","FQ4 1990","FQ4 1990","Currency=USD","Period=FQ","BEST_FPERIOD_OVERRIDE=FQ","FILING_STATUS=OR","SCALING_FORMAT=MLN","Sort=A","Dates=H","DateFormat=P","Fill=—","Direction=H","UseDPDF=Y")</f>
        <v>—</v>
      </c>
      <c r="G29" s="13" t="str">
        <f>_xll.BDH("XOM US Equity","CF_INCR_CAP_STOCK","FQ1 1991","FQ1 1991","Currency=USD","Period=FQ","BEST_FPERIOD_OVERRIDE=FQ","FILING_STATUS=OR","SCALING_FORMAT=MLN","Sort=A","Dates=H","DateFormat=P","Fill=—","Direction=H","UseDPDF=Y")</f>
        <v>—</v>
      </c>
      <c r="H29" s="13" t="str">
        <f>_xll.BDH("XOM US Equity","CF_INCR_CAP_STOCK","FQ2 1991","FQ2 1991","Currency=USD","Period=FQ","BEST_FPERIOD_OVERRIDE=FQ","FILING_STATUS=OR","SCALING_FORMAT=MLN","Sort=A","Dates=H","DateFormat=P","Fill=—","Direction=H","UseDPDF=Y")</f>
        <v>—</v>
      </c>
      <c r="I29" s="13" t="str">
        <f>_xll.BDH("XOM US Equity","CF_INCR_CAP_STOCK","FQ3 1991","FQ3 1991","Currency=USD","Period=FQ","BEST_FPERIOD_OVERRIDE=FQ","FILING_STATUS=OR","SCALING_FORMAT=MLN","Sort=A","Dates=H","DateFormat=P","Fill=—","Direction=H","UseDPDF=Y")</f>
        <v>—</v>
      </c>
      <c r="J29" s="13" t="str">
        <f>_xll.BDH("XOM US Equity","CF_INCR_CAP_STOCK","FQ4 1991","FQ4 1991","Currency=USD","Period=FQ","BEST_FPERIOD_OVERRIDE=FQ","FILING_STATUS=OR","SCALING_FORMAT=MLN","Sort=A","Dates=H","DateFormat=P","Fill=—","Direction=H","UseDPDF=Y")</f>
        <v>—</v>
      </c>
      <c r="K29" s="13" t="str">
        <f>_xll.BDH("XOM US Equity","CF_INCR_CAP_STOCK","FQ1 1992","FQ1 1992","Currency=USD","Period=FQ","BEST_FPERIOD_OVERRIDE=FQ","FILING_STATUS=OR","SCALING_FORMAT=MLN","Sort=A","Dates=H","DateFormat=P","Fill=—","Direction=H","UseDPDF=Y")</f>
        <v>—</v>
      </c>
      <c r="L29" s="13" t="str">
        <f>_xll.BDH("XOM US Equity","CF_INCR_CAP_STOCK","FQ2 1992","FQ2 1992","Currency=USD","Period=FQ","BEST_FPERIOD_OVERRIDE=FQ","FILING_STATUS=OR","SCALING_FORMAT=MLN","Sort=A","Dates=H","DateFormat=P","Fill=—","Direction=H","UseDPDF=Y")</f>
        <v>—</v>
      </c>
      <c r="M29" s="13" t="str">
        <f>_xll.BDH("XOM US Equity","CF_INCR_CAP_STOCK","FQ3 1992","FQ3 1992","Currency=USD","Period=FQ","BEST_FPERIOD_OVERRIDE=FQ","FILING_STATUS=OR","SCALING_FORMAT=MLN","Sort=A","Dates=H","DateFormat=P","Fill=—","Direction=H","UseDPDF=Y")</f>
        <v>—</v>
      </c>
      <c r="N29" s="13" t="str">
        <f>_xll.BDH("XOM US Equity","CF_INCR_CAP_STOCK","FQ4 1992","FQ4 1992","Currency=USD","Period=FQ","BEST_FPERIOD_OVERRIDE=FQ","FILING_STATUS=OR","SCALING_FORMAT=MLN","Sort=A","Dates=H","DateFormat=P","Fill=—","Direction=H","UseDPDF=Y")</f>
        <v>—</v>
      </c>
      <c r="O29" s="13" t="str">
        <f>_xll.BDH("XOM US Equity","CF_INCR_CAP_STOCK","FQ1 1993","FQ1 1993","Currency=USD","Period=FQ","BEST_FPERIOD_OVERRIDE=FQ","FILING_STATUS=OR","SCALING_FORMAT=MLN","Sort=A","Dates=H","DateFormat=P","Fill=—","Direction=H","UseDPDF=Y")</f>
        <v>—</v>
      </c>
      <c r="P29" s="13" t="str">
        <f>_xll.BDH("XOM US Equity","CF_INCR_CAP_STOCK","FQ2 1993","FQ2 1993","Currency=USD","Period=FQ","BEST_FPERIOD_OVERRIDE=FQ","FILING_STATUS=OR","SCALING_FORMAT=MLN","Sort=A","Dates=H","DateFormat=P","Fill=—","Direction=H","UseDPDF=Y")</f>
        <v>—</v>
      </c>
      <c r="Q29" s="13" t="str">
        <f>_xll.BDH("XOM US Equity","CF_INCR_CAP_STOCK","FQ3 1993","FQ3 1993","Currency=USD","Period=FQ","BEST_FPERIOD_OVERRIDE=FQ","FILING_STATUS=OR","SCALING_FORMAT=MLN","Sort=A","Dates=H","DateFormat=P","Fill=—","Direction=H","UseDPDF=Y")</f>
        <v>—</v>
      </c>
      <c r="R29" s="13" t="str">
        <f>_xll.BDH("XOM US Equity","CF_INCR_CAP_STOCK","FQ4 1993","FQ4 1993","Currency=USD","Period=FQ","BEST_FPERIOD_OVERRIDE=FQ","FILING_STATUS=OR","SCALING_FORMAT=MLN","Sort=A","Dates=H","DateFormat=P","Fill=—","Direction=H","UseDPDF=Y")</f>
        <v>—</v>
      </c>
      <c r="S29" s="13" t="str">
        <f>_xll.BDH("XOM US Equity","CF_INCR_CAP_STOCK","FQ1 1994","FQ1 1994","Currency=USD","Period=FQ","BEST_FPERIOD_OVERRIDE=FQ","FILING_STATUS=OR","SCALING_FORMAT=MLN","Sort=A","Dates=H","DateFormat=P","Fill=—","Direction=H","UseDPDF=Y")</f>
        <v>—</v>
      </c>
      <c r="T29" s="13" t="str">
        <f>_xll.BDH("XOM US Equity","CF_INCR_CAP_STOCK","FQ2 1994","FQ2 1994","Currency=USD","Period=FQ","BEST_FPERIOD_OVERRIDE=FQ","FILING_STATUS=OR","SCALING_FORMAT=MLN","Sort=A","Dates=H","DateFormat=P","Fill=—","Direction=H","UseDPDF=Y")</f>
        <v>—</v>
      </c>
      <c r="U29" s="13" t="str">
        <f>_xll.BDH("XOM US Equity","CF_INCR_CAP_STOCK","FQ3 1994","FQ3 1994","Currency=USD","Period=FQ","BEST_FPERIOD_OVERRIDE=FQ","FILING_STATUS=OR","SCALING_FORMAT=MLN","Sort=A","Dates=H","DateFormat=P","Fill=—","Direction=H","UseDPDF=Y")</f>
        <v>—</v>
      </c>
      <c r="V29" s="13" t="str">
        <f>_xll.BDH("XOM US Equity","CF_INCR_CAP_STOCK","FQ4 1994","FQ4 1994","Currency=USD","Period=FQ","BEST_FPERIOD_OVERRIDE=FQ","FILING_STATUS=OR","SCALING_FORMAT=MLN","Sort=A","Dates=H","DateFormat=P","Fill=—","Direction=H","UseDPDF=Y")</f>
        <v>—</v>
      </c>
      <c r="W29" s="13" t="str">
        <f>_xll.BDH("XOM US Equity","CF_INCR_CAP_STOCK","FQ1 1995","FQ1 1995","Currency=USD","Period=FQ","BEST_FPERIOD_OVERRIDE=FQ","FILING_STATUS=OR","SCALING_FORMAT=MLN","Sort=A","Dates=H","DateFormat=P","Fill=—","Direction=H","UseDPDF=Y")</f>
        <v>—</v>
      </c>
      <c r="X29" s="13" t="str">
        <f>_xll.BDH("XOM US Equity","CF_INCR_CAP_STOCK","FQ2 1995","FQ2 1995","Currency=USD","Period=FQ","BEST_FPERIOD_OVERRIDE=FQ","FILING_STATUS=OR","SCALING_FORMAT=MLN","Sort=A","Dates=H","DateFormat=P","Fill=—","Direction=H","UseDPDF=Y")</f>
        <v>—</v>
      </c>
      <c r="Y29" s="13" t="str">
        <f>_xll.BDH("XOM US Equity","CF_INCR_CAP_STOCK","FQ3 1995","FQ3 1995","Currency=USD","Period=FQ","BEST_FPERIOD_OVERRIDE=FQ","FILING_STATUS=OR","SCALING_FORMAT=MLN","Sort=A","Dates=H","DateFormat=P","Fill=—","Direction=H","UseDPDF=Y")</f>
        <v>—</v>
      </c>
      <c r="Z29" s="13" t="str">
        <f>_xll.BDH("XOM US Equity","CF_INCR_CAP_STOCK","FQ4 1995","FQ4 1995","Currency=USD","Period=FQ","BEST_FPERIOD_OVERRIDE=FQ","FILING_STATUS=OR","SCALING_FORMAT=MLN","Sort=A","Dates=H","DateFormat=P","Fill=—","Direction=H","UseDPDF=Y")</f>
        <v>—</v>
      </c>
      <c r="AA29" s="13" t="str">
        <f>_xll.BDH("XOM US Equity","CF_INCR_CAP_STOCK","FQ1 1996","FQ1 1996","Currency=USD","Period=FQ","BEST_FPERIOD_OVERRIDE=FQ","FILING_STATUS=OR","SCALING_FORMAT=MLN","Sort=A","Dates=H","DateFormat=P","Fill=—","Direction=H","UseDPDF=Y")</f>
        <v>—</v>
      </c>
      <c r="AB29" s="13" t="str">
        <f>_xll.BDH("XOM US Equity","CF_INCR_CAP_STOCK","FQ2 1996","FQ2 1996","Currency=USD","Period=FQ","BEST_FPERIOD_OVERRIDE=FQ","FILING_STATUS=OR","SCALING_FORMAT=MLN","Sort=A","Dates=H","DateFormat=P","Fill=—","Direction=H","UseDPDF=Y")</f>
        <v>—</v>
      </c>
      <c r="AC29" s="13" t="str">
        <f>_xll.BDH("XOM US Equity","CF_INCR_CAP_STOCK","FQ3 1996","FQ3 1996","Currency=USD","Period=FQ","BEST_FPERIOD_OVERRIDE=FQ","FILING_STATUS=OR","SCALING_FORMAT=MLN","Sort=A","Dates=H","DateFormat=P","Fill=—","Direction=H","UseDPDF=Y")</f>
        <v>—</v>
      </c>
      <c r="AD29" s="13" t="str">
        <f>_xll.BDH("XOM US Equity","CF_INCR_CAP_STOCK","FQ4 1996","FQ4 1996","Currency=USD","Period=FQ","BEST_FPERIOD_OVERRIDE=FQ","FILING_STATUS=OR","SCALING_FORMAT=MLN","Sort=A","Dates=H","DateFormat=P","Fill=—","Direction=H","UseDPDF=Y")</f>
        <v>—</v>
      </c>
      <c r="AE29" s="13">
        <f>_xll.BDH("XOM US Equity","CF_INCR_CAP_STOCK","FQ1 1997","FQ1 1997","Currency=USD","Period=FQ","BEST_FPERIOD_OVERRIDE=FQ","FILING_STATUS=OR","SCALING_FORMAT=MLN","Sort=A","Dates=H","DateFormat=P","Fill=—","Direction=H","UseDPDF=Y")</f>
        <v>0</v>
      </c>
      <c r="AF29" s="13">
        <f>_xll.BDH("XOM US Equity","CF_INCR_CAP_STOCK","FQ2 1997","FQ2 1997","Currency=USD","Period=FQ","BEST_FPERIOD_OVERRIDE=FQ","FILING_STATUS=OR","SCALING_FORMAT=MLN","Sort=A","Dates=H","DateFormat=P","Fill=—","Direction=H","UseDPDF=Y")</f>
        <v>0</v>
      </c>
      <c r="AG29" s="13">
        <f>_xll.BDH("XOM US Equity","CF_INCR_CAP_STOCK","FQ3 1997","FQ3 1997","Currency=USD","Period=FQ","BEST_FPERIOD_OVERRIDE=FQ","FILING_STATUS=OR","SCALING_FORMAT=MLN","Sort=A","Dates=H","DateFormat=P","Fill=—","Direction=H","UseDPDF=Y")</f>
        <v>0</v>
      </c>
      <c r="AH29" s="13">
        <f>_xll.BDH("XOM US Equity","CF_INCR_CAP_STOCK","FQ4 1997","FQ4 1997","Currency=USD","Period=FQ","BEST_FPERIOD_OVERRIDE=FQ","FILING_STATUS=OR","SCALING_FORMAT=MLN","Sort=A","Dates=H","DateFormat=P","Fill=—","Direction=H","UseDPDF=Y")</f>
        <v>340</v>
      </c>
      <c r="AI29" s="13">
        <f>_xll.BDH("XOM US Equity","CF_INCR_CAP_STOCK","FQ1 1998","FQ1 1998","Currency=USD","Period=FQ","BEST_FPERIOD_OVERRIDE=FQ","FILING_STATUS=OR","SCALING_FORMAT=MLN","Sort=A","Dates=H","DateFormat=P","Fill=—","Direction=H","UseDPDF=Y")</f>
        <v>0</v>
      </c>
      <c r="AJ29" s="13">
        <f>_xll.BDH("XOM US Equity","CF_INCR_CAP_STOCK","FQ2 1998","FQ2 1998","Currency=USD","Period=FQ","BEST_FPERIOD_OVERRIDE=FQ","FILING_STATUS=OR","SCALING_FORMAT=MLN","Sort=A","Dates=H","DateFormat=P","Fill=—","Direction=H","UseDPDF=Y")</f>
        <v>0</v>
      </c>
    </row>
    <row r="30" spans="1:36" x14ac:dyDescent="0.25">
      <c r="A30" s="10" t="s">
        <v>274</v>
      </c>
      <c r="B30" s="10" t="s">
        <v>275</v>
      </c>
      <c r="C30" s="13" t="str">
        <f>_xll.BDH("XOM US Equity","CF_DECR_CAP_STOCK","FQ1 1990","FQ1 1990","Currency=USD","Period=FQ","BEST_FPERIOD_OVERRIDE=FQ","FILING_STATUS=OR","SCALING_FORMAT=MLN","Sort=A","Dates=H","DateFormat=P","Fill=—","Direction=H","UseDPDF=Y")</f>
        <v>—</v>
      </c>
      <c r="D30" s="13" t="str">
        <f>_xll.BDH("XOM US Equity","CF_DECR_CAP_STOCK","FQ2 1990","FQ2 1990","Currency=USD","Period=FQ","BEST_FPERIOD_OVERRIDE=FQ","FILING_STATUS=OR","SCALING_FORMAT=MLN","Sort=A","Dates=H","DateFormat=P","Fill=—","Direction=H","UseDPDF=Y")</f>
        <v>—</v>
      </c>
      <c r="E30" s="13" t="str">
        <f>_xll.BDH("XOM US Equity","CF_DECR_CAP_STOCK","FQ3 1990","FQ3 1990","Currency=USD","Period=FQ","BEST_FPERIOD_OVERRIDE=FQ","FILING_STATUS=OR","SCALING_FORMAT=MLN","Sort=A","Dates=H","DateFormat=P","Fill=—","Direction=H","UseDPDF=Y")</f>
        <v>—</v>
      </c>
      <c r="F30" s="13" t="str">
        <f>_xll.BDH("XOM US Equity","CF_DECR_CAP_STOCK","FQ4 1990","FQ4 1990","Currency=USD","Period=FQ","BEST_FPERIOD_OVERRIDE=FQ","FILING_STATUS=OR","SCALING_FORMAT=MLN","Sort=A","Dates=H","DateFormat=P","Fill=—","Direction=H","UseDPDF=Y")</f>
        <v>—</v>
      </c>
      <c r="G30" s="13" t="str">
        <f>_xll.BDH("XOM US Equity","CF_DECR_CAP_STOCK","FQ1 1991","FQ1 1991","Currency=USD","Period=FQ","BEST_FPERIOD_OVERRIDE=FQ","FILING_STATUS=OR","SCALING_FORMAT=MLN","Sort=A","Dates=H","DateFormat=P","Fill=—","Direction=H","UseDPDF=Y")</f>
        <v>—</v>
      </c>
      <c r="H30" s="13" t="str">
        <f>_xll.BDH("XOM US Equity","CF_DECR_CAP_STOCK","FQ2 1991","FQ2 1991","Currency=USD","Period=FQ","BEST_FPERIOD_OVERRIDE=FQ","FILING_STATUS=OR","SCALING_FORMAT=MLN","Sort=A","Dates=H","DateFormat=P","Fill=—","Direction=H","UseDPDF=Y")</f>
        <v>—</v>
      </c>
      <c r="I30" s="13" t="str">
        <f>_xll.BDH("XOM US Equity","CF_DECR_CAP_STOCK","FQ3 1991","FQ3 1991","Currency=USD","Period=FQ","BEST_FPERIOD_OVERRIDE=FQ","FILING_STATUS=OR","SCALING_FORMAT=MLN","Sort=A","Dates=H","DateFormat=P","Fill=—","Direction=H","UseDPDF=Y")</f>
        <v>—</v>
      </c>
      <c r="J30" s="13" t="str">
        <f>_xll.BDH("XOM US Equity","CF_DECR_CAP_STOCK","FQ4 1991","FQ4 1991","Currency=USD","Period=FQ","BEST_FPERIOD_OVERRIDE=FQ","FILING_STATUS=OR","SCALING_FORMAT=MLN","Sort=A","Dates=H","DateFormat=P","Fill=—","Direction=H","UseDPDF=Y")</f>
        <v>—</v>
      </c>
      <c r="K30" s="13" t="str">
        <f>_xll.BDH("XOM US Equity","CF_DECR_CAP_STOCK","FQ1 1992","FQ1 1992","Currency=USD","Period=FQ","BEST_FPERIOD_OVERRIDE=FQ","FILING_STATUS=OR","SCALING_FORMAT=MLN","Sort=A","Dates=H","DateFormat=P","Fill=—","Direction=H","UseDPDF=Y")</f>
        <v>—</v>
      </c>
      <c r="L30" s="13" t="str">
        <f>_xll.BDH("XOM US Equity","CF_DECR_CAP_STOCK","FQ2 1992","FQ2 1992","Currency=USD","Period=FQ","BEST_FPERIOD_OVERRIDE=FQ","FILING_STATUS=OR","SCALING_FORMAT=MLN","Sort=A","Dates=H","DateFormat=P","Fill=—","Direction=H","UseDPDF=Y")</f>
        <v>—</v>
      </c>
      <c r="M30" s="13" t="str">
        <f>_xll.BDH("XOM US Equity","CF_DECR_CAP_STOCK","FQ3 1992","FQ3 1992","Currency=USD","Period=FQ","BEST_FPERIOD_OVERRIDE=FQ","FILING_STATUS=OR","SCALING_FORMAT=MLN","Sort=A","Dates=H","DateFormat=P","Fill=—","Direction=H","UseDPDF=Y")</f>
        <v>—</v>
      </c>
      <c r="N30" s="13" t="str">
        <f>_xll.BDH("XOM US Equity","CF_DECR_CAP_STOCK","FQ4 1992","FQ4 1992","Currency=USD","Period=FQ","BEST_FPERIOD_OVERRIDE=FQ","FILING_STATUS=OR","SCALING_FORMAT=MLN","Sort=A","Dates=H","DateFormat=P","Fill=—","Direction=H","UseDPDF=Y")</f>
        <v>—</v>
      </c>
      <c r="O30" s="13" t="str">
        <f>_xll.BDH("XOM US Equity","CF_DECR_CAP_STOCK","FQ1 1993","FQ1 1993","Currency=USD","Period=FQ","BEST_FPERIOD_OVERRIDE=FQ","FILING_STATUS=OR","SCALING_FORMAT=MLN","Sort=A","Dates=H","DateFormat=P","Fill=—","Direction=H","UseDPDF=Y")</f>
        <v>—</v>
      </c>
      <c r="P30" s="13" t="str">
        <f>_xll.BDH("XOM US Equity","CF_DECR_CAP_STOCK","FQ2 1993","FQ2 1993","Currency=USD","Period=FQ","BEST_FPERIOD_OVERRIDE=FQ","FILING_STATUS=OR","SCALING_FORMAT=MLN","Sort=A","Dates=H","DateFormat=P","Fill=—","Direction=H","UseDPDF=Y")</f>
        <v>—</v>
      </c>
      <c r="Q30" s="13" t="str">
        <f>_xll.BDH("XOM US Equity","CF_DECR_CAP_STOCK","FQ3 1993","FQ3 1993","Currency=USD","Period=FQ","BEST_FPERIOD_OVERRIDE=FQ","FILING_STATUS=OR","SCALING_FORMAT=MLN","Sort=A","Dates=H","DateFormat=P","Fill=—","Direction=H","UseDPDF=Y")</f>
        <v>—</v>
      </c>
      <c r="R30" s="13" t="str">
        <f>_xll.BDH("XOM US Equity","CF_DECR_CAP_STOCK","FQ4 1993","FQ4 1993","Currency=USD","Period=FQ","BEST_FPERIOD_OVERRIDE=FQ","FILING_STATUS=OR","SCALING_FORMAT=MLN","Sort=A","Dates=H","DateFormat=P","Fill=—","Direction=H","UseDPDF=Y")</f>
        <v>—</v>
      </c>
      <c r="S30" s="13" t="str">
        <f>_xll.BDH("XOM US Equity","CF_DECR_CAP_STOCK","FQ1 1994","FQ1 1994","Currency=USD","Period=FQ","BEST_FPERIOD_OVERRIDE=FQ","FILING_STATUS=OR","SCALING_FORMAT=MLN","Sort=A","Dates=H","DateFormat=P","Fill=—","Direction=H","UseDPDF=Y")</f>
        <v>—</v>
      </c>
      <c r="T30" s="13" t="str">
        <f>_xll.BDH("XOM US Equity","CF_DECR_CAP_STOCK","FQ2 1994","FQ2 1994","Currency=USD","Period=FQ","BEST_FPERIOD_OVERRIDE=FQ","FILING_STATUS=OR","SCALING_FORMAT=MLN","Sort=A","Dates=H","DateFormat=P","Fill=—","Direction=H","UseDPDF=Y")</f>
        <v>—</v>
      </c>
      <c r="U30" s="13" t="str">
        <f>_xll.BDH("XOM US Equity","CF_DECR_CAP_STOCK","FQ3 1994","FQ3 1994","Currency=USD","Period=FQ","BEST_FPERIOD_OVERRIDE=FQ","FILING_STATUS=OR","SCALING_FORMAT=MLN","Sort=A","Dates=H","DateFormat=P","Fill=—","Direction=H","UseDPDF=Y")</f>
        <v>—</v>
      </c>
      <c r="V30" s="13" t="str">
        <f>_xll.BDH("XOM US Equity","CF_DECR_CAP_STOCK","FQ4 1994","FQ4 1994","Currency=USD","Period=FQ","BEST_FPERIOD_OVERRIDE=FQ","FILING_STATUS=OR","SCALING_FORMAT=MLN","Sort=A","Dates=H","DateFormat=P","Fill=—","Direction=H","UseDPDF=Y")</f>
        <v>—</v>
      </c>
      <c r="W30" s="13" t="str">
        <f>_xll.BDH("XOM US Equity","CF_DECR_CAP_STOCK","FQ1 1995","FQ1 1995","Currency=USD","Period=FQ","BEST_FPERIOD_OVERRIDE=FQ","FILING_STATUS=OR","SCALING_FORMAT=MLN","Sort=A","Dates=H","DateFormat=P","Fill=—","Direction=H","UseDPDF=Y")</f>
        <v>—</v>
      </c>
      <c r="X30" s="13" t="str">
        <f>_xll.BDH("XOM US Equity","CF_DECR_CAP_STOCK","FQ2 1995","FQ2 1995","Currency=USD","Period=FQ","BEST_FPERIOD_OVERRIDE=FQ","FILING_STATUS=OR","SCALING_FORMAT=MLN","Sort=A","Dates=H","DateFormat=P","Fill=—","Direction=H","UseDPDF=Y")</f>
        <v>—</v>
      </c>
      <c r="Y30" s="13" t="str">
        <f>_xll.BDH("XOM US Equity","CF_DECR_CAP_STOCK","FQ3 1995","FQ3 1995","Currency=USD","Period=FQ","BEST_FPERIOD_OVERRIDE=FQ","FILING_STATUS=OR","SCALING_FORMAT=MLN","Sort=A","Dates=H","DateFormat=P","Fill=—","Direction=H","UseDPDF=Y")</f>
        <v>—</v>
      </c>
      <c r="Z30" s="13" t="str">
        <f>_xll.BDH("XOM US Equity","CF_DECR_CAP_STOCK","FQ4 1995","FQ4 1995","Currency=USD","Period=FQ","BEST_FPERIOD_OVERRIDE=FQ","FILING_STATUS=OR","SCALING_FORMAT=MLN","Sort=A","Dates=H","DateFormat=P","Fill=—","Direction=H","UseDPDF=Y")</f>
        <v>—</v>
      </c>
      <c r="AA30" s="13" t="str">
        <f>_xll.BDH("XOM US Equity","CF_DECR_CAP_STOCK","FQ1 1996","FQ1 1996","Currency=USD","Period=FQ","BEST_FPERIOD_OVERRIDE=FQ","FILING_STATUS=OR","SCALING_FORMAT=MLN","Sort=A","Dates=H","DateFormat=P","Fill=—","Direction=H","UseDPDF=Y")</f>
        <v>—</v>
      </c>
      <c r="AB30" s="13" t="str">
        <f>_xll.BDH("XOM US Equity","CF_DECR_CAP_STOCK","FQ2 1996","FQ2 1996","Currency=USD","Period=FQ","BEST_FPERIOD_OVERRIDE=FQ","FILING_STATUS=OR","SCALING_FORMAT=MLN","Sort=A","Dates=H","DateFormat=P","Fill=—","Direction=H","UseDPDF=Y")</f>
        <v>—</v>
      </c>
      <c r="AC30" s="13" t="str">
        <f>_xll.BDH("XOM US Equity","CF_DECR_CAP_STOCK","FQ3 1996","FQ3 1996","Currency=USD","Period=FQ","BEST_FPERIOD_OVERRIDE=FQ","FILING_STATUS=OR","SCALING_FORMAT=MLN","Sort=A","Dates=H","DateFormat=P","Fill=—","Direction=H","UseDPDF=Y")</f>
        <v>—</v>
      </c>
      <c r="AD30" s="13" t="str">
        <f>_xll.BDH("XOM US Equity","CF_DECR_CAP_STOCK","FQ4 1996","FQ4 1996","Currency=USD","Period=FQ","BEST_FPERIOD_OVERRIDE=FQ","FILING_STATUS=OR","SCALING_FORMAT=MLN","Sort=A","Dates=H","DateFormat=P","Fill=—","Direction=H","UseDPDF=Y")</f>
        <v>—</v>
      </c>
      <c r="AE30" s="13">
        <f>_xll.BDH("XOM US Equity","CF_DECR_CAP_STOCK","FQ1 1997","FQ1 1997","Currency=USD","Period=FQ","BEST_FPERIOD_OVERRIDE=FQ","FILING_STATUS=OR","SCALING_FORMAT=MLN","Sort=A","Dates=H","DateFormat=P","Fill=—","Direction=H","UseDPDF=Y")</f>
        <v>-166</v>
      </c>
      <c r="AF30" s="13">
        <f>_xll.BDH("XOM US Equity","CF_DECR_CAP_STOCK","FQ2 1997","FQ2 1997","Currency=USD","Period=FQ","BEST_FPERIOD_OVERRIDE=FQ","FILING_STATUS=OR","SCALING_FORMAT=MLN","Sort=A","Dates=H","DateFormat=P","Fill=—","Direction=H","UseDPDF=Y")</f>
        <v>-821</v>
      </c>
      <c r="AG30" s="13">
        <f>_xll.BDH("XOM US Equity","CF_DECR_CAP_STOCK","FQ3 1997","FQ3 1997","Currency=USD","Period=FQ","BEST_FPERIOD_OVERRIDE=FQ","FILING_STATUS=OR","SCALING_FORMAT=MLN","Sort=A","Dates=H","DateFormat=P","Fill=—","Direction=H","UseDPDF=Y")</f>
        <v>-568</v>
      </c>
      <c r="AH30" s="13">
        <f>_xll.BDH("XOM US Equity","CF_DECR_CAP_STOCK","FQ4 1997","FQ4 1997","Currency=USD","Period=FQ","BEST_FPERIOD_OVERRIDE=FQ","FILING_STATUS=OR","SCALING_FORMAT=MLN","Sort=A","Dates=H","DateFormat=P","Fill=—","Direction=H","UseDPDF=Y")</f>
        <v>-1031</v>
      </c>
      <c r="AI30" s="13">
        <f>_xll.BDH("XOM US Equity","CF_DECR_CAP_STOCK","FQ1 1998","FQ1 1998","Currency=USD","Period=FQ","BEST_FPERIOD_OVERRIDE=FQ","FILING_STATUS=OR","SCALING_FORMAT=MLN","Sort=A","Dates=H","DateFormat=P","Fill=—","Direction=H","UseDPDF=Y")</f>
        <v>-797</v>
      </c>
      <c r="AJ30" s="13">
        <f>_xll.BDH("XOM US Equity","CF_DECR_CAP_STOCK","FQ2 1998","FQ2 1998","Currency=USD","Period=FQ","BEST_FPERIOD_OVERRIDE=FQ","FILING_STATUS=OR","SCALING_FORMAT=MLN","Sort=A","Dates=H","DateFormat=P","Fill=—","Direction=H","UseDPDF=Y")</f>
        <v>-856</v>
      </c>
    </row>
    <row r="31" spans="1:36" x14ac:dyDescent="0.25">
      <c r="A31" s="6" t="s">
        <v>265</v>
      </c>
      <c r="B31" s="6" t="s">
        <v>276</v>
      </c>
      <c r="C31" s="16" t="str">
        <f>_xll.BDH("XOM US Equity","CFF_ACTIVITIES_DETAILED","FQ1 1990","FQ1 1990","Currency=USD","Period=FQ","BEST_FPERIOD_OVERRIDE=FQ","FILING_STATUS=OR","SCALING_FORMAT=MLN","Sort=A","Dates=H","DateFormat=P","Fill=—","Direction=H","UseDPDF=Y")</f>
        <v>—</v>
      </c>
      <c r="D31" s="16" t="str">
        <f>_xll.BDH("XOM US Equity","CFF_ACTIVITIES_DETAILED","FQ2 1990","FQ2 1990","Currency=USD","Period=FQ","BEST_FPERIOD_OVERRIDE=FQ","FILING_STATUS=OR","SCALING_FORMAT=MLN","Sort=A","Dates=H","DateFormat=P","Fill=—","Direction=H","UseDPDF=Y")</f>
        <v>—</v>
      </c>
      <c r="E31" s="16" t="str">
        <f>_xll.BDH("XOM US Equity","CFF_ACTIVITIES_DETAILED","FQ3 1990","FQ3 1990","Currency=USD","Period=FQ","BEST_FPERIOD_OVERRIDE=FQ","FILING_STATUS=OR","SCALING_FORMAT=MLN","Sort=A","Dates=H","DateFormat=P","Fill=—","Direction=H","UseDPDF=Y")</f>
        <v>—</v>
      </c>
      <c r="F31" s="16" t="str">
        <f>_xll.BDH("XOM US Equity","CFF_ACTIVITIES_DETAILED","FQ4 1990","FQ4 1990","Currency=USD","Period=FQ","BEST_FPERIOD_OVERRIDE=FQ","FILING_STATUS=OR","SCALING_FORMAT=MLN","Sort=A","Dates=H","DateFormat=P","Fill=—","Direction=H","UseDPDF=Y")</f>
        <v>—</v>
      </c>
      <c r="G31" s="16" t="str">
        <f>_xll.BDH("XOM US Equity","CFF_ACTIVITIES_DETAILED","FQ1 1991","FQ1 1991","Currency=USD","Period=FQ","BEST_FPERIOD_OVERRIDE=FQ","FILING_STATUS=OR","SCALING_FORMAT=MLN","Sort=A","Dates=H","DateFormat=P","Fill=—","Direction=H","UseDPDF=Y")</f>
        <v>—</v>
      </c>
      <c r="H31" s="16" t="str">
        <f>_xll.BDH("XOM US Equity","CFF_ACTIVITIES_DETAILED","FQ2 1991","FQ2 1991","Currency=USD","Period=FQ","BEST_FPERIOD_OVERRIDE=FQ","FILING_STATUS=OR","SCALING_FORMAT=MLN","Sort=A","Dates=H","DateFormat=P","Fill=—","Direction=H","UseDPDF=Y")</f>
        <v>—</v>
      </c>
      <c r="I31" s="16" t="str">
        <f>_xll.BDH("XOM US Equity","CFF_ACTIVITIES_DETAILED","FQ3 1991","FQ3 1991","Currency=USD","Period=FQ","BEST_FPERIOD_OVERRIDE=FQ","FILING_STATUS=OR","SCALING_FORMAT=MLN","Sort=A","Dates=H","DateFormat=P","Fill=—","Direction=H","UseDPDF=Y")</f>
        <v>—</v>
      </c>
      <c r="J31" s="16" t="str">
        <f>_xll.BDH("XOM US Equity","CFF_ACTIVITIES_DETAILED","FQ4 1991","FQ4 1991","Currency=USD","Period=FQ","BEST_FPERIOD_OVERRIDE=FQ","FILING_STATUS=OR","SCALING_FORMAT=MLN","Sort=A","Dates=H","DateFormat=P","Fill=—","Direction=H","UseDPDF=Y")</f>
        <v>—</v>
      </c>
      <c r="K31" s="16" t="str">
        <f>_xll.BDH("XOM US Equity","CFF_ACTIVITIES_DETAILED","FQ1 1992","FQ1 1992","Currency=USD","Period=FQ","BEST_FPERIOD_OVERRIDE=FQ","FILING_STATUS=OR","SCALING_FORMAT=MLN","Sort=A","Dates=H","DateFormat=P","Fill=—","Direction=H","UseDPDF=Y")</f>
        <v>—</v>
      </c>
      <c r="L31" s="16" t="str">
        <f>_xll.BDH("XOM US Equity","CFF_ACTIVITIES_DETAILED","FQ2 1992","FQ2 1992","Currency=USD","Period=FQ","BEST_FPERIOD_OVERRIDE=FQ","FILING_STATUS=OR","SCALING_FORMAT=MLN","Sort=A","Dates=H","DateFormat=P","Fill=—","Direction=H","UseDPDF=Y")</f>
        <v>—</v>
      </c>
      <c r="M31" s="16" t="str">
        <f>_xll.BDH("XOM US Equity","CFF_ACTIVITIES_DETAILED","FQ3 1992","FQ3 1992","Currency=USD","Period=FQ","BEST_FPERIOD_OVERRIDE=FQ","FILING_STATUS=OR","SCALING_FORMAT=MLN","Sort=A","Dates=H","DateFormat=P","Fill=—","Direction=H","UseDPDF=Y")</f>
        <v>—</v>
      </c>
      <c r="N31" s="16" t="str">
        <f>_xll.BDH("XOM US Equity","CFF_ACTIVITIES_DETAILED","FQ4 1992","FQ4 1992","Currency=USD","Period=FQ","BEST_FPERIOD_OVERRIDE=FQ","FILING_STATUS=OR","SCALING_FORMAT=MLN","Sort=A","Dates=H","DateFormat=P","Fill=—","Direction=H","UseDPDF=Y")</f>
        <v>—</v>
      </c>
      <c r="O31" s="16" t="str">
        <f>_xll.BDH("XOM US Equity","CFF_ACTIVITIES_DETAILED","FQ1 1993","FQ1 1993","Currency=USD","Period=FQ","BEST_FPERIOD_OVERRIDE=FQ","FILING_STATUS=OR","SCALING_FORMAT=MLN","Sort=A","Dates=H","DateFormat=P","Fill=—","Direction=H","UseDPDF=Y")</f>
        <v>—</v>
      </c>
      <c r="P31" s="16" t="str">
        <f>_xll.BDH("XOM US Equity","CFF_ACTIVITIES_DETAILED","FQ2 1993","FQ2 1993","Currency=USD","Period=FQ","BEST_FPERIOD_OVERRIDE=FQ","FILING_STATUS=OR","SCALING_FORMAT=MLN","Sort=A","Dates=H","DateFormat=P","Fill=—","Direction=H","UseDPDF=Y")</f>
        <v>—</v>
      </c>
      <c r="Q31" s="16" t="str">
        <f>_xll.BDH("XOM US Equity","CFF_ACTIVITIES_DETAILED","FQ3 1993","FQ3 1993","Currency=USD","Period=FQ","BEST_FPERIOD_OVERRIDE=FQ","FILING_STATUS=OR","SCALING_FORMAT=MLN","Sort=A","Dates=H","DateFormat=P","Fill=—","Direction=H","UseDPDF=Y")</f>
        <v>—</v>
      </c>
      <c r="R31" s="16" t="str">
        <f>_xll.BDH("XOM US Equity","CFF_ACTIVITIES_DETAILED","FQ4 1993","FQ4 1993","Currency=USD","Period=FQ","BEST_FPERIOD_OVERRIDE=FQ","FILING_STATUS=OR","SCALING_FORMAT=MLN","Sort=A","Dates=H","DateFormat=P","Fill=—","Direction=H","UseDPDF=Y")</f>
        <v>—</v>
      </c>
      <c r="S31" s="16" t="str">
        <f>_xll.BDH("XOM US Equity","CFF_ACTIVITIES_DETAILED","FQ1 1994","FQ1 1994","Currency=USD","Period=FQ","BEST_FPERIOD_OVERRIDE=FQ","FILING_STATUS=OR","SCALING_FORMAT=MLN","Sort=A","Dates=H","DateFormat=P","Fill=—","Direction=H","UseDPDF=Y")</f>
        <v>—</v>
      </c>
      <c r="T31" s="16" t="str">
        <f>_xll.BDH("XOM US Equity","CFF_ACTIVITIES_DETAILED","FQ2 1994","FQ2 1994","Currency=USD","Period=FQ","BEST_FPERIOD_OVERRIDE=FQ","FILING_STATUS=OR","SCALING_FORMAT=MLN","Sort=A","Dates=H","DateFormat=P","Fill=—","Direction=H","UseDPDF=Y")</f>
        <v>—</v>
      </c>
      <c r="U31" s="16" t="str">
        <f>_xll.BDH("XOM US Equity","CFF_ACTIVITIES_DETAILED","FQ3 1994","FQ3 1994","Currency=USD","Period=FQ","BEST_FPERIOD_OVERRIDE=FQ","FILING_STATUS=OR","SCALING_FORMAT=MLN","Sort=A","Dates=H","DateFormat=P","Fill=—","Direction=H","UseDPDF=Y")</f>
        <v>—</v>
      </c>
      <c r="V31" s="16" t="str">
        <f>_xll.BDH("XOM US Equity","CFF_ACTIVITIES_DETAILED","FQ4 1994","FQ4 1994","Currency=USD","Period=FQ","BEST_FPERIOD_OVERRIDE=FQ","FILING_STATUS=OR","SCALING_FORMAT=MLN","Sort=A","Dates=H","DateFormat=P","Fill=—","Direction=H","UseDPDF=Y")</f>
        <v>—</v>
      </c>
      <c r="W31" s="16" t="str">
        <f>_xll.BDH("XOM US Equity","CFF_ACTIVITIES_DETAILED","FQ1 1995","FQ1 1995","Currency=USD","Period=FQ","BEST_FPERIOD_OVERRIDE=FQ","FILING_STATUS=OR","SCALING_FORMAT=MLN","Sort=A","Dates=H","DateFormat=P","Fill=—","Direction=H","UseDPDF=Y")</f>
        <v>—</v>
      </c>
      <c r="X31" s="16" t="str">
        <f>_xll.BDH("XOM US Equity","CFF_ACTIVITIES_DETAILED","FQ2 1995","FQ2 1995","Currency=USD","Period=FQ","BEST_FPERIOD_OVERRIDE=FQ","FILING_STATUS=OR","SCALING_FORMAT=MLN","Sort=A","Dates=H","DateFormat=P","Fill=—","Direction=H","UseDPDF=Y")</f>
        <v>—</v>
      </c>
      <c r="Y31" s="16" t="str">
        <f>_xll.BDH("XOM US Equity","CFF_ACTIVITIES_DETAILED","FQ3 1995","FQ3 1995","Currency=USD","Period=FQ","BEST_FPERIOD_OVERRIDE=FQ","FILING_STATUS=OR","SCALING_FORMAT=MLN","Sort=A","Dates=H","DateFormat=P","Fill=—","Direction=H","UseDPDF=Y")</f>
        <v>—</v>
      </c>
      <c r="Z31" s="16" t="str">
        <f>_xll.BDH("XOM US Equity","CFF_ACTIVITIES_DETAILED","FQ4 1995","FQ4 1995","Currency=USD","Period=FQ","BEST_FPERIOD_OVERRIDE=FQ","FILING_STATUS=OR","SCALING_FORMAT=MLN","Sort=A","Dates=H","DateFormat=P","Fill=—","Direction=H","UseDPDF=Y")</f>
        <v>—</v>
      </c>
      <c r="AA31" s="16" t="str">
        <f>_xll.BDH("XOM US Equity","CFF_ACTIVITIES_DETAILED","FQ1 1996","FQ1 1996","Currency=USD","Period=FQ","BEST_FPERIOD_OVERRIDE=FQ","FILING_STATUS=OR","SCALING_FORMAT=MLN","Sort=A","Dates=H","DateFormat=P","Fill=—","Direction=H","UseDPDF=Y")</f>
        <v>—</v>
      </c>
      <c r="AB31" s="16" t="str">
        <f>_xll.BDH("XOM US Equity","CFF_ACTIVITIES_DETAILED","FQ2 1996","FQ2 1996","Currency=USD","Period=FQ","BEST_FPERIOD_OVERRIDE=FQ","FILING_STATUS=OR","SCALING_FORMAT=MLN","Sort=A","Dates=H","DateFormat=P","Fill=—","Direction=H","UseDPDF=Y")</f>
        <v>—</v>
      </c>
      <c r="AC31" s="16" t="str">
        <f>_xll.BDH("XOM US Equity","CFF_ACTIVITIES_DETAILED","FQ3 1996","FQ3 1996","Currency=USD","Period=FQ","BEST_FPERIOD_OVERRIDE=FQ","FILING_STATUS=OR","SCALING_FORMAT=MLN","Sort=A","Dates=H","DateFormat=P","Fill=—","Direction=H","UseDPDF=Y")</f>
        <v>—</v>
      </c>
      <c r="AD31" s="16" t="str">
        <f>_xll.BDH("XOM US Equity","CFF_ACTIVITIES_DETAILED","FQ4 1996","FQ4 1996","Currency=USD","Period=FQ","BEST_FPERIOD_OVERRIDE=FQ","FILING_STATUS=OR","SCALING_FORMAT=MLN","Sort=A","Dates=H","DateFormat=P","Fill=—","Direction=H","UseDPDF=Y")</f>
        <v>—</v>
      </c>
      <c r="AE31" s="16">
        <f>_xll.BDH("XOM US Equity","CFF_ACTIVITIES_DETAILED","FQ1 1997","FQ1 1997","Currency=USD","Period=FQ","BEST_FPERIOD_OVERRIDE=FQ","FILING_STATUS=OR","SCALING_FORMAT=MLN","Sort=A","Dates=H","DateFormat=P","Fill=—","Direction=H","UseDPDF=Y")</f>
        <v>-1108</v>
      </c>
      <c r="AF31" s="16">
        <f>_xll.BDH("XOM US Equity","CFF_ACTIVITIES_DETAILED","FQ2 1997","FQ2 1997","Currency=USD","Period=FQ","BEST_FPERIOD_OVERRIDE=FQ","FILING_STATUS=OR","SCALING_FORMAT=MLN","Sort=A","Dates=H","DateFormat=P","Fill=—","Direction=H","UseDPDF=Y")</f>
        <v>-1988</v>
      </c>
      <c r="AG31" s="16">
        <f>_xll.BDH("XOM US Equity","CFF_ACTIVITIES_DETAILED","FQ3 1997","FQ3 1997","Currency=USD","Period=FQ","BEST_FPERIOD_OVERRIDE=FQ","FILING_STATUS=OR","SCALING_FORMAT=MLN","Sort=A","Dates=H","DateFormat=P","Fill=—","Direction=H","UseDPDF=Y")</f>
        <v>-1888</v>
      </c>
      <c r="AH31" s="16">
        <f>_xll.BDH("XOM US Equity","CFF_ACTIVITIES_DETAILED","FQ4 1997","FQ4 1997","Currency=USD","Period=FQ","BEST_FPERIOD_OVERRIDE=FQ","FILING_STATUS=OR","SCALING_FORMAT=MLN","Sort=A","Dates=H","DateFormat=P","Fill=—","Direction=H","UseDPDF=Y")</f>
        <v>-1805</v>
      </c>
      <c r="AI31" s="16">
        <f>_xll.BDH("XOM US Equity","CFF_ACTIVITIES_DETAILED","FQ1 1998","FQ1 1998","Currency=USD","Period=FQ","BEST_FPERIOD_OVERRIDE=FQ","FILING_STATUS=OR","SCALING_FORMAT=MLN","Sort=A","Dates=H","DateFormat=P","Fill=—","Direction=H","UseDPDF=Y")</f>
        <v>-2103</v>
      </c>
      <c r="AJ31" s="16">
        <f>_xll.BDH("XOM US Equity","CFF_ACTIVITIES_DETAILED","FQ2 1998","FQ2 1998","Currency=USD","Period=FQ","BEST_FPERIOD_OVERRIDE=FQ","FILING_STATUS=OR","SCALING_FORMAT=MLN","Sort=A","Dates=H","DateFormat=P","Fill=—","Direction=H","UseDPDF=Y")</f>
        <v>-2172</v>
      </c>
    </row>
    <row r="32" spans="1:36" x14ac:dyDescent="0.25">
      <c r="A32" s="6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</row>
    <row r="33" spans="1:36" x14ac:dyDescent="0.25">
      <c r="A33" s="6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</row>
    <row r="34" spans="1:36" x14ac:dyDescent="0.25">
      <c r="A34" s="6" t="s">
        <v>277</v>
      </c>
      <c r="B34" s="6" t="s">
        <v>278</v>
      </c>
      <c r="C34" s="16" t="str">
        <f>_xll.BDH("XOM US Equity","CF_NET_CHNG_CASH","FQ1 1990","FQ1 1990","Currency=USD","Period=FQ","BEST_FPERIOD_OVERRIDE=FQ","FILING_STATUS=OR","SCALING_FORMAT=MLN","Sort=A","Dates=H","DateFormat=P","Fill=—","Direction=H","UseDPDF=Y")</f>
        <v>—</v>
      </c>
      <c r="D34" s="16" t="str">
        <f>_xll.BDH("XOM US Equity","CF_NET_CHNG_CASH","FQ2 1990","FQ2 1990","Currency=USD","Period=FQ","BEST_FPERIOD_OVERRIDE=FQ","FILING_STATUS=OR","SCALING_FORMAT=MLN","Sort=A","Dates=H","DateFormat=P","Fill=—","Direction=H","UseDPDF=Y")</f>
        <v>—</v>
      </c>
      <c r="E34" s="16" t="str">
        <f>_xll.BDH("XOM US Equity","CF_NET_CHNG_CASH","FQ3 1990","FQ3 1990","Currency=USD","Period=FQ","BEST_FPERIOD_OVERRIDE=FQ","FILING_STATUS=OR","SCALING_FORMAT=MLN","Sort=A","Dates=H","DateFormat=P","Fill=—","Direction=H","UseDPDF=Y")</f>
        <v>—</v>
      </c>
      <c r="F34" s="16">
        <f>_xll.BDH("XOM US Equity","CF_NET_CHNG_CASH","FQ4 1990","FQ4 1990","Currency=USD","Period=FQ","BEST_FPERIOD_OVERRIDE=FQ","FILING_STATUS=OR","SCALING_FORMAT=MLN","Sort=A","Dates=H","DateFormat=P","Fill=—","Direction=H","UseDPDF=Y")</f>
        <v>4164</v>
      </c>
      <c r="G34" s="16">
        <f>_xll.BDH("XOM US Equity","CF_NET_CHNG_CASH","FQ1 1991","FQ1 1991","Currency=USD","Period=FQ","BEST_FPERIOD_OVERRIDE=FQ","FILING_STATUS=OR","SCALING_FORMAT=MLN","Sort=A","Dates=H","DateFormat=P","Fill=—","Direction=H","UseDPDF=Y")</f>
        <v>2750</v>
      </c>
      <c r="H34" s="16" t="str">
        <f>_xll.BDH("XOM US Equity","CF_NET_CHNG_CASH","FQ2 1991","FQ2 1991","Currency=USD","Period=FQ","BEST_FPERIOD_OVERRIDE=FQ","FILING_STATUS=OR","SCALING_FORMAT=MLN","Sort=A","Dates=H","DateFormat=P","Fill=—","Direction=H","UseDPDF=Y")</f>
        <v>—</v>
      </c>
      <c r="I34" s="16">
        <f>_xll.BDH("XOM US Equity","CF_NET_CHNG_CASH","FQ3 1991","FQ3 1991","Currency=USD","Period=FQ","BEST_FPERIOD_OVERRIDE=FQ","FILING_STATUS=OR","SCALING_FORMAT=MLN","Sort=A","Dates=H","DateFormat=P","Fill=—","Direction=H","UseDPDF=Y")</f>
        <v>2799</v>
      </c>
      <c r="J34" s="16">
        <f>_xll.BDH("XOM US Equity","CF_NET_CHNG_CASH","FQ4 1991","FQ4 1991","Currency=USD","Period=FQ","BEST_FPERIOD_OVERRIDE=FQ","FILING_STATUS=OR","SCALING_FORMAT=MLN","Sort=A","Dates=H","DateFormat=P","Fill=—","Direction=H","UseDPDF=Y")</f>
        <v>2800</v>
      </c>
      <c r="K34" s="16" t="str">
        <f>_xll.BDH("XOM US Equity","CF_NET_CHNG_CASH","FQ1 1992","FQ1 1992","Currency=USD","Period=FQ","BEST_FPERIOD_OVERRIDE=FQ","FILING_STATUS=OR","SCALING_FORMAT=MLN","Sort=A","Dates=H","DateFormat=P","Fill=—","Direction=H","UseDPDF=Y")</f>
        <v>—</v>
      </c>
      <c r="L34" s="16" t="str">
        <f>_xll.BDH("XOM US Equity","CF_NET_CHNG_CASH","FQ2 1992","FQ2 1992","Currency=USD","Period=FQ","BEST_FPERIOD_OVERRIDE=FQ","FILING_STATUS=OR","SCALING_FORMAT=MLN","Sort=A","Dates=H","DateFormat=P","Fill=—","Direction=H","UseDPDF=Y")</f>
        <v>—</v>
      </c>
      <c r="M34" s="16" t="str">
        <f>_xll.BDH("XOM US Equity","CF_NET_CHNG_CASH","FQ3 1992","FQ3 1992","Currency=USD","Period=FQ","BEST_FPERIOD_OVERRIDE=FQ","FILING_STATUS=OR","SCALING_FORMAT=MLN","Sort=A","Dates=H","DateFormat=P","Fill=—","Direction=H","UseDPDF=Y")</f>
        <v>—</v>
      </c>
      <c r="N34" s="16" t="str">
        <f>_xll.BDH("XOM US Equity","CF_NET_CHNG_CASH","FQ4 1992","FQ4 1992","Currency=USD","Period=FQ","BEST_FPERIOD_OVERRIDE=FQ","FILING_STATUS=OR","SCALING_FORMAT=MLN","Sort=A","Dates=H","DateFormat=P","Fill=—","Direction=H","UseDPDF=Y")</f>
        <v>—</v>
      </c>
      <c r="O34" s="16" t="str">
        <f>_xll.BDH("XOM US Equity","CF_NET_CHNG_CASH","FQ1 1993","FQ1 1993","Currency=USD","Period=FQ","BEST_FPERIOD_OVERRIDE=FQ","FILING_STATUS=OR","SCALING_FORMAT=MLN","Sort=A","Dates=H","DateFormat=P","Fill=—","Direction=H","UseDPDF=Y")</f>
        <v>—</v>
      </c>
      <c r="P34" s="16" t="str">
        <f>_xll.BDH("XOM US Equity","CF_NET_CHNG_CASH","FQ2 1993","FQ2 1993","Currency=USD","Period=FQ","BEST_FPERIOD_OVERRIDE=FQ","FILING_STATUS=OR","SCALING_FORMAT=MLN","Sort=A","Dates=H","DateFormat=P","Fill=—","Direction=H","UseDPDF=Y")</f>
        <v>—</v>
      </c>
      <c r="Q34" s="16">
        <f>_xll.BDH("XOM US Equity","CF_NET_CHNG_CASH","FQ3 1993","FQ3 1993","Currency=USD","Period=FQ","BEST_FPERIOD_OVERRIDE=FQ","FILING_STATUS=OR","SCALING_FORMAT=MLN","Sort=A","Dates=H","DateFormat=P","Fill=—","Direction=H","UseDPDF=Y")</f>
        <v>3177</v>
      </c>
      <c r="R34" s="16">
        <f>_xll.BDH("XOM US Equity","CF_NET_CHNG_CASH","FQ4 1993","FQ4 1993","Currency=USD","Period=FQ","BEST_FPERIOD_OVERRIDE=FQ","FILING_STATUS=OR","SCALING_FORMAT=MLN","Sort=A","Dates=H","DateFormat=P","Fill=—","Direction=H","UseDPDF=Y")</f>
        <v>3026</v>
      </c>
      <c r="S34" s="16">
        <f>_xll.BDH("XOM US Equity","CF_NET_CHNG_CASH","FQ1 1994","FQ1 1994","Currency=USD","Period=FQ","BEST_FPERIOD_OVERRIDE=FQ","FILING_STATUS=OR","SCALING_FORMAT=MLN","Sort=A","Dates=H","DateFormat=P","Fill=—","Direction=H","UseDPDF=Y")</f>
        <v>2363</v>
      </c>
      <c r="T34" s="16">
        <f>_xll.BDH("XOM US Equity","CF_NET_CHNG_CASH","FQ2 1994","FQ2 1994","Currency=USD","Period=FQ","BEST_FPERIOD_OVERRIDE=FQ","FILING_STATUS=OR","SCALING_FORMAT=MLN","Sort=A","Dates=H","DateFormat=P","Fill=—","Direction=H","UseDPDF=Y")</f>
        <v>2055</v>
      </c>
      <c r="U34" s="16">
        <f>_xll.BDH("XOM US Equity","CF_NET_CHNG_CASH","FQ3 1994","FQ3 1994","Currency=USD","Period=FQ","BEST_FPERIOD_OVERRIDE=FQ","FILING_STATUS=OR","SCALING_FORMAT=MLN","Sort=A","Dates=H","DateFormat=P","Fill=—","Direction=H","UseDPDF=Y")</f>
        <v>2683</v>
      </c>
      <c r="V34" s="16">
        <f>_xll.BDH("XOM US Equity","CF_NET_CHNG_CASH","FQ4 1994","FQ4 1994","Currency=USD","Period=FQ","BEST_FPERIOD_OVERRIDE=FQ","FILING_STATUS=OR","SCALING_FORMAT=MLN","Sort=A","Dates=H","DateFormat=P","Fill=—","Direction=H","UseDPDF=Y")</f>
        <v>2750</v>
      </c>
      <c r="W34" s="16" t="str">
        <f>_xll.BDH("XOM US Equity","CF_NET_CHNG_CASH","FQ1 1995","FQ1 1995","Currency=USD","Period=FQ","BEST_FPERIOD_OVERRIDE=FQ","FILING_STATUS=OR","SCALING_FORMAT=MLN","Sort=A","Dates=H","DateFormat=P","Fill=—","Direction=H","UseDPDF=Y")</f>
        <v>—</v>
      </c>
      <c r="X34" s="16" t="str">
        <f>_xll.BDH("XOM US Equity","CF_NET_CHNG_CASH","FQ2 1995","FQ2 1995","Currency=USD","Period=FQ","BEST_FPERIOD_OVERRIDE=FQ","FILING_STATUS=OR","SCALING_FORMAT=MLN","Sort=A","Dates=H","DateFormat=P","Fill=—","Direction=H","UseDPDF=Y")</f>
        <v>—</v>
      </c>
      <c r="Y34" s="16">
        <f>_xll.BDH("XOM US Equity","CF_NET_CHNG_CASH","FQ3 1995","FQ3 1995","Currency=USD","Period=FQ","BEST_FPERIOD_OVERRIDE=FQ","FILING_STATUS=OR","SCALING_FORMAT=MLN","Sort=A","Dates=H","DateFormat=P","Fill=—","Direction=H","UseDPDF=Y")</f>
        <v>2165</v>
      </c>
      <c r="Z34" s="16">
        <f>_xll.BDH("XOM US Equity","CF_NET_CHNG_CASH","FQ4 1995","FQ4 1995","Currency=USD","Period=FQ","BEST_FPERIOD_OVERRIDE=FQ","FILING_STATUS=OR","SCALING_FORMAT=MLN","Sort=A","Dates=H","DateFormat=P","Fill=—","Direction=H","UseDPDF=Y")</f>
        <v>1270</v>
      </c>
      <c r="AA34" s="16">
        <f>_xll.BDH("XOM US Equity","CF_NET_CHNG_CASH","FQ1 1996","FQ1 1996","Currency=USD","Period=FQ","BEST_FPERIOD_OVERRIDE=FQ","FILING_STATUS=OR","SCALING_FORMAT=MLN","Sort=A","Dates=H","DateFormat=P","Fill=—","Direction=H","UseDPDF=Y")</f>
        <v>2664</v>
      </c>
      <c r="AB34" s="16" t="str">
        <f>_xll.BDH("XOM US Equity","CF_NET_CHNG_CASH","FQ2 1996","FQ2 1996","Currency=USD","Period=FQ","BEST_FPERIOD_OVERRIDE=FQ","FILING_STATUS=OR","SCALING_FORMAT=MLN","Sort=A","Dates=H","DateFormat=P","Fill=—","Direction=H","UseDPDF=Y")</f>
        <v>—</v>
      </c>
      <c r="AC34" s="16">
        <f>_xll.BDH("XOM US Equity","CF_NET_CHNG_CASH","FQ3 1996","FQ3 1996","Currency=USD","Period=FQ","BEST_FPERIOD_OVERRIDE=FQ","FILING_STATUS=OR","SCALING_FORMAT=MLN","Sort=A","Dates=H","DateFormat=P","Fill=—","Direction=H","UseDPDF=Y")</f>
        <v>1298</v>
      </c>
      <c r="AD34" s="16">
        <f>_xll.BDH("XOM US Equity","CF_NET_CHNG_CASH","FQ4 1996","FQ4 1996","Currency=USD","Period=FQ","BEST_FPERIOD_OVERRIDE=FQ","FILING_STATUS=OR","SCALING_FORMAT=MLN","Sort=A","Dates=H","DateFormat=P","Fill=—","Direction=H","UseDPDF=Y")</f>
        <v>854</v>
      </c>
      <c r="AE34" s="16">
        <f>_xll.BDH("XOM US Equity","CF_NET_CHNG_CASH","FQ1 1997","FQ1 1997","Currency=USD","Period=FQ","BEST_FPERIOD_OVERRIDE=FQ","FILING_STATUS=OR","SCALING_FORMAT=MLN","Sort=A","Dates=H","DateFormat=P","Fill=—","Direction=H","UseDPDF=Y")</f>
        <v>2312</v>
      </c>
      <c r="AF34" s="16">
        <f>_xll.BDH("XOM US Equity","CF_NET_CHNG_CASH","FQ2 1997","FQ2 1997","Currency=USD","Period=FQ","BEST_FPERIOD_OVERRIDE=FQ","FILING_STATUS=OR","SCALING_FORMAT=MLN","Sort=A","Dates=H","DateFormat=P","Fill=—","Direction=H","UseDPDF=Y")</f>
        <v>-543</v>
      </c>
      <c r="AG34" s="16">
        <f>_xll.BDH("XOM US Equity","CF_NET_CHNG_CASH","FQ3 1997","FQ3 1997","Currency=USD","Period=FQ","BEST_FPERIOD_OVERRIDE=FQ","FILING_STATUS=OR","SCALING_FORMAT=MLN","Sort=A","Dates=H","DateFormat=P","Fill=—","Direction=H","UseDPDF=Y")</f>
        <v>61</v>
      </c>
      <c r="AH34" s="16">
        <f>_xll.BDH("XOM US Equity","CF_NET_CHNG_CASH","FQ4 1997","FQ4 1997","Currency=USD","Period=FQ","BEST_FPERIOD_OVERRIDE=FQ","FILING_STATUS=OR","SCALING_FORMAT=MLN","Sort=A","Dates=H","DateFormat=P","Fill=—","Direction=H","UseDPDF=Y")</f>
        <v>-734</v>
      </c>
      <c r="AI34" s="16">
        <f>_xll.BDH("XOM US Equity","CF_NET_CHNG_CASH","FQ1 1998","FQ1 1998","Currency=USD","Period=FQ","BEST_FPERIOD_OVERRIDE=FQ","FILING_STATUS=OR","SCALING_FORMAT=MLN","Sort=A","Dates=H","DateFormat=P","Fill=—","Direction=H","UseDPDF=Y")</f>
        <v>-206</v>
      </c>
      <c r="AJ34" s="16">
        <f>_xll.BDH("XOM US Equity","CF_NET_CHNG_CASH","FQ2 1998","FQ2 1998","Currency=USD","Period=FQ","BEST_FPERIOD_OVERRIDE=FQ","FILING_STATUS=OR","SCALING_FORMAT=MLN","Sort=A","Dates=H","DateFormat=P","Fill=—","Direction=H","UseDPDF=Y")</f>
        <v>-1152</v>
      </c>
    </row>
    <row r="35" spans="1:36" x14ac:dyDescent="0.25">
      <c r="A35" s="6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</row>
    <row r="36" spans="1:36" x14ac:dyDescent="0.25">
      <c r="A36" s="6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</row>
    <row r="37" spans="1:36" x14ac:dyDescent="0.25">
      <c r="A37" s="6" t="s">
        <v>3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</row>
    <row r="38" spans="1:36" x14ac:dyDescent="0.25">
      <c r="A38" s="10" t="s">
        <v>128</v>
      </c>
      <c r="B38" s="10" t="s">
        <v>128</v>
      </c>
      <c r="C38" s="13">
        <f>_xll.BDH("XOM US Equity","EBITDA","FQ1 1990","FQ1 1990","Currency=USD","Period=FQ","BEST_FPERIOD_OVERRIDE=FQ","FILING_STATUS=OR","SCALING_FORMAT=MLN","FA_ADJUSTED=GAAP","Sort=A","Dates=H","DateFormat=P","Fill=—","Direction=H","UseDPDF=Y")</f>
        <v>3608</v>
      </c>
      <c r="D38" s="13">
        <f>_xll.BDH("XOM US Equity","EBITDA","FQ2 1990","FQ2 1990","Currency=USD","Period=FQ","BEST_FPERIOD_OVERRIDE=FQ","FILING_STATUS=OR","SCALING_FORMAT=MLN","FA_ADJUSTED=GAAP","Sort=A","Dates=H","DateFormat=P","Fill=—","Direction=H","UseDPDF=Y")</f>
        <v>3204</v>
      </c>
      <c r="E38" s="13">
        <f>_xll.BDH("XOM US Equity","EBITDA","FQ3 1990","FQ3 1990","Currency=USD","Period=FQ","BEST_FPERIOD_OVERRIDE=FQ","FILING_STATUS=OR","SCALING_FORMAT=MLN","FA_ADJUSTED=GAAP","Sort=A","Dates=H","DateFormat=P","Fill=—","Direction=H","UseDPDF=Y")</f>
        <v>3148</v>
      </c>
      <c r="F38" s="13">
        <f>_xll.BDH("XOM US Equity","EBITDA","FQ4 1990","FQ4 1990","Currency=USD","Period=FQ","BEST_FPERIOD_OVERRIDE=FQ","FILING_STATUS=OR","SCALING_FORMAT=MLN","FA_ADJUSTED=GAAP","Sort=A","Dates=H","DateFormat=P","Fill=—","Direction=H","UseDPDF=Y")</f>
        <v>7451</v>
      </c>
      <c r="G38" s="13">
        <f>_xll.BDH("XOM US Equity","EBITDA","FQ1 1991","FQ1 1991","Currency=USD","Period=FQ","BEST_FPERIOD_OVERRIDE=FQ","FILING_STATUS=OR","SCALING_FORMAT=MLN","FA_ADJUSTED=GAAP","Sort=A","Dates=H","DateFormat=P","Fill=—","Direction=H","UseDPDF=Y")</f>
        <v>4483</v>
      </c>
      <c r="H38" s="13">
        <f>_xll.BDH("XOM US Equity","EBITDA","FQ2 1991","FQ2 1991","Currency=USD","Period=FQ","BEST_FPERIOD_OVERRIDE=FQ","FILING_STATUS=OR","SCALING_FORMAT=MLN","FA_ADJUSTED=GAAP","Sort=A","Dates=H","DateFormat=P","Fill=—","Direction=H","UseDPDF=Y")</f>
        <v>2910</v>
      </c>
      <c r="I38" s="13">
        <f>_xll.BDH("XOM US Equity","EBITDA","FQ3 1991","FQ3 1991","Currency=USD","Period=FQ","BEST_FPERIOD_OVERRIDE=FQ","FILING_STATUS=OR","SCALING_FORMAT=MLN","FA_ADJUSTED=GAAP","Sort=A","Dates=H","DateFormat=P","Fill=—","Direction=H","UseDPDF=Y")</f>
        <v>2814</v>
      </c>
      <c r="J38" s="13">
        <f>_xll.BDH("XOM US Equity","EBITDA","FQ4 1991","FQ4 1991","Currency=USD","Period=FQ","BEST_FPERIOD_OVERRIDE=FQ","FILING_STATUS=OR","SCALING_FORMAT=MLN","FA_ADJUSTED=GAAP","Sort=A","Dates=H","DateFormat=P","Fill=—","Direction=H","UseDPDF=Y")</f>
        <v>6587</v>
      </c>
      <c r="K38" s="13">
        <f>_xll.BDH("XOM US Equity","EBITDA","FQ1 1992","FQ1 1992","Currency=USD","Period=FQ","BEST_FPERIOD_OVERRIDE=FQ","FILING_STATUS=OR","SCALING_FORMAT=MLN","FA_ADJUSTED=GAAP","Sort=A","Dates=H","DateFormat=P","Fill=—","Direction=H","UseDPDF=Y")</f>
        <v>3086</v>
      </c>
      <c r="L38" s="13">
        <f>_xll.BDH("XOM US Equity","EBITDA","FQ2 1992","FQ2 1992","Currency=USD","Period=FQ","BEST_FPERIOD_OVERRIDE=FQ","FILING_STATUS=OR","SCALING_FORMAT=MLN","FA_ADJUSTED=GAAP","Sort=A","Dates=H","DateFormat=P","Fill=—","Direction=H","UseDPDF=Y")</f>
        <v>2529</v>
      </c>
      <c r="M38" s="13">
        <f>_xll.BDH("XOM US Equity","EBITDA","FQ3 1992","FQ3 1992","Currency=USD","Period=FQ","BEST_FPERIOD_OVERRIDE=FQ","FILING_STATUS=OR","SCALING_FORMAT=MLN","FA_ADJUSTED=GAAP","Sort=A","Dates=H","DateFormat=P","Fill=—","Direction=H","UseDPDF=Y")</f>
        <v>3089</v>
      </c>
      <c r="N38" s="13">
        <f>_xll.BDH("XOM US Equity","EBITDA","FQ4 1992","FQ4 1992","Currency=USD","Period=FQ","BEST_FPERIOD_OVERRIDE=FQ","FILING_STATUS=OR","SCALING_FORMAT=MLN","FA_ADJUSTED=GAAP","Sort=A","Dates=H","DateFormat=P","Fill=—","Direction=H","UseDPDF=Y")</f>
        <v>6448</v>
      </c>
      <c r="O38" s="13">
        <f>_xll.BDH("XOM US Equity","EBITDA","FQ1 1993","FQ1 1993","Currency=USD","Period=FQ","BEST_FPERIOD_OVERRIDE=FQ","FILING_STATUS=OR","SCALING_FORMAT=MLN","FA_ADJUSTED=GAAP","Sort=A","Dates=H","DateFormat=P","Fill=—","Direction=H","UseDPDF=Y")</f>
        <v>2915</v>
      </c>
      <c r="P38" s="13">
        <f>_xll.BDH("XOM US Equity","EBITDA","FQ2 1993","FQ2 1993","Currency=USD","Period=FQ","BEST_FPERIOD_OVERRIDE=FQ","FILING_STATUS=OR","SCALING_FORMAT=MLN","FA_ADJUSTED=GAAP","Sort=A","Dates=H","DateFormat=P","Fill=—","Direction=H","UseDPDF=Y")</f>
        <v>2900</v>
      </c>
      <c r="Q38" s="13">
        <f>_xll.BDH("XOM US Equity","EBITDA","FQ3 1993","FQ3 1993","Currency=USD","Period=FQ","BEST_FPERIOD_OVERRIDE=FQ","FILING_STATUS=OR","SCALING_FORMAT=MLN","FA_ADJUSTED=GAAP","Sort=A","Dates=H","DateFormat=P","Fill=—","Direction=H","UseDPDF=Y")</f>
        <v>2964</v>
      </c>
      <c r="R38" s="13">
        <f>_xll.BDH("XOM US Equity","EBITDA","FQ4 1993","FQ4 1993","Currency=USD","Period=FQ","BEST_FPERIOD_OVERRIDE=FQ","FILING_STATUS=OR","SCALING_FORMAT=MLN","FA_ADJUSTED=GAAP","Sort=A","Dates=H","DateFormat=P","Fill=—","Direction=H","UseDPDF=Y")</f>
        <v>6723</v>
      </c>
      <c r="S38" s="13">
        <f>_xll.BDH("XOM US Equity","EBITDA","FQ1 1994","FQ1 1994","Currency=USD","Period=FQ","BEST_FPERIOD_OVERRIDE=FQ","FILING_STATUS=OR","SCALING_FORMAT=MLN","FA_ADJUSTED=GAAP","Sort=A","Dates=H","DateFormat=P","Fill=—","Direction=H","UseDPDF=Y")</f>
        <v>3012</v>
      </c>
      <c r="T38" s="13">
        <f>_xll.BDH("XOM US Equity","EBITDA","FQ2 1994","FQ2 1994","Currency=USD","Period=FQ","BEST_FPERIOD_OVERRIDE=FQ","FILING_STATUS=OR","SCALING_FORMAT=MLN","FA_ADJUSTED=GAAP","Sort=A","Dates=H","DateFormat=P","Fill=—","Direction=H","UseDPDF=Y")</f>
        <v>2598</v>
      </c>
      <c r="U38" s="13">
        <f>_xll.BDH("XOM US Equity","EBITDA","FQ3 1994","FQ3 1994","Currency=USD","Period=FQ","BEST_FPERIOD_OVERRIDE=FQ","FILING_STATUS=OR","SCALING_FORMAT=MLN","FA_ADJUSTED=GAAP","Sort=A","Dates=H","DateFormat=P","Fill=—","Direction=H","UseDPDF=Y")</f>
        <v>3024</v>
      </c>
      <c r="V38" s="13">
        <f>_xll.BDH("XOM US Equity","EBITDA","FQ4 1994","FQ4 1994","Currency=USD","Period=FQ","BEST_FPERIOD_OVERRIDE=FQ","FILING_STATUS=OR","SCALING_FORMAT=MLN","FA_ADJUSTED=GAAP","Sort=A","Dates=H","DateFormat=P","Fill=—","Direction=H","UseDPDF=Y")</f>
        <v>7469</v>
      </c>
      <c r="W38" s="13">
        <f>_xll.BDH("XOM US Equity","EBITDA","FQ1 1995","FQ1 1995","Currency=USD","Period=FQ","BEST_FPERIOD_OVERRIDE=FQ","FILING_STATUS=OR","SCALING_FORMAT=MLN","FA_ADJUSTED=GAAP","Sort=A","Dates=H","DateFormat=P","Fill=—","Direction=H","UseDPDF=Y")</f>
        <v>3482</v>
      </c>
      <c r="X38" s="13">
        <f>_xll.BDH("XOM US Equity","EBITDA","FQ2 1995","FQ2 1995","Currency=USD","Period=FQ","BEST_FPERIOD_OVERRIDE=FQ","FILING_STATUS=OR","SCALING_FORMAT=MLN","FA_ADJUSTED=GAAP","Sort=A","Dates=H","DateFormat=P","Fill=—","Direction=H","UseDPDF=Y")</f>
        <v>3681</v>
      </c>
      <c r="Y38" s="13">
        <f>_xll.BDH("XOM US Equity","EBITDA","FQ3 1995","FQ3 1995","Currency=USD","Period=FQ","BEST_FPERIOD_OVERRIDE=FQ","FILING_STATUS=OR","SCALING_FORMAT=MLN","FA_ADJUSTED=GAAP","Sort=A","Dates=H","DateFormat=P","Fill=—","Direction=H","UseDPDF=Y")</f>
        <v>3715</v>
      </c>
      <c r="Z38" s="13">
        <f>_xll.BDH("XOM US Equity","EBITDA","FQ4 1995","FQ4 1995","Currency=USD","Period=FQ","BEST_FPERIOD_OVERRIDE=FQ","FILING_STATUS=OR","SCALING_FORMAT=MLN","FA_ADJUSTED=GAAP","Sort=A","Dates=H","DateFormat=P","Fill=—","Direction=H","UseDPDF=Y")</f>
        <v>6477</v>
      </c>
      <c r="AA38" s="13">
        <f>_xll.BDH("XOM US Equity","EBITDA","FQ1 1996","FQ1 1996","Currency=USD","Period=FQ","BEST_FPERIOD_OVERRIDE=FQ","FILING_STATUS=OR","SCALING_FORMAT=MLN","FA_ADJUSTED=GAAP","Sort=A","Dates=H","DateFormat=P","Fill=—","Direction=H","UseDPDF=Y")</f>
        <v>3697</v>
      </c>
      <c r="AB38" s="13">
        <f>_xll.BDH("XOM US Equity","EBITDA","FQ2 1996","FQ2 1996","Currency=USD","Period=FQ","BEST_FPERIOD_OVERRIDE=FQ","FILING_STATUS=OR","SCALING_FORMAT=MLN","FA_ADJUSTED=GAAP","Sort=A","Dates=H","DateFormat=P","Fill=—","Direction=H","UseDPDF=Y")</f>
        <v>3588</v>
      </c>
      <c r="AC38" s="13">
        <f>_xll.BDH("XOM US Equity","EBITDA","FQ3 1996","FQ3 1996","Currency=USD","Period=FQ","BEST_FPERIOD_OVERRIDE=FQ","FILING_STATUS=OR","SCALING_FORMAT=MLN","FA_ADJUSTED=GAAP","Sort=A","Dates=H","DateFormat=P","Fill=—","Direction=H","UseDPDF=Y")</f>
        <v>3640</v>
      </c>
      <c r="AD38" s="13">
        <f>_xll.BDH("XOM US Equity","EBITDA","FQ4 1996","FQ4 1996","Currency=USD","Period=FQ","BEST_FPERIOD_OVERRIDE=FQ","FILING_STATUS=OR","SCALING_FORMAT=MLN","FA_ADJUSTED=GAAP","Sort=A","Dates=H","DateFormat=P","Fill=—","Direction=H","UseDPDF=Y")</f>
        <v>9579</v>
      </c>
      <c r="AE38" s="13">
        <f>_xll.BDH("XOM US Equity","EBITDA","FQ1 1997","FQ1 1997","Currency=USD","Period=FQ","BEST_FPERIOD_OVERRIDE=FQ","FILING_STATUS=OR","SCALING_FORMAT=MLN","FA_ADJUSTED=GAAP","Sort=A","Dates=H","DateFormat=P","Fill=—","Direction=H","UseDPDF=Y")</f>
        <v>4569</v>
      </c>
      <c r="AF38" s="13">
        <f>_xll.BDH("XOM US Equity","EBITDA","FQ2 1997","FQ2 1997","Currency=USD","Period=FQ","BEST_FPERIOD_OVERRIDE=FQ","FILING_STATUS=OR","SCALING_FORMAT=MLN","FA_ADJUSTED=GAAP","Sort=A","Dates=H","DateFormat=P","Fill=—","Direction=H","UseDPDF=Y")</f>
        <v>4171</v>
      </c>
      <c r="AG38" s="13">
        <f>_xll.BDH("XOM US Equity","EBITDA","FQ3 1997","FQ3 1997","Currency=USD","Period=FQ","BEST_FPERIOD_OVERRIDE=FQ","FILING_STATUS=OR","SCALING_FORMAT=MLN","FA_ADJUSTED=GAAP","Sort=A","Dates=H","DateFormat=P","Fill=—","Direction=H","UseDPDF=Y")</f>
        <v>3962</v>
      </c>
      <c r="AH38" s="13">
        <f>_xll.BDH("XOM US Equity","EBITDA","FQ4 1997","FQ4 1997","Currency=USD","Period=FQ","BEST_FPERIOD_OVERRIDE=FQ","FILING_STATUS=OR","SCALING_FORMAT=MLN","FA_ADJUSTED=GAAP","Sort=A","Dates=H","DateFormat=P","Fill=—","Direction=H","UseDPDF=Y")</f>
        <v>7176</v>
      </c>
      <c r="AI38" s="13">
        <f>_xll.BDH("XOM US Equity","EBITDA","FQ1 1998","FQ1 1998","Currency=USD","Period=FQ","BEST_FPERIOD_OVERRIDE=FQ","FILING_STATUS=OR","SCALING_FORMAT=MLN","FA_ADJUSTED=GAAP","Sort=A","Dates=H","DateFormat=P","Fill=—","Direction=H","UseDPDF=Y")</f>
        <v>3724</v>
      </c>
      <c r="AJ38" s="13">
        <f>_xll.BDH("XOM US Equity","EBITDA","FQ2 1998","FQ2 1998","Currency=USD","Period=FQ","BEST_FPERIOD_OVERRIDE=FQ","FILING_STATUS=OR","SCALING_FORMAT=MLN","FA_ADJUSTED=GAAP","Sort=A","Dates=H","DateFormat=P","Fill=—","Direction=H","UseDPDF=Y")</f>
        <v>3304</v>
      </c>
    </row>
    <row r="39" spans="1:36" x14ac:dyDescent="0.25">
      <c r="A39" s="10" t="s">
        <v>279</v>
      </c>
      <c r="B39" s="10" t="s">
        <v>130</v>
      </c>
      <c r="C39" s="14" t="str">
        <f>_xll.BDH("XOM US Equity","EBITDA_MARGIN","FQ1 1990","FQ1 1990","Currency=USD","Period=FQ","BEST_FPERIOD_OVERRIDE=FQ","FILING_STATUS=OR","FA_ADJUSTED=GAAP","Sort=A","Dates=H","DateFormat=P","Fill=—","Direction=H","UseDPDF=Y")</f>
        <v>—</v>
      </c>
      <c r="D39" s="14" t="str">
        <f>_xll.BDH("XOM US Equity","EBITDA_MARGIN","FQ2 1990","FQ2 1990","Currency=USD","Period=FQ","BEST_FPERIOD_OVERRIDE=FQ","FILING_STATUS=OR","FA_ADJUSTED=GAAP","Sort=A","Dates=H","DateFormat=P","Fill=—","Direction=H","UseDPDF=Y")</f>
        <v>—</v>
      </c>
      <c r="E39" s="14" t="str">
        <f>_xll.BDH("XOM US Equity","EBITDA_MARGIN","FQ3 1990","FQ3 1990","Currency=USD","Period=FQ","BEST_FPERIOD_OVERRIDE=FQ","FILING_STATUS=OR","FA_ADJUSTED=GAAP","Sort=A","Dates=H","DateFormat=P","Fill=—","Direction=H","UseDPDF=Y")</f>
        <v>—</v>
      </c>
      <c r="F39" s="14">
        <f>_xll.BDH("XOM US Equity","EBITDA_MARGIN","FQ4 1990","FQ4 1990","Currency=USD","Period=FQ","BEST_FPERIOD_OVERRIDE=FQ","FILING_STATUS=OR","FA_ADJUSTED=GAAP","Sort=A","Dates=H","DateFormat=P","Fill=—","Direction=H","UseDPDF=Y")</f>
        <v>16.005800000000001</v>
      </c>
      <c r="G39" s="14">
        <f>_xll.BDH("XOM US Equity","EBITDA_MARGIN","FQ1 1991","FQ1 1991","Currency=USD","Period=FQ","BEST_FPERIOD_OVERRIDE=FQ","FILING_STATUS=OR","FA_ADJUSTED=GAAP","Sort=A","Dates=H","DateFormat=P","Fill=—","Direction=H","UseDPDF=Y")</f>
        <v>13.8324</v>
      </c>
      <c r="H39" s="14">
        <f>_xll.BDH("XOM US Equity","EBITDA_MARGIN","FQ2 1991","FQ2 1991","Currency=USD","Period=FQ","BEST_FPERIOD_OVERRIDE=FQ","FILING_STATUS=OR","FA_ADJUSTED=GAAP","Sort=A","Dates=H","DateFormat=P","Fill=—","Direction=H","UseDPDF=Y")</f>
        <v>13.4617</v>
      </c>
      <c r="I39" s="14">
        <f>_xll.BDH("XOM US Equity","EBITDA_MARGIN","FQ3 1991","FQ3 1991","Currency=USD","Period=FQ","BEST_FPERIOD_OVERRIDE=FQ","FILING_STATUS=OR","FA_ADJUSTED=GAAP","Sort=A","Dates=H","DateFormat=P","Fill=—","Direction=H","UseDPDF=Y")</f>
        <v>13.3825</v>
      </c>
      <c r="J39" s="14">
        <f>_xll.BDH("XOM US Equity","EBITDA_MARGIN","FQ4 1991","FQ4 1991","Currency=USD","Period=FQ","BEST_FPERIOD_OVERRIDE=FQ","FILING_STATUS=OR","FA_ADJUSTED=GAAP","Sort=A","Dates=H","DateFormat=P","Fill=—","Direction=H","UseDPDF=Y")</f>
        <v>15.732699999999999</v>
      </c>
      <c r="K39" s="14">
        <f>_xll.BDH("XOM US Equity","EBITDA_MARGIN","FQ1 1992","FQ1 1992","Currency=USD","Period=FQ","BEST_FPERIOD_OVERRIDE=FQ","FILING_STATUS=OR","FA_ADJUSTED=GAAP","Sort=A","Dates=H","DateFormat=P","Fill=—","Direction=H","UseDPDF=Y")</f>
        <v>11.488200000000001</v>
      </c>
      <c r="L39" s="14">
        <f>_xll.BDH("XOM US Equity","EBITDA_MARGIN","FQ2 1992","FQ2 1992","Currency=USD","Period=FQ","BEST_FPERIOD_OVERRIDE=FQ","FILING_STATUS=OR","FA_ADJUSTED=GAAP","Sort=A","Dates=H","DateFormat=P","Fill=—","Direction=H","UseDPDF=Y")</f>
        <v>11.072800000000001</v>
      </c>
      <c r="M39" s="14">
        <f>_xll.BDH("XOM US Equity","EBITDA_MARGIN","FQ3 1992","FQ3 1992","Currency=USD","Period=FQ","BEST_FPERIOD_OVERRIDE=FQ","FILING_STATUS=OR","FA_ADJUSTED=GAAP","Sort=A","Dates=H","DateFormat=P","Fill=—","Direction=H","UseDPDF=Y")</f>
        <v>11.0162</v>
      </c>
      <c r="N39" s="14">
        <f>_xll.BDH("XOM US Equity","EBITDA_MARGIN","FQ4 1992","FQ4 1992","Currency=USD","Period=FQ","BEST_FPERIOD_OVERRIDE=FQ","FILING_STATUS=OR","FA_ADJUSTED=GAAP","Sort=A","Dates=H","DateFormat=P","Fill=—","Direction=H","UseDPDF=Y")</f>
        <v>14.2346</v>
      </c>
      <c r="O39" s="14">
        <f>_xll.BDH("XOM US Equity","EBITDA_MARGIN","FQ1 1993","FQ1 1993","Currency=USD","Period=FQ","BEST_FPERIOD_OVERRIDE=FQ","FILING_STATUS=OR","FA_ADJUSTED=GAAP","Sort=A","Dates=H","DateFormat=P","Fill=—","Direction=H","UseDPDF=Y")</f>
        <v>11.436</v>
      </c>
      <c r="P39" s="14">
        <f>_xll.BDH("XOM US Equity","EBITDA_MARGIN","FQ2 1993","FQ2 1993","Currency=USD","Period=FQ","BEST_FPERIOD_OVERRIDE=FQ","FILING_STATUS=OR","FA_ADJUSTED=GAAP","Sort=A","Dates=H","DateFormat=P","Fill=—","Direction=H","UseDPDF=Y")</f>
        <v>11.780100000000001</v>
      </c>
      <c r="Q39" s="14">
        <f>_xll.BDH("XOM US Equity","EBITDA_MARGIN","FQ3 1993","FQ3 1993","Currency=USD","Period=FQ","BEST_FPERIOD_OVERRIDE=FQ","FILING_STATUS=OR","FA_ADJUSTED=GAAP","Sort=A","Dates=H","DateFormat=P","Fill=—","Direction=H","UseDPDF=Y")</f>
        <v>11.982900000000001</v>
      </c>
      <c r="R39" s="14">
        <f>_xll.BDH("XOM US Equity","EBITDA_MARGIN","FQ4 1993","FQ4 1993","Currency=USD","Period=FQ","BEST_FPERIOD_OVERRIDE=FQ","FILING_STATUS=OR","FA_ADJUSTED=GAAP","Sort=A","Dates=H","DateFormat=P","Fill=—","Direction=H","UseDPDF=Y")</f>
        <v>15.327400000000001</v>
      </c>
      <c r="S39" s="14">
        <f>_xll.BDH("XOM US Equity","EBITDA_MARGIN","FQ1 1994","FQ1 1994","Currency=USD","Period=FQ","BEST_FPERIOD_OVERRIDE=FQ","FILING_STATUS=OR","FA_ADJUSTED=GAAP","Sort=A","Dates=H","DateFormat=P","Fill=—","Direction=H","UseDPDF=Y")</f>
        <v>12.721500000000001</v>
      </c>
      <c r="T39" s="14">
        <f>_xll.BDH("XOM US Equity","EBITDA_MARGIN","FQ2 1994","FQ2 1994","Currency=USD","Period=FQ","BEST_FPERIOD_OVERRIDE=FQ","FILING_STATUS=OR","FA_ADJUSTED=GAAP","Sort=A","Dates=H","DateFormat=P","Fill=—","Direction=H","UseDPDF=Y")</f>
        <v>12.467600000000001</v>
      </c>
      <c r="U39" s="14">
        <f>_xll.BDH("XOM US Equity","EBITDA_MARGIN","FQ3 1994","FQ3 1994","Currency=USD","Period=FQ","BEST_FPERIOD_OVERRIDE=FQ","FILING_STATUS=OR","FA_ADJUSTED=GAAP","Sort=A","Dates=H","DateFormat=P","Fill=—","Direction=H","UseDPDF=Y")</f>
        <v>12.325900000000001</v>
      </c>
      <c r="V39" s="14">
        <f>_xll.BDH("XOM US Equity","EBITDA_MARGIN","FQ4 1994","FQ4 1994","Currency=USD","Period=FQ","BEST_FPERIOD_OVERRIDE=FQ","FILING_STATUS=OR","FA_ADJUSTED=GAAP","Sort=A","Dates=H","DateFormat=P","Fill=—","Direction=H","UseDPDF=Y")</f>
        <v>15.5229</v>
      </c>
      <c r="W39" s="14">
        <f>_xll.BDH("XOM US Equity","EBITDA_MARGIN","FQ1 1995","FQ1 1995","Currency=USD","Period=FQ","BEST_FPERIOD_OVERRIDE=FQ","FILING_STATUS=OR","FA_ADJUSTED=GAAP","Sort=A","Dates=H","DateFormat=P","Fill=—","Direction=H","UseDPDF=Y")</f>
        <v>12.163</v>
      </c>
      <c r="X39" s="14">
        <f>_xll.BDH("XOM US Equity","EBITDA_MARGIN","FQ2 1995","FQ2 1995","Currency=USD","Period=FQ","BEST_FPERIOD_OVERRIDE=FQ","FILING_STATUS=OR","FA_ADJUSTED=GAAP","Sort=A","Dates=H","DateFormat=P","Fill=—","Direction=H","UseDPDF=Y")</f>
        <v>12.768599999999999</v>
      </c>
      <c r="Y39" s="14">
        <f>_xll.BDH("XOM US Equity","EBITDA_MARGIN","FQ3 1995","FQ3 1995","Currency=USD","Period=FQ","BEST_FPERIOD_OVERRIDE=FQ","FILING_STATUS=OR","FA_ADJUSTED=GAAP","Sort=A","Dates=H","DateFormat=P","Fill=—","Direction=H","UseDPDF=Y")</f>
        <v>13.295199999999999</v>
      </c>
      <c r="Z39" s="14">
        <f>_xll.BDH("XOM US Equity","EBITDA_MARGIN","FQ4 1995","FQ4 1995","Currency=USD","Period=FQ","BEST_FPERIOD_OVERRIDE=FQ","FILING_STATUS=OR","FA_ADJUSTED=GAAP","Sort=A","Dates=H","DateFormat=P","Fill=—","Direction=H","UseDPDF=Y")</f>
        <v>15.542199999999999</v>
      </c>
      <c r="AA39" s="14">
        <f>_xll.BDH("XOM US Equity","EBITDA_MARGIN","FQ1 1996","FQ1 1996","Currency=USD","Period=FQ","BEST_FPERIOD_OVERRIDE=FQ","FILING_STATUS=OR","FA_ADJUSTED=GAAP","Sort=A","Dates=H","DateFormat=P","Fill=—","Direction=H","UseDPDF=Y")</f>
        <v>13.585800000000001</v>
      </c>
      <c r="AB39" s="14">
        <f>_xll.BDH("XOM US Equity","EBITDA_MARGIN","FQ2 1996","FQ2 1996","Currency=USD","Period=FQ","BEST_FPERIOD_OVERRIDE=FQ","FILING_STATUS=OR","FA_ADJUSTED=GAAP","Sort=A","Dates=H","DateFormat=P","Fill=—","Direction=H","UseDPDF=Y")</f>
        <v>13.484400000000001</v>
      </c>
      <c r="AC39" s="14">
        <f>_xll.BDH("XOM US Equity","EBITDA_MARGIN","FQ3 1996","FQ3 1996","Currency=USD","Period=FQ","BEST_FPERIOD_OVERRIDE=FQ","FILING_STATUS=OR","FA_ADJUSTED=GAAP","Sort=A","Dates=H","DateFormat=P","Fill=—","Direction=H","UseDPDF=Y")</f>
        <v>13.1668</v>
      </c>
      <c r="AD39" s="14">
        <f>_xll.BDH("XOM US Equity","EBITDA_MARGIN","FQ4 1996","FQ4 1996","Currency=USD","Period=FQ","BEST_FPERIOD_OVERRIDE=FQ","FILING_STATUS=OR","FA_ADJUSTED=GAAP","Sort=A","Dates=H","DateFormat=P","Fill=—","Direction=H","UseDPDF=Y")</f>
        <v>16.8279</v>
      </c>
      <c r="AE39" s="14">
        <f>_xll.BDH("XOM US Equity","EBITDA_MARGIN","FQ1 1997","FQ1 1997","Currency=USD","Period=FQ","BEST_FPERIOD_OVERRIDE=FQ","FILING_STATUS=OR","FA_ADJUSTED=GAAP","Sort=A","Dates=H","DateFormat=P","Fill=—","Direction=H","UseDPDF=Y")</f>
        <v>13.6493</v>
      </c>
      <c r="AF39" s="14">
        <f>_xll.BDH("XOM US Equity","EBITDA_MARGIN","FQ2 1997","FQ2 1997","Currency=USD","Period=FQ","BEST_FPERIOD_OVERRIDE=FQ","FILING_STATUS=OR","FA_ADJUSTED=GAAP","Sort=A","Dates=H","DateFormat=P","Fill=—","Direction=H","UseDPDF=Y")</f>
        <v>13.9275</v>
      </c>
      <c r="AG39" s="14">
        <f>_xll.BDH("XOM US Equity","EBITDA_MARGIN","FQ3 1997","FQ3 1997","Currency=USD","Period=FQ","BEST_FPERIOD_OVERRIDE=FQ","FILING_STATUS=OR","FA_ADJUSTED=GAAP","Sort=A","Dates=H","DateFormat=P","Fill=—","Direction=H","UseDPDF=Y")</f>
        <v>18.845600000000001</v>
      </c>
      <c r="AH39" s="14">
        <f>_xll.BDH("XOM US Equity","EBITDA_MARGIN","FQ4 1997","FQ4 1997","Currency=USD","Period=FQ","BEST_FPERIOD_OVERRIDE=FQ","FILING_STATUS=OR","FA_ADJUSTED=GAAP","Sort=A","Dates=H","DateFormat=P","Fill=—","Direction=H","UseDPDF=Y")</f>
        <v>20.725899999999999</v>
      </c>
      <c r="AI39" s="14">
        <f>_xll.BDH("XOM US Equity","EBITDA_MARGIN","FQ1 1998","FQ1 1998","Currency=USD","Period=FQ","BEST_FPERIOD_OVERRIDE=FQ","FILING_STATUS=OR","FA_ADJUSTED=GAAP","Sort=A","Dates=H","DateFormat=P","Fill=—","Direction=H","UseDPDF=Y")</f>
        <v>20.815999999999999</v>
      </c>
      <c r="AJ39" s="14">
        <f>_xll.BDH("XOM US Equity","EBITDA_MARGIN","FQ2 1998","FQ2 1998","Currency=USD","Period=FQ","BEST_FPERIOD_OVERRIDE=FQ","FILING_STATUS=OR","FA_ADJUSTED=GAAP","Sort=A","Dates=H","DateFormat=P","Fill=—","Direction=H","UseDPDF=Y")</f>
        <v>15.6632</v>
      </c>
    </row>
    <row r="40" spans="1:36" x14ac:dyDescent="0.25">
      <c r="A40" s="10" t="s">
        <v>280</v>
      </c>
      <c r="B40" s="10" t="s">
        <v>281</v>
      </c>
      <c r="C40" s="13" t="str">
        <f>_xll.BDH("XOM US Equity","CF_FREE_CASH_FLOW","FQ1 1990","FQ1 1990","Currency=USD","Period=FQ","BEST_FPERIOD_OVERRIDE=FQ","FILING_STATUS=OR","SCALING_FORMAT=MLN","Sort=A","Dates=H","DateFormat=P","Fill=—","Direction=H","UseDPDF=Y")</f>
        <v>—</v>
      </c>
      <c r="D40" s="13" t="str">
        <f>_xll.BDH("XOM US Equity","CF_FREE_CASH_FLOW","FQ2 1990","FQ2 1990","Currency=USD","Period=FQ","BEST_FPERIOD_OVERRIDE=FQ","FILING_STATUS=OR","SCALING_FORMAT=MLN","Sort=A","Dates=H","DateFormat=P","Fill=—","Direction=H","UseDPDF=Y")</f>
        <v>—</v>
      </c>
      <c r="E40" s="13" t="str">
        <f>_xll.BDH("XOM US Equity","CF_FREE_CASH_FLOW","FQ3 1990","FQ3 1990","Currency=USD","Period=FQ","BEST_FPERIOD_OVERRIDE=FQ","FILING_STATUS=OR","SCALING_FORMAT=MLN","Sort=A","Dates=H","DateFormat=P","Fill=—","Direction=H","UseDPDF=Y")</f>
        <v>—</v>
      </c>
      <c r="F40" s="13" t="str">
        <f>_xll.BDH("XOM US Equity","CF_FREE_CASH_FLOW","FQ4 1990","FQ4 1990","Currency=USD","Period=FQ","BEST_FPERIOD_OVERRIDE=FQ","FILING_STATUS=OR","SCALING_FORMAT=MLN","Sort=A","Dates=H","DateFormat=P","Fill=—","Direction=H","UseDPDF=Y")</f>
        <v>—</v>
      </c>
      <c r="G40" s="13" t="str">
        <f>_xll.BDH("XOM US Equity","CF_FREE_CASH_FLOW","FQ1 1991","FQ1 1991","Currency=USD","Period=FQ","BEST_FPERIOD_OVERRIDE=FQ","FILING_STATUS=OR","SCALING_FORMAT=MLN","Sort=A","Dates=H","DateFormat=P","Fill=—","Direction=H","UseDPDF=Y")</f>
        <v>—</v>
      </c>
      <c r="H40" s="13" t="str">
        <f>_xll.BDH("XOM US Equity","CF_FREE_CASH_FLOW","FQ2 1991","FQ2 1991","Currency=USD","Period=FQ","BEST_FPERIOD_OVERRIDE=FQ","FILING_STATUS=OR","SCALING_FORMAT=MLN","Sort=A","Dates=H","DateFormat=P","Fill=—","Direction=H","UseDPDF=Y")</f>
        <v>—</v>
      </c>
      <c r="I40" s="13" t="str">
        <f>_xll.BDH("XOM US Equity","CF_FREE_CASH_FLOW","FQ3 1991","FQ3 1991","Currency=USD","Period=FQ","BEST_FPERIOD_OVERRIDE=FQ","FILING_STATUS=OR","SCALING_FORMAT=MLN","Sort=A","Dates=H","DateFormat=P","Fill=—","Direction=H","UseDPDF=Y")</f>
        <v>—</v>
      </c>
      <c r="J40" s="13" t="str">
        <f>_xll.BDH("XOM US Equity","CF_FREE_CASH_FLOW","FQ4 1991","FQ4 1991","Currency=USD","Period=FQ","BEST_FPERIOD_OVERRIDE=FQ","FILING_STATUS=OR","SCALING_FORMAT=MLN","Sort=A","Dates=H","DateFormat=P","Fill=—","Direction=H","UseDPDF=Y")</f>
        <v>—</v>
      </c>
      <c r="K40" s="13" t="str">
        <f>_xll.BDH("XOM US Equity","CF_FREE_CASH_FLOW","FQ1 1992","FQ1 1992","Currency=USD","Period=FQ","BEST_FPERIOD_OVERRIDE=FQ","FILING_STATUS=OR","SCALING_FORMAT=MLN","Sort=A","Dates=H","DateFormat=P","Fill=—","Direction=H","UseDPDF=Y")</f>
        <v>—</v>
      </c>
      <c r="L40" s="13" t="str">
        <f>_xll.BDH("XOM US Equity","CF_FREE_CASH_FLOW","FQ2 1992","FQ2 1992","Currency=USD","Period=FQ","BEST_FPERIOD_OVERRIDE=FQ","FILING_STATUS=OR","SCALING_FORMAT=MLN","Sort=A","Dates=H","DateFormat=P","Fill=—","Direction=H","UseDPDF=Y")</f>
        <v>—</v>
      </c>
      <c r="M40" s="13" t="str">
        <f>_xll.BDH("XOM US Equity","CF_FREE_CASH_FLOW","FQ3 1992","FQ3 1992","Currency=USD","Period=FQ","BEST_FPERIOD_OVERRIDE=FQ","FILING_STATUS=OR","SCALING_FORMAT=MLN","Sort=A","Dates=H","DateFormat=P","Fill=—","Direction=H","UseDPDF=Y")</f>
        <v>—</v>
      </c>
      <c r="N40" s="13" t="str">
        <f>_xll.BDH("XOM US Equity","CF_FREE_CASH_FLOW","FQ4 1992","FQ4 1992","Currency=USD","Period=FQ","BEST_FPERIOD_OVERRIDE=FQ","FILING_STATUS=OR","SCALING_FORMAT=MLN","Sort=A","Dates=H","DateFormat=P","Fill=—","Direction=H","UseDPDF=Y")</f>
        <v>—</v>
      </c>
      <c r="O40" s="13" t="str">
        <f>_xll.BDH("XOM US Equity","CF_FREE_CASH_FLOW","FQ1 1993","FQ1 1993","Currency=USD","Period=FQ","BEST_FPERIOD_OVERRIDE=FQ","FILING_STATUS=OR","SCALING_FORMAT=MLN","Sort=A","Dates=H","DateFormat=P","Fill=—","Direction=H","UseDPDF=Y")</f>
        <v>—</v>
      </c>
      <c r="P40" s="13" t="str">
        <f>_xll.BDH("XOM US Equity","CF_FREE_CASH_FLOW","FQ2 1993","FQ2 1993","Currency=USD","Period=FQ","BEST_FPERIOD_OVERRIDE=FQ","FILING_STATUS=OR","SCALING_FORMAT=MLN","Sort=A","Dates=H","DateFormat=P","Fill=—","Direction=H","UseDPDF=Y")</f>
        <v>—</v>
      </c>
      <c r="Q40" s="13" t="str">
        <f>_xll.BDH("XOM US Equity","CF_FREE_CASH_FLOW","FQ3 1993","FQ3 1993","Currency=USD","Period=FQ","BEST_FPERIOD_OVERRIDE=FQ","FILING_STATUS=OR","SCALING_FORMAT=MLN","Sort=A","Dates=H","DateFormat=P","Fill=—","Direction=H","UseDPDF=Y")</f>
        <v>—</v>
      </c>
      <c r="R40" s="13" t="str">
        <f>_xll.BDH("XOM US Equity","CF_FREE_CASH_FLOW","FQ4 1993","FQ4 1993","Currency=USD","Period=FQ","BEST_FPERIOD_OVERRIDE=FQ","FILING_STATUS=OR","SCALING_FORMAT=MLN","Sort=A","Dates=H","DateFormat=P","Fill=—","Direction=H","UseDPDF=Y")</f>
        <v>—</v>
      </c>
      <c r="S40" s="13" t="str">
        <f>_xll.BDH("XOM US Equity","CF_FREE_CASH_FLOW","FQ1 1994","FQ1 1994","Currency=USD","Period=FQ","BEST_FPERIOD_OVERRIDE=FQ","FILING_STATUS=OR","SCALING_FORMAT=MLN","Sort=A","Dates=H","DateFormat=P","Fill=—","Direction=H","UseDPDF=Y")</f>
        <v>—</v>
      </c>
      <c r="T40" s="13" t="str">
        <f>_xll.BDH("XOM US Equity","CF_FREE_CASH_FLOW","FQ2 1994","FQ2 1994","Currency=USD","Period=FQ","BEST_FPERIOD_OVERRIDE=FQ","FILING_STATUS=OR","SCALING_FORMAT=MLN","Sort=A","Dates=H","DateFormat=P","Fill=—","Direction=H","UseDPDF=Y")</f>
        <v>—</v>
      </c>
      <c r="U40" s="13" t="str">
        <f>_xll.BDH("XOM US Equity","CF_FREE_CASH_FLOW","FQ3 1994","FQ3 1994","Currency=USD","Period=FQ","BEST_FPERIOD_OVERRIDE=FQ","FILING_STATUS=OR","SCALING_FORMAT=MLN","Sort=A","Dates=H","DateFormat=P","Fill=—","Direction=H","UseDPDF=Y")</f>
        <v>—</v>
      </c>
      <c r="V40" s="13" t="str">
        <f>_xll.BDH("XOM US Equity","CF_FREE_CASH_FLOW","FQ4 1994","FQ4 1994","Currency=USD","Period=FQ","BEST_FPERIOD_OVERRIDE=FQ","FILING_STATUS=OR","SCALING_FORMAT=MLN","Sort=A","Dates=H","DateFormat=P","Fill=—","Direction=H","UseDPDF=Y")</f>
        <v>—</v>
      </c>
      <c r="W40" s="13">
        <f>_xll.BDH("XOM US Equity","CF_FREE_CASH_FLOW","FQ1 1995","FQ1 1995","Currency=USD","Period=FQ","BEST_FPERIOD_OVERRIDE=FQ","FILING_STATUS=OR","SCALING_FORMAT=MLN","Sort=A","Dates=H","DateFormat=P","Fill=—","Direction=H","UseDPDF=Y")</f>
        <v>1883</v>
      </c>
      <c r="X40" s="13">
        <f>_xll.BDH("XOM US Equity","CF_FREE_CASH_FLOW","FQ2 1995","FQ2 1995","Currency=USD","Period=FQ","BEST_FPERIOD_OVERRIDE=FQ","FILING_STATUS=OR","SCALING_FORMAT=MLN","Sort=A","Dates=H","DateFormat=P","Fill=—","Direction=H","UseDPDF=Y")</f>
        <v>1401</v>
      </c>
      <c r="Y40" s="13">
        <f>_xll.BDH("XOM US Equity","CF_FREE_CASH_FLOW","FQ3 1995","FQ3 1995","Currency=USD","Period=FQ","BEST_FPERIOD_OVERRIDE=FQ","FILING_STATUS=OR","SCALING_FORMAT=MLN","Sort=A","Dates=H","DateFormat=P","Fill=—","Direction=H","UseDPDF=Y")</f>
        <v>2165</v>
      </c>
      <c r="Z40" s="13">
        <f>_xll.BDH("XOM US Equity","CF_FREE_CASH_FLOW","FQ4 1995","FQ4 1995","Currency=USD","Period=FQ","BEST_FPERIOD_OVERRIDE=FQ","FILING_STATUS=OR","SCALING_FORMAT=MLN","Sort=A","Dates=H","DateFormat=P","Fill=—","Direction=H","UseDPDF=Y")</f>
        <v>1270</v>
      </c>
      <c r="AA40" s="13">
        <f>_xll.BDH("XOM US Equity","CF_FREE_CASH_FLOW","FQ1 1996","FQ1 1996","Currency=USD","Period=FQ","BEST_FPERIOD_OVERRIDE=FQ","FILING_STATUS=OR","SCALING_FORMAT=MLN","Sort=A","Dates=H","DateFormat=P","Fill=—","Direction=H","UseDPDF=Y")</f>
        <v>2664</v>
      </c>
      <c r="AB40" s="13">
        <f>_xll.BDH("XOM US Equity","CF_FREE_CASH_FLOW","FQ2 1996","FQ2 1996","Currency=USD","Period=FQ","BEST_FPERIOD_OVERRIDE=FQ","FILING_STATUS=OR","SCALING_FORMAT=MLN","Sort=A","Dates=H","DateFormat=P","Fill=—","Direction=H","UseDPDF=Y")</f>
        <v>1137</v>
      </c>
      <c r="AC40" s="13">
        <f>_xll.BDH("XOM US Equity","CF_FREE_CASH_FLOW","FQ3 1996","FQ3 1996","Currency=USD","Period=FQ","BEST_FPERIOD_OVERRIDE=FQ","FILING_STATUS=OR","SCALING_FORMAT=MLN","Sort=A","Dates=H","DateFormat=P","Fill=—","Direction=H","UseDPDF=Y")</f>
        <v>1298</v>
      </c>
      <c r="AD40" s="13">
        <f>_xll.BDH("XOM US Equity","CF_FREE_CASH_FLOW","FQ4 1996","FQ4 1996","Currency=USD","Period=FQ","BEST_FPERIOD_OVERRIDE=FQ","FILING_STATUS=OR","SCALING_FORMAT=MLN","Sort=A","Dates=H","DateFormat=P","Fill=—","Direction=H","UseDPDF=Y")</f>
        <v>854</v>
      </c>
      <c r="AE40" s="13">
        <f>_xll.BDH("XOM US Equity","CF_FREE_CASH_FLOW","FQ1 1997","FQ1 1997","Currency=USD","Period=FQ","BEST_FPERIOD_OVERRIDE=FQ","FILING_STATUS=OR","SCALING_FORMAT=MLN","Sort=A","Dates=H","DateFormat=P","Fill=—","Direction=H","UseDPDF=Y")</f>
        <v>3033</v>
      </c>
      <c r="AF40" s="13">
        <f>_xll.BDH("XOM US Equity","CF_FREE_CASH_FLOW","FQ2 1997","FQ2 1997","Currency=USD","Period=FQ","BEST_FPERIOD_OVERRIDE=FQ","FILING_STATUS=OR","SCALING_FORMAT=MLN","Sort=A","Dates=H","DateFormat=P","Fill=—","Direction=H","UseDPDF=Y")</f>
        <v>1563</v>
      </c>
      <c r="AG40" s="13">
        <f>_xll.BDH("XOM US Equity","CF_FREE_CASH_FLOW","FQ3 1997","FQ3 1997","Currency=USD","Period=FQ","BEST_FPERIOD_OVERRIDE=FQ","FILING_STATUS=OR","SCALING_FORMAT=MLN","Sort=A","Dates=H","DateFormat=P","Fill=—","Direction=H","UseDPDF=Y")</f>
        <v>2119</v>
      </c>
      <c r="AH40" s="13">
        <f>_xll.BDH("XOM US Equity","CF_FREE_CASH_FLOW","FQ4 1997","FQ4 1997","Currency=USD","Period=FQ","BEST_FPERIOD_OVERRIDE=FQ","FILING_STATUS=OR","SCALING_FORMAT=MLN","Sort=A","Dates=H","DateFormat=P","Fill=—","Direction=H","UseDPDF=Y")</f>
        <v>568</v>
      </c>
      <c r="AI40" s="13">
        <f>_xll.BDH("XOM US Equity","CF_FREE_CASH_FLOW","FQ1 1998","FQ1 1998","Currency=USD","Period=FQ","BEST_FPERIOD_OVERRIDE=FQ","FILING_STATUS=OR","SCALING_FORMAT=MLN","Sort=A","Dates=H","DateFormat=P","Fill=—","Direction=H","UseDPDF=Y")</f>
        <v>1365</v>
      </c>
      <c r="AJ40" s="13">
        <f>_xll.BDH("XOM US Equity","CF_FREE_CASH_FLOW","FQ2 1998","FQ2 1998","Currency=USD","Period=FQ","BEST_FPERIOD_OVERRIDE=FQ","FILING_STATUS=OR","SCALING_FORMAT=MLN","Sort=A","Dates=H","DateFormat=P","Fill=—","Direction=H","UseDPDF=Y")</f>
        <v>928</v>
      </c>
    </row>
    <row r="41" spans="1:36" x14ac:dyDescent="0.25">
      <c r="A41" s="10" t="s">
        <v>282</v>
      </c>
      <c r="B41" s="10" t="s">
        <v>283</v>
      </c>
      <c r="C41" s="13" t="str">
        <f>_xll.BDH("XOM US Equity","CF_FREE_CASH_FLOW_FIRM","FQ1 1990","FQ1 1990","Currency=USD","Period=FQ","BEST_FPERIOD_OVERRIDE=FQ","FILING_STATUS=OR","SCALING_FORMAT=MLN","FA_ADJUSTED=GAAP","Sort=A","Dates=H","DateFormat=P","Fill=—","Direction=H","UseDPDF=Y")</f>
        <v>—</v>
      </c>
      <c r="D41" s="13" t="str">
        <f>_xll.BDH("XOM US Equity","CF_FREE_CASH_FLOW_FIRM","FQ2 1990","FQ2 1990","Currency=USD","Period=FQ","BEST_FPERIOD_OVERRIDE=FQ","FILING_STATUS=OR","SCALING_FORMAT=MLN","FA_ADJUSTED=GAAP","Sort=A","Dates=H","DateFormat=P","Fill=—","Direction=H","UseDPDF=Y")</f>
        <v>—</v>
      </c>
      <c r="E41" s="13" t="str">
        <f>_xll.BDH("XOM US Equity","CF_FREE_CASH_FLOW_FIRM","FQ3 1990","FQ3 1990","Currency=USD","Period=FQ","BEST_FPERIOD_OVERRIDE=FQ","FILING_STATUS=OR","SCALING_FORMAT=MLN","FA_ADJUSTED=GAAP","Sort=A","Dates=H","DateFormat=P","Fill=—","Direction=H","UseDPDF=Y")</f>
        <v>—</v>
      </c>
      <c r="F41" s="13" t="str">
        <f>_xll.BDH("XOM US Equity","CF_FREE_CASH_FLOW_FIRM","FQ4 1990","FQ4 1990","Currency=USD","Period=FQ","BEST_FPERIOD_OVERRIDE=FQ","FILING_STATUS=OR","SCALING_FORMAT=MLN","FA_ADJUSTED=GAAP","Sort=A","Dates=H","DateFormat=P","Fill=—","Direction=H","UseDPDF=Y")</f>
        <v>—</v>
      </c>
      <c r="G41" s="13" t="str">
        <f>_xll.BDH("XOM US Equity","CF_FREE_CASH_FLOW_FIRM","FQ1 1991","FQ1 1991","Currency=USD","Period=FQ","BEST_FPERIOD_OVERRIDE=FQ","FILING_STATUS=OR","SCALING_FORMAT=MLN","FA_ADJUSTED=GAAP","Sort=A","Dates=H","DateFormat=P","Fill=—","Direction=H","UseDPDF=Y")</f>
        <v>—</v>
      </c>
      <c r="H41" s="13" t="str">
        <f>_xll.BDH("XOM US Equity","CF_FREE_CASH_FLOW_FIRM","FQ2 1991","FQ2 1991","Currency=USD","Period=FQ","BEST_FPERIOD_OVERRIDE=FQ","FILING_STATUS=OR","SCALING_FORMAT=MLN","FA_ADJUSTED=GAAP","Sort=A","Dates=H","DateFormat=P","Fill=—","Direction=H","UseDPDF=Y")</f>
        <v>—</v>
      </c>
      <c r="I41" s="13" t="str">
        <f>_xll.BDH("XOM US Equity","CF_FREE_CASH_FLOW_FIRM","FQ3 1991","FQ3 1991","Currency=USD","Period=FQ","BEST_FPERIOD_OVERRIDE=FQ","FILING_STATUS=OR","SCALING_FORMAT=MLN","FA_ADJUSTED=GAAP","Sort=A","Dates=H","DateFormat=P","Fill=—","Direction=H","UseDPDF=Y")</f>
        <v>—</v>
      </c>
      <c r="J41" s="13" t="str">
        <f>_xll.BDH("XOM US Equity","CF_FREE_CASH_FLOW_FIRM","FQ4 1991","FQ4 1991","Currency=USD","Period=FQ","BEST_FPERIOD_OVERRIDE=FQ","FILING_STATUS=OR","SCALING_FORMAT=MLN","FA_ADJUSTED=GAAP","Sort=A","Dates=H","DateFormat=P","Fill=—","Direction=H","UseDPDF=Y")</f>
        <v>—</v>
      </c>
      <c r="K41" s="13" t="str">
        <f>_xll.BDH("XOM US Equity","CF_FREE_CASH_FLOW_FIRM","FQ1 1992","FQ1 1992","Currency=USD","Period=FQ","BEST_FPERIOD_OVERRIDE=FQ","FILING_STATUS=OR","SCALING_FORMAT=MLN","FA_ADJUSTED=GAAP","Sort=A","Dates=H","DateFormat=P","Fill=—","Direction=H","UseDPDF=Y")</f>
        <v>—</v>
      </c>
      <c r="L41" s="13" t="str">
        <f>_xll.BDH("XOM US Equity","CF_FREE_CASH_FLOW_FIRM","FQ2 1992","FQ2 1992","Currency=USD","Period=FQ","BEST_FPERIOD_OVERRIDE=FQ","FILING_STATUS=OR","SCALING_FORMAT=MLN","FA_ADJUSTED=GAAP","Sort=A","Dates=H","DateFormat=P","Fill=—","Direction=H","UseDPDF=Y")</f>
        <v>—</v>
      </c>
      <c r="M41" s="13" t="str">
        <f>_xll.BDH("XOM US Equity","CF_FREE_CASH_FLOW_FIRM","FQ3 1992","FQ3 1992","Currency=USD","Period=FQ","BEST_FPERIOD_OVERRIDE=FQ","FILING_STATUS=OR","SCALING_FORMAT=MLN","FA_ADJUSTED=GAAP","Sort=A","Dates=H","DateFormat=P","Fill=—","Direction=H","UseDPDF=Y")</f>
        <v>—</v>
      </c>
      <c r="N41" s="13" t="str">
        <f>_xll.BDH("XOM US Equity","CF_FREE_CASH_FLOW_FIRM","FQ4 1992","FQ4 1992","Currency=USD","Period=FQ","BEST_FPERIOD_OVERRIDE=FQ","FILING_STATUS=OR","SCALING_FORMAT=MLN","FA_ADJUSTED=GAAP","Sort=A","Dates=H","DateFormat=P","Fill=—","Direction=H","UseDPDF=Y")</f>
        <v>—</v>
      </c>
      <c r="O41" s="13" t="str">
        <f>_xll.BDH("XOM US Equity","CF_FREE_CASH_FLOW_FIRM","FQ1 1993","FQ1 1993","Currency=USD","Period=FQ","BEST_FPERIOD_OVERRIDE=FQ","FILING_STATUS=OR","SCALING_FORMAT=MLN","FA_ADJUSTED=GAAP","Sort=A","Dates=H","DateFormat=P","Fill=—","Direction=H","UseDPDF=Y")</f>
        <v>—</v>
      </c>
      <c r="P41" s="13" t="str">
        <f>_xll.BDH("XOM US Equity","CF_FREE_CASH_FLOW_FIRM","FQ2 1993","FQ2 1993","Currency=USD","Period=FQ","BEST_FPERIOD_OVERRIDE=FQ","FILING_STATUS=OR","SCALING_FORMAT=MLN","FA_ADJUSTED=GAAP","Sort=A","Dates=H","DateFormat=P","Fill=—","Direction=H","UseDPDF=Y")</f>
        <v>—</v>
      </c>
      <c r="Q41" s="13" t="str">
        <f>_xll.BDH("XOM US Equity","CF_FREE_CASH_FLOW_FIRM","FQ3 1993","FQ3 1993","Currency=USD","Period=FQ","BEST_FPERIOD_OVERRIDE=FQ","FILING_STATUS=OR","SCALING_FORMAT=MLN","FA_ADJUSTED=GAAP","Sort=A","Dates=H","DateFormat=P","Fill=—","Direction=H","UseDPDF=Y")</f>
        <v>—</v>
      </c>
      <c r="R41" s="13" t="str">
        <f>_xll.BDH("XOM US Equity","CF_FREE_CASH_FLOW_FIRM","FQ4 1993","FQ4 1993","Currency=USD","Period=FQ","BEST_FPERIOD_OVERRIDE=FQ","FILING_STATUS=OR","SCALING_FORMAT=MLN","FA_ADJUSTED=GAAP","Sort=A","Dates=H","DateFormat=P","Fill=—","Direction=H","UseDPDF=Y")</f>
        <v>—</v>
      </c>
      <c r="S41" s="13" t="str">
        <f>_xll.BDH("XOM US Equity","CF_FREE_CASH_FLOW_FIRM","FQ1 1994","FQ1 1994","Currency=USD","Period=FQ","BEST_FPERIOD_OVERRIDE=FQ","FILING_STATUS=OR","SCALING_FORMAT=MLN","FA_ADJUSTED=GAAP","Sort=A","Dates=H","DateFormat=P","Fill=—","Direction=H","UseDPDF=Y")</f>
        <v>—</v>
      </c>
      <c r="T41" s="13" t="str">
        <f>_xll.BDH("XOM US Equity","CF_FREE_CASH_FLOW_FIRM","FQ2 1994","FQ2 1994","Currency=USD","Period=FQ","BEST_FPERIOD_OVERRIDE=FQ","FILING_STATUS=OR","SCALING_FORMAT=MLN","FA_ADJUSTED=GAAP","Sort=A","Dates=H","DateFormat=P","Fill=—","Direction=H","UseDPDF=Y")</f>
        <v>—</v>
      </c>
      <c r="U41" s="13" t="str">
        <f>_xll.BDH("XOM US Equity","CF_FREE_CASH_FLOW_FIRM","FQ3 1994","FQ3 1994","Currency=USD","Period=FQ","BEST_FPERIOD_OVERRIDE=FQ","FILING_STATUS=OR","SCALING_FORMAT=MLN","FA_ADJUSTED=GAAP","Sort=A","Dates=H","DateFormat=P","Fill=—","Direction=H","UseDPDF=Y")</f>
        <v>—</v>
      </c>
      <c r="V41" s="13" t="str">
        <f>_xll.BDH("XOM US Equity","CF_FREE_CASH_FLOW_FIRM","FQ4 1994","FQ4 1994","Currency=USD","Period=FQ","BEST_FPERIOD_OVERRIDE=FQ","FILING_STATUS=OR","SCALING_FORMAT=MLN","FA_ADJUSTED=GAAP","Sort=A","Dates=H","DateFormat=P","Fill=—","Direction=H","UseDPDF=Y")</f>
        <v>—</v>
      </c>
      <c r="W41" s="13">
        <f>_xll.BDH("XOM US Equity","CF_FREE_CASH_FLOW_FIRM","FQ1 1995","FQ1 1995","Currency=USD","Period=FQ","BEST_FPERIOD_OVERRIDE=FQ","FILING_STATUS=OR","SCALING_FORMAT=MLN","FA_ADJUSTED=GAAP","Sort=A","Dates=H","DateFormat=P","Fill=—","Direction=H","UseDPDF=Y")</f>
        <v>1978.9233999999999</v>
      </c>
      <c r="X41" s="13">
        <f>_xll.BDH("XOM US Equity","CF_FREE_CASH_FLOW_FIRM","FQ2 1995","FQ2 1995","Currency=USD","Period=FQ","BEST_FPERIOD_OVERRIDE=FQ","FILING_STATUS=OR","SCALING_FORMAT=MLN","FA_ADJUSTED=GAAP","Sort=A","Dates=H","DateFormat=P","Fill=—","Direction=H","UseDPDF=Y")</f>
        <v>1510.4260999999999</v>
      </c>
      <c r="Y41" s="13">
        <f>_xll.BDH("XOM US Equity","CF_FREE_CASH_FLOW_FIRM","FQ3 1995","FQ3 1995","Currency=USD","Period=FQ","BEST_FPERIOD_OVERRIDE=FQ","FILING_STATUS=OR","SCALING_FORMAT=MLN","FA_ADJUSTED=GAAP","Sort=A","Dates=H","DateFormat=P","Fill=—","Direction=H","UseDPDF=Y")</f>
        <v>2283.1080000000002</v>
      </c>
      <c r="Z41" s="13">
        <f>_xll.BDH("XOM US Equity","CF_FREE_CASH_FLOW_FIRM","FQ4 1995","FQ4 1995","Currency=USD","Period=FQ","BEST_FPERIOD_OVERRIDE=FQ","FILING_STATUS=OR","SCALING_FORMAT=MLN","FA_ADJUSTED=GAAP","Sort=A","Dates=H","DateFormat=P","Fill=—","Direction=H","UseDPDF=Y")</f>
        <v>1306.9182000000001</v>
      </c>
      <c r="AA41" s="13">
        <f>_xll.BDH("XOM US Equity","CF_FREE_CASH_FLOW_FIRM","FQ1 1996","FQ1 1996","Currency=USD","Period=FQ","BEST_FPERIOD_OVERRIDE=FQ","FILING_STATUS=OR","SCALING_FORMAT=MLN","FA_ADJUSTED=GAAP","Sort=A","Dates=H","DateFormat=P","Fill=—","Direction=H","UseDPDF=Y")</f>
        <v>2715.6188000000002</v>
      </c>
      <c r="AB41" s="13">
        <f>_xll.BDH("XOM US Equity","CF_FREE_CASH_FLOW_FIRM","FQ2 1996","FQ2 1996","Currency=USD","Period=FQ","BEST_FPERIOD_OVERRIDE=FQ","FILING_STATUS=OR","SCALING_FORMAT=MLN","FA_ADJUSTED=GAAP","Sort=A","Dates=H","DateFormat=P","Fill=—","Direction=H","UseDPDF=Y")</f>
        <v>1219.1376</v>
      </c>
      <c r="AC41" s="13">
        <f>_xll.BDH("XOM US Equity","CF_FREE_CASH_FLOW_FIRM","FQ3 1996","FQ3 1996","Currency=USD","Period=FQ","BEST_FPERIOD_OVERRIDE=FQ","FILING_STATUS=OR","SCALING_FORMAT=MLN","FA_ADJUSTED=GAAP","Sort=A","Dates=H","DateFormat=P","Fill=—","Direction=H","UseDPDF=Y")</f>
        <v>1358.4444000000001</v>
      </c>
      <c r="AD41" s="13">
        <f>_xll.BDH("XOM US Equity","CF_FREE_CASH_FLOW_FIRM","FQ4 1996","FQ4 1996","Currency=USD","Period=FQ","BEST_FPERIOD_OVERRIDE=FQ","FILING_STATUS=OR","SCALING_FORMAT=MLN","FA_ADJUSTED=GAAP","Sort=A","Dates=H","DateFormat=P","Fill=—","Direction=H","UseDPDF=Y")</f>
        <v>957.02440000000001</v>
      </c>
      <c r="AE41" s="13">
        <f>_xll.BDH("XOM US Equity","CF_FREE_CASH_FLOW_FIRM","FQ1 1997","FQ1 1997","Currency=USD","Period=FQ","BEST_FPERIOD_OVERRIDE=FQ","FILING_STATUS=OR","SCALING_FORMAT=MLN","FA_ADJUSTED=GAAP","Sort=A","Dates=H","DateFormat=P","Fill=—","Direction=H","UseDPDF=Y")</f>
        <v>3078.2662</v>
      </c>
      <c r="AF41" s="13">
        <f>_xll.BDH("XOM US Equity","CF_FREE_CASH_FLOW_FIRM","FQ2 1997","FQ2 1997","Currency=USD","Period=FQ","BEST_FPERIOD_OVERRIDE=FQ","FILING_STATUS=OR","SCALING_FORMAT=MLN","FA_ADJUSTED=GAAP","Sort=A","Dates=H","DateFormat=P","Fill=—","Direction=H","UseDPDF=Y")</f>
        <v>1628.8539000000001</v>
      </c>
      <c r="AG41" s="13">
        <f>_xll.BDH("XOM US Equity","CF_FREE_CASH_FLOW_FIRM","FQ3 1997","FQ3 1997","Currency=USD","Period=FQ","BEST_FPERIOD_OVERRIDE=FQ","FILING_STATUS=OR","SCALING_FORMAT=MLN","FA_ADJUSTED=GAAP","Sort=A","Dates=H","DateFormat=P","Fill=—","Direction=H","UseDPDF=Y")</f>
        <v>2190.6324</v>
      </c>
      <c r="AH41" s="13">
        <f>_xll.BDH("XOM US Equity","CF_FREE_CASH_FLOW_FIRM","FQ4 1997","FQ4 1997","Currency=USD","Period=FQ","BEST_FPERIOD_OVERRIDE=FQ","FILING_STATUS=OR","SCALING_FORMAT=MLN","FA_ADJUSTED=GAAP","Sort=A","Dates=H","DateFormat=P","Fill=—","Direction=H","UseDPDF=Y")</f>
        <v>682.25310000000002</v>
      </c>
      <c r="AI41" s="13">
        <f>_xll.BDH("XOM US Equity","CF_FREE_CASH_FLOW_FIRM","FQ1 1998","FQ1 1998","Currency=USD","Period=FQ","BEST_FPERIOD_OVERRIDE=FQ","FILING_STATUS=OR","SCALING_FORMAT=MLN","FA_ADJUSTED=GAAP","Sort=A","Dates=H","DateFormat=P","Fill=—","Direction=H","UseDPDF=Y")</f>
        <v>1412.1996999999999</v>
      </c>
      <c r="AJ41" s="13">
        <f>_xll.BDH("XOM US Equity","CF_FREE_CASH_FLOW_FIRM","FQ2 1998","FQ2 1998","Currency=USD","Period=FQ","BEST_FPERIOD_OVERRIDE=FQ","FILING_STATUS=OR","SCALING_FORMAT=MLN","FA_ADJUSTED=GAAP","Sort=A","Dates=H","DateFormat=P","Fill=—","Direction=H","UseDPDF=Y")</f>
        <v>974.74559999999997</v>
      </c>
    </row>
    <row r="42" spans="1:36" x14ac:dyDescent="0.25">
      <c r="A42" s="10" t="s">
        <v>284</v>
      </c>
      <c r="B42" s="10" t="s">
        <v>285</v>
      </c>
      <c r="C42" s="13" t="str">
        <f>_xll.BDH("XOM US Equity","FREE_CASH_FLOW_EQUITY","FQ1 1990","FQ1 1990","Currency=USD","Period=FQ","BEST_FPERIOD_OVERRIDE=FQ","FILING_STATUS=OR","SCALING_FORMAT=MLN","Sort=A","Dates=H","DateFormat=P","Fill=—","Direction=H","UseDPDF=Y")</f>
        <v>—</v>
      </c>
      <c r="D42" s="13" t="str">
        <f>_xll.BDH("XOM US Equity","FREE_CASH_FLOW_EQUITY","FQ2 1990","FQ2 1990","Currency=USD","Period=FQ","BEST_FPERIOD_OVERRIDE=FQ","FILING_STATUS=OR","SCALING_FORMAT=MLN","Sort=A","Dates=H","DateFormat=P","Fill=—","Direction=H","UseDPDF=Y")</f>
        <v>—</v>
      </c>
      <c r="E42" s="13" t="str">
        <f>_xll.BDH("XOM US Equity","FREE_CASH_FLOW_EQUITY","FQ3 1990","FQ3 1990","Currency=USD","Period=FQ","BEST_FPERIOD_OVERRIDE=FQ","FILING_STATUS=OR","SCALING_FORMAT=MLN","Sort=A","Dates=H","DateFormat=P","Fill=—","Direction=H","UseDPDF=Y")</f>
        <v>—</v>
      </c>
      <c r="F42" s="13" t="str">
        <f>_xll.BDH("XOM US Equity","FREE_CASH_FLOW_EQUITY","FQ4 1990","FQ4 1990","Currency=USD","Period=FQ","BEST_FPERIOD_OVERRIDE=FQ","FILING_STATUS=OR","SCALING_FORMAT=MLN","Sort=A","Dates=H","DateFormat=P","Fill=—","Direction=H","UseDPDF=Y")</f>
        <v>—</v>
      </c>
      <c r="G42" s="13" t="str">
        <f>_xll.BDH("XOM US Equity","FREE_CASH_FLOW_EQUITY","FQ1 1991","FQ1 1991","Currency=USD","Period=FQ","BEST_FPERIOD_OVERRIDE=FQ","FILING_STATUS=OR","SCALING_FORMAT=MLN","Sort=A","Dates=H","DateFormat=P","Fill=—","Direction=H","UseDPDF=Y")</f>
        <v>—</v>
      </c>
      <c r="H42" s="13" t="str">
        <f>_xll.BDH("XOM US Equity","FREE_CASH_FLOW_EQUITY","FQ2 1991","FQ2 1991","Currency=USD","Period=FQ","BEST_FPERIOD_OVERRIDE=FQ","FILING_STATUS=OR","SCALING_FORMAT=MLN","Sort=A","Dates=H","DateFormat=P","Fill=—","Direction=H","UseDPDF=Y")</f>
        <v>—</v>
      </c>
      <c r="I42" s="13" t="str">
        <f>_xll.BDH("XOM US Equity","FREE_CASH_FLOW_EQUITY","FQ3 1991","FQ3 1991","Currency=USD","Period=FQ","BEST_FPERIOD_OVERRIDE=FQ","FILING_STATUS=OR","SCALING_FORMAT=MLN","Sort=A","Dates=H","DateFormat=P","Fill=—","Direction=H","UseDPDF=Y")</f>
        <v>—</v>
      </c>
      <c r="J42" s="13" t="str">
        <f>_xll.BDH("XOM US Equity","FREE_CASH_FLOW_EQUITY","FQ4 1991","FQ4 1991","Currency=USD","Period=FQ","BEST_FPERIOD_OVERRIDE=FQ","FILING_STATUS=OR","SCALING_FORMAT=MLN","Sort=A","Dates=H","DateFormat=P","Fill=—","Direction=H","UseDPDF=Y")</f>
        <v>—</v>
      </c>
      <c r="K42" s="13" t="str">
        <f>_xll.BDH("XOM US Equity","FREE_CASH_FLOW_EQUITY","FQ1 1992","FQ1 1992","Currency=USD","Period=FQ","BEST_FPERIOD_OVERRIDE=FQ","FILING_STATUS=OR","SCALING_FORMAT=MLN","Sort=A","Dates=H","DateFormat=P","Fill=—","Direction=H","UseDPDF=Y")</f>
        <v>—</v>
      </c>
      <c r="L42" s="13" t="str">
        <f>_xll.BDH("XOM US Equity","FREE_CASH_FLOW_EQUITY","FQ2 1992","FQ2 1992","Currency=USD","Period=FQ","BEST_FPERIOD_OVERRIDE=FQ","FILING_STATUS=OR","SCALING_FORMAT=MLN","Sort=A","Dates=H","DateFormat=P","Fill=—","Direction=H","UseDPDF=Y")</f>
        <v>—</v>
      </c>
      <c r="M42" s="13" t="str">
        <f>_xll.BDH("XOM US Equity","FREE_CASH_FLOW_EQUITY","FQ3 1992","FQ3 1992","Currency=USD","Period=FQ","BEST_FPERIOD_OVERRIDE=FQ","FILING_STATUS=OR","SCALING_FORMAT=MLN","Sort=A","Dates=H","DateFormat=P","Fill=—","Direction=H","UseDPDF=Y")</f>
        <v>—</v>
      </c>
      <c r="N42" s="13" t="str">
        <f>_xll.BDH("XOM US Equity","FREE_CASH_FLOW_EQUITY","FQ4 1992","FQ4 1992","Currency=USD","Period=FQ","BEST_FPERIOD_OVERRIDE=FQ","FILING_STATUS=OR","SCALING_FORMAT=MLN","Sort=A","Dates=H","DateFormat=P","Fill=—","Direction=H","UseDPDF=Y")</f>
        <v>—</v>
      </c>
      <c r="O42" s="13" t="str">
        <f>_xll.BDH("XOM US Equity","FREE_CASH_FLOW_EQUITY","FQ1 1993","FQ1 1993","Currency=USD","Period=FQ","BEST_FPERIOD_OVERRIDE=FQ","FILING_STATUS=OR","SCALING_FORMAT=MLN","Sort=A","Dates=H","DateFormat=P","Fill=—","Direction=H","UseDPDF=Y")</f>
        <v>—</v>
      </c>
      <c r="P42" s="13" t="str">
        <f>_xll.BDH("XOM US Equity","FREE_CASH_FLOW_EQUITY","FQ2 1993","FQ2 1993","Currency=USD","Period=FQ","BEST_FPERIOD_OVERRIDE=FQ","FILING_STATUS=OR","SCALING_FORMAT=MLN","Sort=A","Dates=H","DateFormat=P","Fill=—","Direction=H","UseDPDF=Y")</f>
        <v>—</v>
      </c>
      <c r="Q42" s="13" t="str">
        <f>_xll.BDH("XOM US Equity","FREE_CASH_FLOW_EQUITY","FQ3 1993","FQ3 1993","Currency=USD","Period=FQ","BEST_FPERIOD_OVERRIDE=FQ","FILING_STATUS=OR","SCALING_FORMAT=MLN","Sort=A","Dates=H","DateFormat=P","Fill=—","Direction=H","UseDPDF=Y")</f>
        <v>—</v>
      </c>
      <c r="R42" s="13" t="str">
        <f>_xll.BDH("XOM US Equity","FREE_CASH_FLOW_EQUITY","FQ4 1993","FQ4 1993","Currency=USD","Period=FQ","BEST_FPERIOD_OVERRIDE=FQ","FILING_STATUS=OR","SCALING_FORMAT=MLN","Sort=A","Dates=H","DateFormat=P","Fill=—","Direction=H","UseDPDF=Y")</f>
        <v>—</v>
      </c>
      <c r="S42" s="13" t="str">
        <f>_xll.BDH("XOM US Equity","FREE_CASH_FLOW_EQUITY","FQ1 1994","FQ1 1994","Currency=USD","Period=FQ","BEST_FPERIOD_OVERRIDE=FQ","FILING_STATUS=OR","SCALING_FORMAT=MLN","Sort=A","Dates=H","DateFormat=P","Fill=—","Direction=H","UseDPDF=Y")</f>
        <v>—</v>
      </c>
      <c r="T42" s="13" t="str">
        <f>_xll.BDH("XOM US Equity","FREE_CASH_FLOW_EQUITY","FQ2 1994","FQ2 1994","Currency=USD","Period=FQ","BEST_FPERIOD_OVERRIDE=FQ","FILING_STATUS=OR","SCALING_FORMAT=MLN","Sort=A","Dates=H","DateFormat=P","Fill=—","Direction=H","UseDPDF=Y")</f>
        <v>—</v>
      </c>
      <c r="U42" s="13" t="str">
        <f>_xll.BDH("XOM US Equity","FREE_CASH_FLOW_EQUITY","FQ3 1994","FQ3 1994","Currency=USD","Period=FQ","BEST_FPERIOD_OVERRIDE=FQ","FILING_STATUS=OR","SCALING_FORMAT=MLN","Sort=A","Dates=H","DateFormat=P","Fill=—","Direction=H","UseDPDF=Y")</f>
        <v>—</v>
      </c>
      <c r="V42" s="13" t="str">
        <f>_xll.BDH("XOM US Equity","FREE_CASH_FLOW_EQUITY","FQ4 1994","FQ4 1994","Currency=USD","Period=FQ","BEST_FPERIOD_OVERRIDE=FQ","FILING_STATUS=OR","SCALING_FORMAT=MLN","Sort=A","Dates=H","DateFormat=P","Fill=—","Direction=H","UseDPDF=Y")</f>
        <v>—</v>
      </c>
      <c r="W42" s="13" t="str">
        <f>_xll.BDH("XOM US Equity","FREE_CASH_FLOW_EQUITY","FQ1 1995","FQ1 1995","Currency=USD","Period=FQ","BEST_FPERIOD_OVERRIDE=FQ","FILING_STATUS=OR","SCALING_FORMAT=MLN","Sort=A","Dates=H","DateFormat=P","Fill=—","Direction=H","UseDPDF=Y")</f>
        <v>—</v>
      </c>
      <c r="X42" s="13" t="str">
        <f>_xll.BDH("XOM US Equity","FREE_CASH_FLOW_EQUITY","FQ2 1995","FQ2 1995","Currency=USD","Period=FQ","BEST_FPERIOD_OVERRIDE=FQ","FILING_STATUS=OR","SCALING_FORMAT=MLN","Sort=A","Dates=H","DateFormat=P","Fill=—","Direction=H","UseDPDF=Y")</f>
        <v>—</v>
      </c>
      <c r="Y42" s="13" t="str">
        <f>_xll.BDH("XOM US Equity","FREE_CASH_FLOW_EQUITY","FQ3 1995","FQ3 1995","Currency=USD","Period=FQ","BEST_FPERIOD_OVERRIDE=FQ","FILING_STATUS=OR","SCALING_FORMAT=MLN","Sort=A","Dates=H","DateFormat=P","Fill=—","Direction=H","UseDPDF=Y")</f>
        <v>—</v>
      </c>
      <c r="Z42" s="13" t="str">
        <f>_xll.BDH("XOM US Equity","FREE_CASH_FLOW_EQUITY","FQ4 1995","FQ4 1995","Currency=USD","Period=FQ","BEST_FPERIOD_OVERRIDE=FQ","FILING_STATUS=OR","SCALING_FORMAT=MLN","Sort=A","Dates=H","DateFormat=P","Fill=—","Direction=H","UseDPDF=Y")</f>
        <v>—</v>
      </c>
      <c r="AA42" s="13" t="str">
        <f>_xll.BDH("XOM US Equity","FREE_CASH_FLOW_EQUITY","FQ1 1996","FQ1 1996","Currency=USD","Period=FQ","BEST_FPERIOD_OVERRIDE=FQ","FILING_STATUS=OR","SCALING_FORMAT=MLN","Sort=A","Dates=H","DateFormat=P","Fill=—","Direction=H","UseDPDF=Y")</f>
        <v>—</v>
      </c>
      <c r="AB42" s="13" t="str">
        <f>_xll.BDH("XOM US Equity","FREE_CASH_FLOW_EQUITY","FQ2 1996","FQ2 1996","Currency=USD","Period=FQ","BEST_FPERIOD_OVERRIDE=FQ","FILING_STATUS=OR","SCALING_FORMAT=MLN","Sort=A","Dates=H","DateFormat=P","Fill=—","Direction=H","UseDPDF=Y")</f>
        <v>—</v>
      </c>
      <c r="AC42" s="13" t="str">
        <f>_xll.BDH("XOM US Equity","FREE_CASH_FLOW_EQUITY","FQ3 1996","FQ3 1996","Currency=USD","Period=FQ","BEST_FPERIOD_OVERRIDE=FQ","FILING_STATUS=OR","SCALING_FORMAT=MLN","Sort=A","Dates=H","DateFormat=P","Fill=—","Direction=H","UseDPDF=Y")</f>
        <v>—</v>
      </c>
      <c r="AD42" s="13" t="str">
        <f>_xll.BDH("XOM US Equity","FREE_CASH_FLOW_EQUITY","FQ4 1996","FQ4 1996","Currency=USD","Period=FQ","BEST_FPERIOD_OVERRIDE=FQ","FILING_STATUS=OR","SCALING_FORMAT=MLN","Sort=A","Dates=H","DateFormat=P","Fill=—","Direction=H","UseDPDF=Y")</f>
        <v>—</v>
      </c>
      <c r="AE42" s="13">
        <f>_xll.BDH("XOM US Equity","FREE_CASH_FLOW_EQUITY","FQ1 1997","FQ1 1997","Currency=USD","Period=FQ","BEST_FPERIOD_OVERRIDE=FQ","FILING_STATUS=OR","SCALING_FORMAT=MLN","Sort=A","Dates=H","DateFormat=P","Fill=—","Direction=H","UseDPDF=Y")</f>
        <v>3093.75</v>
      </c>
      <c r="AF42" s="13">
        <f>_xll.BDH("XOM US Equity","FREE_CASH_FLOW_EQUITY","FQ2 1997","FQ2 1997","Currency=USD","Period=FQ","BEST_FPERIOD_OVERRIDE=FQ","FILING_STATUS=OR","SCALING_FORMAT=MLN","Sort=A","Dates=H","DateFormat=P","Fill=—","Direction=H","UseDPDF=Y")</f>
        <v>1440.75</v>
      </c>
      <c r="AG42" s="13">
        <f>_xll.BDH("XOM US Equity","FREE_CASH_FLOW_EQUITY","FQ3 1997","FQ3 1997","Currency=USD","Period=FQ","BEST_FPERIOD_OVERRIDE=FQ","FILING_STATUS=OR","SCALING_FORMAT=MLN","Sort=A","Dates=H","DateFormat=P","Fill=—","Direction=H","UseDPDF=Y")</f>
        <v>2039.75</v>
      </c>
      <c r="AH42" s="13">
        <f>_xll.BDH("XOM US Equity","FREE_CASH_FLOW_EQUITY","FQ4 1997","FQ4 1997","Currency=USD","Period=FQ","BEST_FPERIOD_OVERRIDE=FQ","FILING_STATUS=OR","SCALING_FORMAT=MLN","Sort=A","Dates=H","DateFormat=P","Fill=—","Direction=H","UseDPDF=Y")</f>
        <v>586.75</v>
      </c>
      <c r="AI42" s="13">
        <f>_xll.BDH("XOM US Equity","FREE_CASH_FLOW_EQUITY","FQ1 1998","FQ1 1998","Currency=USD","Period=FQ","BEST_FPERIOD_OVERRIDE=FQ","FILING_STATUS=OR","SCALING_FORMAT=MLN","Sort=A","Dates=H","DateFormat=P","Fill=—","Direction=H","UseDPDF=Y")</f>
        <v>1285.5</v>
      </c>
      <c r="AJ42" s="13">
        <f>_xll.BDH("XOM US Equity","FREE_CASH_FLOW_EQUITY","FQ2 1998","FQ2 1998","Currency=USD","Period=FQ","BEST_FPERIOD_OVERRIDE=FQ","FILING_STATUS=OR","SCALING_FORMAT=MLN","Sort=A","Dates=H","DateFormat=P","Fill=—","Direction=H","UseDPDF=Y")</f>
        <v>847.5</v>
      </c>
    </row>
    <row r="43" spans="1:36" x14ac:dyDescent="0.25">
      <c r="A43" s="10" t="s">
        <v>286</v>
      </c>
      <c r="B43" s="10" t="s">
        <v>287</v>
      </c>
      <c r="C43" s="14" t="str">
        <f>_xll.BDH("XOM US Equity","FREE_CASH_FLOW_PER_SH","FQ1 1990","FQ1 1990","Currency=USD","Period=FQ","BEST_FPERIOD_OVERRIDE=FQ","FILING_STATUS=OR","Sort=A","Dates=H","DateFormat=P","Fill=—","Direction=H","UseDPDF=Y")</f>
        <v>—</v>
      </c>
      <c r="D43" s="14" t="str">
        <f>_xll.BDH("XOM US Equity","FREE_CASH_FLOW_PER_SH","FQ2 1990","FQ2 1990","Currency=USD","Period=FQ","BEST_FPERIOD_OVERRIDE=FQ","FILING_STATUS=OR","Sort=A","Dates=H","DateFormat=P","Fill=—","Direction=H","UseDPDF=Y")</f>
        <v>—</v>
      </c>
      <c r="E43" s="14" t="str">
        <f>_xll.BDH("XOM US Equity","FREE_CASH_FLOW_PER_SH","FQ3 1990","FQ3 1990","Currency=USD","Period=FQ","BEST_FPERIOD_OVERRIDE=FQ","FILING_STATUS=OR","Sort=A","Dates=H","DateFormat=P","Fill=—","Direction=H","UseDPDF=Y")</f>
        <v>—</v>
      </c>
      <c r="F43" s="14" t="str">
        <f>_xll.BDH("XOM US Equity","FREE_CASH_FLOW_PER_SH","FQ4 1990","FQ4 1990","Currency=USD","Period=FQ","BEST_FPERIOD_OVERRIDE=FQ","FILING_STATUS=OR","Sort=A","Dates=H","DateFormat=P","Fill=—","Direction=H","UseDPDF=Y")</f>
        <v>—</v>
      </c>
      <c r="G43" s="14" t="str">
        <f>_xll.BDH("XOM US Equity","FREE_CASH_FLOW_PER_SH","FQ1 1991","FQ1 1991","Currency=USD","Period=FQ","BEST_FPERIOD_OVERRIDE=FQ","FILING_STATUS=OR","Sort=A","Dates=H","DateFormat=P","Fill=—","Direction=H","UseDPDF=Y")</f>
        <v>—</v>
      </c>
      <c r="H43" s="14" t="str">
        <f>_xll.BDH("XOM US Equity","FREE_CASH_FLOW_PER_SH","FQ2 1991","FQ2 1991","Currency=USD","Period=FQ","BEST_FPERIOD_OVERRIDE=FQ","FILING_STATUS=OR","Sort=A","Dates=H","DateFormat=P","Fill=—","Direction=H","UseDPDF=Y")</f>
        <v>—</v>
      </c>
      <c r="I43" s="14" t="str">
        <f>_xll.BDH("XOM US Equity","FREE_CASH_FLOW_PER_SH","FQ3 1991","FQ3 1991","Currency=USD","Period=FQ","BEST_FPERIOD_OVERRIDE=FQ","FILING_STATUS=OR","Sort=A","Dates=H","DateFormat=P","Fill=—","Direction=H","UseDPDF=Y")</f>
        <v>—</v>
      </c>
      <c r="J43" s="14" t="str">
        <f>_xll.BDH("XOM US Equity","FREE_CASH_FLOW_PER_SH","FQ4 1991","FQ4 1991","Currency=USD","Period=FQ","BEST_FPERIOD_OVERRIDE=FQ","FILING_STATUS=OR","Sort=A","Dates=H","DateFormat=P","Fill=—","Direction=H","UseDPDF=Y")</f>
        <v>—</v>
      </c>
      <c r="K43" s="14" t="str">
        <f>_xll.BDH("XOM US Equity","FREE_CASH_FLOW_PER_SH","FQ1 1992","FQ1 1992","Currency=USD","Period=FQ","BEST_FPERIOD_OVERRIDE=FQ","FILING_STATUS=OR","Sort=A","Dates=H","DateFormat=P","Fill=—","Direction=H","UseDPDF=Y")</f>
        <v>—</v>
      </c>
      <c r="L43" s="14" t="str">
        <f>_xll.BDH("XOM US Equity","FREE_CASH_FLOW_PER_SH","FQ2 1992","FQ2 1992","Currency=USD","Period=FQ","BEST_FPERIOD_OVERRIDE=FQ","FILING_STATUS=OR","Sort=A","Dates=H","DateFormat=P","Fill=—","Direction=H","UseDPDF=Y")</f>
        <v>—</v>
      </c>
      <c r="M43" s="14" t="str">
        <f>_xll.BDH("XOM US Equity","FREE_CASH_FLOW_PER_SH","FQ3 1992","FQ3 1992","Currency=USD","Period=FQ","BEST_FPERIOD_OVERRIDE=FQ","FILING_STATUS=OR","Sort=A","Dates=H","DateFormat=P","Fill=—","Direction=H","UseDPDF=Y")</f>
        <v>—</v>
      </c>
      <c r="N43" s="14" t="str">
        <f>_xll.BDH("XOM US Equity","FREE_CASH_FLOW_PER_SH","FQ4 1992","FQ4 1992","Currency=USD","Period=FQ","BEST_FPERIOD_OVERRIDE=FQ","FILING_STATUS=OR","Sort=A","Dates=H","DateFormat=P","Fill=—","Direction=H","UseDPDF=Y")</f>
        <v>—</v>
      </c>
      <c r="O43" s="14" t="str">
        <f>_xll.BDH("XOM US Equity","FREE_CASH_FLOW_PER_SH","FQ1 1993","FQ1 1993","Currency=USD","Period=FQ","BEST_FPERIOD_OVERRIDE=FQ","FILING_STATUS=OR","Sort=A","Dates=H","DateFormat=P","Fill=—","Direction=H","UseDPDF=Y")</f>
        <v>—</v>
      </c>
      <c r="P43" s="14" t="str">
        <f>_xll.BDH("XOM US Equity","FREE_CASH_FLOW_PER_SH","FQ2 1993","FQ2 1993","Currency=USD","Period=FQ","BEST_FPERIOD_OVERRIDE=FQ","FILING_STATUS=OR","Sort=A","Dates=H","DateFormat=P","Fill=—","Direction=H","UseDPDF=Y")</f>
        <v>—</v>
      </c>
      <c r="Q43" s="14" t="str">
        <f>_xll.BDH("XOM US Equity","FREE_CASH_FLOW_PER_SH","FQ3 1993","FQ3 1993","Currency=USD","Period=FQ","BEST_FPERIOD_OVERRIDE=FQ","FILING_STATUS=OR","Sort=A","Dates=H","DateFormat=P","Fill=—","Direction=H","UseDPDF=Y")</f>
        <v>—</v>
      </c>
      <c r="R43" s="14" t="str">
        <f>_xll.BDH("XOM US Equity","FREE_CASH_FLOW_PER_SH","FQ4 1993","FQ4 1993","Currency=USD","Period=FQ","BEST_FPERIOD_OVERRIDE=FQ","FILING_STATUS=OR","Sort=A","Dates=H","DateFormat=P","Fill=—","Direction=H","UseDPDF=Y")</f>
        <v>—</v>
      </c>
      <c r="S43" s="14" t="str">
        <f>_xll.BDH("XOM US Equity","FREE_CASH_FLOW_PER_SH","FQ1 1994","FQ1 1994","Currency=USD","Period=FQ","BEST_FPERIOD_OVERRIDE=FQ","FILING_STATUS=OR","Sort=A","Dates=H","DateFormat=P","Fill=—","Direction=H","UseDPDF=Y")</f>
        <v>—</v>
      </c>
      <c r="T43" s="14" t="str">
        <f>_xll.BDH("XOM US Equity","FREE_CASH_FLOW_PER_SH","FQ2 1994","FQ2 1994","Currency=USD","Period=FQ","BEST_FPERIOD_OVERRIDE=FQ","FILING_STATUS=OR","Sort=A","Dates=H","DateFormat=P","Fill=—","Direction=H","UseDPDF=Y")</f>
        <v>—</v>
      </c>
      <c r="U43" s="14" t="str">
        <f>_xll.BDH("XOM US Equity","FREE_CASH_FLOW_PER_SH","FQ3 1994","FQ3 1994","Currency=USD","Period=FQ","BEST_FPERIOD_OVERRIDE=FQ","FILING_STATUS=OR","Sort=A","Dates=H","DateFormat=P","Fill=—","Direction=H","UseDPDF=Y")</f>
        <v>—</v>
      </c>
      <c r="V43" s="14" t="str">
        <f>_xll.BDH("XOM US Equity","FREE_CASH_FLOW_PER_SH","FQ4 1994","FQ4 1994","Currency=USD","Period=FQ","BEST_FPERIOD_OVERRIDE=FQ","FILING_STATUS=OR","Sort=A","Dates=H","DateFormat=P","Fill=—","Direction=H","UseDPDF=Y")</f>
        <v>—</v>
      </c>
      <c r="W43" s="14">
        <f>_xll.BDH("XOM US Equity","FREE_CASH_FLOW_PER_SH","FQ1 1995","FQ1 1995","Currency=USD","Period=FQ","BEST_FPERIOD_OVERRIDE=FQ","FILING_STATUS=OR","Sort=A","Dates=H","DateFormat=P","Fill=—","Direction=H","UseDPDF=Y")</f>
        <v>0.37909999999999999</v>
      </c>
      <c r="X43" s="14">
        <f>_xll.BDH("XOM US Equity","FREE_CASH_FLOW_PER_SH","FQ2 1995","FQ2 1995","Currency=USD","Period=FQ","BEST_FPERIOD_OVERRIDE=FQ","FILING_STATUS=OR","Sort=A","Dates=H","DateFormat=P","Fill=—","Direction=H","UseDPDF=Y")</f>
        <v>0.28189999999999998</v>
      </c>
      <c r="Y43" s="14">
        <f>_xll.BDH("XOM US Equity","FREE_CASH_FLOW_PER_SH","FQ3 1995","FQ3 1995","Currency=USD","Period=FQ","BEST_FPERIOD_OVERRIDE=FQ","FILING_STATUS=OR","Sort=A","Dates=H","DateFormat=P","Fill=—","Direction=H","UseDPDF=Y")</f>
        <v>0.43590000000000001</v>
      </c>
      <c r="Z43" s="14">
        <f>_xll.BDH("XOM US Equity","FREE_CASH_FLOW_PER_SH","FQ4 1995","FQ4 1995","Currency=USD","Period=FQ","BEST_FPERIOD_OVERRIDE=FQ","FILING_STATUS=OR","Sort=A","Dates=H","DateFormat=P","Fill=—","Direction=H","UseDPDF=Y")</f>
        <v>0.25569999999999998</v>
      </c>
      <c r="AA43" s="14">
        <f>_xll.BDH("XOM US Equity","FREE_CASH_FLOW_PER_SH","FQ1 1996","FQ1 1996","Currency=USD","Period=FQ","BEST_FPERIOD_OVERRIDE=FQ","FILING_STATUS=OR","Sort=A","Dates=H","DateFormat=P","Fill=—","Direction=H","UseDPDF=Y")</f>
        <v>0.53620000000000001</v>
      </c>
      <c r="AB43" s="14">
        <f>_xll.BDH("XOM US Equity","FREE_CASH_FLOW_PER_SH","FQ2 1996","FQ2 1996","Currency=USD","Period=FQ","BEST_FPERIOD_OVERRIDE=FQ","FILING_STATUS=OR","Sort=A","Dates=H","DateFormat=P","Fill=—","Direction=H","UseDPDF=Y")</f>
        <v>0.2288</v>
      </c>
      <c r="AC43" s="14">
        <f>_xll.BDH("XOM US Equity","FREE_CASH_FLOW_PER_SH","FQ3 1996","FQ3 1996","Currency=USD","Period=FQ","BEST_FPERIOD_OVERRIDE=FQ","FILING_STATUS=OR","Sort=A","Dates=H","DateFormat=P","Fill=—","Direction=H","UseDPDF=Y")</f>
        <v>0.26129999999999998</v>
      </c>
      <c r="AD43" s="14">
        <f>_xll.BDH("XOM US Equity","FREE_CASH_FLOW_PER_SH","FQ4 1996","FQ4 1996","Currency=USD","Period=FQ","BEST_FPERIOD_OVERRIDE=FQ","FILING_STATUS=OR","Sort=A","Dates=H","DateFormat=P","Fill=—","Direction=H","UseDPDF=Y")</f>
        <v>0.1719</v>
      </c>
      <c r="AE43" s="14">
        <f>_xll.BDH("XOM US Equity","FREE_CASH_FLOW_PER_SH","FQ1 1997","FQ1 1997","Currency=USD","Period=FQ","BEST_FPERIOD_OVERRIDE=FQ","FILING_STATUS=OR","Sort=A","Dates=H","DateFormat=P","Fill=—","Direction=H","UseDPDF=Y")</f>
        <v>0.61050000000000004</v>
      </c>
      <c r="AF43" s="14">
        <f>_xll.BDH("XOM US Equity","FREE_CASH_FLOW_PER_SH","FQ2 1997","FQ2 1997","Currency=USD","Period=FQ","BEST_FPERIOD_OVERRIDE=FQ","FILING_STATUS=OR","Sort=A","Dates=H","DateFormat=P","Fill=—","Direction=H","UseDPDF=Y")</f>
        <v>0.31530000000000002</v>
      </c>
      <c r="AG43" s="14">
        <f>_xll.BDH("XOM US Equity","FREE_CASH_FLOW_PER_SH","FQ3 1997","FQ3 1997","Currency=USD","Period=FQ","BEST_FPERIOD_OVERRIDE=FQ","FILING_STATUS=OR","Sort=A","Dates=H","DateFormat=P","Fill=—","Direction=H","UseDPDF=Y")</f>
        <v>0.4289</v>
      </c>
      <c r="AH43" s="14">
        <f>_xll.BDH("XOM US Equity","FREE_CASH_FLOW_PER_SH","FQ4 1997","FQ4 1997","Currency=USD","Period=FQ","BEST_FPERIOD_OVERRIDE=FQ","FILING_STATUS=OR","Sort=A","Dates=H","DateFormat=P","Fill=—","Direction=H","UseDPDF=Y")</f>
        <v>0.1154</v>
      </c>
      <c r="AI43" s="14">
        <f>_xll.BDH("XOM US Equity","FREE_CASH_FLOW_PER_SH","FQ1 1998","FQ1 1998","Currency=USD","Period=FQ","BEST_FPERIOD_OVERRIDE=FQ","FILING_STATUS=OR","Sort=A","Dates=H","DateFormat=P","Fill=—","Direction=H","UseDPDF=Y")</f>
        <v>0.27850000000000003</v>
      </c>
      <c r="AJ43" s="14">
        <f>_xll.BDH("XOM US Equity","FREE_CASH_FLOW_PER_SH","FQ2 1998","FQ2 1998","Currency=USD","Period=FQ","BEST_FPERIOD_OVERRIDE=FQ","FILING_STATUS=OR","Sort=A","Dates=H","DateFormat=P","Fill=—","Direction=H","UseDPDF=Y")</f>
        <v>0.18990000000000001</v>
      </c>
    </row>
    <row r="44" spans="1:36" x14ac:dyDescent="0.25">
      <c r="A44" s="10" t="s">
        <v>288</v>
      </c>
      <c r="B44" s="10" t="s">
        <v>289</v>
      </c>
      <c r="C44" s="14" t="str">
        <f>_xll.BDH("XOM US Equity","PX_TO_FREE_CASH_FLOW","FQ1 1990","FQ1 1990","Currency=USD","Period=FQ","BEST_FPERIOD_OVERRIDE=FQ","FILING_STATUS=OR","Sort=A","Dates=H","DateFormat=P","Fill=—","Direction=H","UseDPDF=Y")</f>
        <v>—</v>
      </c>
      <c r="D44" s="14" t="str">
        <f>_xll.BDH("XOM US Equity","PX_TO_FREE_CASH_FLOW","FQ2 1990","FQ2 1990","Currency=USD","Period=FQ","BEST_FPERIOD_OVERRIDE=FQ","FILING_STATUS=OR","Sort=A","Dates=H","DateFormat=P","Fill=—","Direction=H","UseDPDF=Y")</f>
        <v>—</v>
      </c>
      <c r="E44" s="14" t="str">
        <f>_xll.BDH("XOM US Equity","PX_TO_FREE_CASH_FLOW","FQ3 1990","FQ3 1990","Currency=USD","Period=FQ","BEST_FPERIOD_OVERRIDE=FQ","FILING_STATUS=OR","Sort=A","Dates=H","DateFormat=P","Fill=—","Direction=H","UseDPDF=Y")</f>
        <v>—</v>
      </c>
      <c r="F44" s="14" t="str">
        <f>_xll.BDH("XOM US Equity","PX_TO_FREE_CASH_FLOW","FQ4 1990","FQ4 1990","Currency=USD","Period=FQ","BEST_FPERIOD_OVERRIDE=FQ","FILING_STATUS=OR","Sort=A","Dates=H","DateFormat=P","Fill=—","Direction=H","UseDPDF=Y")</f>
        <v>—</v>
      </c>
      <c r="G44" s="14" t="str">
        <f>_xll.BDH("XOM US Equity","PX_TO_FREE_CASH_FLOW","FQ1 1991","FQ1 1991","Currency=USD","Period=FQ","BEST_FPERIOD_OVERRIDE=FQ","FILING_STATUS=OR","Sort=A","Dates=H","DateFormat=P","Fill=—","Direction=H","UseDPDF=Y")</f>
        <v>—</v>
      </c>
      <c r="H44" s="14" t="str">
        <f>_xll.BDH("XOM US Equity","PX_TO_FREE_CASH_FLOW","FQ2 1991","FQ2 1991","Currency=USD","Period=FQ","BEST_FPERIOD_OVERRIDE=FQ","FILING_STATUS=OR","Sort=A","Dates=H","DateFormat=P","Fill=—","Direction=H","UseDPDF=Y")</f>
        <v>—</v>
      </c>
      <c r="I44" s="14" t="str">
        <f>_xll.BDH("XOM US Equity","PX_TO_FREE_CASH_FLOW","FQ3 1991","FQ3 1991","Currency=USD","Period=FQ","BEST_FPERIOD_OVERRIDE=FQ","FILING_STATUS=OR","Sort=A","Dates=H","DateFormat=P","Fill=—","Direction=H","UseDPDF=Y")</f>
        <v>—</v>
      </c>
      <c r="J44" s="14" t="str">
        <f>_xll.BDH("XOM US Equity","PX_TO_FREE_CASH_FLOW","FQ4 1991","FQ4 1991","Currency=USD","Period=FQ","BEST_FPERIOD_OVERRIDE=FQ","FILING_STATUS=OR","Sort=A","Dates=H","DateFormat=P","Fill=—","Direction=H","UseDPDF=Y")</f>
        <v>—</v>
      </c>
      <c r="K44" s="14" t="str">
        <f>_xll.BDH("XOM US Equity","PX_TO_FREE_CASH_FLOW","FQ1 1992","FQ1 1992","Currency=USD","Period=FQ","BEST_FPERIOD_OVERRIDE=FQ","FILING_STATUS=OR","Sort=A","Dates=H","DateFormat=P","Fill=—","Direction=H","UseDPDF=Y")</f>
        <v>—</v>
      </c>
      <c r="L44" s="14" t="str">
        <f>_xll.BDH("XOM US Equity","PX_TO_FREE_CASH_FLOW","FQ2 1992","FQ2 1992","Currency=USD","Period=FQ","BEST_FPERIOD_OVERRIDE=FQ","FILING_STATUS=OR","Sort=A","Dates=H","DateFormat=P","Fill=—","Direction=H","UseDPDF=Y")</f>
        <v>—</v>
      </c>
      <c r="M44" s="14" t="str">
        <f>_xll.BDH("XOM US Equity","PX_TO_FREE_CASH_FLOW","FQ3 1992","FQ3 1992","Currency=USD","Period=FQ","BEST_FPERIOD_OVERRIDE=FQ","FILING_STATUS=OR","Sort=A","Dates=H","DateFormat=P","Fill=—","Direction=H","UseDPDF=Y")</f>
        <v>—</v>
      </c>
      <c r="N44" s="14" t="str">
        <f>_xll.BDH("XOM US Equity","PX_TO_FREE_CASH_FLOW","FQ4 1992","FQ4 1992","Currency=USD","Period=FQ","BEST_FPERIOD_OVERRIDE=FQ","FILING_STATUS=OR","Sort=A","Dates=H","DateFormat=P","Fill=—","Direction=H","UseDPDF=Y")</f>
        <v>—</v>
      </c>
      <c r="O44" s="14" t="str">
        <f>_xll.BDH("XOM US Equity","PX_TO_FREE_CASH_FLOW","FQ1 1993","FQ1 1993","Currency=USD","Period=FQ","BEST_FPERIOD_OVERRIDE=FQ","FILING_STATUS=OR","Sort=A","Dates=H","DateFormat=P","Fill=—","Direction=H","UseDPDF=Y")</f>
        <v>—</v>
      </c>
      <c r="P44" s="14" t="str">
        <f>_xll.BDH("XOM US Equity","PX_TO_FREE_CASH_FLOW","FQ2 1993","FQ2 1993","Currency=USD","Period=FQ","BEST_FPERIOD_OVERRIDE=FQ","FILING_STATUS=OR","Sort=A","Dates=H","DateFormat=P","Fill=—","Direction=H","UseDPDF=Y")</f>
        <v>—</v>
      </c>
      <c r="Q44" s="14" t="str">
        <f>_xll.BDH("XOM US Equity","PX_TO_FREE_CASH_FLOW","FQ3 1993","FQ3 1993","Currency=USD","Period=FQ","BEST_FPERIOD_OVERRIDE=FQ","FILING_STATUS=OR","Sort=A","Dates=H","DateFormat=P","Fill=—","Direction=H","UseDPDF=Y")</f>
        <v>—</v>
      </c>
      <c r="R44" s="14" t="str">
        <f>_xll.BDH("XOM US Equity","PX_TO_FREE_CASH_FLOW","FQ4 1993","FQ4 1993","Currency=USD","Period=FQ","BEST_FPERIOD_OVERRIDE=FQ","FILING_STATUS=OR","Sort=A","Dates=H","DateFormat=P","Fill=—","Direction=H","UseDPDF=Y")</f>
        <v>—</v>
      </c>
      <c r="S44" s="14" t="str">
        <f>_xll.BDH("XOM US Equity","PX_TO_FREE_CASH_FLOW","FQ1 1994","FQ1 1994","Currency=USD","Period=FQ","BEST_FPERIOD_OVERRIDE=FQ","FILING_STATUS=OR","Sort=A","Dates=H","DateFormat=P","Fill=—","Direction=H","UseDPDF=Y")</f>
        <v>—</v>
      </c>
      <c r="T44" s="14" t="str">
        <f>_xll.BDH("XOM US Equity","PX_TO_FREE_CASH_FLOW","FQ2 1994","FQ2 1994","Currency=USD","Period=FQ","BEST_FPERIOD_OVERRIDE=FQ","FILING_STATUS=OR","Sort=A","Dates=H","DateFormat=P","Fill=—","Direction=H","UseDPDF=Y")</f>
        <v>—</v>
      </c>
      <c r="U44" s="14" t="str">
        <f>_xll.BDH("XOM US Equity","PX_TO_FREE_CASH_FLOW","FQ3 1994","FQ3 1994","Currency=USD","Period=FQ","BEST_FPERIOD_OVERRIDE=FQ","FILING_STATUS=OR","Sort=A","Dates=H","DateFormat=P","Fill=—","Direction=H","UseDPDF=Y")</f>
        <v>—</v>
      </c>
      <c r="V44" s="14" t="str">
        <f>_xll.BDH("XOM US Equity","PX_TO_FREE_CASH_FLOW","FQ4 1994","FQ4 1994","Currency=USD","Period=FQ","BEST_FPERIOD_OVERRIDE=FQ","FILING_STATUS=OR","Sort=A","Dates=H","DateFormat=P","Fill=—","Direction=H","UseDPDF=Y")</f>
        <v>—</v>
      </c>
      <c r="W44" s="14" t="str">
        <f>_xll.BDH("XOM US Equity","PX_TO_FREE_CASH_FLOW","FQ1 1995","FQ1 1995","Currency=USD","Period=FQ","BEST_FPERIOD_OVERRIDE=FQ","FILING_STATUS=OR","Sort=A","Dates=H","DateFormat=P","Fill=—","Direction=H","UseDPDF=Y")</f>
        <v>—</v>
      </c>
      <c r="X44" s="14" t="str">
        <f>_xll.BDH("XOM US Equity","PX_TO_FREE_CASH_FLOW","FQ2 1995","FQ2 1995","Currency=USD","Period=FQ","BEST_FPERIOD_OVERRIDE=FQ","FILING_STATUS=OR","Sort=A","Dates=H","DateFormat=P","Fill=—","Direction=H","UseDPDF=Y")</f>
        <v>—</v>
      </c>
      <c r="Y44" s="14" t="str">
        <f>_xll.BDH("XOM US Equity","PX_TO_FREE_CASH_FLOW","FQ3 1995","FQ3 1995","Currency=USD","Period=FQ","BEST_FPERIOD_OVERRIDE=FQ","FILING_STATUS=OR","Sort=A","Dates=H","DateFormat=P","Fill=—","Direction=H","UseDPDF=Y")</f>
        <v>—</v>
      </c>
      <c r="Z44" s="14">
        <f>_xll.BDH("XOM US Equity","PX_TO_FREE_CASH_FLOW","FQ4 1995","FQ4 1995","Currency=USD","Period=FQ","BEST_FPERIOD_OVERRIDE=FQ","FILING_STATUS=OR","Sort=A","Dates=H","DateFormat=P","Fill=—","Direction=H","UseDPDF=Y")</f>
        <v>14.879300000000001</v>
      </c>
      <c r="AA44" s="14">
        <f>_xll.BDH("XOM US Equity","PX_TO_FREE_CASH_FLOW","FQ1 1996","FQ1 1996","Currency=USD","Period=FQ","BEST_FPERIOD_OVERRIDE=FQ","FILING_STATUS=OR","Sort=A","Dates=H","DateFormat=P","Fill=—","Direction=H","UseDPDF=Y")</f>
        <v>13.4968</v>
      </c>
      <c r="AB44" s="14">
        <f>_xll.BDH("XOM US Equity","PX_TO_FREE_CASH_FLOW","FQ2 1996","FQ2 1996","Currency=USD","Period=FQ","BEST_FPERIOD_OVERRIDE=FQ","FILING_STATUS=OR","Sort=A","Dates=H","DateFormat=P","Fill=—","Direction=H","UseDPDF=Y")</f>
        <v>14.9109</v>
      </c>
      <c r="AC44" s="14">
        <f>_xll.BDH("XOM US Equity","PX_TO_FREE_CASH_FLOW","FQ3 1996","FQ3 1996","Currency=USD","Period=FQ","BEST_FPERIOD_OVERRIDE=FQ","FILING_STATUS=OR","Sort=A","Dates=H","DateFormat=P","Fill=—","Direction=H","UseDPDF=Y")</f>
        <v>16.234300000000001</v>
      </c>
      <c r="AD44" s="14">
        <f>_xll.BDH("XOM US Equity","PX_TO_FREE_CASH_FLOW","FQ4 1996","FQ4 1996","Currency=USD","Period=FQ","BEST_FPERIOD_OVERRIDE=FQ","FILING_STATUS=OR","Sort=A","Dates=H","DateFormat=P","Fill=—","Direction=H","UseDPDF=Y")</f>
        <v>20.446100000000001</v>
      </c>
      <c r="AE44" s="14">
        <f>_xll.BDH("XOM US Equity","PX_TO_FREE_CASH_FLOW","FQ1 1997","FQ1 1997","Currency=USD","Period=FQ","BEST_FPERIOD_OVERRIDE=FQ","FILING_STATUS=OR","Sort=A","Dates=H","DateFormat=P","Fill=—","Direction=H","UseDPDF=Y")</f>
        <v>21.168199999999999</v>
      </c>
      <c r="AF44" s="14">
        <f>_xll.BDH("XOM US Equity","PX_TO_FREE_CASH_FLOW","FQ2 1997","FQ2 1997","Currency=USD","Period=FQ","BEST_FPERIOD_OVERRIDE=FQ","FILING_STATUS=OR","Sort=A","Dates=H","DateFormat=P","Fill=—","Direction=H","UseDPDF=Y")</f>
        <v>22.398700000000002</v>
      </c>
      <c r="AG44" s="14">
        <f>_xll.BDH("XOM US Equity","PX_TO_FREE_CASH_FLOW","FQ3 1997","FQ3 1997","Currency=USD","Period=FQ","BEST_FPERIOD_OVERRIDE=FQ","FILING_STATUS=OR","Sort=A","Dates=H","DateFormat=P","Fill=—","Direction=H","UseDPDF=Y")</f>
        <v>20.624199999999998</v>
      </c>
      <c r="AH44" s="14">
        <f>_xll.BDH("XOM US Equity","PX_TO_FREE_CASH_FLOW","FQ4 1997","FQ4 1997","Currency=USD","Period=FQ","BEST_FPERIOD_OVERRIDE=FQ","FILING_STATUS=OR","Sort=A","Dates=H","DateFormat=P","Fill=—","Direction=H","UseDPDF=Y")</f>
        <v>20.442399999999999</v>
      </c>
      <c r="AI44" s="14">
        <f>_xll.BDH("XOM US Equity","PX_TO_FREE_CASH_FLOW","FQ1 1998","FQ1 1998","Currency=USD","Period=FQ","BEST_FPERIOD_OVERRIDE=FQ","FILING_STATUS=OR","Sort=A","Dates=H","DateFormat=P","Fill=—","Direction=H","UseDPDF=Y")</f>
        <v>29.2425</v>
      </c>
      <c r="AJ44" s="14">
        <f>_xll.BDH("XOM US Equity","PX_TO_FREE_CASH_FLOW","FQ2 1998","FQ2 1998","Currency=USD","Period=FQ","BEST_FPERIOD_OVERRIDE=FQ","FILING_STATUS=OR","Sort=A","Dates=H","DateFormat=P","Fill=—","Direction=H","UseDPDF=Y")</f>
        <v>35.447899999999997</v>
      </c>
    </row>
    <row r="45" spans="1:36" x14ac:dyDescent="0.25">
      <c r="A45" s="10" t="s">
        <v>290</v>
      </c>
      <c r="B45" s="10" t="s">
        <v>291</v>
      </c>
      <c r="C45" s="14">
        <f>_xll.BDH("XOM US Equity","CASH_FLOW_TO_NET_INC","FQ1 1990","FQ1 1990","Currency=USD","Period=FQ","BEST_FPERIOD_OVERRIDE=FQ","FILING_STATUS=OR","FA_ADJUSTED=GAAP","Sort=A","Dates=H","DateFormat=P","Fill=—","Direction=H","UseDPDF=Y")</f>
        <v>1.3828</v>
      </c>
      <c r="D45" s="14">
        <f>_xll.BDH("XOM US Equity","CASH_FLOW_TO_NET_INC","FQ2 1990","FQ2 1990","Currency=USD","Period=FQ","BEST_FPERIOD_OVERRIDE=FQ","FILING_STATUS=OR","FA_ADJUSTED=GAAP","Sort=A","Dates=H","DateFormat=P","Fill=—","Direction=H","UseDPDF=Y")</f>
        <v>2.5009000000000001</v>
      </c>
      <c r="E45" s="14">
        <f>_xll.BDH("XOM US Equity","CASH_FLOW_TO_NET_INC","FQ3 1990","FQ3 1990","Currency=USD","Period=FQ","BEST_FPERIOD_OVERRIDE=FQ","FILING_STATUS=OR","FA_ADJUSTED=GAAP","Sort=A","Dates=H","DateFormat=P","Fill=—","Direction=H","UseDPDF=Y")</f>
        <v>1.8242</v>
      </c>
      <c r="F45" s="14">
        <f>_xll.BDH("XOM US Equity","CASH_FLOW_TO_NET_INC","FQ4 1990","FQ4 1990","Currency=USD","Period=FQ","BEST_FPERIOD_OVERRIDE=FQ","FILING_STATUS=OR","FA_ADJUSTED=GAAP","Sort=A","Dates=H","DateFormat=P","Fill=—","Direction=H","UseDPDF=Y")</f>
        <v>2.6778</v>
      </c>
      <c r="G45" s="14">
        <f>_xll.BDH("XOM US Equity","CASH_FLOW_TO_NET_INC","FQ1 1991","FQ1 1991","Currency=USD","Period=FQ","BEST_FPERIOD_OVERRIDE=FQ","FILING_STATUS=OR","FA_ADJUSTED=GAAP","Sort=A","Dates=H","DateFormat=P","Fill=—","Direction=H","UseDPDF=Y")</f>
        <v>1.2277</v>
      </c>
      <c r="H45" s="14">
        <f>_xll.BDH("XOM US Equity","CASH_FLOW_TO_NET_INC","FQ2 1991","FQ2 1991","Currency=USD","Period=FQ","BEST_FPERIOD_OVERRIDE=FQ","FILING_STATUS=OR","FA_ADJUSTED=GAAP","Sort=A","Dates=H","DateFormat=P","Fill=—","Direction=H","UseDPDF=Y")</f>
        <v>2.3048999999999999</v>
      </c>
      <c r="I45" s="14">
        <f>_xll.BDH("XOM US Equity","CASH_FLOW_TO_NET_INC","FQ3 1991","FQ3 1991","Currency=USD","Period=FQ","BEST_FPERIOD_OVERRIDE=FQ","FILING_STATUS=OR","FA_ADJUSTED=GAAP","Sort=A","Dates=H","DateFormat=P","Fill=—","Direction=H","UseDPDF=Y")</f>
        <v>2.5103</v>
      </c>
      <c r="J45" s="14">
        <f>_xll.BDH("XOM US Equity","CASH_FLOW_TO_NET_INC","FQ4 1991","FQ4 1991","Currency=USD","Period=FQ","BEST_FPERIOD_OVERRIDE=FQ","FILING_STATUS=OR","FA_ADJUSTED=GAAP","Sort=A","Dates=H","DateFormat=P","Fill=—","Direction=H","UseDPDF=Y")</f>
        <v>2.5</v>
      </c>
      <c r="K45" s="14">
        <f>_xll.BDH("XOM US Equity","CASH_FLOW_TO_NET_INC","FQ1 1992","FQ1 1992","Currency=USD","Period=FQ","BEST_FPERIOD_OVERRIDE=FQ","FILING_STATUS=OR","FA_ADJUSTED=GAAP","Sort=A","Dates=H","DateFormat=P","Fill=—","Direction=H","UseDPDF=Y")</f>
        <v>1.837</v>
      </c>
      <c r="L45" s="14">
        <f>_xll.BDH("XOM US Equity","CASH_FLOW_TO_NET_INC","FQ2 1992","FQ2 1992","Currency=USD","Period=FQ","BEST_FPERIOD_OVERRIDE=FQ","FILING_STATUS=OR","FA_ADJUSTED=GAAP","Sort=A","Dates=H","DateFormat=P","Fill=—","Direction=H","UseDPDF=Y")</f>
        <v>1.8387</v>
      </c>
      <c r="M45" s="14">
        <f>_xll.BDH("XOM US Equity","CASH_FLOW_TO_NET_INC","FQ3 1992","FQ3 1992","Currency=USD","Period=FQ","BEST_FPERIOD_OVERRIDE=FQ","FILING_STATUS=OR","FA_ADJUSTED=GAAP","Sort=A","Dates=H","DateFormat=P","Fill=—","Direction=H","UseDPDF=Y")</f>
        <v>2.2827999999999999</v>
      </c>
      <c r="N45" s="14">
        <f>_xll.BDH("XOM US Equity","CASH_FLOW_TO_NET_INC","FQ4 1992","FQ4 1992","Currency=USD","Period=FQ","BEST_FPERIOD_OVERRIDE=FQ","FILING_STATUS=OR","FA_ADJUSTED=GAAP","Sort=A","Dates=H","DateFormat=P","Fill=—","Direction=H","UseDPDF=Y")</f>
        <v>1.7846</v>
      </c>
      <c r="O45" s="14">
        <f>_xll.BDH("XOM US Equity","CASH_FLOW_TO_NET_INC","FQ1 1993","FQ1 1993","Currency=USD","Period=FQ","BEST_FPERIOD_OVERRIDE=FQ","FILING_STATUS=OR","FA_ADJUSTED=GAAP","Sort=A","Dates=H","DateFormat=P","Fill=—","Direction=H","UseDPDF=Y")</f>
        <v>2.2042000000000002</v>
      </c>
      <c r="P45" s="14">
        <f>_xll.BDH("XOM US Equity","CASH_FLOW_TO_NET_INC","FQ2 1993","FQ2 1993","Currency=USD","Period=FQ","BEST_FPERIOD_OVERRIDE=FQ","FILING_STATUS=OR","FA_ADJUSTED=GAAP","Sort=A","Dates=H","DateFormat=P","Fill=—","Direction=H","UseDPDF=Y")</f>
        <v>2.1764999999999999</v>
      </c>
      <c r="Q45" s="14">
        <f>_xll.BDH("XOM US Equity","CASH_FLOW_TO_NET_INC","FQ3 1993","FQ3 1993","Currency=USD","Period=FQ","BEST_FPERIOD_OVERRIDE=FQ","FILING_STATUS=OR","FA_ADJUSTED=GAAP","Sort=A","Dates=H","DateFormat=P","Fill=—","Direction=H","UseDPDF=Y")</f>
        <v>2.3359999999999999</v>
      </c>
      <c r="R45" s="14">
        <f>_xll.BDH("XOM US Equity","CASH_FLOW_TO_NET_INC","FQ4 1993","FQ4 1993","Currency=USD","Period=FQ","BEST_FPERIOD_OVERRIDE=FQ","FILING_STATUS=OR","FA_ADJUSTED=GAAP","Sort=A","Dates=H","DateFormat=P","Fill=—","Direction=H","UseDPDF=Y")</f>
        <v>2.0173000000000001</v>
      </c>
      <c r="S45" s="14">
        <f>_xll.BDH("XOM US Equity","CASH_FLOW_TO_NET_INC","FQ1 1994","FQ1 1994","Currency=USD","Period=FQ","BEST_FPERIOD_OVERRIDE=FQ","FILING_STATUS=OR","FA_ADJUSTED=GAAP","Sort=A","Dates=H","DateFormat=P","Fill=—","Direction=H","UseDPDF=Y")</f>
        <v>2.0371000000000001</v>
      </c>
      <c r="T45" s="14">
        <f>_xll.BDH("XOM US Equity","CASH_FLOW_TO_NET_INC","FQ2 1994","FQ2 1994","Currency=USD","Period=FQ","BEST_FPERIOD_OVERRIDE=FQ","FILING_STATUS=OR","FA_ADJUSTED=GAAP","Sort=A","Dates=H","DateFormat=P","Fill=—","Direction=H","UseDPDF=Y")</f>
        <v>2.3220000000000001</v>
      </c>
      <c r="U45" s="14">
        <f>_xll.BDH("XOM US Equity","CASH_FLOW_TO_NET_INC","FQ3 1994","FQ3 1994","Currency=USD","Period=FQ","BEST_FPERIOD_OVERRIDE=FQ","FILING_STATUS=OR","FA_ADJUSTED=GAAP","Sort=A","Dates=H","DateFormat=P","Fill=—","Direction=H","UseDPDF=Y")</f>
        <v>2.3229000000000002</v>
      </c>
      <c r="V45" s="14">
        <f>_xll.BDH("XOM US Equity","CASH_FLOW_TO_NET_INC","FQ4 1994","FQ4 1994","Currency=USD","Period=FQ","BEST_FPERIOD_OVERRIDE=FQ","FILING_STATUS=OR","FA_ADJUSTED=GAAP","Sort=A","Dates=H","DateFormat=P","Fill=—","Direction=H","UseDPDF=Y")</f>
        <v>1.4474</v>
      </c>
      <c r="W45" s="14">
        <f>_xll.BDH("XOM US Equity","CASH_FLOW_TO_NET_INC","FQ1 1995","FQ1 1995","Currency=USD","Period=FQ","BEST_FPERIOD_OVERRIDE=FQ","FILING_STATUS=OR","FA_ADJUSTED=GAAP","Sort=A","Dates=H","DateFormat=P","Fill=—","Direction=H","UseDPDF=Y")</f>
        <v>1.9771000000000001</v>
      </c>
      <c r="X45" s="14">
        <f>_xll.BDH("XOM US Equity","CASH_FLOW_TO_NET_INC","FQ2 1995","FQ2 1995","Currency=USD","Period=FQ","BEST_FPERIOD_OVERRIDE=FQ","FILING_STATUS=OR","FA_ADJUSTED=GAAP","Sort=A","Dates=H","DateFormat=P","Fill=—","Direction=H","UseDPDF=Y")</f>
        <v>1.8698999999999999</v>
      </c>
      <c r="Y45" s="14">
        <f>_xll.BDH("XOM US Equity","CASH_FLOW_TO_NET_INC","FQ3 1995","FQ3 1995","Currency=USD","Period=FQ","BEST_FPERIOD_OVERRIDE=FQ","FILING_STATUS=OR","FA_ADJUSTED=GAAP","Sort=A","Dates=H","DateFormat=P","Fill=—","Direction=H","UseDPDF=Y")</f>
        <v>2.6292999999999997</v>
      </c>
      <c r="Z45" s="14">
        <f>_xll.BDH("XOM US Equity","CASH_FLOW_TO_NET_INC","FQ4 1995","FQ4 1995","Currency=USD","Period=FQ","BEST_FPERIOD_OVERRIDE=FQ","FILING_STATUS=OR","FA_ADJUSTED=GAAP","Sort=A","Dates=H","DateFormat=P","Fill=—","Direction=H","UseDPDF=Y")</f>
        <v>2.1267999999999998</v>
      </c>
      <c r="AA45" s="14">
        <f>_xll.BDH("XOM US Equity","CASH_FLOW_TO_NET_INC","FQ1 1996","FQ1 1996","Currency=USD","Period=FQ","BEST_FPERIOD_OVERRIDE=FQ","FILING_STATUS=OR","FA_ADJUSTED=GAAP","Sort=A","Dates=H","DateFormat=P","Fill=—","Direction=H","UseDPDF=Y")</f>
        <v>2.1629</v>
      </c>
      <c r="AB45" s="14">
        <f>_xll.BDH("XOM US Equity","CASH_FLOW_TO_NET_INC","FQ2 1996","FQ2 1996","Currency=USD","Period=FQ","BEST_FPERIOD_OVERRIDE=FQ","FILING_STATUS=OR","FA_ADJUSTED=GAAP","Sort=A","Dates=H","DateFormat=P","Fill=—","Direction=H","UseDPDF=Y")</f>
        <v>1.9</v>
      </c>
      <c r="AC45" s="14">
        <f>_xll.BDH("XOM US Equity","CASH_FLOW_TO_NET_INC","FQ3 1996","FQ3 1996","Currency=USD","Period=FQ","BEST_FPERIOD_OVERRIDE=FQ","FILING_STATUS=OR","FA_ADJUSTED=GAAP","Sort=A","Dates=H","DateFormat=P","Fill=—","Direction=H","UseDPDF=Y")</f>
        <v>2.0127999999999999</v>
      </c>
      <c r="AD45" s="14">
        <f>_xll.BDH("XOM US Equity","CASH_FLOW_TO_NET_INC","FQ4 1996","FQ4 1996","Currency=USD","Period=FQ","BEST_FPERIOD_OVERRIDE=FQ","FILING_STATUS=OR","FA_ADJUSTED=GAAP","Sort=A","Dates=H","DateFormat=P","Fill=—","Direction=H","UseDPDF=Y")</f>
        <v>1.1872</v>
      </c>
      <c r="AE45" s="14">
        <f>_xll.BDH("XOM US Equity","CASH_FLOW_TO_NET_INC","FQ1 1997","FQ1 1997","Currency=USD","Period=FQ","BEST_FPERIOD_OVERRIDE=FQ","FILING_STATUS=OR","FA_ADJUSTED=GAAP","Sort=A","Dates=H","DateFormat=P","Fill=—","Direction=H","UseDPDF=Y")</f>
        <v>2.0754000000000001</v>
      </c>
      <c r="AF45" s="14">
        <f>_xll.BDH("XOM US Equity","CASH_FLOW_TO_NET_INC","FQ2 1997","FQ2 1997","Currency=USD","Period=FQ","BEST_FPERIOD_OVERRIDE=FQ","FILING_STATUS=OR","FA_ADJUSTED=GAAP","Sort=A","Dates=H","DateFormat=P","Fill=—","Direction=H","UseDPDF=Y")</f>
        <v>1.7368999999999999</v>
      </c>
      <c r="AG45" s="14">
        <f>_xll.BDH("XOM US Equity","CASH_FLOW_TO_NET_INC","FQ3 1997","FQ3 1997","Currency=USD","Period=FQ","BEST_FPERIOD_OVERRIDE=FQ","FILING_STATUS=OR","FA_ADJUSTED=GAAP","Sort=A","Dates=H","DateFormat=P","Fill=—","Direction=H","UseDPDF=Y")</f>
        <v>2.2462</v>
      </c>
      <c r="AH45" s="14">
        <f>_xll.BDH("XOM US Equity","CASH_FLOW_TO_NET_INC","FQ4 1997","FQ4 1997","Currency=USD","Period=FQ","BEST_FPERIOD_OVERRIDE=FQ","FILING_STATUS=OR","FA_ADJUSTED=GAAP","Sort=A","Dates=H","DateFormat=P","Fill=—","Direction=H","UseDPDF=Y")</f>
        <v>1.0644</v>
      </c>
      <c r="AI45" s="14">
        <f>_xll.BDH("XOM US Equity","CASH_FLOW_TO_NET_INC","FQ1 1998","FQ1 1998","Currency=USD","Period=FQ","BEST_FPERIOD_OVERRIDE=FQ","FILING_STATUS=OR","FA_ADJUSTED=GAAP","Sort=A","Dates=H","DateFormat=P","Fill=—","Direction=H","UseDPDF=Y")</f>
        <v>1.6265000000000001</v>
      </c>
      <c r="AJ45" s="14">
        <f>_xll.BDH("XOM US Equity","CASH_FLOW_TO_NET_INC","FQ2 1998","FQ2 1998","Currency=USD","Period=FQ","BEST_FPERIOD_OVERRIDE=FQ","FILING_STATUS=OR","FA_ADJUSTED=GAAP","Sort=A","Dates=H","DateFormat=P","Fill=—","Direction=H","UseDPDF=Y")</f>
        <v>1.829</v>
      </c>
    </row>
    <row r="46" spans="1:36" x14ac:dyDescent="0.25">
      <c r="A46" s="7" t="s">
        <v>144</v>
      </c>
      <c r="B46" s="7"/>
      <c r="C46" s="7" t="s">
        <v>4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7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36" width="11.85546875" customWidth="1"/>
  </cols>
  <sheetData>
    <row r="1" spans="1:3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20.25" x14ac:dyDescent="0.25">
      <c r="A2" s="8" t="s">
        <v>292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</row>
    <row r="3" spans="1:36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25">
      <c r="A4" s="3" t="s">
        <v>6</v>
      </c>
      <c r="B4" s="3"/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23</v>
      </c>
      <c r="T4" s="4" t="s">
        <v>24</v>
      </c>
      <c r="U4" s="4" t="s">
        <v>25</v>
      </c>
      <c r="V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31</v>
      </c>
      <c r="AB4" s="4" t="s">
        <v>32</v>
      </c>
      <c r="AC4" s="4" t="s">
        <v>33</v>
      </c>
      <c r="AD4" s="4" t="s">
        <v>34</v>
      </c>
      <c r="AE4" s="4" t="s">
        <v>35</v>
      </c>
      <c r="AF4" s="4" t="s">
        <v>36</v>
      </c>
      <c r="AG4" s="4" t="s">
        <v>37</v>
      </c>
      <c r="AH4" s="4" t="s">
        <v>38</v>
      </c>
      <c r="AI4" s="4" t="s">
        <v>39</v>
      </c>
      <c r="AJ4" s="4" t="s">
        <v>40</v>
      </c>
    </row>
    <row r="5" spans="1:36" x14ac:dyDescent="0.25">
      <c r="A5" s="9" t="s">
        <v>41</v>
      </c>
      <c r="B5" s="9"/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  <c r="L5" s="5" t="s">
        <v>51</v>
      </c>
      <c r="M5" s="5" t="s">
        <v>52</v>
      </c>
      <c r="N5" s="5" t="s">
        <v>53</v>
      </c>
      <c r="O5" s="5" t="s">
        <v>54</v>
      </c>
      <c r="P5" s="5" t="s">
        <v>55</v>
      </c>
      <c r="Q5" s="5" t="s">
        <v>56</v>
      </c>
      <c r="R5" s="5" t="s">
        <v>57</v>
      </c>
      <c r="S5" s="5" t="s">
        <v>58</v>
      </c>
      <c r="T5" s="5" t="s">
        <v>59</v>
      </c>
      <c r="U5" s="5" t="s">
        <v>60</v>
      </c>
      <c r="V5" s="5" t="s">
        <v>61</v>
      </c>
      <c r="W5" s="5" t="s">
        <v>62</v>
      </c>
      <c r="X5" s="5" t="s">
        <v>63</v>
      </c>
      <c r="Y5" s="5" t="s">
        <v>64</v>
      </c>
      <c r="Z5" s="5" t="s">
        <v>65</v>
      </c>
      <c r="AA5" s="5" t="s">
        <v>66</v>
      </c>
      <c r="AB5" s="5" t="s">
        <v>67</v>
      </c>
      <c r="AC5" s="5" t="s">
        <v>68</v>
      </c>
      <c r="AD5" s="5" t="s">
        <v>69</v>
      </c>
      <c r="AE5" s="5" t="s">
        <v>70</v>
      </c>
      <c r="AF5" s="5" t="s">
        <v>71</v>
      </c>
      <c r="AG5" s="5" t="s">
        <v>72</v>
      </c>
      <c r="AH5" s="5" t="s">
        <v>73</v>
      </c>
      <c r="AI5" s="5" t="s">
        <v>74</v>
      </c>
      <c r="AJ5" s="5" t="s">
        <v>75</v>
      </c>
    </row>
    <row r="6" spans="1:36" x14ac:dyDescent="0.25">
      <c r="A6" s="10" t="s">
        <v>293</v>
      </c>
      <c r="B6" s="10" t="s">
        <v>222</v>
      </c>
      <c r="C6" s="13">
        <f>_xll.BDH("XOM US Equity","BS_SH_OUT","FQ1 1990","FQ1 1990","Currency=USD","Period=FQ","BEST_FPERIOD_OVERRIDE=FQ","FILING_STATUS=OR","Sort=A","Dates=H","DateFormat=P","Fill=—","Direction=H","UseDPDF=Y")</f>
        <v>4993.7559000000001</v>
      </c>
      <c r="D6" s="13">
        <f>_xll.BDH("XOM US Equity","BS_SH_OUT","FQ2 1990","FQ2 1990","Currency=USD","Period=FQ","BEST_FPERIOD_OVERRIDE=FQ","FILING_STATUS=OR","Sort=A","Dates=H","DateFormat=P","Fill=—","Direction=H","UseDPDF=Y")</f>
        <v>4988.2758999999996</v>
      </c>
      <c r="E6" s="13">
        <f>_xll.BDH("XOM US Equity","BS_SH_OUT","FQ3 1990","FQ3 1990","Currency=USD","Period=FQ","BEST_FPERIOD_OVERRIDE=FQ","FILING_STATUS=OR","Sort=A","Dates=H","DateFormat=P","Fill=—","Direction=H","UseDPDF=Y")</f>
        <v>4984.7402000000002</v>
      </c>
      <c r="F6" s="13">
        <f>_xll.BDH("XOM US Equity","BS_SH_OUT","FQ4 1990","FQ4 1990","Currency=USD","Period=FQ","BEST_FPERIOD_OVERRIDE=FQ","FILING_STATUS=OR","Sort=A","Dates=H","DateFormat=P","Fill=—","Direction=H","UseDPDF=Y")</f>
        <v>4980</v>
      </c>
      <c r="G6" s="13">
        <f>_xll.BDH("XOM US Equity","BS_SH_OUT","FQ1 1991","FQ1 1991","Currency=USD","Period=FQ","BEST_FPERIOD_OVERRIDE=FQ","FILING_STATUS=OR","Sort=A","Dates=H","DateFormat=P","Fill=—","Direction=H","UseDPDF=Y")</f>
        <v>4978.9839000000002</v>
      </c>
      <c r="H6" s="13">
        <f>_xll.BDH("XOM US Equity","BS_SH_OUT","FQ2 1991","FQ2 1991","Currency=USD","Period=FQ","BEST_FPERIOD_OVERRIDE=FQ","FILING_STATUS=OR","Sort=A","Dates=H","DateFormat=P","Fill=—","Direction=H","UseDPDF=Y")</f>
        <v>4975.3521000000001</v>
      </c>
      <c r="I6" s="13">
        <f>_xll.BDH("XOM US Equity","BS_SH_OUT","FQ3 1991","FQ3 1991","Currency=USD","Period=FQ","BEST_FPERIOD_OVERRIDE=FQ","FILING_STATUS=OR","Sort=A","Dates=H","DateFormat=P","Fill=—","Direction=H","UseDPDF=Y")</f>
        <v>4981.5679</v>
      </c>
      <c r="J6" s="13">
        <f>_xll.BDH("XOM US Equity","BS_SH_OUT","FQ4 1991","FQ4 1991","Currency=USD","Period=FQ","BEST_FPERIOD_OVERRIDE=FQ","FILING_STATUS=OR","Sort=A","Dates=H","DateFormat=P","Fill=—","Direction=H","UseDPDF=Y")</f>
        <v>4968</v>
      </c>
      <c r="K6" s="13">
        <f>_xll.BDH("XOM US Equity","BS_SH_OUT","FQ1 1992","FQ1 1992","Currency=USD","Period=FQ","BEST_FPERIOD_OVERRIDE=FQ","FILING_STATUS=OR","Sort=A","Dates=H","DateFormat=P","Fill=—","Direction=H","UseDPDF=Y")</f>
        <v>4965.6880000000001</v>
      </c>
      <c r="L6" s="13">
        <f>_xll.BDH("XOM US Equity","BS_SH_OUT","FQ2 1992","FQ2 1992","Currency=USD","Period=FQ","BEST_FPERIOD_OVERRIDE=FQ","FILING_STATUS=OR","Sort=A","Dates=H","DateFormat=P","Fill=—","Direction=H","UseDPDF=Y")</f>
        <v>4966</v>
      </c>
      <c r="M6" s="13">
        <f>_xll.BDH("XOM US Equity","BS_SH_OUT","FQ3 1992","FQ3 1992","Currency=USD","Period=FQ","BEST_FPERIOD_OVERRIDE=FQ","FILING_STATUS=OR","Sort=A","Dates=H","DateFormat=P","Fill=—","Direction=H","UseDPDF=Y")</f>
        <v>4966</v>
      </c>
      <c r="N6" s="13">
        <f>_xll.BDH("XOM US Equity","BS_SH_OUT","FQ4 1992","FQ4 1992","Currency=USD","Period=FQ","BEST_FPERIOD_OVERRIDE=FQ","FILING_STATUS=OR","Sort=A","Dates=H","DateFormat=P","Fill=—","Direction=H","UseDPDF=Y")</f>
        <v>4968</v>
      </c>
      <c r="O6" s="13">
        <f>_xll.BDH("XOM US Equity","BS_SH_OUT","FQ1 1993","FQ1 1993","Currency=USD","Period=FQ","BEST_FPERIOD_OVERRIDE=FQ","FILING_STATUS=OR","Sort=A","Dates=H","DateFormat=P","Fill=—","Direction=H","UseDPDF=Y")</f>
        <v>4968</v>
      </c>
      <c r="P6" s="13">
        <f>_xll.BDH("XOM US Equity","BS_SH_OUT","FQ2 1993","FQ2 1993","Currency=USD","Period=FQ","BEST_FPERIOD_OVERRIDE=FQ","FILING_STATUS=OR","Sort=A","Dates=H","DateFormat=P","Fill=—","Direction=H","UseDPDF=Y")</f>
        <v>4968</v>
      </c>
      <c r="Q6" s="13">
        <f>_xll.BDH("XOM US Equity","BS_SH_OUT","FQ3 1993","FQ3 1993","Currency=USD","Period=FQ","BEST_FPERIOD_OVERRIDE=FQ","FILING_STATUS=OR","Sort=A","Dates=H","DateFormat=P","Fill=—","Direction=H","UseDPDF=Y")</f>
        <v>4968</v>
      </c>
      <c r="R6" s="13">
        <f>_xll.BDH("XOM US Equity","BS_SH_OUT","FQ4 1993","FQ4 1993","Currency=USD","Period=FQ","BEST_FPERIOD_OVERRIDE=FQ","FILING_STATUS=OR","Sort=A","Dates=H","DateFormat=P","Fill=—","Direction=H","UseDPDF=Y")</f>
        <v>4968</v>
      </c>
      <c r="S6" s="13">
        <f>_xll.BDH("XOM US Equity","BS_SH_OUT","FQ1 1994","FQ1 1994","Currency=USD","Period=FQ","BEST_FPERIOD_OVERRIDE=FQ","FILING_STATUS=OR","Sort=A","Dates=H","DateFormat=P","Fill=—","Direction=H","UseDPDF=Y")</f>
        <v>4968</v>
      </c>
      <c r="T6" s="13">
        <f>_xll.BDH("XOM US Equity","BS_SH_OUT","FQ2 1994","FQ2 1994","Currency=USD","Period=FQ","BEST_FPERIOD_OVERRIDE=FQ","FILING_STATUS=OR","Sort=A","Dates=H","DateFormat=P","Fill=—","Direction=H","UseDPDF=Y")</f>
        <v>4965.6602000000003</v>
      </c>
      <c r="U6" s="13">
        <f>_xll.BDH("XOM US Equity","BS_SH_OUT","FQ3 1994","FQ3 1994","Currency=USD","Period=FQ","BEST_FPERIOD_OVERRIDE=FQ","FILING_STATUS=OR","Sort=A","Dates=H","DateFormat=P","Fill=—","Direction=H","UseDPDF=Y")</f>
        <v>4968</v>
      </c>
      <c r="V6" s="13">
        <f>_xll.BDH("XOM US Equity","BS_SH_OUT","FQ4 1994","FQ4 1994","Currency=USD","Period=FQ","BEST_FPERIOD_OVERRIDE=FQ","FILING_STATUS=OR","Sort=A","Dates=H","DateFormat=P","Fill=—","Direction=H","UseDPDF=Y")</f>
        <v>4968</v>
      </c>
      <c r="W6" s="13">
        <f>_xll.BDH("XOM US Equity","BS_SH_OUT","FQ1 1995","FQ1 1995","Currency=USD","Period=FQ","BEST_FPERIOD_OVERRIDE=FQ","FILING_STATUS=OR","Sort=A","Dates=H","DateFormat=P","Fill=—","Direction=H","UseDPDF=Y")</f>
        <v>4968</v>
      </c>
      <c r="X6" s="13">
        <f>_xll.BDH("XOM US Equity","BS_SH_OUT","FQ2 1995","FQ2 1995","Currency=USD","Period=FQ","BEST_FPERIOD_OVERRIDE=FQ","FILING_STATUS=OR","Sort=A","Dates=H","DateFormat=P","Fill=—","Direction=H","UseDPDF=Y")</f>
        <v>4968</v>
      </c>
      <c r="Y6" s="13">
        <f>_xll.BDH("XOM US Equity","BS_SH_OUT","FQ3 1995","FQ3 1995","Currency=USD","Period=FQ","BEST_FPERIOD_OVERRIDE=FQ","FILING_STATUS=OR","Sort=A","Dates=H","DateFormat=P","Fill=—","Direction=H","UseDPDF=Y")</f>
        <v>4966.7119000000002</v>
      </c>
      <c r="Z6" s="13">
        <f>_xll.BDH("XOM US Equity","BS_SH_OUT","FQ4 1995","FQ4 1995","Currency=USD","Period=FQ","BEST_FPERIOD_OVERRIDE=FQ","FILING_STATUS=OR","Sort=A","Dates=H","DateFormat=P","Fill=—","Direction=H","UseDPDF=Y")</f>
        <v>4968.5239000000001</v>
      </c>
      <c r="AA6" s="13">
        <f>_xll.BDH("XOM US Equity","BS_SH_OUT","FQ1 1996","FQ1 1996","Currency=USD","Period=FQ","BEST_FPERIOD_OVERRIDE=FQ","FILING_STATUS=OR","Sort=A","Dates=H","DateFormat=P","Fill=—","Direction=H","UseDPDF=Y")</f>
        <v>4968.3041999999996</v>
      </c>
      <c r="AB6" s="13">
        <f>_xll.BDH("XOM US Equity","BS_SH_OUT","FQ2 1996","FQ2 1996","Currency=USD","Period=FQ","BEST_FPERIOD_OVERRIDE=FQ","FILING_STATUS=OR","Sort=A","Dates=H","DateFormat=P","Fill=—","Direction=H","UseDPDF=Y")</f>
        <v>4967.3999000000003</v>
      </c>
      <c r="AC6" s="13">
        <f>_xll.BDH("XOM US Equity","BS_SH_OUT","FQ3 1996","FQ3 1996","Currency=USD","Period=FQ","BEST_FPERIOD_OVERRIDE=FQ","FILING_STATUS=OR","Sort=A","Dates=H","DateFormat=P","Fill=—","Direction=H","UseDPDF=Y")</f>
        <v>4967.1239999999998</v>
      </c>
      <c r="AD6" s="13">
        <f>_xll.BDH("XOM US Equity","BS_SH_OUT","FQ4 1996","FQ4 1996","Currency=USD","Period=FQ","BEST_FPERIOD_OVERRIDE=FQ","FILING_STATUS=OR","Sort=A","Dates=H","DateFormat=P","Fill=—","Direction=H","UseDPDF=Y")</f>
        <v>4968.7002000000002</v>
      </c>
      <c r="AE6" s="13">
        <f>_xll.BDH("XOM US Equity","BS_SH_OUT","FQ1 1997","FQ1 1997","Currency=USD","Period=FQ","BEST_FPERIOD_OVERRIDE=FQ","FILING_STATUS=OR","Sort=A","Dates=H","DateFormat=P","Fill=—","Direction=H","UseDPDF=Y")</f>
        <v>4966.0478999999996</v>
      </c>
      <c r="AF6" s="13">
        <f>_xll.BDH("XOM US Equity","BS_SH_OUT","FQ2 1997","FQ2 1997","Currency=USD","Period=FQ","BEST_FPERIOD_OVERRIDE=FQ","FILING_STATUS=OR","Sort=A","Dates=H","DateFormat=P","Fill=—","Direction=H","UseDPDF=Y")</f>
        <v>4948</v>
      </c>
      <c r="AG6" s="13">
        <f>_xll.BDH("XOM US Equity","BS_SH_OUT","FQ3 1997","FQ3 1997","Currency=USD","Period=FQ","BEST_FPERIOD_OVERRIDE=FQ","FILING_STATUS=OR","Sort=A","Dates=H","DateFormat=P","Fill=—","Direction=H","UseDPDF=Y")</f>
        <v>4932</v>
      </c>
      <c r="AH6" s="13">
        <f>_xll.BDH("XOM US Equity","BS_SH_OUT","FQ4 1997","FQ4 1997","Currency=USD","Period=FQ","BEST_FPERIOD_OVERRIDE=FQ","FILING_STATUS=OR","Sort=A","Dates=H","DateFormat=P","Fill=—","Direction=H","UseDPDF=Y")</f>
        <v>4914</v>
      </c>
      <c r="AI6" s="13">
        <f>_xll.BDH("XOM US Equity","BS_SH_OUT","FQ1 1998","FQ1 1998","Currency=USD","Period=FQ","BEST_FPERIOD_OVERRIDE=FQ","FILING_STATUS=OR","Sort=A","Dates=H","DateFormat=P","Fill=—","Direction=H","UseDPDF=Y")</f>
        <v>4893.5834999999997</v>
      </c>
      <c r="AJ6" s="13">
        <f>_xll.BDH("XOM US Equity","BS_SH_OUT","FQ2 1998","FQ2 1998","Currency=USD","Period=FQ","BEST_FPERIOD_OVERRIDE=FQ","FILING_STATUS=OR","Sort=A","Dates=H","DateFormat=P","Fill=—","Direction=H","UseDPDF=Y")</f>
        <v>4876.8140000000003</v>
      </c>
    </row>
    <row r="7" spans="1:36" x14ac:dyDescent="0.25">
      <c r="A7" s="10" t="s">
        <v>117</v>
      </c>
      <c r="B7" s="10" t="s">
        <v>118</v>
      </c>
      <c r="C7" s="13">
        <f>_xll.BDH("XOM US Equity","IS_SH_FOR_DILUTED_EPS","FQ1 1990","FQ1 1990","Currency=USD","Period=FQ","BEST_FPERIOD_OVERRIDE=FQ","FILING_STATUS=OR","Sort=A","Dates=H","DateFormat=P","Fill=—","Direction=H","UseDPDF=Y")</f>
        <v>4998.1758</v>
      </c>
      <c r="D7" s="13">
        <f>_xll.BDH("XOM US Equity","IS_SH_FOR_DILUTED_EPS","FQ2 1990","FQ2 1990","Currency=USD","Period=FQ","BEST_FPERIOD_OVERRIDE=FQ","FILING_STATUS=OR","Sort=A","Dates=H","DateFormat=P","Fill=—","Direction=H","UseDPDF=Y")</f>
        <v>4991.6318000000001</v>
      </c>
      <c r="E7" s="13">
        <f>_xll.BDH("XOM US Equity","IS_SH_FOR_DILUTED_EPS","FQ3 1990","FQ3 1990","Currency=USD","Period=FQ","BEST_FPERIOD_OVERRIDE=FQ","FILING_STATUS=OR","Sort=A","Dates=H","DateFormat=P","Fill=—","Direction=H","UseDPDF=Y")</f>
        <v>4987.2002000000002</v>
      </c>
      <c r="F7" s="13">
        <f>_xll.BDH("XOM US Equity","IS_SH_FOR_DILUTED_EPS","FQ4 1990","FQ4 1990","Currency=USD","Period=FQ","BEST_FPERIOD_OVERRIDE=FQ","FILING_STATUS=OR","Sort=A","Dates=H","DateFormat=P","Fill=—","Direction=H","UseDPDF=Y")</f>
        <v>4983.2002000000002</v>
      </c>
      <c r="G7" s="13">
        <f>_xll.BDH("XOM US Equity","IS_SH_FOR_DILUTED_EPS","FQ1 1991","FQ1 1991","Currency=USD","Period=FQ","BEST_FPERIOD_OVERRIDE=FQ","FILING_STATUS=OR","Sort=A","Dates=H","DateFormat=P","Fill=—","Direction=H","UseDPDF=Y")</f>
        <v>4980.0962</v>
      </c>
      <c r="H7" s="13">
        <f>_xll.BDH("XOM US Equity","IS_SH_FOR_DILUTED_EPS","FQ2 1991","FQ2 1991","Currency=USD","Period=FQ","BEST_FPERIOD_OVERRIDE=FQ","FILING_STATUS=OR","Sort=A","Dates=H","DateFormat=P","Fill=—","Direction=H","UseDPDF=Y")</f>
        <v>4977.0518000000002</v>
      </c>
      <c r="I7" s="13">
        <f>_xll.BDH("XOM US Equity","IS_SH_FOR_DILUTED_EPS","FQ3 1991","FQ3 1991","Currency=USD","Period=FQ","BEST_FPERIOD_OVERRIDE=FQ","FILING_STATUS=OR","Sort=A","Dates=H","DateFormat=P","Fill=—","Direction=H","UseDPDF=Y")</f>
        <v>4973.2002000000002</v>
      </c>
      <c r="J7" s="13">
        <f>_xll.BDH("XOM US Equity","IS_SH_FOR_DILUTED_EPS","FQ4 1991","FQ4 1991","Currency=USD","Period=FQ","BEST_FPERIOD_OVERRIDE=FQ","FILING_STATUS=OR","Sort=A","Dates=H","DateFormat=P","Fill=—","Direction=H","UseDPDF=Y")</f>
        <v>4969.2002000000002</v>
      </c>
      <c r="K7" s="13">
        <f>_xll.BDH("XOM US Equity","IS_SH_FOR_DILUTED_EPS","FQ1 1992","FQ1 1992","Currency=USD","Period=FQ","BEST_FPERIOD_OVERRIDE=FQ","FILING_STATUS=OR","Sort=A","Dates=H","DateFormat=P","Fill=—","Direction=H","UseDPDF=Y")</f>
        <v>4966.6958000000004</v>
      </c>
      <c r="L7" s="13">
        <f>_xll.BDH("XOM US Equity","IS_SH_FOR_DILUTED_EPS","FQ2 1992","FQ2 1992","Currency=USD","Period=FQ","BEST_FPERIOD_OVERRIDE=FQ","FILING_STATUS=OR","Sort=A","Dates=H","DateFormat=P","Fill=—","Direction=H","UseDPDF=Y")</f>
        <v>4965.8959999999997</v>
      </c>
      <c r="M7" s="13">
        <f>_xll.BDH("XOM US Equity","IS_SH_FOR_DILUTED_EPS","FQ3 1992","FQ3 1992","Currency=USD","Period=FQ","BEST_FPERIOD_OVERRIDE=FQ","FILING_STATUS=OR","Sort=A","Dates=H","DateFormat=P","Fill=—","Direction=H","UseDPDF=Y")</f>
        <v>4966.1518999999998</v>
      </c>
      <c r="N7" s="13">
        <f>_xll.BDH("XOM US Equity","IS_SH_FOR_DILUTED_EPS","FQ4 1992","FQ4 1992","Currency=USD","Period=FQ","BEST_FPERIOD_OVERRIDE=FQ","FILING_STATUS=OR","Sort=A","Dates=H","DateFormat=P","Fill=—","Direction=H","UseDPDF=Y")</f>
        <v>4966</v>
      </c>
      <c r="O7" s="13">
        <f>_xll.BDH("XOM US Equity","IS_SH_FOR_DILUTED_EPS","FQ1 1993","FQ1 1993","Currency=USD","Period=FQ","BEST_FPERIOD_OVERRIDE=FQ","FILING_STATUS=OR","Sort=A","Dates=H","DateFormat=P","Fill=—","Direction=H","UseDPDF=Y")</f>
        <v>4966.7440999999999</v>
      </c>
      <c r="P7" s="13">
        <f>_xll.BDH("XOM US Equity","IS_SH_FOR_DILUTED_EPS","FQ2 1993","FQ2 1993","Currency=USD","Period=FQ","BEST_FPERIOD_OVERRIDE=FQ","FILING_STATUS=OR","Sort=A","Dates=H","DateFormat=P","Fill=—","Direction=H","UseDPDF=Y")</f>
        <v>4967.6000999999997</v>
      </c>
      <c r="Q7" s="13">
        <f>_xll.BDH("XOM US Equity","IS_SH_FOR_DILUTED_EPS","FQ3 1993","FQ3 1993","Currency=USD","Period=FQ","BEST_FPERIOD_OVERRIDE=FQ","FILING_STATUS=OR","Sort=A","Dates=H","DateFormat=P","Fill=—","Direction=H","UseDPDF=Y")</f>
        <v>4966.3999000000003</v>
      </c>
      <c r="R7" s="13">
        <f>_xll.BDH("XOM US Equity","IS_SH_FOR_DILUTED_EPS","FQ4 1993","FQ4 1993","Currency=USD","Period=FQ","BEST_FPERIOD_OVERRIDE=FQ","FILING_STATUS=OR","Sort=A","Dates=H","DateFormat=P","Fill=—","Direction=H","UseDPDF=Y")</f>
        <v>4966</v>
      </c>
      <c r="S7" s="13">
        <f>_xll.BDH("XOM US Equity","IS_SH_FOR_DILUTED_EPS","FQ1 1994","FQ1 1994","Currency=USD","Period=FQ","BEST_FPERIOD_OVERRIDE=FQ","FILING_STATUS=OR","Sort=A","Dates=H","DateFormat=P","Fill=—","Direction=H","UseDPDF=Y")</f>
        <v>4967.6000999999997</v>
      </c>
      <c r="T7" s="13">
        <f>_xll.BDH("XOM US Equity","IS_SH_FOR_DILUTED_EPS","FQ2 1994","FQ2 1994","Currency=USD","Period=FQ","BEST_FPERIOD_OVERRIDE=FQ","FILING_STATUS=OR","Sort=A","Dates=H","DateFormat=P","Fill=—","Direction=H","UseDPDF=Y")</f>
        <v>4966.3999000000003</v>
      </c>
      <c r="U7" s="13">
        <f>_xll.BDH("XOM US Equity","IS_SH_FOR_DILUTED_EPS","FQ3 1994","FQ3 1994","Currency=USD","Period=FQ","BEST_FPERIOD_OVERRIDE=FQ","FILING_STATUS=OR","Sort=A","Dates=H","DateFormat=P","Fill=—","Direction=H","UseDPDF=Y")</f>
        <v>4965.6000999999997</v>
      </c>
      <c r="V7" s="13">
        <f>_xll.BDH("XOM US Equity","IS_SH_FOR_DILUTED_EPS","FQ4 1994","FQ4 1994","Currency=USD","Period=FQ","BEST_FPERIOD_OVERRIDE=FQ","FILING_STATUS=OR","Sort=A","Dates=H","DateFormat=P","Fill=—","Direction=H","UseDPDF=Y")</f>
        <v>4966.7997999999998</v>
      </c>
      <c r="W7" s="13">
        <f>_xll.BDH("XOM US Equity","IS_SH_FOR_DILUTED_EPS","FQ1 1995","FQ1 1995","Currency=USD","Period=FQ","BEST_FPERIOD_OVERRIDE=FQ","FILING_STATUS=OR","Sort=A","Dates=H","DateFormat=P","Fill=—","Direction=H","UseDPDF=Y")</f>
        <v>4967.6000999999997</v>
      </c>
      <c r="X7" s="13">
        <f>_xll.BDH("XOM US Equity","IS_SH_FOR_DILUTED_EPS","FQ2 1995","FQ2 1995","Currency=USD","Period=FQ","BEST_FPERIOD_OVERRIDE=FQ","FILING_STATUS=OR","Sort=A","Dates=H","DateFormat=P","Fill=—","Direction=H","UseDPDF=Y")</f>
        <v>4970</v>
      </c>
      <c r="Y7" s="13">
        <f>_xll.BDH("XOM US Equity","IS_SH_FOR_DILUTED_EPS","FQ3 1995","FQ3 1995","Currency=USD","Period=FQ","BEST_FPERIOD_OVERRIDE=FQ","FILING_STATUS=OR","Sort=A","Dates=H","DateFormat=P","Fill=—","Direction=H","UseDPDF=Y")</f>
        <v>4967.2002000000002</v>
      </c>
      <c r="Z7" s="13">
        <f>_xll.BDH("XOM US Equity","IS_SH_FOR_DILUTED_EPS","FQ4 1995","FQ4 1995","Currency=USD","Period=FQ","BEST_FPERIOD_OVERRIDE=FQ","FILING_STATUS=OR","Sort=A","Dates=H","DateFormat=P","Fill=—","Direction=H","UseDPDF=Y")</f>
        <v>4966</v>
      </c>
      <c r="AA7" s="13">
        <f>_xll.BDH("XOM US Equity","IS_SH_FOR_DILUTED_EPS","FQ1 1996","FQ1 1996","Currency=USD","Period=FQ","BEST_FPERIOD_OVERRIDE=FQ","FILING_STATUS=OR","Sort=A","Dates=H","DateFormat=P","Fill=—","Direction=H","UseDPDF=Y")</f>
        <v>5024</v>
      </c>
      <c r="AB7" s="13">
        <f>_xll.BDH("XOM US Equity","IS_SH_FOR_DILUTED_EPS","FQ2 1996","FQ2 1996","Currency=USD","Period=FQ","BEST_FPERIOD_OVERRIDE=FQ","FILING_STATUS=OR","Sort=A","Dates=H","DateFormat=P","Fill=—","Direction=H","UseDPDF=Y")</f>
        <v>5024</v>
      </c>
      <c r="AC7" s="13">
        <f>_xll.BDH("XOM US Equity","IS_SH_FOR_DILUTED_EPS","FQ3 1996","FQ3 1996","Currency=USD","Period=FQ","BEST_FPERIOD_OVERRIDE=FQ","FILING_STATUS=OR","Sort=A","Dates=H","DateFormat=P","Fill=—","Direction=H","UseDPDF=Y")</f>
        <v>5024</v>
      </c>
      <c r="AD7" s="13">
        <f>_xll.BDH("XOM US Equity","IS_SH_FOR_DILUTED_EPS","FQ4 1996","FQ4 1996","Currency=USD","Period=FQ","BEST_FPERIOD_OVERRIDE=FQ","FILING_STATUS=OR","Sort=A","Dates=H","DateFormat=P","Fill=—","Direction=H","UseDPDF=Y")</f>
        <v>4968</v>
      </c>
      <c r="AE7" s="13">
        <f>_xll.BDH("XOM US Equity","IS_SH_FOR_DILUTED_EPS","FQ1 1997","FQ1 1997","Currency=USD","Period=FQ","BEST_FPERIOD_OVERRIDE=FQ","FILING_STATUS=OR","Sort=A","Dates=H","DateFormat=P","Fill=—","Direction=H","UseDPDF=Y")</f>
        <v>5034</v>
      </c>
      <c r="AF7" s="13">
        <f>_xll.BDH("XOM US Equity","IS_SH_FOR_DILUTED_EPS","FQ2 1997","FQ2 1997","Currency=USD","Period=FQ","BEST_FPERIOD_OVERRIDE=FQ","FILING_STATUS=OR","Sort=A","Dates=H","DateFormat=P","Fill=—","Direction=H","UseDPDF=Y")</f>
        <v>5027.5640000000003</v>
      </c>
      <c r="AG7" s="13">
        <f>_xll.BDH("XOM US Equity","IS_SH_FOR_DILUTED_EPS","FQ3 1997","FQ3 1997","Currency=USD","Period=FQ","BEST_FPERIOD_OVERRIDE=FQ","FILING_STATUS=OR","Sort=A","Dates=H","DateFormat=P","Fill=—","Direction=H","UseDPDF=Y")</f>
        <v>5012</v>
      </c>
      <c r="AH7" s="13">
        <f>_xll.BDH("XOM US Equity","IS_SH_FOR_DILUTED_EPS","FQ4 1997","FQ4 1997","Currency=USD","Period=FQ","BEST_FPERIOD_OVERRIDE=FQ","FILING_STATUS=OR","Sort=A","Dates=H","DateFormat=P","Fill=—","Direction=H","UseDPDF=Y")</f>
        <v>4922.3999999999996</v>
      </c>
      <c r="AI7" s="13">
        <f>_xll.BDH("XOM US Equity","IS_SH_FOR_DILUTED_EPS","FQ1 1998","FQ1 1998","Currency=USD","Period=FQ","BEST_FPERIOD_OVERRIDE=FQ","FILING_STATUS=OR","Sort=A","Dates=H","DateFormat=P","Fill=—","Direction=H","UseDPDF=Y")</f>
        <v>4966</v>
      </c>
      <c r="AJ7" s="13">
        <f>_xll.BDH("XOM US Equity","IS_SH_FOR_DILUTED_EPS","FQ2 1998","FQ2 1998","Currency=USD","Period=FQ","BEST_FPERIOD_OVERRIDE=FQ","FILING_STATUS=OR","Sort=A","Dates=H","DateFormat=P","Fill=—","Direction=H","UseDPDF=Y")</f>
        <v>4950</v>
      </c>
    </row>
    <row r="8" spans="1:36" x14ac:dyDescent="0.25">
      <c r="A8" s="10" t="s">
        <v>109</v>
      </c>
      <c r="B8" s="10" t="s">
        <v>110</v>
      </c>
      <c r="C8" s="13">
        <f>_xll.BDH("XOM US Equity","IS_AVG_NUM_SH_FOR_EPS","FQ1 1990","FQ1 1990","Currency=USD","Period=FQ","BEST_FPERIOD_OVERRIDE=FQ","FILING_STATUS=OR","Sort=A","Dates=H","DateFormat=P","Fill=—","Direction=H","UseDPDF=Y")</f>
        <v>4998.1758</v>
      </c>
      <c r="D8" s="13">
        <f>_xll.BDH("XOM US Equity","IS_AVG_NUM_SH_FOR_EPS","FQ2 1990","FQ2 1990","Currency=USD","Period=FQ","BEST_FPERIOD_OVERRIDE=FQ","FILING_STATUS=OR","Sort=A","Dates=H","DateFormat=P","Fill=—","Direction=H","UseDPDF=Y")</f>
        <v>4991.6318000000001</v>
      </c>
      <c r="E8" s="13">
        <f>_xll.BDH("XOM US Equity","IS_AVG_NUM_SH_FOR_EPS","FQ3 1990","FQ3 1990","Currency=USD","Period=FQ","BEST_FPERIOD_OVERRIDE=FQ","FILING_STATUS=OR","Sort=A","Dates=H","DateFormat=P","Fill=—","Direction=H","UseDPDF=Y")</f>
        <v>4987.2002000000002</v>
      </c>
      <c r="F8" s="13">
        <f>_xll.BDH("XOM US Equity","IS_AVG_NUM_SH_FOR_EPS","FQ4 1990","FQ4 1990","Currency=USD","Period=FQ","BEST_FPERIOD_OVERRIDE=FQ","FILING_STATUS=OR","Sort=A","Dates=H","DateFormat=P","Fill=—","Direction=H","UseDPDF=Y")</f>
        <v>4983.2002000000002</v>
      </c>
      <c r="G8" s="13">
        <f>_xll.BDH("XOM US Equity","IS_AVG_NUM_SH_FOR_EPS","FQ1 1991","FQ1 1991","Currency=USD","Period=FQ","BEST_FPERIOD_OVERRIDE=FQ","FILING_STATUS=OR","Sort=A","Dates=H","DateFormat=P","Fill=—","Direction=H","UseDPDF=Y")</f>
        <v>4980.0962</v>
      </c>
      <c r="H8" s="13">
        <f>_xll.BDH("XOM US Equity","IS_AVG_NUM_SH_FOR_EPS","FQ2 1991","FQ2 1991","Currency=USD","Period=FQ","BEST_FPERIOD_OVERRIDE=FQ","FILING_STATUS=OR","Sort=A","Dates=H","DateFormat=P","Fill=—","Direction=H","UseDPDF=Y")</f>
        <v>4977.0518000000002</v>
      </c>
      <c r="I8" s="13">
        <f>_xll.BDH("XOM US Equity","IS_AVG_NUM_SH_FOR_EPS","FQ3 1991","FQ3 1991","Currency=USD","Period=FQ","BEST_FPERIOD_OVERRIDE=FQ","FILING_STATUS=OR","Sort=A","Dates=H","DateFormat=P","Fill=—","Direction=H","UseDPDF=Y")</f>
        <v>4973.2002000000002</v>
      </c>
      <c r="J8" s="13">
        <f>_xll.BDH("XOM US Equity","IS_AVG_NUM_SH_FOR_EPS","FQ4 1991","FQ4 1991","Currency=USD","Period=FQ","BEST_FPERIOD_OVERRIDE=FQ","FILING_STATUS=OR","Sort=A","Dates=H","DateFormat=P","Fill=—","Direction=H","UseDPDF=Y")</f>
        <v>4969.2002000000002</v>
      </c>
      <c r="K8" s="13">
        <f>_xll.BDH("XOM US Equity","IS_AVG_NUM_SH_FOR_EPS","FQ1 1992","FQ1 1992","Currency=USD","Period=FQ","BEST_FPERIOD_OVERRIDE=FQ","FILING_STATUS=OR","Sort=A","Dates=H","DateFormat=P","Fill=—","Direction=H","UseDPDF=Y")</f>
        <v>4966.6958000000004</v>
      </c>
      <c r="L8" s="13">
        <f>_xll.BDH("XOM US Equity","IS_AVG_NUM_SH_FOR_EPS","FQ2 1992","FQ2 1992","Currency=USD","Period=FQ","BEST_FPERIOD_OVERRIDE=FQ","FILING_STATUS=OR","Sort=A","Dates=H","DateFormat=P","Fill=—","Direction=H","UseDPDF=Y")</f>
        <v>4965.8959999999997</v>
      </c>
      <c r="M8" s="13">
        <f>_xll.BDH("XOM US Equity","IS_AVG_NUM_SH_FOR_EPS","FQ3 1992","FQ3 1992","Currency=USD","Period=FQ","BEST_FPERIOD_OVERRIDE=FQ","FILING_STATUS=OR","Sort=A","Dates=H","DateFormat=P","Fill=—","Direction=H","UseDPDF=Y")</f>
        <v>4966.1518999999998</v>
      </c>
      <c r="N8" s="13">
        <f>_xll.BDH("XOM US Equity","IS_AVG_NUM_SH_FOR_EPS","FQ4 1992","FQ4 1992","Currency=USD","Period=FQ","BEST_FPERIOD_OVERRIDE=FQ","FILING_STATUS=OR","Sort=A","Dates=H","DateFormat=P","Fill=—","Direction=H","UseDPDF=Y")</f>
        <v>4966</v>
      </c>
      <c r="O8" s="13">
        <f>_xll.BDH("XOM US Equity","IS_AVG_NUM_SH_FOR_EPS","FQ1 1993","FQ1 1993","Currency=USD","Period=FQ","BEST_FPERIOD_OVERRIDE=FQ","FILING_STATUS=OR","Sort=A","Dates=H","DateFormat=P","Fill=—","Direction=H","UseDPDF=Y")</f>
        <v>4966.7440999999999</v>
      </c>
      <c r="P8" s="13">
        <f>_xll.BDH("XOM US Equity","IS_AVG_NUM_SH_FOR_EPS","FQ2 1993","FQ2 1993","Currency=USD","Period=FQ","BEST_FPERIOD_OVERRIDE=FQ","FILING_STATUS=OR","Sort=A","Dates=H","DateFormat=P","Fill=—","Direction=H","UseDPDF=Y")</f>
        <v>4967.6000999999997</v>
      </c>
      <c r="Q8" s="13">
        <f>_xll.BDH("XOM US Equity","IS_AVG_NUM_SH_FOR_EPS","FQ3 1993","FQ3 1993","Currency=USD","Period=FQ","BEST_FPERIOD_OVERRIDE=FQ","FILING_STATUS=OR","Sort=A","Dates=H","DateFormat=P","Fill=—","Direction=H","UseDPDF=Y")</f>
        <v>4966.3999000000003</v>
      </c>
      <c r="R8" s="13">
        <f>_xll.BDH("XOM US Equity","IS_AVG_NUM_SH_FOR_EPS","FQ4 1993","FQ4 1993","Currency=USD","Period=FQ","BEST_FPERIOD_OVERRIDE=FQ","FILING_STATUS=OR","Sort=A","Dates=H","DateFormat=P","Fill=—","Direction=H","UseDPDF=Y")</f>
        <v>4966</v>
      </c>
      <c r="S8" s="13">
        <f>_xll.BDH("XOM US Equity","IS_AVG_NUM_SH_FOR_EPS","FQ1 1994","FQ1 1994","Currency=USD","Period=FQ","BEST_FPERIOD_OVERRIDE=FQ","FILING_STATUS=OR","Sort=A","Dates=H","DateFormat=P","Fill=—","Direction=H","UseDPDF=Y")</f>
        <v>4967.6000999999997</v>
      </c>
      <c r="T8" s="13">
        <f>_xll.BDH("XOM US Equity","IS_AVG_NUM_SH_FOR_EPS","FQ2 1994","FQ2 1994","Currency=USD","Period=FQ","BEST_FPERIOD_OVERRIDE=FQ","FILING_STATUS=OR","Sort=A","Dates=H","DateFormat=P","Fill=—","Direction=H","UseDPDF=Y")</f>
        <v>4966.3999000000003</v>
      </c>
      <c r="U8" s="13">
        <f>_xll.BDH("XOM US Equity","IS_AVG_NUM_SH_FOR_EPS","FQ3 1994","FQ3 1994","Currency=USD","Period=FQ","BEST_FPERIOD_OVERRIDE=FQ","FILING_STATUS=OR","Sort=A","Dates=H","DateFormat=P","Fill=—","Direction=H","UseDPDF=Y")</f>
        <v>4965.6000999999997</v>
      </c>
      <c r="V8" s="13">
        <f>_xll.BDH("XOM US Equity","IS_AVG_NUM_SH_FOR_EPS","FQ4 1994","FQ4 1994","Currency=USD","Period=FQ","BEST_FPERIOD_OVERRIDE=FQ","FILING_STATUS=OR","Sort=A","Dates=H","DateFormat=P","Fill=—","Direction=H","UseDPDF=Y")</f>
        <v>4966.7997999999998</v>
      </c>
      <c r="W8" s="13">
        <f>_xll.BDH("XOM US Equity","IS_AVG_NUM_SH_FOR_EPS","FQ1 1995","FQ1 1995","Currency=USD","Period=FQ","BEST_FPERIOD_OVERRIDE=FQ","FILING_STATUS=OR","Sort=A","Dates=H","DateFormat=P","Fill=—","Direction=H","UseDPDF=Y")</f>
        <v>4967.6000999999997</v>
      </c>
      <c r="X8" s="13">
        <f>_xll.BDH("XOM US Equity","IS_AVG_NUM_SH_FOR_EPS","FQ2 1995","FQ2 1995","Currency=USD","Period=FQ","BEST_FPERIOD_OVERRIDE=FQ","FILING_STATUS=OR","Sort=A","Dates=H","DateFormat=P","Fill=—","Direction=H","UseDPDF=Y")</f>
        <v>4970</v>
      </c>
      <c r="Y8" s="13">
        <f>_xll.BDH("XOM US Equity","IS_AVG_NUM_SH_FOR_EPS","FQ3 1995","FQ3 1995","Currency=USD","Period=FQ","BEST_FPERIOD_OVERRIDE=FQ","FILING_STATUS=OR","Sort=A","Dates=H","DateFormat=P","Fill=—","Direction=H","UseDPDF=Y")</f>
        <v>4967.2002000000002</v>
      </c>
      <c r="Z8" s="13">
        <f>_xll.BDH("XOM US Equity","IS_AVG_NUM_SH_FOR_EPS","FQ4 1995","FQ4 1995","Currency=USD","Period=FQ","BEST_FPERIOD_OVERRIDE=FQ","FILING_STATUS=OR","Sort=A","Dates=H","DateFormat=P","Fill=—","Direction=H","UseDPDF=Y")</f>
        <v>4966</v>
      </c>
      <c r="AA8" s="13">
        <f>_xll.BDH("XOM US Equity","IS_AVG_NUM_SH_FOR_EPS","FQ1 1996","FQ1 1996","Currency=USD","Period=FQ","BEST_FPERIOD_OVERRIDE=FQ","FILING_STATUS=OR","Sort=A","Dates=H","DateFormat=P","Fill=—","Direction=H","UseDPDF=Y")</f>
        <v>4968</v>
      </c>
      <c r="AB8" s="13">
        <f>_xll.BDH("XOM US Equity","IS_AVG_NUM_SH_FOR_EPS","FQ2 1996","FQ2 1996","Currency=USD","Period=FQ","BEST_FPERIOD_OVERRIDE=FQ","FILING_STATUS=OR","Sort=A","Dates=H","DateFormat=P","Fill=—","Direction=H","UseDPDF=Y")</f>
        <v>4968.3999000000003</v>
      </c>
      <c r="AC8" s="13">
        <f>_xll.BDH("XOM US Equity","IS_AVG_NUM_SH_FOR_EPS","FQ3 1996","FQ3 1996","Currency=USD","Period=FQ","BEST_FPERIOD_OVERRIDE=FQ","FILING_STATUS=OR","Sort=A","Dates=H","DateFormat=P","Fill=—","Direction=H","UseDPDF=Y")</f>
        <v>4967.6000999999997</v>
      </c>
      <c r="AD8" s="13">
        <f>_xll.BDH("XOM US Equity","IS_AVG_NUM_SH_FOR_EPS","FQ4 1996","FQ4 1996","Currency=USD","Period=FQ","BEST_FPERIOD_OVERRIDE=FQ","FILING_STATUS=OR","Sort=A","Dates=H","DateFormat=P","Fill=—","Direction=H","UseDPDF=Y")</f>
        <v>4968</v>
      </c>
      <c r="AE8" s="13">
        <f>_xll.BDH("XOM US Equity","IS_AVG_NUM_SH_FOR_EPS","FQ1 1997","FQ1 1997","Currency=USD","Period=FQ","BEST_FPERIOD_OVERRIDE=FQ","FILING_STATUS=OR","Sort=A","Dates=H","DateFormat=P","Fill=—","Direction=H","UseDPDF=Y")</f>
        <v>4968</v>
      </c>
      <c r="AF8" s="13">
        <f>_xll.BDH("XOM US Equity","IS_AVG_NUM_SH_FOR_EPS","FQ2 1997","FQ2 1997","Currency=USD","Period=FQ","BEST_FPERIOD_OVERRIDE=FQ","FILING_STATUS=OR","Sort=A","Dates=H","DateFormat=P","Fill=—","Direction=H","UseDPDF=Y")</f>
        <v>4957</v>
      </c>
      <c r="AG8" s="13">
        <f>_xll.BDH("XOM US Equity","IS_AVG_NUM_SH_FOR_EPS","FQ3 1997","FQ3 1997","Currency=USD","Period=FQ","BEST_FPERIOD_OVERRIDE=FQ","FILING_STATUS=OR","Sort=A","Dates=H","DateFormat=P","Fill=—","Direction=H","UseDPDF=Y")</f>
        <v>4940.6000999999997</v>
      </c>
      <c r="AH8" s="13">
        <f>_xll.BDH("XOM US Equity","IS_AVG_NUM_SH_FOR_EPS","FQ4 1997","FQ4 1997","Currency=USD","Period=FQ","BEST_FPERIOD_OVERRIDE=FQ","FILING_STATUS=OR","Sort=A","Dates=H","DateFormat=P","Fill=—","Direction=H","UseDPDF=Y")</f>
        <v>4922.3999999999996</v>
      </c>
      <c r="AI8" s="13">
        <f>_xll.BDH("XOM US Equity","IS_AVG_NUM_SH_FOR_EPS","FQ1 1998","FQ1 1998","Currency=USD","Period=FQ","BEST_FPERIOD_OVERRIDE=FQ","FILING_STATUS=OR","Sort=A","Dates=H","DateFormat=P","Fill=—","Direction=H","UseDPDF=Y")</f>
        <v>4902</v>
      </c>
      <c r="AJ8" s="13">
        <f>_xll.BDH("XOM US Equity","IS_AVG_NUM_SH_FOR_EPS","FQ2 1998","FQ2 1998","Currency=USD","Period=FQ","BEST_FPERIOD_OVERRIDE=FQ","FILING_STATUS=OR","Sort=A","Dates=H","DateFormat=P","Fill=—","Direction=H","UseDPDF=Y")</f>
        <v>4886</v>
      </c>
    </row>
    <row r="9" spans="1:36" x14ac:dyDescent="0.25">
      <c r="A9" s="10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</row>
    <row r="10" spans="1:36" x14ac:dyDescent="0.25">
      <c r="A10" s="6" t="s">
        <v>294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</row>
    <row r="11" spans="1:36" x14ac:dyDescent="0.25">
      <c r="A11" s="10" t="s">
        <v>0</v>
      </c>
      <c r="B11" s="10" t="s">
        <v>295</v>
      </c>
      <c r="C11" s="14">
        <f>_xll.BDH("XOM US Equity","REVENUE_PER_SH","FQ1 1990","FQ1 1990","Currency=USD","Period=FQ","BEST_FPERIOD_OVERRIDE=FQ","FILING_STATUS=OR","FA_ADJUSTED=GAAP","Sort=A","Dates=H","DateFormat=P","Fill=—","Direction=H","UseDPDF=Y")</f>
        <v>4.8272000000000004</v>
      </c>
      <c r="D11" s="14">
        <f>_xll.BDH("XOM US Equity","REVENUE_PER_SH","FQ2 1990","FQ2 1990","Currency=USD","Period=FQ","BEST_FPERIOD_OVERRIDE=FQ","FILING_STATUS=OR","FA_ADJUSTED=GAAP","Sort=A","Dates=H","DateFormat=P","Fill=—","Direction=H","UseDPDF=Y")</f>
        <v>4.6966999999999999</v>
      </c>
      <c r="E11" s="14">
        <f>_xll.BDH("XOM US Equity","REVENUE_PER_SH","FQ3 1990","FQ3 1990","Currency=USD","Period=FQ","BEST_FPERIOD_OVERRIDE=FQ","FILING_STATUS=OR","FA_ADJUSTED=GAAP","Sort=A","Dates=H","DateFormat=P","Fill=—","Direction=H","UseDPDF=Y")</f>
        <v>5.2305999999999999</v>
      </c>
      <c r="F11" s="14">
        <f>_xll.BDH("XOM US Equity","REVENUE_PER_SH","FQ4 1990","FQ4 1990","Currency=USD","Period=FQ","BEST_FPERIOD_OVERRIDE=FQ","FILING_STATUS=OR","FA_ADJUSTED=GAAP","Sort=A","Dates=H","DateFormat=P","Fill=—","Direction=H","UseDPDF=Y")</f>
        <v>7.0480999999999998</v>
      </c>
      <c r="G11" s="14">
        <f>_xll.BDH("XOM US Equity","REVENUE_PER_SH","FQ1 1991","FQ1 1991","Currency=USD","Period=FQ","BEST_FPERIOD_OVERRIDE=FQ","FILING_STATUS=OR","FA_ADJUSTED=GAAP","Sort=A","Dates=H","DateFormat=P","Fill=—","Direction=H","UseDPDF=Y")</f>
        <v>5.4691999999999998</v>
      </c>
      <c r="H11" s="14">
        <f>_xll.BDH("XOM US Equity","REVENUE_PER_SH","FQ2 1991","FQ2 1991","Currency=USD","Period=FQ","BEST_FPERIOD_OVERRIDE=FQ","FILING_STATUS=OR","FA_ADJUSTED=GAAP","Sort=A","Dates=H","DateFormat=P","Fill=—","Direction=H","UseDPDF=Y")</f>
        <v>4.8726000000000003</v>
      </c>
      <c r="I11" s="14">
        <f>_xll.BDH("XOM US Equity","REVENUE_PER_SH","FQ3 1991","FQ3 1991","Currency=USD","Period=FQ","BEST_FPERIOD_OVERRIDE=FQ","FILING_STATUS=OR","FA_ADJUSTED=GAAP","Sort=A","Dates=H","DateFormat=P","Fill=—","Direction=H","UseDPDF=Y")</f>
        <v>4.8737000000000004</v>
      </c>
      <c r="J11" s="14">
        <f>_xll.BDH("XOM US Equity","REVENUE_PER_SH","FQ4 1991","FQ4 1991","Currency=USD","Period=FQ","BEST_FPERIOD_OVERRIDE=FQ","FILING_STATUS=OR","FA_ADJUSTED=GAAP","Sort=A","Dates=H","DateFormat=P","Fill=—","Direction=H","UseDPDF=Y")</f>
        <v>6.2424999999999997</v>
      </c>
      <c r="K11" s="14">
        <f>_xll.BDH("XOM US Equity","REVENUE_PER_SH","FQ1 1992","FQ1 1992","Currency=USD","Period=FQ","BEST_FPERIOD_OVERRIDE=FQ","FILING_STATUS=OR","FA_ADJUSTED=GAAP","Sort=A","Dates=H","DateFormat=P","Fill=—","Direction=H","UseDPDF=Y")</f>
        <v>4.9277999999999995</v>
      </c>
      <c r="L11" s="14">
        <f>_xll.BDH("XOM US Equity","REVENUE_PER_SH","FQ2 1992","FQ2 1992","Currency=USD","Period=FQ","BEST_FPERIOD_OVERRIDE=FQ","FILING_STATUS=OR","FA_ADJUSTED=GAAP","Sort=A","Dates=H","DateFormat=P","Fill=—","Direction=H","UseDPDF=Y")</f>
        <v>4.9431000000000003</v>
      </c>
      <c r="M11" s="14">
        <f>_xll.BDH("XOM US Equity","REVENUE_PER_SH","FQ3 1992","FQ3 1992","Currency=USD","Period=FQ","BEST_FPERIOD_OVERRIDE=FQ","FILING_STATUS=OR","FA_ADJUSTED=GAAP","Sort=A","Dates=H","DateFormat=P","Fill=—","Direction=H","UseDPDF=Y")</f>
        <v>5.4852999999999996</v>
      </c>
      <c r="N11" s="14">
        <f>_xll.BDH("XOM US Equity","REVENUE_PER_SH","FQ4 1992","FQ4 1992","Currency=USD","Period=FQ","BEST_FPERIOD_OVERRIDE=FQ","FILING_STATUS=OR","FA_ADJUSTED=GAAP","Sort=A","Dates=H","DateFormat=P","Fill=—","Direction=H","UseDPDF=Y")</f>
        <v>6.0735000000000001</v>
      </c>
      <c r="O11" s="14">
        <f>_xll.BDH("XOM US Equity","REVENUE_PER_SH","FQ1 1993","FQ1 1993","Currency=USD","Period=FQ","BEST_FPERIOD_OVERRIDE=FQ","FILING_STATUS=OR","FA_ADJUSTED=GAAP","Sort=A","Dates=H","DateFormat=P","Fill=—","Direction=H","UseDPDF=Y")</f>
        <v>4.8601000000000001</v>
      </c>
      <c r="P11" s="14">
        <f>_xll.BDH("XOM US Equity","REVENUE_PER_SH","FQ2 1993","FQ2 1993","Currency=USD","Period=FQ","BEST_FPERIOD_OVERRIDE=FQ","FILING_STATUS=OR","FA_ADJUSTED=GAAP","Sort=A","Dates=H","DateFormat=P","Fill=—","Direction=H","UseDPDF=Y")</f>
        <v>4.9725999999999999</v>
      </c>
      <c r="Q11" s="14">
        <f>_xll.BDH("XOM US Equity","REVENUE_PER_SH","FQ3 1993","FQ3 1993","Currency=USD","Period=FQ","BEST_FPERIOD_OVERRIDE=FQ","FILING_STATUS=OR","FA_ADJUSTED=GAAP","Sort=A","Dates=H","DateFormat=P","Fill=—","Direction=H","UseDPDF=Y")</f>
        <v>4.9241000000000001</v>
      </c>
      <c r="R11" s="14">
        <f>_xll.BDH("XOM US Equity","REVENUE_PER_SH","FQ4 1993","FQ4 1993","Currency=USD","Period=FQ","BEST_FPERIOD_OVERRIDE=FQ","FILING_STATUS=OR","FA_ADJUSTED=GAAP","Sort=A","Dates=H","DateFormat=P","Fill=—","Direction=H","UseDPDF=Y")</f>
        <v>5.6067</v>
      </c>
      <c r="S11" s="14">
        <f>_xll.BDH("XOM US Equity","REVENUE_PER_SH","FQ1 1994","FQ1 1994","Currency=USD","Period=FQ","BEST_FPERIOD_OVERRIDE=FQ","FILING_STATUS=OR","FA_ADJUSTED=GAAP","Sort=A","Dates=H","DateFormat=P","Fill=—","Direction=H","UseDPDF=Y")</f>
        <v>4.6063999999999998</v>
      </c>
      <c r="T11" s="14">
        <f>_xll.BDH("XOM US Equity","REVENUE_PER_SH","FQ2 1994","FQ2 1994","Currency=USD","Period=FQ","BEST_FPERIOD_OVERRIDE=FQ","FILING_STATUS=OR","FA_ADJUSTED=GAAP","Sort=A","Dates=H","DateFormat=P","Fill=—","Direction=H","UseDPDF=Y")</f>
        <v>4.8819999999999997</v>
      </c>
      <c r="U11" s="14">
        <f>_xll.BDH("XOM US Equity","REVENUE_PER_SH","FQ3 1994","FQ3 1994","Currency=USD","Period=FQ","BEST_FPERIOD_OVERRIDE=FQ","FILING_STATUS=OR","FA_ADJUSTED=GAAP","Sort=A","Dates=H","DateFormat=P","Fill=—","Direction=H","UseDPDF=Y")</f>
        <v>5.2454999999999998</v>
      </c>
      <c r="V11" s="14">
        <f>_xll.BDH("XOM US Equity","REVENUE_PER_SH","FQ4 1994","FQ4 1994","Currency=USD","Period=FQ","BEST_FPERIOD_OVERRIDE=FQ","FILING_STATUS=OR","FA_ADJUSTED=GAAP","Sort=A","Dates=H","DateFormat=P","Fill=—","Direction=H","UseDPDF=Y")</f>
        <v>6.1531000000000002</v>
      </c>
      <c r="W11" s="14">
        <f>_xll.BDH("XOM US Equity","REVENUE_PER_SH","FQ1 1995","FQ1 1995","Currency=USD","Period=FQ","BEST_FPERIOD_OVERRIDE=FQ","FILING_STATUS=OR","FA_ADJUSTED=GAAP","Sort=A","Dates=H","DateFormat=P","Fill=—","Direction=H","UseDPDF=Y")</f>
        <v>5.2595000000000001</v>
      </c>
      <c r="X11" s="14">
        <f>_xll.BDH("XOM US Equity","REVENUE_PER_SH","FQ2 1995","FQ2 1995","Currency=USD","Period=FQ","BEST_FPERIOD_OVERRIDE=FQ","FILING_STATUS=OR","FA_ADJUSTED=GAAP","Sort=A","Dates=H","DateFormat=P","Fill=—","Direction=H","UseDPDF=Y")</f>
        <v>5.6028000000000002</v>
      </c>
      <c r="Y11" s="14">
        <f>_xll.BDH("XOM US Equity","REVENUE_PER_SH","FQ3 1995","FQ3 1995","Currency=USD","Period=FQ","BEST_FPERIOD_OVERRIDE=FQ","FILING_STATUS=OR","FA_ADJUSTED=GAAP","Sort=A","Dates=H","DateFormat=P","Fill=—","Direction=H","UseDPDF=Y")</f>
        <v>5.4406999999999996</v>
      </c>
      <c r="Z11" s="14">
        <f>_xll.BDH("XOM US Equity","REVENUE_PER_SH","FQ4 1995","FQ4 1995","Currency=USD","Period=FQ","BEST_FPERIOD_OVERRIDE=FQ","FILING_STATUS=OR","FA_ADJUSTED=GAAP","Sort=A","Dates=H","DateFormat=P","Fill=—","Direction=H","UseDPDF=Y")</f>
        <v>6.1752000000000002</v>
      </c>
      <c r="AA11" s="14">
        <f>_xll.BDH("XOM US Equity","REVENUE_PER_SH","FQ1 1996","FQ1 1996","Currency=USD","Period=FQ","BEST_FPERIOD_OVERRIDE=FQ","FILING_STATUS=OR","FA_ADJUSTED=GAAP","Sort=A","Dates=H","DateFormat=P","Fill=—","Direction=H","UseDPDF=Y")</f>
        <v>5.4678000000000004</v>
      </c>
      <c r="AB11" s="14">
        <f>_xll.BDH("XOM US Equity","REVENUE_PER_SH","FQ2 1996","FQ2 1996","Currency=USD","Period=FQ","BEST_FPERIOD_OVERRIDE=FQ","FILING_STATUS=OR","FA_ADJUSTED=GAAP","Sort=A","Dates=H","DateFormat=P","Fill=—","Direction=H","UseDPDF=Y")</f>
        <v>5.6306000000000003</v>
      </c>
      <c r="AC11" s="14">
        <f>_xll.BDH("XOM US Equity","REVENUE_PER_SH","FQ3 1996","FQ3 1996","Currency=USD","Period=FQ","BEST_FPERIOD_OVERRIDE=FQ","FILING_STATUS=OR","FA_ADJUSTED=GAAP","Sort=A","Dates=H","DateFormat=P","Fill=—","Direction=H","UseDPDF=Y")</f>
        <v>5.8551000000000002</v>
      </c>
      <c r="AD11" s="14">
        <f>_xll.BDH("XOM US Equity","REVENUE_PER_SH","FQ4 1996","FQ4 1996","Currency=USD","Period=FQ","BEST_FPERIOD_OVERRIDE=FQ","FILING_STATUS=OR","FA_ADJUSTED=GAAP","Sort=A","Dates=H","DateFormat=P","Fill=—","Direction=H","UseDPDF=Y")</f>
        <v>7.5724999999999998</v>
      </c>
      <c r="AE11" s="14">
        <f>_xll.BDH("XOM US Equity","REVENUE_PER_SH","FQ1 1997","FQ1 1997","Currency=USD","Period=FQ","BEST_FPERIOD_OVERRIDE=FQ","FILING_STATUS=OR","FA_ADJUSTED=GAAP","Sort=A","Dates=H","DateFormat=P","Fill=—","Direction=H","UseDPDF=Y")</f>
        <v>5.9493</v>
      </c>
      <c r="AF11" s="14">
        <f>_xll.BDH("XOM US Equity","REVENUE_PER_SH","FQ2 1997","FQ2 1997","Currency=USD","Period=FQ","BEST_FPERIOD_OVERRIDE=FQ","FILING_STATUS=OR","FA_ADJUSTED=GAAP","Sort=A","Dates=H","DateFormat=P","Fill=—","Direction=H","UseDPDF=Y")</f>
        <v>5.7864000000000004</v>
      </c>
      <c r="AG11" s="14">
        <f>_xll.BDH("XOM US Equity","REVENUE_PER_SH","FQ3 1997","FQ3 1997","Currency=USD","Period=FQ","BEST_FPERIOD_OVERRIDE=FQ","FILING_STATUS=OR","FA_ADJUSTED=GAAP","Sort=A","Dates=H","DateFormat=P","Fill=—","Direction=H","UseDPDF=Y")</f>
        <v>5.8222000000000005</v>
      </c>
      <c r="AH11" s="14">
        <f>_xll.BDH("XOM US Equity","REVENUE_PER_SH","FQ4 1997","FQ4 1997","Currency=USD","Period=FQ","BEST_FPERIOD_OVERRIDE=FQ","FILING_STATUS=OR","FA_ADJUSTED=GAAP","Sort=A","Dates=H","DateFormat=P","Fill=—","Direction=H","UseDPDF=Y")</f>
        <v>7.0077999999999996</v>
      </c>
      <c r="AI11" s="14">
        <f>_xll.BDH("XOM US Equity","REVENUE_PER_SH","FQ1 1998","FQ1 1998","Currency=USD","Period=FQ","BEST_FPERIOD_OVERRIDE=FQ","FILING_STATUS=OR","FA_ADJUSTED=GAAP","Sort=A","Dates=H","DateFormat=P","Fill=—","Direction=H","UseDPDF=Y")</f>
        <v>5.3469999999999995</v>
      </c>
      <c r="AJ11" s="14">
        <f>_xll.BDH("XOM US Equity","REVENUE_PER_SH","FQ2 1998","FQ2 1998","Currency=USD","Period=FQ","BEST_FPERIOD_OVERRIDE=FQ","FILING_STATUS=OR","FA_ADJUSTED=GAAP","Sort=A","Dates=H","DateFormat=P","Fill=—","Direction=H","UseDPDF=Y")</f>
        <v>5.2241</v>
      </c>
    </row>
    <row r="12" spans="1:36" x14ac:dyDescent="0.25">
      <c r="A12" s="10" t="s">
        <v>128</v>
      </c>
      <c r="B12" s="10" t="s">
        <v>296</v>
      </c>
      <c r="C12" s="14">
        <f>_xll.BDH("XOM US Equity","EBITDA_PER_SH","FQ1 1990","FQ1 1990","Currency=USD","Period=FQ","BEST_FPERIOD_OVERRIDE=FQ","FILING_STATUS=OR","FA_ADJUSTED=GAAP","Sort=A","Dates=H","DateFormat=P","Fill=—","Direction=H","UseDPDF=Y")</f>
        <v>0.72189999999999999</v>
      </c>
      <c r="D12" s="14">
        <f>_xll.BDH("XOM US Equity","EBITDA_PER_SH","FQ2 1990","FQ2 1990","Currency=USD","Period=FQ","BEST_FPERIOD_OVERRIDE=FQ","FILING_STATUS=OR","FA_ADJUSTED=GAAP","Sort=A","Dates=H","DateFormat=P","Fill=—","Direction=H","UseDPDF=Y")</f>
        <v>0.64190000000000003</v>
      </c>
      <c r="E12" s="14">
        <f>_xll.BDH("XOM US Equity","EBITDA_PER_SH","FQ3 1990","FQ3 1990","Currency=USD","Period=FQ","BEST_FPERIOD_OVERRIDE=FQ","FILING_STATUS=OR","FA_ADJUSTED=GAAP","Sort=A","Dates=H","DateFormat=P","Fill=—","Direction=H","UseDPDF=Y")</f>
        <v>0.63119999999999998</v>
      </c>
      <c r="F12" s="14">
        <f>_xll.BDH("XOM US Equity","EBITDA_PER_SH","FQ4 1990","FQ4 1990","Currency=USD","Period=FQ","BEST_FPERIOD_OVERRIDE=FQ","FILING_STATUS=OR","FA_ADJUSTED=GAAP","Sort=A","Dates=H","DateFormat=P","Fill=—","Direction=H","UseDPDF=Y")</f>
        <v>1.4952000000000001</v>
      </c>
      <c r="G12" s="14">
        <f>_xll.BDH("XOM US Equity","EBITDA_PER_SH","FQ1 1991","FQ1 1991","Currency=USD","Period=FQ","BEST_FPERIOD_OVERRIDE=FQ","FILING_STATUS=OR","FA_ADJUSTED=GAAP","Sort=A","Dates=H","DateFormat=P","Fill=—","Direction=H","UseDPDF=Y")</f>
        <v>0.9002</v>
      </c>
      <c r="H12" s="14">
        <f>_xll.BDH("XOM US Equity","EBITDA_PER_SH","FQ2 1991","FQ2 1991","Currency=USD","Period=FQ","BEST_FPERIOD_OVERRIDE=FQ","FILING_STATUS=OR","FA_ADJUSTED=GAAP","Sort=A","Dates=H","DateFormat=P","Fill=—","Direction=H","UseDPDF=Y")</f>
        <v>0.5847</v>
      </c>
      <c r="I12" s="14">
        <f>_xll.BDH("XOM US Equity","EBITDA_PER_SH","FQ3 1991","FQ3 1991","Currency=USD","Period=FQ","BEST_FPERIOD_OVERRIDE=FQ","FILING_STATUS=OR","FA_ADJUSTED=GAAP","Sort=A","Dates=H","DateFormat=P","Fill=—","Direction=H","UseDPDF=Y")</f>
        <v>0.56579999999999997</v>
      </c>
      <c r="J12" s="14">
        <f>_xll.BDH("XOM US Equity","EBITDA_PER_SH","FQ4 1991","FQ4 1991","Currency=USD","Period=FQ","BEST_FPERIOD_OVERRIDE=FQ","FILING_STATUS=OR","FA_ADJUSTED=GAAP","Sort=A","Dates=H","DateFormat=P","Fill=—","Direction=H","UseDPDF=Y")</f>
        <v>1.3256000000000001</v>
      </c>
      <c r="K12" s="14">
        <f>_xll.BDH("XOM US Equity","EBITDA_PER_SH","FQ1 1992","FQ1 1992","Currency=USD","Period=FQ","BEST_FPERIOD_OVERRIDE=FQ","FILING_STATUS=OR","FA_ADJUSTED=GAAP","Sort=A","Dates=H","DateFormat=P","Fill=—","Direction=H","UseDPDF=Y")</f>
        <v>0.62129999999999996</v>
      </c>
      <c r="L12" s="14">
        <f>_xll.BDH("XOM US Equity","EBITDA_PER_SH","FQ2 1992","FQ2 1992","Currency=USD","Period=FQ","BEST_FPERIOD_OVERRIDE=FQ","FILING_STATUS=OR","FA_ADJUSTED=GAAP","Sort=A","Dates=H","DateFormat=P","Fill=—","Direction=H","UseDPDF=Y")</f>
        <v>0.50929999999999997</v>
      </c>
      <c r="M12" s="14">
        <f>_xll.BDH("XOM US Equity","EBITDA_PER_SH","FQ3 1992","FQ3 1992","Currency=USD","Period=FQ","BEST_FPERIOD_OVERRIDE=FQ","FILING_STATUS=OR","FA_ADJUSTED=GAAP","Sort=A","Dates=H","DateFormat=P","Fill=—","Direction=H","UseDPDF=Y")</f>
        <v>0.622</v>
      </c>
      <c r="N12" s="14">
        <f>_xll.BDH("XOM US Equity","EBITDA_PER_SH","FQ4 1992","FQ4 1992","Currency=USD","Period=FQ","BEST_FPERIOD_OVERRIDE=FQ","FILING_STATUS=OR","FA_ADJUSTED=GAAP","Sort=A","Dates=H","DateFormat=P","Fill=—","Direction=H","UseDPDF=Y")</f>
        <v>1.2984</v>
      </c>
      <c r="O12" s="14">
        <f>_xll.BDH("XOM US Equity","EBITDA_PER_SH","FQ1 1993","FQ1 1993","Currency=USD","Period=FQ","BEST_FPERIOD_OVERRIDE=FQ","FILING_STATUS=OR","FA_ADJUSTED=GAAP","Sort=A","Dates=H","DateFormat=P","Fill=—","Direction=H","UseDPDF=Y")</f>
        <v>0.58689999999999998</v>
      </c>
      <c r="P12" s="14">
        <f>_xll.BDH("XOM US Equity","EBITDA_PER_SH","FQ2 1993","FQ2 1993","Currency=USD","Period=FQ","BEST_FPERIOD_OVERRIDE=FQ","FILING_STATUS=OR","FA_ADJUSTED=GAAP","Sort=A","Dates=H","DateFormat=P","Fill=—","Direction=H","UseDPDF=Y")</f>
        <v>0.58379999999999999</v>
      </c>
      <c r="Q12" s="14">
        <f>_xll.BDH("XOM US Equity","EBITDA_PER_SH","FQ3 1993","FQ3 1993","Currency=USD","Period=FQ","BEST_FPERIOD_OVERRIDE=FQ","FILING_STATUS=OR","FA_ADJUSTED=GAAP","Sort=A","Dates=H","DateFormat=P","Fill=—","Direction=H","UseDPDF=Y")</f>
        <v>0.5968</v>
      </c>
      <c r="R12" s="14">
        <f>_xll.BDH("XOM US Equity","EBITDA_PER_SH","FQ4 1993","FQ4 1993","Currency=USD","Period=FQ","BEST_FPERIOD_OVERRIDE=FQ","FILING_STATUS=OR","FA_ADJUSTED=GAAP","Sort=A","Dates=H","DateFormat=P","Fill=—","Direction=H","UseDPDF=Y")</f>
        <v>1.3538000000000001</v>
      </c>
      <c r="S12" s="14">
        <f>_xll.BDH("XOM US Equity","EBITDA_PER_SH","FQ1 1994","FQ1 1994","Currency=USD","Period=FQ","BEST_FPERIOD_OVERRIDE=FQ","FILING_STATUS=OR","FA_ADJUSTED=GAAP","Sort=A","Dates=H","DateFormat=P","Fill=—","Direction=H","UseDPDF=Y")</f>
        <v>0.60629999999999995</v>
      </c>
      <c r="T12" s="14">
        <f>_xll.BDH("XOM US Equity","EBITDA_PER_SH","FQ2 1994","FQ2 1994","Currency=USD","Period=FQ","BEST_FPERIOD_OVERRIDE=FQ","FILING_STATUS=OR","FA_ADJUSTED=GAAP","Sort=A","Dates=H","DateFormat=P","Fill=—","Direction=H","UseDPDF=Y")</f>
        <v>0.52310000000000001</v>
      </c>
      <c r="U12" s="14">
        <f>_xll.BDH("XOM US Equity","EBITDA_PER_SH","FQ3 1994","FQ3 1994","Currency=USD","Period=FQ","BEST_FPERIOD_OVERRIDE=FQ","FILING_STATUS=OR","FA_ADJUSTED=GAAP","Sort=A","Dates=H","DateFormat=P","Fill=—","Direction=H","UseDPDF=Y")</f>
        <v>0.60899999999999999</v>
      </c>
      <c r="V12" s="14">
        <f>_xll.BDH("XOM US Equity","EBITDA_PER_SH","FQ4 1994","FQ4 1994","Currency=USD","Period=FQ","BEST_FPERIOD_OVERRIDE=FQ","FILING_STATUS=OR","FA_ADJUSTED=GAAP","Sort=A","Dates=H","DateFormat=P","Fill=—","Direction=H","UseDPDF=Y")</f>
        <v>1.5038</v>
      </c>
      <c r="W12" s="14">
        <f>_xll.BDH("XOM US Equity","EBITDA_PER_SH","FQ1 1995","FQ1 1995","Currency=USD","Period=FQ","BEST_FPERIOD_OVERRIDE=FQ","FILING_STATUS=OR","FA_ADJUSTED=GAAP","Sort=A","Dates=H","DateFormat=P","Fill=—","Direction=H","UseDPDF=Y")</f>
        <v>0.70089999999999997</v>
      </c>
      <c r="X12" s="14">
        <f>_xll.BDH("XOM US Equity","EBITDA_PER_SH","FQ2 1995","FQ2 1995","Currency=USD","Period=FQ","BEST_FPERIOD_OVERRIDE=FQ","FILING_STATUS=OR","FA_ADJUSTED=GAAP","Sort=A","Dates=H","DateFormat=P","Fill=—","Direction=H","UseDPDF=Y")</f>
        <v>0.74060000000000004</v>
      </c>
      <c r="Y12" s="14">
        <f>_xll.BDH("XOM US Equity","EBITDA_PER_SH","FQ3 1995","FQ3 1995","Currency=USD","Period=FQ","BEST_FPERIOD_OVERRIDE=FQ","FILING_STATUS=OR","FA_ADJUSTED=GAAP","Sort=A","Dates=H","DateFormat=P","Fill=—","Direction=H","UseDPDF=Y")</f>
        <v>0.74790000000000001</v>
      </c>
      <c r="Z12" s="14">
        <f>_xll.BDH("XOM US Equity","EBITDA_PER_SH","FQ4 1995","FQ4 1995","Currency=USD","Period=FQ","BEST_FPERIOD_OVERRIDE=FQ","FILING_STATUS=OR","FA_ADJUSTED=GAAP","Sort=A","Dates=H","DateFormat=P","Fill=—","Direction=H","UseDPDF=Y")</f>
        <v>1.3043</v>
      </c>
      <c r="AA12" s="14">
        <f>_xll.BDH("XOM US Equity","EBITDA_PER_SH","FQ1 1996","FQ1 1996","Currency=USD","Period=FQ","BEST_FPERIOD_OVERRIDE=FQ","FILING_STATUS=OR","FA_ADJUSTED=GAAP","Sort=A","Dates=H","DateFormat=P","Fill=—","Direction=H","UseDPDF=Y")</f>
        <v>0.74419999999999997</v>
      </c>
      <c r="AB12" s="14">
        <f>_xll.BDH("XOM US Equity","EBITDA_PER_SH","FQ2 1996","FQ2 1996","Currency=USD","Period=FQ","BEST_FPERIOD_OVERRIDE=FQ","FILING_STATUS=OR","FA_ADJUSTED=GAAP","Sort=A","Dates=H","DateFormat=P","Fill=—","Direction=H","UseDPDF=Y")</f>
        <v>0.72219999999999995</v>
      </c>
      <c r="AC12" s="14">
        <f>_xll.BDH("XOM US Equity","EBITDA_PER_SH","FQ3 1996","FQ3 1996","Currency=USD","Period=FQ","BEST_FPERIOD_OVERRIDE=FQ","FILING_STATUS=OR","FA_ADJUSTED=GAAP","Sort=A","Dates=H","DateFormat=P","Fill=—","Direction=H","UseDPDF=Y")</f>
        <v>0.73270000000000002</v>
      </c>
      <c r="AD12" s="14">
        <f>_xll.BDH("XOM US Equity","EBITDA_PER_SH","FQ4 1996","FQ4 1996","Currency=USD","Period=FQ","BEST_FPERIOD_OVERRIDE=FQ","FILING_STATUS=OR","FA_ADJUSTED=GAAP","Sort=A","Dates=H","DateFormat=P","Fill=—","Direction=H","UseDPDF=Y")</f>
        <v>1.9281000000000001</v>
      </c>
      <c r="AE12" s="14">
        <f>_xll.BDH("XOM US Equity","EBITDA_PER_SH","FQ1 1997","FQ1 1997","Currency=USD","Period=FQ","BEST_FPERIOD_OVERRIDE=FQ","FILING_STATUS=OR","FA_ADJUSTED=GAAP","Sort=A","Dates=H","DateFormat=P","Fill=—","Direction=H","UseDPDF=Y")</f>
        <v>0.91969999999999996</v>
      </c>
      <c r="AF12" s="14">
        <f>_xll.BDH("XOM US Equity","EBITDA_PER_SH","FQ2 1997","FQ2 1997","Currency=USD","Period=FQ","BEST_FPERIOD_OVERRIDE=FQ","FILING_STATUS=OR","FA_ADJUSTED=GAAP","Sort=A","Dates=H","DateFormat=P","Fill=—","Direction=H","UseDPDF=Y")</f>
        <v>0.84140000000000004</v>
      </c>
      <c r="AG12" s="14">
        <f>_xll.BDH("XOM US Equity","EBITDA_PER_SH","FQ3 1997","FQ3 1997","Currency=USD","Period=FQ","BEST_FPERIOD_OVERRIDE=FQ","FILING_STATUS=OR","FA_ADJUSTED=GAAP","Sort=A","Dates=H","DateFormat=P","Fill=—","Direction=H","UseDPDF=Y")</f>
        <v>0.80189999999999995</v>
      </c>
      <c r="AH12" s="14">
        <f>_xll.BDH("XOM US Equity","EBITDA_PER_SH","FQ4 1997","FQ4 1997","Currency=USD","Period=FQ","BEST_FPERIOD_OVERRIDE=FQ","FILING_STATUS=OR","FA_ADJUSTED=GAAP","Sort=A","Dates=H","DateFormat=P","Fill=—","Direction=H","UseDPDF=Y")</f>
        <v>1.4578</v>
      </c>
      <c r="AI12" s="14">
        <f>_xll.BDH("XOM US Equity","EBITDA_PER_SH","FQ1 1998","FQ1 1998","Currency=USD","Period=FQ","BEST_FPERIOD_OVERRIDE=FQ","FILING_STATUS=OR","FA_ADJUSTED=GAAP","Sort=A","Dates=H","DateFormat=P","Fill=—","Direction=H","UseDPDF=Y")</f>
        <v>0.75970000000000004</v>
      </c>
      <c r="AJ12" s="14">
        <f>_xll.BDH("XOM US Equity","EBITDA_PER_SH","FQ2 1998","FQ2 1998","Currency=USD","Period=FQ","BEST_FPERIOD_OVERRIDE=FQ","FILING_STATUS=OR","FA_ADJUSTED=GAAP","Sort=A","Dates=H","DateFormat=P","Fill=—","Direction=H","UseDPDF=Y")</f>
        <v>0.67620000000000002</v>
      </c>
    </row>
    <row r="13" spans="1:36" x14ac:dyDescent="0.25">
      <c r="A13" s="10" t="s">
        <v>297</v>
      </c>
      <c r="B13" s="10" t="s">
        <v>298</v>
      </c>
      <c r="C13" s="14">
        <f>_xll.BDH("XOM US Equity","OPER_INC_PER_SH","FQ1 1990","FQ1 1990","Currency=USD","Period=FQ","BEST_FPERIOD_OVERRIDE=FQ","FILING_STATUS=OR","FA_ADJUSTED=GAAP","Sort=A","Dates=H","DateFormat=P","Fill=—","Direction=H","UseDPDF=Y")</f>
        <v>0.46460000000000001</v>
      </c>
      <c r="D13" s="14">
        <f>_xll.BDH("XOM US Equity","OPER_INC_PER_SH","FQ2 1990","FQ2 1990","Currency=USD","Period=FQ","BEST_FPERIOD_OVERRIDE=FQ","FILING_STATUS=OR","FA_ADJUSTED=GAAP","Sort=A","Dates=H","DateFormat=P","Fill=—","Direction=H","UseDPDF=Y")</f>
        <v>0.37680000000000002</v>
      </c>
      <c r="E13" s="14">
        <f>_xll.BDH("XOM US Equity","OPER_INC_PER_SH","FQ3 1990","FQ3 1990","Currency=USD","Period=FQ","BEST_FPERIOD_OVERRIDE=FQ","FILING_STATUS=OR","FA_ADJUSTED=GAAP","Sort=A","Dates=H","DateFormat=P","Fill=—","Direction=H","UseDPDF=Y")</f>
        <v>0.39360000000000001</v>
      </c>
      <c r="F13" s="14">
        <f>_xll.BDH("XOM US Equity","OPER_INC_PER_SH","FQ4 1990","FQ4 1990","Currency=USD","Period=FQ","BEST_FPERIOD_OVERRIDE=FQ","FILING_STATUS=OR","FA_ADJUSTED=GAAP","Sort=A","Dates=H","DateFormat=P","Fill=—","Direction=H","UseDPDF=Y")</f>
        <v>1.1437999999999999</v>
      </c>
      <c r="G13" s="14">
        <f>_xll.BDH("XOM US Equity","OPER_INC_PER_SH","FQ1 1991","FQ1 1991","Currency=USD","Period=FQ","BEST_FPERIOD_OVERRIDE=FQ","FILING_STATUS=OR","FA_ADJUSTED=GAAP","Sort=A","Dates=H","DateFormat=P","Fill=—","Direction=H","UseDPDF=Y")</f>
        <v>0.65820000000000001</v>
      </c>
      <c r="H13" s="14">
        <f>_xll.BDH("XOM US Equity","OPER_INC_PER_SH","FQ2 1991","FQ2 1991","Currency=USD","Period=FQ","BEST_FPERIOD_OVERRIDE=FQ","FILING_STATUS=OR","FA_ADJUSTED=GAAP","Sort=A","Dates=H","DateFormat=P","Fill=—","Direction=H","UseDPDF=Y")</f>
        <v>0.34599999999999997</v>
      </c>
      <c r="I13" s="14">
        <f>_xll.BDH("XOM US Equity","OPER_INC_PER_SH","FQ3 1991","FQ3 1991","Currency=USD","Period=FQ","BEST_FPERIOD_OVERRIDE=FQ","FILING_STATUS=OR","FA_ADJUSTED=GAAP","Sort=A","Dates=H","DateFormat=P","Fill=—","Direction=H","UseDPDF=Y")</f>
        <v>0.32569999999999999</v>
      </c>
      <c r="J13" s="14">
        <f>_xll.BDH("XOM US Equity","OPER_INC_PER_SH","FQ4 1991","FQ4 1991","Currency=USD","Period=FQ","BEST_FPERIOD_OVERRIDE=FQ","FILING_STATUS=OR","FA_ADJUSTED=GAAP","Sort=A","Dates=H","DateFormat=P","Fill=—","Direction=H","UseDPDF=Y")</f>
        <v>1.0766</v>
      </c>
      <c r="K13" s="14">
        <f>_xll.BDH("XOM US Equity","OPER_INC_PER_SH","FQ1 1992","FQ1 1992","Currency=USD","Period=FQ","BEST_FPERIOD_OVERRIDE=FQ","FILING_STATUS=OR","FA_ADJUSTED=GAAP","Sort=A","Dates=H","DateFormat=P","Fill=—","Direction=H","UseDPDF=Y")</f>
        <v>0.35920000000000002</v>
      </c>
      <c r="L13" s="14">
        <f>_xll.BDH("XOM US Equity","OPER_INC_PER_SH","FQ2 1992","FQ2 1992","Currency=USD","Period=FQ","BEST_FPERIOD_OVERRIDE=FQ","FILING_STATUS=OR","FA_ADJUSTED=GAAP","Sort=A","Dates=H","DateFormat=P","Fill=—","Direction=H","UseDPDF=Y")</f>
        <v>0.26300000000000001</v>
      </c>
      <c r="M13" s="14">
        <f>_xll.BDH("XOM US Equity","OPER_INC_PER_SH","FQ3 1992","FQ3 1992","Currency=USD","Period=FQ","BEST_FPERIOD_OVERRIDE=FQ","FILING_STATUS=OR","FA_ADJUSTED=GAAP","Sort=A","Dates=H","DateFormat=P","Fill=—","Direction=H","UseDPDF=Y")</f>
        <v>0.41360000000000002</v>
      </c>
      <c r="N13" s="14">
        <f>_xll.BDH("XOM US Equity","OPER_INC_PER_SH","FQ4 1992","FQ4 1992","Currency=USD","Period=FQ","BEST_FPERIOD_OVERRIDE=FQ","FILING_STATUS=OR","FA_ADJUSTED=GAAP","Sort=A","Dates=H","DateFormat=P","Fill=—","Direction=H","UseDPDF=Y")</f>
        <v>1.0077</v>
      </c>
      <c r="O13" s="14">
        <f>_xll.BDH("XOM US Equity","OPER_INC_PER_SH","FQ1 1993","FQ1 1993","Currency=USD","Period=FQ","BEST_FPERIOD_OVERRIDE=FQ","FILING_STATUS=OR","FA_ADJUSTED=GAAP","Sort=A","Dates=H","DateFormat=P","Fill=—","Direction=H","UseDPDF=Y")</f>
        <v>0.34649999999999997</v>
      </c>
      <c r="P13" s="14">
        <f>_xll.BDH("XOM US Equity","OPER_INC_PER_SH","FQ2 1993","FQ2 1993","Currency=USD","Period=FQ","BEST_FPERIOD_OVERRIDE=FQ","FILING_STATUS=OR","FA_ADJUSTED=GAAP","Sort=A","Dates=H","DateFormat=P","Fill=—","Direction=H","UseDPDF=Y")</f>
        <v>0.33500000000000002</v>
      </c>
      <c r="Q13" s="14">
        <f>_xll.BDH("XOM US Equity","OPER_INC_PER_SH","FQ3 1993","FQ3 1993","Currency=USD","Period=FQ","BEST_FPERIOD_OVERRIDE=FQ","FILING_STATUS=OR","FA_ADJUSTED=GAAP","Sort=A","Dates=H","DateFormat=P","Fill=—","Direction=H","UseDPDF=Y")</f>
        <v>0.35320000000000001</v>
      </c>
      <c r="R13" s="14">
        <f>_xll.BDH("XOM US Equity","OPER_INC_PER_SH","FQ4 1993","FQ4 1993","Currency=USD","Period=FQ","BEST_FPERIOD_OVERRIDE=FQ","FILING_STATUS=OR","FA_ADJUSTED=GAAP","Sort=A","Dates=H","DateFormat=P","Fill=—","Direction=H","UseDPDF=Y")</f>
        <v>1.1032999999999999</v>
      </c>
      <c r="S13" s="14">
        <f>_xll.BDH("XOM US Equity","OPER_INC_PER_SH","FQ1 1994","FQ1 1994","Currency=USD","Period=FQ","BEST_FPERIOD_OVERRIDE=FQ","FILING_STATUS=OR","FA_ADJUSTED=GAAP","Sort=A","Dates=H","DateFormat=P","Fill=—","Direction=H","UseDPDF=Y")</f>
        <v>0.3468</v>
      </c>
      <c r="T13" s="14">
        <f>_xll.BDH("XOM US Equity","OPER_INC_PER_SH","FQ2 1994","FQ2 1994","Currency=USD","Period=FQ","BEST_FPERIOD_OVERRIDE=FQ","FILING_STATUS=OR","FA_ADJUSTED=GAAP","Sort=A","Dates=H","DateFormat=P","Fill=—","Direction=H","UseDPDF=Y")</f>
        <v>0.27479999999999999</v>
      </c>
      <c r="U13" s="14">
        <f>_xll.BDH("XOM US Equity","OPER_INC_PER_SH","FQ3 1994","FQ3 1994","Currency=USD","Period=FQ","BEST_FPERIOD_OVERRIDE=FQ","FILING_STATUS=OR","FA_ADJUSTED=GAAP","Sort=A","Dates=H","DateFormat=P","Fill=—","Direction=H","UseDPDF=Y")</f>
        <v>0.36990000000000001</v>
      </c>
      <c r="V13" s="14">
        <f>_xll.BDH("XOM US Equity","OPER_INC_PER_SH","FQ4 1994","FQ4 1994","Currency=USD","Period=FQ","BEST_FPERIOD_OVERRIDE=FQ","FILING_STATUS=OR","FA_ADJUSTED=GAAP","Sort=A","Dates=H","DateFormat=P","Fill=—","Direction=H","UseDPDF=Y")</f>
        <v>1.2407999999999999</v>
      </c>
      <c r="W13" s="14">
        <f>_xll.BDH("XOM US Equity","OPER_INC_PER_SH","FQ1 1995","FQ1 1995","Currency=USD","Period=FQ","BEST_FPERIOD_OVERRIDE=FQ","FILING_STATUS=OR","FA_ADJUSTED=GAAP","Sort=A","Dates=H","DateFormat=P","Fill=—","Direction=H","UseDPDF=Y")</f>
        <v>0.432</v>
      </c>
      <c r="X13" s="14">
        <f>_xll.BDH("XOM US Equity","OPER_INC_PER_SH","FQ2 1995","FQ2 1995","Currency=USD","Period=FQ","BEST_FPERIOD_OVERRIDE=FQ","FILING_STATUS=OR","FA_ADJUSTED=GAAP","Sort=A","Dates=H","DateFormat=P","Fill=—","Direction=H","UseDPDF=Y")</f>
        <v>0.47339999999999999</v>
      </c>
      <c r="Y13" s="14">
        <f>_xll.BDH("XOM US Equity","OPER_INC_PER_SH","FQ3 1995","FQ3 1995","Currency=USD","Period=FQ","BEST_FPERIOD_OVERRIDE=FQ","FILING_STATUS=OR","FA_ADJUSTED=GAAP","Sort=A","Dates=H","DateFormat=P","Fill=—","Direction=H","UseDPDF=Y")</f>
        <v>0.47810000000000002</v>
      </c>
      <c r="Z13" s="14">
        <f>_xll.BDH("XOM US Equity","OPER_INC_PER_SH","FQ4 1995","FQ4 1995","Currency=USD","Period=FQ","BEST_FPERIOD_OVERRIDE=FQ","FILING_STATUS=OR","FA_ADJUSTED=GAAP","Sort=A","Dates=H","DateFormat=P","Fill=—","Direction=H","UseDPDF=Y")</f>
        <v>1.026</v>
      </c>
      <c r="AA13" s="14">
        <f>_xll.BDH("XOM US Equity","OPER_INC_PER_SH","FQ1 1996","FQ1 1996","Currency=USD","Period=FQ","BEST_FPERIOD_OVERRIDE=FQ","FILING_STATUS=OR","FA_ADJUSTED=GAAP","Sort=A","Dates=H","DateFormat=P","Fill=—","Direction=H","UseDPDF=Y")</f>
        <v>0.46800000000000003</v>
      </c>
      <c r="AB13" s="14">
        <f>_xll.BDH("XOM US Equity","OPER_INC_PER_SH","FQ2 1996","FQ2 1996","Currency=USD","Period=FQ","BEST_FPERIOD_OVERRIDE=FQ","FILING_STATUS=OR","FA_ADJUSTED=GAAP","Sort=A","Dates=H","DateFormat=P","Fill=—","Direction=H","UseDPDF=Y")</f>
        <v>0.45929999999999999</v>
      </c>
      <c r="AC13" s="14">
        <f>_xll.BDH("XOM US Equity","OPER_INC_PER_SH","FQ3 1996","FQ3 1996","Currency=USD","Period=FQ","BEST_FPERIOD_OVERRIDE=FQ","FILING_STATUS=OR","FA_ADJUSTED=GAAP","Sort=A","Dates=H","DateFormat=P","Fill=—","Direction=H","UseDPDF=Y")</f>
        <v>0.46960000000000002</v>
      </c>
      <c r="AD13" s="14">
        <f>_xll.BDH("XOM US Equity","OPER_INC_PER_SH","FQ4 1996","FQ4 1996","Currency=USD","Period=FQ","BEST_FPERIOD_OVERRIDE=FQ","FILING_STATUS=OR","FA_ADJUSTED=GAAP","Sort=A","Dates=H","DateFormat=P","Fill=—","Direction=H","UseDPDF=Y")</f>
        <v>1.6576</v>
      </c>
      <c r="AE13" s="14">
        <f>_xll.BDH("XOM US Equity","OPER_INC_PER_SH","FQ1 1997","FQ1 1997","Currency=USD","Period=FQ","BEST_FPERIOD_OVERRIDE=FQ","FILING_STATUS=OR","FA_ADJUSTED=GAAP","Sort=A","Dates=H","DateFormat=P","Fill=—","Direction=H","UseDPDF=Y")</f>
        <v>0.64490000000000003</v>
      </c>
      <c r="AF13" s="14">
        <f>_xll.BDH("XOM US Equity","OPER_INC_PER_SH","FQ2 1997","FQ2 1997","Currency=USD","Period=FQ","BEST_FPERIOD_OVERRIDE=FQ","FILING_STATUS=OR","FA_ADJUSTED=GAAP","Sort=A","Dates=H","DateFormat=P","Fill=—","Direction=H","UseDPDF=Y")</f>
        <v>0.57069999999999999</v>
      </c>
      <c r="AG13" s="14">
        <f>_xll.BDH("XOM US Equity","OPER_INC_PER_SH","FQ3 1997","FQ3 1997","Currency=USD","Period=FQ","BEST_FPERIOD_OVERRIDE=FQ","FILING_STATUS=OR","FA_ADJUSTED=GAAP","Sort=A","Dates=H","DateFormat=P","Fill=—","Direction=H","UseDPDF=Y")</f>
        <v>0.52649999999999997</v>
      </c>
      <c r="AH13" s="14">
        <f>_xll.BDH("XOM US Equity","OPER_INC_PER_SH","FQ4 1997","FQ4 1997","Currency=USD","Period=FQ","BEST_FPERIOD_OVERRIDE=FQ","FILING_STATUS=OR","FA_ADJUSTED=GAAP","Sort=A","Dates=H","DateFormat=P","Fill=—","Direction=H","UseDPDF=Y")</f>
        <v>1.1721999999999999</v>
      </c>
      <c r="AI13" s="14">
        <f>_xll.BDH("XOM US Equity","OPER_INC_PER_SH","FQ1 1998","FQ1 1998","Currency=USD","Period=FQ","BEST_FPERIOD_OVERRIDE=FQ","FILING_STATUS=OR","FA_ADJUSTED=GAAP","Sort=A","Dates=H","DateFormat=P","Fill=—","Direction=H","UseDPDF=Y")</f>
        <v>0.47649999999999998</v>
      </c>
      <c r="AJ13" s="14">
        <f>_xll.BDH("XOM US Equity","OPER_INC_PER_SH","FQ2 1998","FQ2 1998","Currency=USD","Period=FQ","BEST_FPERIOD_OVERRIDE=FQ","FILING_STATUS=OR","FA_ADJUSTED=GAAP","Sort=A","Dates=H","DateFormat=P","Fill=—","Direction=H","UseDPDF=Y")</f>
        <v>0.39169999999999999</v>
      </c>
    </row>
    <row r="14" spans="1:36" x14ac:dyDescent="0.25">
      <c r="A14" s="10" t="s">
        <v>299</v>
      </c>
      <c r="B14" s="10" t="s">
        <v>112</v>
      </c>
      <c r="C14" s="14">
        <f>_xll.BDH("XOM US Equity","IS_EPS","FQ1 1990","FQ1 1990","Currency=USD","Period=FQ","BEST_FPERIOD_OVERRIDE=FQ","FILING_STATUS=OR","FA_ADJUSTED=GAAP","Sort=A","Dates=H","DateFormat=P","Fill=—","Direction=H","UseDPDF=Y")</f>
        <v>0.2525</v>
      </c>
      <c r="D14" s="14">
        <f>_xll.BDH("XOM US Equity","IS_EPS","FQ2 1990","FQ2 1990","Currency=USD","Period=FQ","BEST_FPERIOD_OVERRIDE=FQ","FILING_STATUS=OR","FA_ADJUSTED=GAAP","Sort=A","Dates=H","DateFormat=P","Fill=—","Direction=H","UseDPDF=Y")</f>
        <v>0.2175</v>
      </c>
      <c r="E14" s="14">
        <f>_xll.BDH("XOM US Equity","IS_EPS","FQ3 1990","FQ3 1990","Currency=USD","Period=FQ","BEST_FPERIOD_OVERRIDE=FQ","FILING_STATUS=OR","FA_ADJUSTED=GAAP","Sort=A","Dates=H","DateFormat=P","Fill=—","Direction=H","UseDPDF=Y")</f>
        <v>0.21249999999999999</v>
      </c>
      <c r="F14" s="14">
        <f>_xll.BDH("XOM US Equity","IS_EPS","FQ4 1990","FQ4 1990","Currency=USD","Period=FQ","BEST_FPERIOD_OVERRIDE=FQ","FILING_STATUS=OR","FA_ADJUSTED=GAAP","Sort=A","Dates=H","DateFormat=P","Fill=—","Direction=H","UseDPDF=Y")</f>
        <v>0.3075</v>
      </c>
      <c r="G14" s="14">
        <f>_xll.BDH("XOM US Equity","IS_EPS","FQ1 1991","FQ1 1991","Currency=USD","Period=FQ","BEST_FPERIOD_OVERRIDE=FQ","FILING_STATUS=OR","FA_ADJUSTED=GAAP","Sort=A","Dates=H","DateFormat=P","Fill=—","Direction=H","UseDPDF=Y")</f>
        <v>0.44500000000000001</v>
      </c>
      <c r="H14" s="14">
        <f>_xll.BDH("XOM US Equity","IS_EPS","FQ2 1991","FQ2 1991","Currency=USD","Period=FQ","BEST_FPERIOD_OVERRIDE=FQ","FILING_STATUS=OR","FA_ADJUSTED=GAAP","Sort=A","Dates=H","DateFormat=P","Fill=—","Direction=H","UseDPDF=Y")</f>
        <v>0.22500000000000001</v>
      </c>
      <c r="I14" s="14">
        <f>_xll.BDH("XOM US Equity","IS_EPS","FQ3 1991","FQ3 1991","Currency=USD","Period=FQ","BEST_FPERIOD_OVERRIDE=FQ","FILING_STATUS=OR","FA_ADJUSTED=GAAP","Sort=A","Dates=H","DateFormat=P","Fill=—","Direction=H","UseDPDF=Y")</f>
        <v>0.22</v>
      </c>
      <c r="J14" s="14">
        <f>_xll.BDH("XOM US Equity","IS_EPS","FQ4 1991","FQ4 1991","Currency=USD","Period=FQ","BEST_FPERIOD_OVERRIDE=FQ","FILING_STATUS=OR","FA_ADJUSTED=GAAP","Sort=A","Dates=H","DateFormat=P","Fill=—","Direction=H","UseDPDF=Y")</f>
        <v>0.2225</v>
      </c>
      <c r="K14" s="14">
        <f>_xll.BDH("XOM US Equity","IS_EPS","FQ1 1992","FQ1 1992","Currency=USD","Period=FQ","BEST_FPERIOD_OVERRIDE=FQ","FILING_STATUS=OR","FA_ADJUSTED=GAAP","Sort=A","Dates=H","DateFormat=P","Fill=—","Direction=H","UseDPDF=Y")</f>
        <v>0.26750000000000002</v>
      </c>
      <c r="L14" s="14">
        <f>_xll.BDH("XOM US Equity","IS_EPS","FQ2 1992","FQ2 1992","Currency=USD","Period=FQ","BEST_FPERIOD_OVERRIDE=FQ","FILING_STATUS=OR","FA_ADJUSTED=GAAP","Sort=A","Dates=H","DateFormat=P","Fill=—","Direction=H","UseDPDF=Y")</f>
        <v>0.19</v>
      </c>
      <c r="M14" s="14">
        <f>_xll.BDH("XOM US Equity","IS_EPS","FQ3 1992","FQ3 1992","Currency=USD","Period=FQ","BEST_FPERIOD_OVERRIDE=FQ","FILING_STATUS=OR","FA_ADJUSTED=GAAP","Sort=A","Dates=H","DateFormat=P","Fill=—","Direction=H","UseDPDF=Y")</f>
        <v>0.22500000000000001</v>
      </c>
      <c r="N14" s="14">
        <f>_xll.BDH("XOM US Equity","IS_EPS","FQ4 1992","FQ4 1992","Currency=USD","Period=FQ","BEST_FPERIOD_OVERRIDE=FQ","FILING_STATUS=OR","FA_ADJUSTED=GAAP","Sort=A","Dates=H","DateFormat=P","Fill=—","Direction=H","UseDPDF=Y")</f>
        <v>0.31</v>
      </c>
      <c r="O14" s="14">
        <f>_xll.BDH("XOM US Equity","IS_EPS","FQ1 1993","FQ1 1993","Currency=USD","Period=FQ","BEST_FPERIOD_OVERRIDE=FQ","FILING_STATUS=OR","FA_ADJUSTED=GAAP","Sort=A","Dates=H","DateFormat=P","Fill=—","Direction=H","UseDPDF=Y")</f>
        <v>0.23499999999999999</v>
      </c>
      <c r="P14" s="14">
        <f>_xll.BDH("XOM US Equity","IS_EPS","FQ2 1993","FQ2 1993","Currency=USD","Period=FQ","BEST_FPERIOD_OVERRIDE=FQ","FILING_STATUS=OR","FA_ADJUSTED=GAAP","Sort=A","Dates=H","DateFormat=P","Fill=—","Direction=H","UseDPDF=Y")</f>
        <v>0.245</v>
      </c>
      <c r="Q14" s="14">
        <f>_xll.BDH("XOM US Equity","IS_EPS","FQ3 1993","FQ3 1993","Currency=USD","Period=FQ","BEST_FPERIOD_OVERRIDE=FQ","FILING_STATUS=OR","FA_ADJUSTED=GAAP","Sort=A","Dates=H","DateFormat=P","Fill=—","Direction=H","UseDPDF=Y")</f>
        <v>0.27250000000000002</v>
      </c>
      <c r="R14" s="14">
        <f>_xll.BDH("XOM US Equity","IS_EPS","FQ4 1993","FQ4 1993","Currency=USD","Period=FQ","BEST_FPERIOD_OVERRIDE=FQ","FILING_STATUS=OR","FA_ADJUSTED=GAAP","Sort=A","Dates=H","DateFormat=P","Fill=—","Direction=H","UseDPDF=Y")</f>
        <v>0.3</v>
      </c>
      <c r="S14" s="14">
        <f>_xll.BDH("XOM US Equity","IS_EPS","FQ1 1994","FQ1 1994","Currency=USD","Period=FQ","BEST_FPERIOD_OVERRIDE=FQ","FILING_STATUS=OR","FA_ADJUSTED=GAAP","Sort=A","Dates=H","DateFormat=P","Fill=—","Direction=H","UseDPDF=Y")</f>
        <v>0.23</v>
      </c>
      <c r="T14" s="14">
        <f>_xll.BDH("XOM US Equity","IS_EPS","FQ2 1994","FQ2 1994","Currency=USD","Period=FQ","BEST_FPERIOD_OVERRIDE=FQ","FILING_STATUS=OR","FA_ADJUSTED=GAAP","Sort=A","Dates=H","DateFormat=P","Fill=—","Direction=H","UseDPDF=Y")</f>
        <v>0.17499999999999999</v>
      </c>
      <c r="U14" s="14">
        <f>_xll.BDH("XOM US Equity","IS_EPS","FQ3 1994","FQ3 1994","Currency=USD","Period=FQ","BEST_FPERIOD_OVERRIDE=FQ","FILING_STATUS=OR","FA_ADJUSTED=GAAP","Sort=A","Dates=H","DateFormat=P","Fill=—","Direction=H","UseDPDF=Y")</f>
        <v>0.23</v>
      </c>
      <c r="V14" s="14">
        <f>_xll.BDH("XOM US Equity","IS_EPS","FQ4 1994","FQ4 1994","Currency=USD","Period=FQ","BEST_FPERIOD_OVERRIDE=FQ","FILING_STATUS=OR","FA_ADJUSTED=GAAP","Sort=A","Dates=H","DateFormat=P","Fill=—","Direction=H","UseDPDF=Y")</f>
        <v>0.38250000000000001</v>
      </c>
      <c r="W14" s="14">
        <f>_xll.BDH("XOM US Equity","IS_EPS","FQ1 1995","FQ1 1995","Currency=USD","Period=FQ","BEST_FPERIOD_OVERRIDE=FQ","FILING_STATUS=OR","FA_ADJUSTED=GAAP","Sort=A","Dates=H","DateFormat=P","Fill=—","Direction=H","UseDPDF=Y")</f>
        <v>0.33250000000000002</v>
      </c>
      <c r="X14" s="14">
        <f>_xll.BDH("XOM US Equity","IS_EPS","FQ2 1995","FQ2 1995","Currency=USD","Period=FQ","BEST_FPERIOD_OVERRIDE=FQ","FILING_STATUS=OR","FA_ADJUSTED=GAAP","Sort=A","Dates=H","DateFormat=P","Fill=—","Direction=H","UseDPDF=Y")</f>
        <v>0.32500000000000001</v>
      </c>
      <c r="Y14" s="14">
        <f>_xll.BDH("XOM US Equity","IS_EPS","FQ3 1995","FQ3 1995","Currency=USD","Period=FQ","BEST_FPERIOD_OVERRIDE=FQ","FILING_STATUS=OR","FA_ADJUSTED=GAAP","Sort=A","Dates=H","DateFormat=P","Fill=—","Direction=H","UseDPDF=Y")</f>
        <v>0.3</v>
      </c>
      <c r="Z14" s="14">
        <f>_xll.BDH("XOM US Equity","IS_EPS","FQ4 1995","FQ4 1995","Currency=USD","Period=FQ","BEST_FPERIOD_OVERRIDE=FQ","FILING_STATUS=OR","FA_ADJUSTED=GAAP","Sort=A","Dates=H","DateFormat=P","Fill=—","Direction=H","UseDPDF=Y")</f>
        <v>0.33750000000000002</v>
      </c>
      <c r="AA14" s="14">
        <f>_xll.BDH("XOM US Equity","IS_EPS","FQ1 1996","FQ1 1996","Currency=USD","Period=FQ","BEST_FPERIOD_OVERRIDE=FQ","FILING_STATUS=OR","FA_ADJUSTED=GAAP","Sort=A","Dates=H","DateFormat=P","Fill=—","Direction=H","UseDPDF=Y")</f>
        <v>0.38</v>
      </c>
      <c r="AB14" s="14">
        <f>_xll.BDH("XOM US Equity","IS_EPS","FQ2 1996","FQ2 1996","Currency=USD","Period=FQ","BEST_FPERIOD_OVERRIDE=FQ","FILING_STATUS=OR","FA_ADJUSTED=GAAP","Sort=A","Dates=H","DateFormat=P","Fill=—","Direction=H","UseDPDF=Y")</f>
        <v>0.315</v>
      </c>
      <c r="AC14" s="14">
        <f>_xll.BDH("XOM US Equity","IS_EPS","FQ3 1996","FQ3 1996","Currency=USD","Period=FQ","BEST_FPERIOD_OVERRIDE=FQ","FILING_STATUS=OR","FA_ADJUSTED=GAAP","Sort=A","Dates=H","DateFormat=P","Fill=—","Direction=H","UseDPDF=Y")</f>
        <v>0.31</v>
      </c>
      <c r="AD14" s="14">
        <f>_xll.BDH("XOM US Equity","IS_EPS","FQ4 1996","FQ4 1996","Currency=USD","Period=FQ","BEST_FPERIOD_OVERRIDE=FQ","FILING_STATUS=OR","FA_ADJUSTED=GAAP","Sort=A","Dates=H","DateFormat=P","Fill=—","Direction=H","UseDPDF=Y")</f>
        <v>0.5</v>
      </c>
      <c r="AE14" s="14">
        <f>_xll.BDH("XOM US Equity","IS_EPS","FQ1 1997","FQ1 1997","Currency=USD","Period=FQ","BEST_FPERIOD_OVERRIDE=FQ","FILING_STATUS=OR","FA_ADJUSTED=GAAP","Sort=A","Dates=H","DateFormat=P","Fill=—","Direction=H","UseDPDF=Y")</f>
        <v>0.435</v>
      </c>
      <c r="AF14" s="14">
        <f>_xll.BDH("XOM US Equity","IS_EPS","FQ2 1997","FQ2 1997","Currency=USD","Period=FQ","BEST_FPERIOD_OVERRIDE=FQ","FILING_STATUS=OR","FA_ADJUSTED=GAAP","Sort=A","Dates=H","DateFormat=P","Fill=—","Direction=H","UseDPDF=Y")</f>
        <v>0.39500000000000002</v>
      </c>
      <c r="AG14" s="14">
        <f>_xll.BDH("XOM US Equity","IS_EPS","FQ3 1997","FQ3 1997","Currency=USD","Period=FQ","BEST_FPERIOD_OVERRIDE=FQ","FILING_STATUS=OR","FA_ADJUSTED=GAAP","Sort=A","Dates=H","DateFormat=P","Fill=—","Direction=H","UseDPDF=Y")</f>
        <v>0.37</v>
      </c>
      <c r="AH14" s="14">
        <f>_xll.BDH("XOM US Equity","IS_EPS","FQ4 1997","FQ4 1997","Currency=USD","Period=FQ","BEST_FPERIOD_OVERRIDE=FQ","FILING_STATUS=OR","FA_ADJUSTED=GAAP","Sort=A","Dates=H","DateFormat=P","Fill=—","Direction=H","UseDPDF=Y")</f>
        <v>0.505</v>
      </c>
      <c r="AI14" s="14">
        <f>_xll.BDH("XOM US Equity","IS_EPS","FQ1 1998","FQ1 1998","Currency=USD","Period=FQ","BEST_FPERIOD_OVERRIDE=FQ","FILING_STATUS=OR","FA_ADJUSTED=GAAP","Sort=A","Dates=H","DateFormat=P","Fill=—","Direction=H","UseDPDF=Y")</f>
        <v>0.38500000000000001</v>
      </c>
      <c r="AJ14" s="14">
        <f>_xll.BDH("XOM US Equity","IS_EPS","FQ2 1998","FQ2 1998","Currency=USD","Period=FQ","BEST_FPERIOD_OVERRIDE=FQ","FILING_STATUS=OR","FA_ADJUSTED=GAAP","Sort=A","Dates=H","DateFormat=P","Fill=—","Direction=H","UseDPDF=Y")</f>
        <v>0.33</v>
      </c>
    </row>
    <row r="15" spans="1:36" x14ac:dyDescent="0.25">
      <c r="A15" s="10" t="s">
        <v>300</v>
      </c>
      <c r="B15" s="10" t="s">
        <v>114</v>
      </c>
      <c r="C15" s="14">
        <f>_xll.BDH("XOM US Equity","IS_EARN_BEF_XO_ITEMS_PER_SH","FQ1 1990","FQ1 1990","Currency=USD","Period=FQ","BEST_FPERIOD_OVERRIDE=FQ","FILING_STATUS=OR","Sort=A","Dates=H","DateFormat=P","Fill=—","Direction=H","UseDPDF=Y")</f>
        <v>0.2525</v>
      </c>
      <c r="D15" s="14">
        <f>_xll.BDH("XOM US Equity","IS_EARN_BEF_XO_ITEMS_PER_SH","FQ2 1990","FQ2 1990","Currency=USD","Period=FQ","BEST_FPERIOD_OVERRIDE=FQ","FILING_STATUS=OR","Sort=A","Dates=H","DateFormat=P","Fill=—","Direction=H","UseDPDF=Y")</f>
        <v>0.2175</v>
      </c>
      <c r="E15" s="14">
        <f>_xll.BDH("XOM US Equity","IS_EARN_BEF_XO_ITEMS_PER_SH","FQ3 1990","FQ3 1990","Currency=USD","Period=FQ","BEST_FPERIOD_OVERRIDE=FQ","FILING_STATUS=OR","Sort=A","Dates=H","DateFormat=P","Fill=—","Direction=H","UseDPDF=Y")</f>
        <v>0.21249999999999999</v>
      </c>
      <c r="F15" s="14">
        <f>_xll.BDH("XOM US Equity","IS_EARN_BEF_XO_ITEMS_PER_SH","FQ4 1990","FQ4 1990","Currency=USD","Period=FQ","BEST_FPERIOD_OVERRIDE=FQ","FILING_STATUS=OR","Sort=A","Dates=H","DateFormat=P","Fill=—","Direction=H","UseDPDF=Y")</f>
        <v>0.3075</v>
      </c>
      <c r="G15" s="14">
        <f>_xll.BDH("XOM US Equity","IS_EARN_BEF_XO_ITEMS_PER_SH","FQ1 1991","FQ1 1991","Currency=USD","Period=FQ","BEST_FPERIOD_OVERRIDE=FQ","FILING_STATUS=OR","Sort=A","Dates=H","DateFormat=P","Fill=—","Direction=H","UseDPDF=Y")</f>
        <v>0.44500000000000001</v>
      </c>
      <c r="H15" s="14">
        <f>_xll.BDH("XOM US Equity","IS_EARN_BEF_XO_ITEMS_PER_SH","FQ2 1991","FQ2 1991","Currency=USD","Period=FQ","BEST_FPERIOD_OVERRIDE=FQ","FILING_STATUS=OR","Sort=A","Dates=H","DateFormat=P","Fill=—","Direction=H","UseDPDF=Y")</f>
        <v>0.22500000000000001</v>
      </c>
      <c r="I15" s="14">
        <f>_xll.BDH("XOM US Equity","IS_EARN_BEF_XO_ITEMS_PER_SH","FQ3 1991","FQ3 1991","Currency=USD","Period=FQ","BEST_FPERIOD_OVERRIDE=FQ","FILING_STATUS=OR","Sort=A","Dates=H","DateFormat=P","Fill=—","Direction=H","UseDPDF=Y")</f>
        <v>0.22</v>
      </c>
      <c r="J15" s="14">
        <f>_xll.BDH("XOM US Equity","IS_EARN_BEF_XO_ITEMS_PER_SH","FQ4 1991","FQ4 1991","Currency=USD","Period=FQ","BEST_FPERIOD_OVERRIDE=FQ","FILING_STATUS=OR","Sort=A","Dates=H","DateFormat=P","Fill=—","Direction=H","UseDPDF=Y")</f>
        <v>0.2225</v>
      </c>
      <c r="K15" s="14">
        <f>_xll.BDH("XOM US Equity","IS_EARN_BEF_XO_ITEMS_PER_SH","FQ1 1992","FQ1 1992","Currency=USD","Period=FQ","BEST_FPERIOD_OVERRIDE=FQ","FILING_STATUS=OR","Sort=A","Dates=H","DateFormat=P","Fill=—","Direction=H","UseDPDF=Y")</f>
        <v>0.26750000000000002</v>
      </c>
      <c r="L15" s="14">
        <f>_xll.BDH("XOM US Equity","IS_EARN_BEF_XO_ITEMS_PER_SH","FQ2 1992","FQ2 1992","Currency=USD","Period=FQ","BEST_FPERIOD_OVERRIDE=FQ","FILING_STATUS=OR","Sort=A","Dates=H","DateFormat=P","Fill=—","Direction=H","UseDPDF=Y")</f>
        <v>0.19</v>
      </c>
      <c r="M15" s="14">
        <f>_xll.BDH("XOM US Equity","IS_EARN_BEF_XO_ITEMS_PER_SH","FQ3 1992","FQ3 1992","Currency=USD","Period=FQ","BEST_FPERIOD_OVERRIDE=FQ","FILING_STATUS=OR","Sort=A","Dates=H","DateFormat=P","Fill=—","Direction=H","UseDPDF=Y")</f>
        <v>0.22500000000000001</v>
      </c>
      <c r="N15" s="14">
        <f>_xll.BDH("XOM US Equity","IS_EARN_BEF_XO_ITEMS_PER_SH","FQ4 1992","FQ4 1992","Currency=USD","Period=FQ","BEST_FPERIOD_OVERRIDE=FQ","FILING_STATUS=OR","Sort=A","Dates=H","DateFormat=P","Fill=—","Direction=H","UseDPDF=Y")</f>
        <v>0.3175</v>
      </c>
      <c r="O15" s="14">
        <f>_xll.BDH("XOM US Equity","IS_EARN_BEF_XO_ITEMS_PER_SH","FQ1 1993","FQ1 1993","Currency=USD","Period=FQ","BEST_FPERIOD_OVERRIDE=FQ","FILING_STATUS=OR","Sort=A","Dates=H","DateFormat=P","Fill=—","Direction=H","UseDPDF=Y")</f>
        <v>0.23499999999999999</v>
      </c>
      <c r="P15" s="14">
        <f>_xll.BDH("XOM US Equity","IS_EARN_BEF_XO_ITEMS_PER_SH","FQ2 1993","FQ2 1993","Currency=USD","Period=FQ","BEST_FPERIOD_OVERRIDE=FQ","FILING_STATUS=OR","Sort=A","Dates=H","DateFormat=P","Fill=—","Direction=H","UseDPDF=Y")</f>
        <v>0.245</v>
      </c>
      <c r="Q15" s="14">
        <f>_xll.BDH("XOM US Equity","IS_EARN_BEF_XO_ITEMS_PER_SH","FQ3 1993","FQ3 1993","Currency=USD","Period=FQ","BEST_FPERIOD_OVERRIDE=FQ","FILING_STATUS=OR","Sort=A","Dates=H","DateFormat=P","Fill=—","Direction=H","UseDPDF=Y")</f>
        <v>0.27250000000000002</v>
      </c>
      <c r="R15" s="14">
        <f>_xll.BDH("XOM US Equity","IS_EARN_BEF_XO_ITEMS_PER_SH","FQ4 1993","FQ4 1993","Currency=USD","Period=FQ","BEST_FPERIOD_OVERRIDE=FQ","FILING_STATUS=OR","Sort=A","Dates=H","DateFormat=P","Fill=—","Direction=H","UseDPDF=Y")</f>
        <v>0.3</v>
      </c>
      <c r="S15" s="14">
        <f>_xll.BDH("XOM US Equity","IS_EARN_BEF_XO_ITEMS_PER_SH","FQ1 1994","FQ1 1994","Currency=USD","Period=FQ","BEST_FPERIOD_OVERRIDE=FQ","FILING_STATUS=OR","Sort=A","Dates=H","DateFormat=P","Fill=—","Direction=H","UseDPDF=Y")</f>
        <v>0.23</v>
      </c>
      <c r="T15" s="14">
        <f>_xll.BDH("XOM US Equity","IS_EARN_BEF_XO_ITEMS_PER_SH","FQ2 1994","FQ2 1994","Currency=USD","Period=FQ","BEST_FPERIOD_OVERRIDE=FQ","FILING_STATUS=OR","Sort=A","Dates=H","DateFormat=P","Fill=—","Direction=H","UseDPDF=Y")</f>
        <v>0.17499999999999999</v>
      </c>
      <c r="U15" s="14">
        <f>_xll.BDH("XOM US Equity","IS_EARN_BEF_XO_ITEMS_PER_SH","FQ3 1994","FQ3 1994","Currency=USD","Period=FQ","BEST_FPERIOD_OVERRIDE=FQ","FILING_STATUS=OR","Sort=A","Dates=H","DateFormat=P","Fill=—","Direction=H","UseDPDF=Y")</f>
        <v>0.23</v>
      </c>
      <c r="V15" s="14">
        <f>_xll.BDH("XOM US Equity","IS_EARN_BEF_XO_ITEMS_PER_SH","FQ4 1994","FQ4 1994","Currency=USD","Period=FQ","BEST_FPERIOD_OVERRIDE=FQ","FILING_STATUS=OR","Sort=A","Dates=H","DateFormat=P","Fill=—","Direction=H","UseDPDF=Y")</f>
        <v>0.38250000000000001</v>
      </c>
      <c r="W15" s="14">
        <f>_xll.BDH("XOM US Equity","IS_EARN_BEF_XO_ITEMS_PER_SH","FQ1 1995","FQ1 1995","Currency=USD","Period=FQ","BEST_FPERIOD_OVERRIDE=FQ","FILING_STATUS=OR","Sort=A","Dates=H","DateFormat=P","Fill=—","Direction=H","UseDPDF=Y")</f>
        <v>0.33250000000000002</v>
      </c>
      <c r="X15" s="14">
        <f>_xll.BDH("XOM US Equity","IS_EARN_BEF_XO_ITEMS_PER_SH","FQ2 1995","FQ2 1995","Currency=USD","Period=FQ","BEST_FPERIOD_OVERRIDE=FQ","FILING_STATUS=OR","Sort=A","Dates=H","DateFormat=P","Fill=—","Direction=H","UseDPDF=Y")</f>
        <v>0.32500000000000001</v>
      </c>
      <c r="Y15" s="14">
        <f>_xll.BDH("XOM US Equity","IS_EARN_BEF_XO_ITEMS_PER_SH","FQ3 1995","FQ3 1995","Currency=USD","Period=FQ","BEST_FPERIOD_OVERRIDE=FQ","FILING_STATUS=OR","Sort=A","Dates=H","DateFormat=P","Fill=—","Direction=H","UseDPDF=Y")</f>
        <v>0.3</v>
      </c>
      <c r="Z15" s="14">
        <f>_xll.BDH("XOM US Equity","IS_EARN_BEF_XO_ITEMS_PER_SH","FQ4 1995","FQ4 1995","Currency=USD","Period=FQ","BEST_FPERIOD_OVERRIDE=FQ","FILING_STATUS=OR","Sort=A","Dates=H","DateFormat=P","Fill=—","Direction=H","UseDPDF=Y")</f>
        <v>0.33750000000000002</v>
      </c>
      <c r="AA15" s="14">
        <f>_xll.BDH("XOM US Equity","IS_EARN_BEF_XO_ITEMS_PER_SH","FQ1 1996","FQ1 1996","Currency=USD","Period=FQ","BEST_FPERIOD_OVERRIDE=FQ","FILING_STATUS=OR","Sort=A","Dates=H","DateFormat=P","Fill=—","Direction=H","UseDPDF=Y")</f>
        <v>0.38</v>
      </c>
      <c r="AB15" s="14">
        <f>_xll.BDH("XOM US Equity","IS_EARN_BEF_XO_ITEMS_PER_SH","FQ2 1996","FQ2 1996","Currency=USD","Period=FQ","BEST_FPERIOD_OVERRIDE=FQ","FILING_STATUS=OR","Sort=A","Dates=H","DateFormat=P","Fill=—","Direction=H","UseDPDF=Y")</f>
        <v>0.315</v>
      </c>
      <c r="AC15" s="14">
        <f>_xll.BDH("XOM US Equity","IS_EARN_BEF_XO_ITEMS_PER_SH","FQ3 1996","FQ3 1996","Currency=USD","Period=FQ","BEST_FPERIOD_OVERRIDE=FQ","FILING_STATUS=OR","Sort=A","Dates=H","DateFormat=P","Fill=—","Direction=H","UseDPDF=Y")</f>
        <v>0.31</v>
      </c>
      <c r="AD15" s="14">
        <f>_xll.BDH("XOM US Equity","IS_EARN_BEF_XO_ITEMS_PER_SH","FQ4 1996","FQ4 1996","Currency=USD","Period=FQ","BEST_FPERIOD_OVERRIDE=FQ","FILING_STATUS=OR","Sort=A","Dates=H","DateFormat=P","Fill=—","Direction=H","UseDPDF=Y")</f>
        <v>0.5</v>
      </c>
      <c r="AE15" s="14">
        <f>_xll.BDH("XOM US Equity","IS_EARN_BEF_XO_ITEMS_PER_SH","FQ1 1997","FQ1 1997","Currency=USD","Period=FQ","BEST_FPERIOD_OVERRIDE=FQ","FILING_STATUS=OR","Sort=A","Dates=H","DateFormat=P","Fill=—","Direction=H","UseDPDF=Y")</f>
        <v>0.435</v>
      </c>
      <c r="AF15" s="14">
        <f>_xll.BDH("XOM US Equity","IS_EARN_BEF_XO_ITEMS_PER_SH","FQ2 1997","FQ2 1997","Currency=USD","Period=FQ","BEST_FPERIOD_OVERRIDE=FQ","FILING_STATUS=OR","Sort=A","Dates=H","DateFormat=P","Fill=—","Direction=H","UseDPDF=Y")</f>
        <v>0.39500000000000002</v>
      </c>
      <c r="AG15" s="14">
        <f>_xll.BDH("XOM US Equity","IS_EARN_BEF_XO_ITEMS_PER_SH","FQ3 1997","FQ3 1997","Currency=USD","Period=FQ","BEST_FPERIOD_OVERRIDE=FQ","FILING_STATUS=OR","Sort=A","Dates=H","DateFormat=P","Fill=—","Direction=H","UseDPDF=Y")</f>
        <v>0.37</v>
      </c>
      <c r="AH15" s="14">
        <f>_xll.BDH("XOM US Equity","IS_EARN_BEF_XO_ITEMS_PER_SH","FQ4 1997","FQ4 1997","Currency=USD","Period=FQ","BEST_FPERIOD_OVERRIDE=FQ","FILING_STATUS=OR","Sort=A","Dates=H","DateFormat=P","Fill=—","Direction=H","UseDPDF=Y")</f>
        <v>0.505</v>
      </c>
      <c r="AI15" s="14">
        <f>_xll.BDH("XOM US Equity","IS_EARN_BEF_XO_ITEMS_PER_SH","FQ1 1998","FQ1 1998","Currency=USD","Period=FQ","BEST_FPERIOD_OVERRIDE=FQ","FILING_STATUS=OR","Sort=A","Dates=H","DateFormat=P","Fill=—","Direction=H","UseDPDF=Y")</f>
        <v>0.38500000000000001</v>
      </c>
      <c r="AJ15" s="14">
        <f>_xll.BDH("XOM US Equity","IS_EARN_BEF_XO_ITEMS_PER_SH","FQ2 1998","FQ2 1998","Currency=USD","Period=FQ","BEST_FPERIOD_OVERRIDE=FQ","FILING_STATUS=OR","Sort=A","Dates=H","DateFormat=P","Fill=—","Direction=H","UseDPDF=Y")</f>
        <v>0.33</v>
      </c>
    </row>
    <row r="16" spans="1:36" x14ac:dyDescent="0.25">
      <c r="A16" s="10" t="s">
        <v>301</v>
      </c>
      <c r="B16" s="10" t="s">
        <v>116</v>
      </c>
      <c r="C16" s="14" t="str">
        <f>_xll.BDH("XOM US Equity","IS_BASIC_EPS_CONT_OPS","FQ1 1990","FQ1 1990","Currency=USD","Period=FQ","BEST_FPERIOD_OVERRIDE=FQ","FILING_STATUS=OR","Sort=A","Dates=H","DateFormat=P","Fill=—","Direction=H","UseDPDF=Y")</f>
        <v>—</v>
      </c>
      <c r="D16" s="14" t="str">
        <f>_xll.BDH("XOM US Equity","IS_BASIC_EPS_CONT_OPS","FQ2 1990","FQ2 1990","Currency=USD","Period=FQ","BEST_FPERIOD_OVERRIDE=FQ","FILING_STATUS=OR","Sort=A","Dates=H","DateFormat=P","Fill=—","Direction=H","UseDPDF=Y")</f>
        <v>—</v>
      </c>
      <c r="E16" s="14" t="str">
        <f>_xll.BDH("XOM US Equity","IS_BASIC_EPS_CONT_OPS","FQ3 1990","FQ3 1990","Currency=USD","Period=FQ","BEST_FPERIOD_OVERRIDE=FQ","FILING_STATUS=OR","Sort=A","Dates=H","DateFormat=P","Fill=—","Direction=H","UseDPDF=Y")</f>
        <v>—</v>
      </c>
      <c r="F16" s="14">
        <f>_xll.BDH("XOM US Equity","IS_BASIC_EPS_CONT_OPS","FQ4 1990","FQ4 1990","Currency=USD","Period=FQ","BEST_FPERIOD_OVERRIDE=FQ","FILING_STATUS=OR","Sort=A","Dates=H","DateFormat=P","Fill=—","Direction=H","UseDPDF=Y")</f>
        <v>0.3075</v>
      </c>
      <c r="G16" s="14">
        <f>_xll.BDH("XOM US Equity","IS_BASIC_EPS_CONT_OPS","FQ1 1991","FQ1 1991","Currency=USD","Period=FQ","BEST_FPERIOD_OVERRIDE=FQ","FILING_STATUS=OR","Sort=A","Dates=H","DateFormat=P","Fill=—","Direction=H","UseDPDF=Y")</f>
        <v>0.44500000000000001</v>
      </c>
      <c r="H16" s="14" t="str">
        <f>_xll.BDH("XOM US Equity","IS_BASIC_EPS_CONT_OPS","FQ2 1991","FQ2 1991","Currency=USD","Period=FQ","BEST_FPERIOD_OVERRIDE=FQ","FILING_STATUS=OR","Sort=A","Dates=H","DateFormat=P","Fill=—","Direction=H","UseDPDF=Y")</f>
        <v>—</v>
      </c>
      <c r="I16" s="14">
        <f>_xll.BDH("XOM US Equity","IS_BASIC_EPS_CONT_OPS","FQ3 1991","FQ3 1991","Currency=USD","Period=FQ","BEST_FPERIOD_OVERRIDE=FQ","FILING_STATUS=OR","Sort=A","Dates=H","DateFormat=P","Fill=—","Direction=H","UseDPDF=Y")</f>
        <v>0.22</v>
      </c>
      <c r="J16" s="14">
        <f>_xll.BDH("XOM US Equity","IS_BASIC_EPS_CONT_OPS","FQ4 1991","FQ4 1991","Currency=USD","Period=FQ","BEST_FPERIOD_OVERRIDE=FQ","FILING_STATUS=OR","Sort=A","Dates=H","DateFormat=P","Fill=—","Direction=H","UseDPDF=Y")</f>
        <v>0.2225</v>
      </c>
      <c r="K16" s="14" t="str">
        <f>_xll.BDH("XOM US Equity","IS_BASIC_EPS_CONT_OPS","FQ1 1992","FQ1 1992","Currency=USD","Period=FQ","BEST_FPERIOD_OVERRIDE=FQ","FILING_STATUS=OR","Sort=A","Dates=H","DateFormat=P","Fill=—","Direction=H","UseDPDF=Y")</f>
        <v>—</v>
      </c>
      <c r="L16" s="14" t="str">
        <f>_xll.BDH("XOM US Equity","IS_BASIC_EPS_CONT_OPS","FQ2 1992","FQ2 1992","Currency=USD","Period=FQ","BEST_FPERIOD_OVERRIDE=FQ","FILING_STATUS=OR","Sort=A","Dates=H","DateFormat=P","Fill=—","Direction=H","UseDPDF=Y")</f>
        <v>—</v>
      </c>
      <c r="M16" s="14" t="str">
        <f>_xll.BDH("XOM US Equity","IS_BASIC_EPS_CONT_OPS","FQ3 1992","FQ3 1992","Currency=USD","Period=FQ","BEST_FPERIOD_OVERRIDE=FQ","FILING_STATUS=OR","Sort=A","Dates=H","DateFormat=P","Fill=—","Direction=H","UseDPDF=Y")</f>
        <v>—</v>
      </c>
      <c r="N16" s="14">
        <f>_xll.BDH("XOM US Equity","IS_BASIC_EPS_CONT_OPS","FQ4 1992","FQ4 1992","Currency=USD","Period=FQ","BEST_FPERIOD_OVERRIDE=FQ","FILING_STATUS=OR","Sort=A","Dates=H","DateFormat=P","Fill=—","Direction=H","UseDPDF=Y")</f>
        <v>0.3175</v>
      </c>
      <c r="O16" s="14" t="str">
        <f>_xll.BDH("XOM US Equity","IS_BASIC_EPS_CONT_OPS","FQ1 1993","FQ1 1993","Currency=USD","Period=FQ","BEST_FPERIOD_OVERRIDE=FQ","FILING_STATUS=OR","Sort=A","Dates=H","DateFormat=P","Fill=—","Direction=H","UseDPDF=Y")</f>
        <v>—</v>
      </c>
      <c r="P16" s="14" t="str">
        <f>_xll.BDH("XOM US Equity","IS_BASIC_EPS_CONT_OPS","FQ2 1993","FQ2 1993","Currency=USD","Period=FQ","BEST_FPERIOD_OVERRIDE=FQ","FILING_STATUS=OR","Sort=A","Dates=H","DateFormat=P","Fill=—","Direction=H","UseDPDF=Y")</f>
        <v>—</v>
      </c>
      <c r="Q16" s="14">
        <f>_xll.BDH("XOM US Equity","IS_BASIC_EPS_CONT_OPS","FQ3 1993","FQ3 1993","Currency=USD","Period=FQ","BEST_FPERIOD_OVERRIDE=FQ","FILING_STATUS=OR","Sort=A","Dates=H","DateFormat=P","Fill=—","Direction=H","UseDPDF=Y")</f>
        <v>0.27250000000000002</v>
      </c>
      <c r="R16" s="14">
        <f>_xll.BDH("XOM US Equity","IS_BASIC_EPS_CONT_OPS","FQ4 1993","FQ4 1993","Currency=USD","Period=FQ","BEST_FPERIOD_OVERRIDE=FQ","FILING_STATUS=OR","Sort=A","Dates=H","DateFormat=P","Fill=—","Direction=H","UseDPDF=Y")</f>
        <v>0.3</v>
      </c>
      <c r="S16" s="14">
        <f>_xll.BDH("XOM US Equity","IS_BASIC_EPS_CONT_OPS","FQ1 1994","FQ1 1994","Currency=USD","Period=FQ","BEST_FPERIOD_OVERRIDE=FQ","FILING_STATUS=OR","Sort=A","Dates=H","DateFormat=P","Fill=—","Direction=H","UseDPDF=Y")</f>
        <v>0.23</v>
      </c>
      <c r="T16" s="14">
        <f>_xll.BDH("XOM US Equity","IS_BASIC_EPS_CONT_OPS","FQ2 1994","FQ2 1994","Currency=USD","Period=FQ","BEST_FPERIOD_OVERRIDE=FQ","FILING_STATUS=OR","Sort=A","Dates=H","DateFormat=P","Fill=—","Direction=H","UseDPDF=Y")</f>
        <v>0.17499999999999999</v>
      </c>
      <c r="U16" s="14">
        <f>_xll.BDH("XOM US Equity","IS_BASIC_EPS_CONT_OPS","FQ3 1994","FQ3 1994","Currency=USD","Period=FQ","BEST_FPERIOD_OVERRIDE=FQ","FILING_STATUS=OR","Sort=A","Dates=H","DateFormat=P","Fill=—","Direction=H","UseDPDF=Y")</f>
        <v>0.23</v>
      </c>
      <c r="V16" s="14">
        <f>_xll.BDH("XOM US Equity","IS_BASIC_EPS_CONT_OPS","FQ4 1994","FQ4 1994","Currency=USD","Period=FQ","BEST_FPERIOD_OVERRIDE=FQ","FILING_STATUS=OR","Sort=A","Dates=H","DateFormat=P","Fill=—","Direction=H","UseDPDF=Y")</f>
        <v>0.38250000000000001</v>
      </c>
      <c r="W16" s="14" t="str">
        <f>_xll.BDH("XOM US Equity","IS_BASIC_EPS_CONT_OPS","FQ1 1995","FQ1 1995","Currency=USD","Period=FQ","BEST_FPERIOD_OVERRIDE=FQ","FILING_STATUS=OR","Sort=A","Dates=H","DateFormat=P","Fill=—","Direction=H","UseDPDF=Y")</f>
        <v>—</v>
      </c>
      <c r="X16" s="14" t="str">
        <f>_xll.BDH("XOM US Equity","IS_BASIC_EPS_CONT_OPS","FQ2 1995","FQ2 1995","Currency=USD","Period=FQ","BEST_FPERIOD_OVERRIDE=FQ","FILING_STATUS=OR","Sort=A","Dates=H","DateFormat=P","Fill=—","Direction=H","UseDPDF=Y")</f>
        <v>—</v>
      </c>
      <c r="Y16" s="14">
        <f>_xll.BDH("XOM US Equity","IS_BASIC_EPS_CONT_OPS","FQ3 1995","FQ3 1995","Currency=USD","Period=FQ","BEST_FPERIOD_OVERRIDE=FQ","FILING_STATUS=OR","Sort=A","Dates=H","DateFormat=P","Fill=—","Direction=H","UseDPDF=Y")</f>
        <v>0.3</v>
      </c>
      <c r="Z16" s="14">
        <f>_xll.BDH("XOM US Equity","IS_BASIC_EPS_CONT_OPS","FQ4 1995","FQ4 1995","Currency=USD","Period=FQ","BEST_FPERIOD_OVERRIDE=FQ","FILING_STATUS=OR","Sort=A","Dates=H","DateFormat=P","Fill=—","Direction=H","UseDPDF=Y")</f>
        <v>0.33750000000000002</v>
      </c>
      <c r="AA16" s="14">
        <f>_xll.BDH("XOM US Equity","IS_BASIC_EPS_CONT_OPS","FQ1 1996","FQ1 1996","Currency=USD","Period=FQ","BEST_FPERIOD_OVERRIDE=FQ","FILING_STATUS=OR","Sort=A","Dates=H","DateFormat=P","Fill=—","Direction=H","UseDPDF=Y")</f>
        <v>0.35249999999999998</v>
      </c>
      <c r="AB16" s="14">
        <f>_xll.BDH("XOM US Equity","IS_BASIC_EPS_CONT_OPS","FQ2 1996","FQ2 1996","Currency=USD","Period=FQ","BEST_FPERIOD_OVERRIDE=FQ","FILING_STATUS=OR","Sort=A","Dates=H","DateFormat=P","Fill=—","Direction=H","UseDPDF=Y")</f>
        <v>0.315</v>
      </c>
      <c r="AC16" s="14">
        <f>_xll.BDH("XOM US Equity","IS_BASIC_EPS_CONT_OPS","FQ3 1996","FQ3 1996","Currency=USD","Period=FQ","BEST_FPERIOD_OVERRIDE=FQ","FILING_STATUS=OR","Sort=A","Dates=H","DateFormat=P","Fill=—","Direction=H","UseDPDF=Y")</f>
        <v>0.31</v>
      </c>
      <c r="AD16" s="14">
        <f>_xll.BDH("XOM US Equity","IS_BASIC_EPS_CONT_OPS","FQ4 1996","FQ4 1996","Currency=USD","Period=FQ","BEST_FPERIOD_OVERRIDE=FQ","FILING_STATUS=OR","Sort=A","Dates=H","DateFormat=P","Fill=—","Direction=H","UseDPDF=Y")</f>
        <v>0.5</v>
      </c>
      <c r="AE16" s="14">
        <f>_xll.BDH("XOM US Equity","IS_BASIC_EPS_CONT_OPS","FQ1 1997","FQ1 1997","Currency=USD","Period=FQ","BEST_FPERIOD_OVERRIDE=FQ","FILING_STATUS=OR","Sort=A","Dates=H","DateFormat=P","Fill=—","Direction=H","UseDPDF=Y")</f>
        <v>0.435</v>
      </c>
      <c r="AF16" s="14">
        <f>_xll.BDH("XOM US Equity","IS_BASIC_EPS_CONT_OPS","FQ2 1997","FQ2 1997","Currency=USD","Period=FQ","BEST_FPERIOD_OVERRIDE=FQ","FILING_STATUS=OR","Sort=A","Dates=H","DateFormat=P","Fill=—","Direction=H","UseDPDF=Y")</f>
        <v>0.39500000000000002</v>
      </c>
      <c r="AG16" s="14">
        <f>_xll.BDH("XOM US Equity","IS_BASIC_EPS_CONT_OPS","FQ3 1997","FQ3 1997","Currency=USD","Period=FQ","BEST_FPERIOD_OVERRIDE=FQ","FILING_STATUS=OR","Sort=A","Dates=H","DateFormat=P","Fill=—","Direction=H","UseDPDF=Y")</f>
        <v>0.37</v>
      </c>
      <c r="AH16" s="14">
        <f>_xll.BDH("XOM US Equity","IS_BASIC_EPS_CONT_OPS","FQ4 1997","FQ4 1997","Currency=USD","Period=FQ","BEST_FPERIOD_OVERRIDE=FQ","FILING_STATUS=OR","Sort=A","Dates=H","DateFormat=P","Fill=—","Direction=H","UseDPDF=Y")</f>
        <v>0.44500000000000001</v>
      </c>
      <c r="AI16" s="14">
        <f>_xll.BDH("XOM US Equity","IS_BASIC_EPS_CONT_OPS","FQ1 1998","FQ1 1998","Currency=USD","Period=FQ","BEST_FPERIOD_OVERRIDE=FQ","FILING_STATUS=OR","Sort=A","Dates=H","DateFormat=P","Fill=—","Direction=H","UseDPDF=Y")</f>
        <v>0.38500000000000001</v>
      </c>
      <c r="AJ16" s="14">
        <f>_xll.BDH("XOM US Equity","IS_BASIC_EPS_CONT_OPS","FQ2 1998","FQ2 1998","Currency=USD","Period=FQ","BEST_FPERIOD_OVERRIDE=FQ","FILING_STATUS=OR","Sort=A","Dates=H","DateFormat=P","Fill=—","Direction=H","UseDPDF=Y")</f>
        <v>0.33</v>
      </c>
    </row>
    <row r="17" spans="1:36" x14ac:dyDescent="0.25">
      <c r="A17" s="10" t="s">
        <v>302</v>
      </c>
      <c r="B17" s="10" t="s">
        <v>120</v>
      </c>
      <c r="C17" s="14">
        <f>_xll.BDH("XOM US Equity","IS_DILUTED_EPS","FQ1 1990","FQ1 1990","Currency=USD","Period=FQ","BEST_FPERIOD_OVERRIDE=FQ","FILING_STATUS=OR","FA_ADJUSTED=GAAP","Sort=A","Dates=H","DateFormat=P","Fill=—","Direction=H","UseDPDF=Y")</f>
        <v>0.2525</v>
      </c>
      <c r="D17" s="14">
        <f>_xll.BDH("XOM US Equity","IS_DILUTED_EPS","FQ2 1990","FQ2 1990","Currency=USD","Period=FQ","BEST_FPERIOD_OVERRIDE=FQ","FILING_STATUS=OR","FA_ADJUSTED=GAAP","Sort=A","Dates=H","DateFormat=P","Fill=—","Direction=H","UseDPDF=Y")</f>
        <v>0.2175</v>
      </c>
      <c r="E17" s="14">
        <f>_xll.BDH("XOM US Equity","IS_DILUTED_EPS","FQ3 1990","FQ3 1990","Currency=USD","Period=FQ","BEST_FPERIOD_OVERRIDE=FQ","FILING_STATUS=OR","FA_ADJUSTED=GAAP","Sort=A","Dates=H","DateFormat=P","Fill=—","Direction=H","UseDPDF=Y")</f>
        <v>0.21249999999999999</v>
      </c>
      <c r="F17" s="14">
        <f>_xll.BDH("XOM US Equity","IS_DILUTED_EPS","FQ4 1990","FQ4 1990","Currency=USD","Period=FQ","BEST_FPERIOD_OVERRIDE=FQ","FILING_STATUS=OR","FA_ADJUSTED=GAAP","Sort=A","Dates=H","DateFormat=P","Fill=—","Direction=H","UseDPDF=Y")</f>
        <v>0.3075</v>
      </c>
      <c r="G17" s="14">
        <f>_xll.BDH("XOM US Equity","IS_DILUTED_EPS","FQ1 1991","FQ1 1991","Currency=USD","Period=FQ","BEST_FPERIOD_OVERRIDE=FQ","FILING_STATUS=OR","FA_ADJUSTED=GAAP","Sort=A","Dates=H","DateFormat=P","Fill=—","Direction=H","UseDPDF=Y")</f>
        <v>0.44500000000000001</v>
      </c>
      <c r="H17" s="14">
        <f>_xll.BDH("XOM US Equity","IS_DILUTED_EPS","FQ2 1991","FQ2 1991","Currency=USD","Period=FQ","BEST_FPERIOD_OVERRIDE=FQ","FILING_STATUS=OR","FA_ADJUSTED=GAAP","Sort=A","Dates=H","DateFormat=P","Fill=—","Direction=H","UseDPDF=Y")</f>
        <v>0.22500000000000001</v>
      </c>
      <c r="I17" s="14">
        <f>_xll.BDH("XOM US Equity","IS_DILUTED_EPS","FQ3 1991","FQ3 1991","Currency=USD","Period=FQ","BEST_FPERIOD_OVERRIDE=FQ","FILING_STATUS=OR","FA_ADJUSTED=GAAP","Sort=A","Dates=H","DateFormat=P","Fill=—","Direction=H","UseDPDF=Y")</f>
        <v>0.22</v>
      </c>
      <c r="J17" s="14">
        <f>_xll.BDH("XOM US Equity","IS_DILUTED_EPS","FQ4 1991","FQ4 1991","Currency=USD","Period=FQ","BEST_FPERIOD_OVERRIDE=FQ","FILING_STATUS=OR","FA_ADJUSTED=GAAP","Sort=A","Dates=H","DateFormat=P","Fill=—","Direction=H","UseDPDF=Y")</f>
        <v>0.2225</v>
      </c>
      <c r="K17" s="14">
        <f>_xll.BDH("XOM US Equity","IS_DILUTED_EPS","FQ1 1992","FQ1 1992","Currency=USD","Period=FQ","BEST_FPERIOD_OVERRIDE=FQ","FILING_STATUS=OR","FA_ADJUSTED=GAAP","Sort=A","Dates=H","DateFormat=P","Fill=—","Direction=H","UseDPDF=Y")</f>
        <v>0.26750000000000002</v>
      </c>
      <c r="L17" s="14">
        <f>_xll.BDH("XOM US Equity","IS_DILUTED_EPS","FQ2 1992","FQ2 1992","Currency=USD","Period=FQ","BEST_FPERIOD_OVERRIDE=FQ","FILING_STATUS=OR","FA_ADJUSTED=GAAP","Sort=A","Dates=H","DateFormat=P","Fill=—","Direction=H","UseDPDF=Y")</f>
        <v>0.19</v>
      </c>
      <c r="M17" s="14">
        <f>_xll.BDH("XOM US Equity","IS_DILUTED_EPS","FQ3 1992","FQ3 1992","Currency=USD","Period=FQ","BEST_FPERIOD_OVERRIDE=FQ","FILING_STATUS=OR","FA_ADJUSTED=GAAP","Sort=A","Dates=H","DateFormat=P","Fill=—","Direction=H","UseDPDF=Y")</f>
        <v>0.22500000000000001</v>
      </c>
      <c r="N17" s="14">
        <f>_xll.BDH("XOM US Equity","IS_DILUTED_EPS","FQ4 1992","FQ4 1992","Currency=USD","Period=FQ","BEST_FPERIOD_OVERRIDE=FQ","FILING_STATUS=OR","FA_ADJUSTED=GAAP","Sort=A","Dates=H","DateFormat=P","Fill=—","Direction=H","UseDPDF=Y")</f>
        <v>0.31</v>
      </c>
      <c r="O17" s="14">
        <f>_xll.BDH("XOM US Equity","IS_DILUTED_EPS","FQ1 1993","FQ1 1993","Currency=USD","Period=FQ","BEST_FPERIOD_OVERRIDE=FQ","FILING_STATUS=OR","FA_ADJUSTED=GAAP","Sort=A","Dates=H","DateFormat=P","Fill=—","Direction=H","UseDPDF=Y")</f>
        <v>0.23499999999999999</v>
      </c>
      <c r="P17" s="14">
        <f>_xll.BDH("XOM US Equity","IS_DILUTED_EPS","FQ2 1993","FQ2 1993","Currency=USD","Period=FQ","BEST_FPERIOD_OVERRIDE=FQ","FILING_STATUS=OR","FA_ADJUSTED=GAAP","Sort=A","Dates=H","DateFormat=P","Fill=—","Direction=H","UseDPDF=Y")</f>
        <v>0.245</v>
      </c>
      <c r="Q17" s="14">
        <f>_xll.BDH("XOM US Equity","IS_DILUTED_EPS","FQ3 1993","FQ3 1993","Currency=USD","Period=FQ","BEST_FPERIOD_OVERRIDE=FQ","FILING_STATUS=OR","FA_ADJUSTED=GAAP","Sort=A","Dates=H","DateFormat=P","Fill=—","Direction=H","UseDPDF=Y")</f>
        <v>0.27250000000000002</v>
      </c>
      <c r="R17" s="14">
        <f>_xll.BDH("XOM US Equity","IS_DILUTED_EPS","FQ4 1993","FQ4 1993","Currency=USD","Period=FQ","BEST_FPERIOD_OVERRIDE=FQ","FILING_STATUS=OR","FA_ADJUSTED=GAAP","Sort=A","Dates=H","DateFormat=P","Fill=—","Direction=H","UseDPDF=Y")</f>
        <v>0.3</v>
      </c>
      <c r="S17" s="14">
        <f>_xll.BDH("XOM US Equity","IS_DILUTED_EPS","FQ1 1994","FQ1 1994","Currency=USD","Period=FQ","BEST_FPERIOD_OVERRIDE=FQ","FILING_STATUS=OR","FA_ADJUSTED=GAAP","Sort=A","Dates=H","DateFormat=P","Fill=—","Direction=H","UseDPDF=Y")</f>
        <v>0.23</v>
      </c>
      <c r="T17" s="14">
        <f>_xll.BDH("XOM US Equity","IS_DILUTED_EPS","FQ2 1994","FQ2 1994","Currency=USD","Period=FQ","BEST_FPERIOD_OVERRIDE=FQ","FILING_STATUS=OR","FA_ADJUSTED=GAAP","Sort=A","Dates=H","DateFormat=P","Fill=—","Direction=H","UseDPDF=Y")</f>
        <v>0.17499999999999999</v>
      </c>
      <c r="U17" s="14">
        <f>_xll.BDH("XOM US Equity","IS_DILUTED_EPS","FQ3 1994","FQ3 1994","Currency=USD","Period=FQ","BEST_FPERIOD_OVERRIDE=FQ","FILING_STATUS=OR","FA_ADJUSTED=GAAP","Sort=A","Dates=H","DateFormat=P","Fill=—","Direction=H","UseDPDF=Y")</f>
        <v>0.23</v>
      </c>
      <c r="V17" s="14">
        <f>_xll.BDH("XOM US Equity","IS_DILUTED_EPS","FQ4 1994","FQ4 1994","Currency=USD","Period=FQ","BEST_FPERIOD_OVERRIDE=FQ","FILING_STATUS=OR","FA_ADJUSTED=GAAP","Sort=A","Dates=H","DateFormat=P","Fill=—","Direction=H","UseDPDF=Y")</f>
        <v>0.38250000000000001</v>
      </c>
      <c r="W17" s="14">
        <f>_xll.BDH("XOM US Equity","IS_DILUTED_EPS","FQ1 1995","FQ1 1995","Currency=USD","Period=FQ","BEST_FPERIOD_OVERRIDE=FQ","FILING_STATUS=OR","FA_ADJUSTED=GAAP","Sort=A","Dates=H","DateFormat=P","Fill=—","Direction=H","UseDPDF=Y")</f>
        <v>0.33250000000000002</v>
      </c>
      <c r="X17" s="14">
        <f>_xll.BDH("XOM US Equity","IS_DILUTED_EPS","FQ2 1995","FQ2 1995","Currency=USD","Period=FQ","BEST_FPERIOD_OVERRIDE=FQ","FILING_STATUS=OR","FA_ADJUSTED=GAAP","Sort=A","Dates=H","DateFormat=P","Fill=—","Direction=H","UseDPDF=Y")</f>
        <v>0.32500000000000001</v>
      </c>
      <c r="Y17" s="14">
        <f>_xll.BDH("XOM US Equity","IS_DILUTED_EPS","FQ3 1995","FQ3 1995","Currency=USD","Period=FQ","BEST_FPERIOD_OVERRIDE=FQ","FILING_STATUS=OR","FA_ADJUSTED=GAAP","Sort=A","Dates=H","DateFormat=P","Fill=—","Direction=H","UseDPDF=Y")</f>
        <v>0.3</v>
      </c>
      <c r="Z17" s="14">
        <f>_xll.BDH("XOM US Equity","IS_DILUTED_EPS","FQ4 1995","FQ4 1995","Currency=USD","Period=FQ","BEST_FPERIOD_OVERRIDE=FQ","FILING_STATUS=OR","FA_ADJUSTED=GAAP","Sort=A","Dates=H","DateFormat=P","Fill=—","Direction=H","UseDPDF=Y")</f>
        <v>0.33750000000000002</v>
      </c>
      <c r="AA17" s="14">
        <f>_xll.BDH("XOM US Equity","IS_DILUTED_EPS","FQ1 1996","FQ1 1996","Currency=USD","Period=FQ","BEST_FPERIOD_OVERRIDE=FQ","FILING_STATUS=OR","FA_ADJUSTED=GAAP","Sort=A","Dates=H","DateFormat=P","Fill=—","Direction=H","UseDPDF=Y")</f>
        <v>0.375</v>
      </c>
      <c r="AB17" s="14">
        <f>_xll.BDH("XOM US Equity","IS_DILUTED_EPS","FQ2 1996","FQ2 1996","Currency=USD","Period=FQ","BEST_FPERIOD_OVERRIDE=FQ","FILING_STATUS=OR","FA_ADJUSTED=GAAP","Sort=A","Dates=H","DateFormat=P","Fill=—","Direction=H","UseDPDF=Y")</f>
        <v>0.31</v>
      </c>
      <c r="AC17" s="14">
        <f>_xll.BDH("XOM US Equity","IS_DILUTED_EPS","FQ3 1996","FQ3 1996","Currency=USD","Period=FQ","BEST_FPERIOD_OVERRIDE=FQ","FILING_STATUS=OR","FA_ADJUSTED=GAAP","Sort=A","Dates=H","DateFormat=P","Fill=—","Direction=H","UseDPDF=Y")</f>
        <v>0.31</v>
      </c>
      <c r="AD17" s="14">
        <f>_xll.BDH("XOM US Equity","IS_DILUTED_EPS","FQ4 1996","FQ4 1996","Currency=USD","Period=FQ","BEST_FPERIOD_OVERRIDE=FQ","FILING_STATUS=OR","FA_ADJUSTED=GAAP","Sort=A","Dates=H","DateFormat=P","Fill=—","Direction=H","UseDPDF=Y")</f>
        <v>0.5</v>
      </c>
      <c r="AE17" s="14">
        <f>_xll.BDH("XOM US Equity","IS_DILUTED_EPS","FQ1 1997","FQ1 1997","Currency=USD","Period=FQ","BEST_FPERIOD_OVERRIDE=FQ","FILING_STATUS=OR","FA_ADJUSTED=GAAP","Sort=A","Dates=H","DateFormat=P","Fill=—","Direction=H","UseDPDF=Y")</f>
        <v>0.43</v>
      </c>
      <c r="AF17" s="14">
        <f>_xll.BDH("XOM US Equity","IS_DILUTED_EPS","FQ2 1997","FQ2 1997","Currency=USD","Period=FQ","BEST_FPERIOD_OVERRIDE=FQ","FILING_STATUS=OR","FA_ADJUSTED=GAAP","Sort=A","Dates=H","DateFormat=P","Fill=—","Direction=H","UseDPDF=Y")</f>
        <v>0.39</v>
      </c>
      <c r="AG17" s="14">
        <f>_xll.BDH("XOM US Equity","IS_DILUTED_EPS","FQ3 1997","FQ3 1997","Currency=USD","Period=FQ","BEST_FPERIOD_OVERRIDE=FQ","FILING_STATUS=OR","FA_ADJUSTED=GAAP","Sort=A","Dates=H","DateFormat=P","Fill=—","Direction=H","UseDPDF=Y")</f>
        <v>0.36499999999999999</v>
      </c>
      <c r="AH17" s="14">
        <f>_xll.BDH("XOM US Equity","IS_DILUTED_EPS","FQ4 1997","FQ4 1997","Currency=USD","Period=FQ","BEST_FPERIOD_OVERRIDE=FQ","FILING_STATUS=OR","FA_ADJUSTED=GAAP","Sort=A","Dates=H","DateFormat=P","Fill=—","Direction=H","UseDPDF=Y")</f>
        <v>0.5</v>
      </c>
      <c r="AI17" s="14">
        <f>_xll.BDH("XOM US Equity","IS_DILUTED_EPS","FQ1 1998","FQ1 1998","Currency=USD","Period=FQ","BEST_FPERIOD_OVERRIDE=FQ","FILING_STATUS=OR","FA_ADJUSTED=GAAP","Sort=A","Dates=H","DateFormat=P","Fill=—","Direction=H","UseDPDF=Y")</f>
        <v>0.38</v>
      </c>
      <c r="AJ17" s="14">
        <f>_xll.BDH("XOM US Equity","IS_DILUTED_EPS","FQ2 1998","FQ2 1998","Currency=USD","Period=FQ","BEST_FPERIOD_OVERRIDE=FQ","FILING_STATUS=OR","FA_ADJUSTED=GAAP","Sort=A","Dates=H","DateFormat=P","Fill=—","Direction=H","UseDPDF=Y")</f>
        <v>0.32500000000000001</v>
      </c>
    </row>
    <row r="18" spans="1:36" x14ac:dyDescent="0.25">
      <c r="A18" s="10" t="s">
        <v>303</v>
      </c>
      <c r="B18" s="10" t="s">
        <v>122</v>
      </c>
      <c r="C18" s="14">
        <f>_xll.BDH("XOM US Equity","IS_DIL_EPS_BEF_XO","FQ1 1990","FQ1 1990","Currency=USD","Period=FQ","BEST_FPERIOD_OVERRIDE=FQ","FILING_STATUS=OR","Sort=A","Dates=H","DateFormat=P","Fill=—","Direction=H","UseDPDF=Y")</f>
        <v>0.2525</v>
      </c>
      <c r="D18" s="14">
        <f>_xll.BDH("XOM US Equity","IS_DIL_EPS_BEF_XO","FQ2 1990","FQ2 1990","Currency=USD","Period=FQ","BEST_FPERIOD_OVERRIDE=FQ","FILING_STATUS=OR","Sort=A","Dates=H","DateFormat=P","Fill=—","Direction=H","UseDPDF=Y")</f>
        <v>0.2175</v>
      </c>
      <c r="E18" s="14">
        <f>_xll.BDH("XOM US Equity","IS_DIL_EPS_BEF_XO","FQ3 1990","FQ3 1990","Currency=USD","Period=FQ","BEST_FPERIOD_OVERRIDE=FQ","FILING_STATUS=OR","Sort=A","Dates=H","DateFormat=P","Fill=—","Direction=H","UseDPDF=Y")</f>
        <v>0.21249999999999999</v>
      </c>
      <c r="F18" s="14">
        <f>_xll.BDH("XOM US Equity","IS_DIL_EPS_BEF_XO","FQ4 1990","FQ4 1990","Currency=USD","Period=FQ","BEST_FPERIOD_OVERRIDE=FQ","FILING_STATUS=OR","Sort=A","Dates=H","DateFormat=P","Fill=—","Direction=H","UseDPDF=Y")</f>
        <v>0.3075</v>
      </c>
      <c r="G18" s="14">
        <f>_xll.BDH("XOM US Equity","IS_DIL_EPS_BEF_XO","FQ1 1991","FQ1 1991","Currency=USD","Period=FQ","BEST_FPERIOD_OVERRIDE=FQ","FILING_STATUS=OR","Sort=A","Dates=H","DateFormat=P","Fill=—","Direction=H","UseDPDF=Y")</f>
        <v>0.44500000000000001</v>
      </c>
      <c r="H18" s="14">
        <f>_xll.BDH("XOM US Equity","IS_DIL_EPS_BEF_XO","FQ2 1991","FQ2 1991","Currency=USD","Period=FQ","BEST_FPERIOD_OVERRIDE=FQ","FILING_STATUS=OR","Sort=A","Dates=H","DateFormat=P","Fill=—","Direction=H","UseDPDF=Y")</f>
        <v>0.22500000000000001</v>
      </c>
      <c r="I18" s="14">
        <f>_xll.BDH("XOM US Equity","IS_DIL_EPS_BEF_XO","FQ3 1991","FQ3 1991","Currency=USD","Period=FQ","BEST_FPERIOD_OVERRIDE=FQ","FILING_STATUS=OR","Sort=A","Dates=H","DateFormat=P","Fill=—","Direction=H","UseDPDF=Y")</f>
        <v>0.22</v>
      </c>
      <c r="J18" s="14">
        <f>_xll.BDH("XOM US Equity","IS_DIL_EPS_BEF_XO","FQ4 1991","FQ4 1991","Currency=USD","Period=FQ","BEST_FPERIOD_OVERRIDE=FQ","FILING_STATUS=OR","Sort=A","Dates=H","DateFormat=P","Fill=—","Direction=H","UseDPDF=Y")</f>
        <v>0.2225</v>
      </c>
      <c r="K18" s="14">
        <f>_xll.BDH("XOM US Equity","IS_DIL_EPS_BEF_XO","FQ1 1992","FQ1 1992","Currency=USD","Period=FQ","BEST_FPERIOD_OVERRIDE=FQ","FILING_STATUS=OR","Sort=A","Dates=H","DateFormat=P","Fill=—","Direction=H","UseDPDF=Y")</f>
        <v>0.26750000000000002</v>
      </c>
      <c r="L18" s="14">
        <f>_xll.BDH("XOM US Equity","IS_DIL_EPS_BEF_XO","FQ2 1992","FQ2 1992","Currency=USD","Period=FQ","BEST_FPERIOD_OVERRIDE=FQ","FILING_STATUS=OR","Sort=A","Dates=H","DateFormat=P","Fill=—","Direction=H","UseDPDF=Y")</f>
        <v>0.19</v>
      </c>
      <c r="M18" s="14">
        <f>_xll.BDH("XOM US Equity","IS_DIL_EPS_BEF_XO","FQ3 1992","FQ3 1992","Currency=USD","Period=FQ","BEST_FPERIOD_OVERRIDE=FQ","FILING_STATUS=OR","Sort=A","Dates=H","DateFormat=P","Fill=—","Direction=H","UseDPDF=Y")</f>
        <v>0.22500000000000001</v>
      </c>
      <c r="N18" s="14">
        <f>_xll.BDH("XOM US Equity","IS_DIL_EPS_BEF_XO","FQ4 1992","FQ4 1992","Currency=USD","Period=FQ","BEST_FPERIOD_OVERRIDE=FQ","FILING_STATUS=OR","Sort=A","Dates=H","DateFormat=P","Fill=—","Direction=H","UseDPDF=Y")</f>
        <v>0.3175</v>
      </c>
      <c r="O18" s="14">
        <f>_xll.BDH("XOM US Equity","IS_DIL_EPS_BEF_XO","FQ1 1993","FQ1 1993","Currency=USD","Period=FQ","BEST_FPERIOD_OVERRIDE=FQ","FILING_STATUS=OR","Sort=A","Dates=H","DateFormat=P","Fill=—","Direction=H","UseDPDF=Y")</f>
        <v>0.23499999999999999</v>
      </c>
      <c r="P18" s="14">
        <f>_xll.BDH("XOM US Equity","IS_DIL_EPS_BEF_XO","FQ2 1993","FQ2 1993","Currency=USD","Period=FQ","BEST_FPERIOD_OVERRIDE=FQ","FILING_STATUS=OR","Sort=A","Dates=H","DateFormat=P","Fill=—","Direction=H","UseDPDF=Y")</f>
        <v>0.245</v>
      </c>
      <c r="Q18" s="14">
        <f>_xll.BDH("XOM US Equity","IS_DIL_EPS_BEF_XO","FQ3 1993","FQ3 1993","Currency=USD","Period=FQ","BEST_FPERIOD_OVERRIDE=FQ","FILING_STATUS=OR","Sort=A","Dates=H","DateFormat=P","Fill=—","Direction=H","UseDPDF=Y")</f>
        <v>0.27250000000000002</v>
      </c>
      <c r="R18" s="14">
        <f>_xll.BDH("XOM US Equity","IS_DIL_EPS_BEF_XO","FQ4 1993","FQ4 1993","Currency=USD","Period=FQ","BEST_FPERIOD_OVERRIDE=FQ","FILING_STATUS=OR","Sort=A","Dates=H","DateFormat=P","Fill=—","Direction=H","UseDPDF=Y")</f>
        <v>0.3</v>
      </c>
      <c r="S18" s="14">
        <f>_xll.BDH("XOM US Equity","IS_DIL_EPS_BEF_XO","FQ1 1994","FQ1 1994","Currency=USD","Period=FQ","BEST_FPERIOD_OVERRIDE=FQ","FILING_STATUS=OR","Sort=A","Dates=H","DateFormat=P","Fill=—","Direction=H","UseDPDF=Y")</f>
        <v>0.23</v>
      </c>
      <c r="T18" s="14">
        <f>_xll.BDH("XOM US Equity","IS_DIL_EPS_BEF_XO","FQ2 1994","FQ2 1994","Currency=USD","Period=FQ","BEST_FPERIOD_OVERRIDE=FQ","FILING_STATUS=OR","Sort=A","Dates=H","DateFormat=P","Fill=—","Direction=H","UseDPDF=Y")</f>
        <v>0.17499999999999999</v>
      </c>
      <c r="U18" s="14">
        <f>_xll.BDH("XOM US Equity","IS_DIL_EPS_BEF_XO","FQ3 1994","FQ3 1994","Currency=USD","Period=FQ","BEST_FPERIOD_OVERRIDE=FQ","FILING_STATUS=OR","Sort=A","Dates=H","DateFormat=P","Fill=—","Direction=H","UseDPDF=Y")</f>
        <v>0.23</v>
      </c>
      <c r="V18" s="14">
        <f>_xll.BDH("XOM US Equity","IS_DIL_EPS_BEF_XO","FQ4 1994","FQ4 1994","Currency=USD","Period=FQ","BEST_FPERIOD_OVERRIDE=FQ","FILING_STATUS=OR","Sort=A","Dates=H","DateFormat=P","Fill=—","Direction=H","UseDPDF=Y")</f>
        <v>0.38250000000000001</v>
      </c>
      <c r="W18" s="14">
        <f>_xll.BDH("XOM US Equity","IS_DIL_EPS_BEF_XO","FQ1 1995","FQ1 1995","Currency=USD","Period=FQ","BEST_FPERIOD_OVERRIDE=FQ","FILING_STATUS=OR","Sort=A","Dates=H","DateFormat=P","Fill=—","Direction=H","UseDPDF=Y")</f>
        <v>0.33250000000000002</v>
      </c>
      <c r="X18" s="14">
        <f>_xll.BDH("XOM US Equity","IS_DIL_EPS_BEF_XO","FQ2 1995","FQ2 1995","Currency=USD","Period=FQ","BEST_FPERIOD_OVERRIDE=FQ","FILING_STATUS=OR","Sort=A","Dates=H","DateFormat=P","Fill=—","Direction=H","UseDPDF=Y")</f>
        <v>0.32500000000000001</v>
      </c>
      <c r="Y18" s="14">
        <f>_xll.BDH("XOM US Equity","IS_DIL_EPS_BEF_XO","FQ3 1995","FQ3 1995","Currency=USD","Period=FQ","BEST_FPERIOD_OVERRIDE=FQ","FILING_STATUS=OR","Sort=A","Dates=H","DateFormat=P","Fill=—","Direction=H","UseDPDF=Y")</f>
        <v>0.3</v>
      </c>
      <c r="Z18" s="14">
        <f>_xll.BDH("XOM US Equity","IS_DIL_EPS_BEF_XO","FQ4 1995","FQ4 1995","Currency=USD","Period=FQ","BEST_FPERIOD_OVERRIDE=FQ","FILING_STATUS=OR","Sort=A","Dates=H","DateFormat=P","Fill=—","Direction=H","UseDPDF=Y")</f>
        <v>0.33750000000000002</v>
      </c>
      <c r="AA18" s="14">
        <f>_xll.BDH("XOM US Equity","IS_DIL_EPS_BEF_XO","FQ1 1996","FQ1 1996","Currency=USD","Period=FQ","BEST_FPERIOD_OVERRIDE=FQ","FILING_STATUS=OR","Sort=A","Dates=H","DateFormat=P","Fill=—","Direction=H","UseDPDF=Y")</f>
        <v>0.375</v>
      </c>
      <c r="AB18" s="14">
        <f>_xll.BDH("XOM US Equity","IS_DIL_EPS_BEF_XO","FQ2 1996","FQ2 1996","Currency=USD","Period=FQ","BEST_FPERIOD_OVERRIDE=FQ","FILING_STATUS=OR","Sort=A","Dates=H","DateFormat=P","Fill=—","Direction=H","UseDPDF=Y")</f>
        <v>0.31</v>
      </c>
      <c r="AC18" s="14">
        <f>_xll.BDH("XOM US Equity","IS_DIL_EPS_BEF_XO","FQ3 1996","FQ3 1996","Currency=USD","Period=FQ","BEST_FPERIOD_OVERRIDE=FQ","FILING_STATUS=OR","Sort=A","Dates=H","DateFormat=P","Fill=—","Direction=H","UseDPDF=Y")</f>
        <v>0.31</v>
      </c>
      <c r="AD18" s="14">
        <f>_xll.BDH("XOM US Equity","IS_DIL_EPS_BEF_XO","FQ4 1996","FQ4 1996","Currency=USD","Period=FQ","BEST_FPERIOD_OVERRIDE=FQ","FILING_STATUS=OR","Sort=A","Dates=H","DateFormat=P","Fill=—","Direction=H","UseDPDF=Y")</f>
        <v>0.5</v>
      </c>
      <c r="AE18" s="14">
        <f>_xll.BDH("XOM US Equity","IS_DIL_EPS_BEF_XO","FQ1 1997","FQ1 1997","Currency=USD","Period=FQ","BEST_FPERIOD_OVERRIDE=FQ","FILING_STATUS=OR","Sort=A","Dates=H","DateFormat=P","Fill=—","Direction=H","UseDPDF=Y")</f>
        <v>0.43</v>
      </c>
      <c r="AF18" s="14">
        <f>_xll.BDH("XOM US Equity","IS_DIL_EPS_BEF_XO","FQ2 1997","FQ2 1997","Currency=USD","Period=FQ","BEST_FPERIOD_OVERRIDE=FQ","FILING_STATUS=OR","Sort=A","Dates=H","DateFormat=P","Fill=—","Direction=H","UseDPDF=Y")</f>
        <v>0.39</v>
      </c>
      <c r="AG18" s="14">
        <f>_xll.BDH("XOM US Equity","IS_DIL_EPS_BEF_XO","FQ3 1997","FQ3 1997","Currency=USD","Period=FQ","BEST_FPERIOD_OVERRIDE=FQ","FILING_STATUS=OR","Sort=A","Dates=H","DateFormat=P","Fill=—","Direction=H","UseDPDF=Y")</f>
        <v>0.36499999999999999</v>
      </c>
      <c r="AH18" s="14">
        <f>_xll.BDH("XOM US Equity","IS_DIL_EPS_BEF_XO","FQ4 1997","FQ4 1997","Currency=USD","Period=FQ","BEST_FPERIOD_OVERRIDE=FQ","FILING_STATUS=OR","Sort=A","Dates=H","DateFormat=P","Fill=—","Direction=H","UseDPDF=Y")</f>
        <v>0.505</v>
      </c>
      <c r="AI18" s="14">
        <f>_xll.BDH("XOM US Equity","IS_DIL_EPS_BEF_XO","FQ1 1998","FQ1 1998","Currency=USD","Period=FQ","BEST_FPERIOD_OVERRIDE=FQ","FILING_STATUS=OR","Sort=A","Dates=H","DateFormat=P","Fill=—","Direction=H","UseDPDF=Y")</f>
        <v>0.38</v>
      </c>
      <c r="AJ18" s="14">
        <f>_xll.BDH("XOM US Equity","IS_DIL_EPS_BEF_XO","FQ2 1998","FQ2 1998","Currency=USD","Period=FQ","BEST_FPERIOD_OVERRIDE=FQ","FILING_STATUS=OR","Sort=A","Dates=H","DateFormat=P","Fill=—","Direction=H","UseDPDF=Y")</f>
        <v>0.32500000000000001</v>
      </c>
    </row>
    <row r="19" spans="1:36" x14ac:dyDescent="0.25">
      <c r="A19" s="10" t="s">
        <v>304</v>
      </c>
      <c r="B19" s="10" t="s">
        <v>124</v>
      </c>
      <c r="C19" s="14">
        <f>_xll.BDH("XOM US Equity","IS_DIL_EPS_CONT_OPS","FQ1 1990","FQ1 1990","Currency=USD","Period=FQ","BEST_FPERIOD_OVERRIDE=FQ","FILING_STATUS=OR","Sort=A","Dates=H","DateFormat=P","Fill=—","Direction=H","UseDPDF=Y")</f>
        <v>0.2525</v>
      </c>
      <c r="D19" s="14">
        <f>_xll.BDH("XOM US Equity","IS_DIL_EPS_CONT_OPS","FQ2 1990","FQ2 1990","Currency=USD","Period=FQ","BEST_FPERIOD_OVERRIDE=FQ","FILING_STATUS=OR","Sort=A","Dates=H","DateFormat=P","Fill=—","Direction=H","UseDPDF=Y")</f>
        <v>0.2175</v>
      </c>
      <c r="E19" s="14">
        <f>_xll.BDH("XOM US Equity","IS_DIL_EPS_CONT_OPS","FQ3 1990","FQ3 1990","Currency=USD","Period=FQ","BEST_FPERIOD_OVERRIDE=FQ","FILING_STATUS=OR","Sort=A","Dates=H","DateFormat=P","Fill=—","Direction=H","UseDPDF=Y")</f>
        <v>0.21249999999999999</v>
      </c>
      <c r="F19" s="14">
        <f>_xll.BDH("XOM US Equity","IS_DIL_EPS_CONT_OPS","FQ4 1990","FQ4 1990","Currency=USD","Period=FQ","BEST_FPERIOD_OVERRIDE=FQ","FILING_STATUS=OR","Sort=A","Dates=H","DateFormat=P","Fill=—","Direction=H","UseDPDF=Y")</f>
        <v>0.3075</v>
      </c>
      <c r="G19" s="14">
        <f>_xll.BDH("XOM US Equity","IS_DIL_EPS_CONT_OPS","FQ1 1991","FQ1 1991","Currency=USD","Period=FQ","BEST_FPERIOD_OVERRIDE=FQ","FILING_STATUS=OR","Sort=A","Dates=H","DateFormat=P","Fill=—","Direction=H","UseDPDF=Y")</f>
        <v>0.44500000000000001</v>
      </c>
      <c r="H19" s="14">
        <f>_xll.BDH("XOM US Equity","IS_DIL_EPS_CONT_OPS","FQ2 1991","FQ2 1991","Currency=USD","Period=FQ","BEST_FPERIOD_OVERRIDE=FQ","FILING_STATUS=OR","Sort=A","Dates=H","DateFormat=P","Fill=—","Direction=H","UseDPDF=Y")</f>
        <v>0.22500000000000001</v>
      </c>
      <c r="I19" s="14">
        <f>_xll.BDH("XOM US Equity","IS_DIL_EPS_CONT_OPS","FQ3 1991","FQ3 1991","Currency=USD","Period=FQ","BEST_FPERIOD_OVERRIDE=FQ","FILING_STATUS=OR","Sort=A","Dates=H","DateFormat=P","Fill=—","Direction=H","UseDPDF=Y")</f>
        <v>0.22</v>
      </c>
      <c r="J19" s="14">
        <f>_xll.BDH("XOM US Equity","IS_DIL_EPS_CONT_OPS","FQ4 1991","FQ4 1991","Currency=USD","Period=FQ","BEST_FPERIOD_OVERRIDE=FQ","FILING_STATUS=OR","Sort=A","Dates=H","DateFormat=P","Fill=—","Direction=H","UseDPDF=Y")</f>
        <v>0.2225</v>
      </c>
      <c r="K19" s="14">
        <f>_xll.BDH("XOM US Equity","IS_DIL_EPS_CONT_OPS","FQ1 1992","FQ1 1992","Currency=USD","Period=FQ","BEST_FPERIOD_OVERRIDE=FQ","FILING_STATUS=OR","Sort=A","Dates=H","DateFormat=P","Fill=—","Direction=H","UseDPDF=Y")</f>
        <v>0.26750000000000002</v>
      </c>
      <c r="L19" s="14">
        <f>_xll.BDH("XOM US Equity","IS_DIL_EPS_CONT_OPS","FQ2 1992","FQ2 1992","Currency=USD","Period=FQ","BEST_FPERIOD_OVERRIDE=FQ","FILING_STATUS=OR","Sort=A","Dates=H","DateFormat=P","Fill=—","Direction=H","UseDPDF=Y")</f>
        <v>0.19</v>
      </c>
      <c r="M19" s="14">
        <f>_xll.BDH("XOM US Equity","IS_DIL_EPS_CONT_OPS","FQ3 1992","FQ3 1992","Currency=USD","Period=FQ","BEST_FPERIOD_OVERRIDE=FQ","FILING_STATUS=OR","Sort=A","Dates=H","DateFormat=P","Fill=—","Direction=H","UseDPDF=Y")</f>
        <v>0.22500000000000001</v>
      </c>
      <c r="N19" s="14">
        <f>_xll.BDH("XOM US Equity","IS_DIL_EPS_CONT_OPS","FQ4 1992","FQ4 1992","Currency=USD","Period=FQ","BEST_FPERIOD_OVERRIDE=FQ","FILING_STATUS=OR","Sort=A","Dates=H","DateFormat=P","Fill=—","Direction=H","UseDPDF=Y")</f>
        <v>0.3175</v>
      </c>
      <c r="O19" s="14">
        <f>_xll.BDH("XOM US Equity","IS_DIL_EPS_CONT_OPS","FQ1 1993","FQ1 1993","Currency=USD","Period=FQ","BEST_FPERIOD_OVERRIDE=FQ","FILING_STATUS=OR","Sort=A","Dates=H","DateFormat=P","Fill=—","Direction=H","UseDPDF=Y")</f>
        <v>0.23499999999999999</v>
      </c>
      <c r="P19" s="14">
        <f>_xll.BDH("XOM US Equity","IS_DIL_EPS_CONT_OPS","FQ2 1993","FQ2 1993","Currency=USD","Period=FQ","BEST_FPERIOD_OVERRIDE=FQ","FILING_STATUS=OR","Sort=A","Dates=H","DateFormat=P","Fill=—","Direction=H","UseDPDF=Y")</f>
        <v>0.245</v>
      </c>
      <c r="Q19" s="14">
        <f>_xll.BDH("XOM US Equity","IS_DIL_EPS_CONT_OPS","FQ3 1993","FQ3 1993","Currency=USD","Period=FQ","BEST_FPERIOD_OVERRIDE=FQ","FILING_STATUS=OR","Sort=A","Dates=H","DateFormat=P","Fill=—","Direction=H","UseDPDF=Y")</f>
        <v>0.27250000000000002</v>
      </c>
      <c r="R19" s="14">
        <f>_xll.BDH("XOM US Equity","IS_DIL_EPS_CONT_OPS","FQ4 1993","FQ4 1993","Currency=USD","Period=FQ","BEST_FPERIOD_OVERRIDE=FQ","FILING_STATUS=OR","Sort=A","Dates=H","DateFormat=P","Fill=—","Direction=H","UseDPDF=Y")</f>
        <v>0.3</v>
      </c>
      <c r="S19" s="14">
        <f>_xll.BDH("XOM US Equity","IS_DIL_EPS_CONT_OPS","FQ1 1994","FQ1 1994","Currency=USD","Period=FQ","BEST_FPERIOD_OVERRIDE=FQ","FILING_STATUS=OR","Sort=A","Dates=H","DateFormat=P","Fill=—","Direction=H","UseDPDF=Y")</f>
        <v>0.23</v>
      </c>
      <c r="T19" s="14">
        <f>_xll.BDH("XOM US Equity","IS_DIL_EPS_CONT_OPS","FQ2 1994","FQ2 1994","Currency=USD","Period=FQ","BEST_FPERIOD_OVERRIDE=FQ","FILING_STATUS=OR","Sort=A","Dates=H","DateFormat=P","Fill=—","Direction=H","UseDPDF=Y")</f>
        <v>0.17499999999999999</v>
      </c>
      <c r="U19" s="14">
        <f>_xll.BDH("XOM US Equity","IS_DIL_EPS_CONT_OPS","FQ3 1994","FQ3 1994","Currency=USD","Period=FQ","BEST_FPERIOD_OVERRIDE=FQ","FILING_STATUS=OR","Sort=A","Dates=H","DateFormat=P","Fill=—","Direction=H","UseDPDF=Y")</f>
        <v>0.23</v>
      </c>
      <c r="V19" s="14">
        <f>_xll.BDH("XOM US Equity","IS_DIL_EPS_CONT_OPS","FQ4 1994","FQ4 1994","Currency=USD","Period=FQ","BEST_FPERIOD_OVERRIDE=FQ","FILING_STATUS=OR","Sort=A","Dates=H","DateFormat=P","Fill=—","Direction=H","UseDPDF=Y")</f>
        <v>0.38250000000000001</v>
      </c>
      <c r="W19" s="14">
        <f>_xll.BDH("XOM US Equity","IS_DIL_EPS_CONT_OPS","FQ1 1995","FQ1 1995","Currency=USD","Period=FQ","BEST_FPERIOD_OVERRIDE=FQ","FILING_STATUS=OR","Sort=A","Dates=H","DateFormat=P","Fill=—","Direction=H","UseDPDF=Y")</f>
        <v>0.33250000000000002</v>
      </c>
      <c r="X19" s="14">
        <f>_xll.BDH("XOM US Equity","IS_DIL_EPS_CONT_OPS","FQ2 1995","FQ2 1995","Currency=USD","Period=FQ","BEST_FPERIOD_OVERRIDE=FQ","FILING_STATUS=OR","Sort=A","Dates=H","DateFormat=P","Fill=—","Direction=H","UseDPDF=Y")</f>
        <v>0.32500000000000001</v>
      </c>
      <c r="Y19" s="14">
        <f>_xll.BDH("XOM US Equity","IS_DIL_EPS_CONT_OPS","FQ3 1995","FQ3 1995","Currency=USD","Period=FQ","BEST_FPERIOD_OVERRIDE=FQ","FILING_STATUS=OR","Sort=A","Dates=H","DateFormat=P","Fill=—","Direction=H","UseDPDF=Y")</f>
        <v>0.3</v>
      </c>
      <c r="Z19" s="14">
        <f>_xll.BDH("XOM US Equity","IS_DIL_EPS_CONT_OPS","FQ4 1995","FQ4 1995","Currency=USD","Period=FQ","BEST_FPERIOD_OVERRIDE=FQ","FILING_STATUS=OR","Sort=A","Dates=H","DateFormat=P","Fill=—","Direction=H","UseDPDF=Y")</f>
        <v>0.33750000000000002</v>
      </c>
      <c r="AA19" s="14">
        <f>_xll.BDH("XOM US Equity","IS_DIL_EPS_CONT_OPS","FQ1 1996","FQ1 1996","Currency=USD","Period=FQ","BEST_FPERIOD_OVERRIDE=FQ","FILING_STATUS=OR","Sort=A","Dates=H","DateFormat=P","Fill=—","Direction=H","UseDPDF=Y")</f>
        <v>0.34749999999999998</v>
      </c>
      <c r="AB19" s="14">
        <f>_xll.BDH("XOM US Equity","IS_DIL_EPS_CONT_OPS","FQ2 1996","FQ2 1996","Currency=USD","Period=FQ","BEST_FPERIOD_OVERRIDE=FQ","FILING_STATUS=OR","Sort=A","Dates=H","DateFormat=P","Fill=—","Direction=H","UseDPDF=Y")</f>
        <v>0.31</v>
      </c>
      <c r="AC19" s="14">
        <f>_xll.BDH("XOM US Equity","IS_DIL_EPS_CONT_OPS","FQ3 1996","FQ3 1996","Currency=USD","Period=FQ","BEST_FPERIOD_OVERRIDE=FQ","FILING_STATUS=OR","Sort=A","Dates=H","DateFormat=P","Fill=—","Direction=H","UseDPDF=Y")</f>
        <v>0.31</v>
      </c>
      <c r="AD19" s="14">
        <f>_xll.BDH("XOM US Equity","IS_DIL_EPS_CONT_OPS","FQ4 1996","FQ4 1996","Currency=USD","Period=FQ","BEST_FPERIOD_OVERRIDE=FQ","FILING_STATUS=OR","Sort=A","Dates=H","DateFormat=P","Fill=—","Direction=H","UseDPDF=Y")</f>
        <v>0.5</v>
      </c>
      <c r="AE19" s="14">
        <f>_xll.BDH("XOM US Equity","IS_DIL_EPS_CONT_OPS","FQ1 1997","FQ1 1997","Currency=USD","Period=FQ","BEST_FPERIOD_OVERRIDE=FQ","FILING_STATUS=OR","Sort=A","Dates=H","DateFormat=P","Fill=—","Direction=H","UseDPDF=Y")</f>
        <v>0.43</v>
      </c>
      <c r="AF19" s="14">
        <f>_xll.BDH("XOM US Equity","IS_DIL_EPS_CONT_OPS","FQ2 1997","FQ2 1997","Currency=USD","Period=FQ","BEST_FPERIOD_OVERRIDE=FQ","FILING_STATUS=OR","Sort=A","Dates=H","DateFormat=P","Fill=—","Direction=H","UseDPDF=Y")</f>
        <v>0.39</v>
      </c>
      <c r="AG19" s="14">
        <f>_xll.BDH("XOM US Equity","IS_DIL_EPS_CONT_OPS","FQ3 1997","FQ3 1997","Currency=USD","Period=FQ","BEST_FPERIOD_OVERRIDE=FQ","FILING_STATUS=OR","Sort=A","Dates=H","DateFormat=P","Fill=—","Direction=H","UseDPDF=Y")</f>
        <v>0.36499999999999999</v>
      </c>
      <c r="AH19" s="14">
        <f>_xll.BDH("XOM US Equity","IS_DIL_EPS_CONT_OPS","FQ4 1997","FQ4 1997","Currency=USD","Period=FQ","BEST_FPERIOD_OVERRIDE=FQ","FILING_STATUS=OR","Sort=A","Dates=H","DateFormat=P","Fill=—","Direction=H","UseDPDF=Y")</f>
        <v>0.44500000000000001</v>
      </c>
      <c r="AI19" s="14">
        <f>_xll.BDH("XOM US Equity","IS_DIL_EPS_CONT_OPS","FQ1 1998","FQ1 1998","Currency=USD","Period=FQ","BEST_FPERIOD_OVERRIDE=FQ","FILING_STATUS=OR","Sort=A","Dates=H","DateFormat=P","Fill=—","Direction=H","UseDPDF=Y")</f>
        <v>0.38</v>
      </c>
      <c r="AJ19" s="14">
        <f>_xll.BDH("XOM US Equity","IS_DIL_EPS_CONT_OPS","FQ2 1998","FQ2 1998","Currency=USD","Period=FQ","BEST_FPERIOD_OVERRIDE=FQ","FILING_STATUS=OR","Sort=A","Dates=H","DateFormat=P","Fill=—","Direction=H","UseDPDF=Y")</f>
        <v>0.32500000000000001</v>
      </c>
    </row>
    <row r="20" spans="1:36" x14ac:dyDescent="0.25">
      <c r="A20" s="10" t="s">
        <v>305</v>
      </c>
      <c r="B20" s="10" t="s">
        <v>141</v>
      </c>
      <c r="C20" s="14">
        <f>_xll.BDH("XOM US Equity","EQY_DPS","FQ1 1990","FQ1 1990","Currency=USD","Period=FQ","BEST_FPERIOD_OVERRIDE=FQ","FILING_STATUS=OR","Sort=A","Dates=H","DateFormat=P","Fill=—","Direction=H","UseDPDF=Y")</f>
        <v>0.15</v>
      </c>
      <c r="D20" s="14">
        <f>_xll.BDH("XOM US Equity","EQY_DPS","FQ2 1990","FQ2 1990","Currency=USD","Period=FQ","BEST_FPERIOD_OVERRIDE=FQ","FILING_STATUS=OR","Sort=A","Dates=H","DateFormat=P","Fill=—","Direction=H","UseDPDF=Y")</f>
        <v>0.15</v>
      </c>
      <c r="E20" s="14">
        <f>_xll.BDH("XOM US Equity","EQY_DPS","FQ3 1990","FQ3 1990","Currency=USD","Period=FQ","BEST_FPERIOD_OVERRIDE=FQ","FILING_STATUS=OR","Sort=A","Dates=H","DateFormat=P","Fill=—","Direction=H","UseDPDF=Y")</f>
        <v>0.15</v>
      </c>
      <c r="F20" s="14">
        <f>_xll.BDH("XOM US Equity","EQY_DPS","FQ4 1990","FQ4 1990","Currency=USD","Period=FQ","BEST_FPERIOD_OVERRIDE=FQ","FILING_STATUS=OR","Sort=A","Dates=H","DateFormat=P","Fill=—","Direction=H","UseDPDF=Y")</f>
        <v>0.16750000000000001</v>
      </c>
      <c r="G20" s="14">
        <f>_xll.BDH("XOM US Equity","EQY_DPS","FQ1 1991","FQ1 1991","Currency=USD","Period=FQ","BEST_FPERIOD_OVERRIDE=FQ","FILING_STATUS=OR","Sort=A","Dates=H","DateFormat=P","Fill=—","Direction=H","UseDPDF=Y")</f>
        <v>0.16750000000000001</v>
      </c>
      <c r="H20" s="14">
        <f>_xll.BDH("XOM US Equity","EQY_DPS","FQ2 1991","FQ2 1991","Currency=USD","Period=FQ","BEST_FPERIOD_OVERRIDE=FQ","FILING_STATUS=OR","Sort=A","Dates=H","DateFormat=P","Fill=—","Direction=H","UseDPDF=Y")</f>
        <v>0.16750000000000001</v>
      </c>
      <c r="I20" s="14">
        <f>_xll.BDH("XOM US Equity","EQY_DPS","FQ3 1991","FQ3 1991","Currency=USD","Period=FQ","BEST_FPERIOD_OVERRIDE=FQ","FILING_STATUS=OR","Sort=A","Dates=H","DateFormat=P","Fill=—","Direction=H","UseDPDF=Y")</f>
        <v>0.16750000000000001</v>
      </c>
      <c r="J20" s="14">
        <f>_xll.BDH("XOM US Equity","EQY_DPS","FQ4 1991","FQ4 1991","Currency=USD","Period=FQ","BEST_FPERIOD_OVERRIDE=FQ","FILING_STATUS=OR","Sort=A","Dates=H","DateFormat=P","Fill=—","Direction=H","UseDPDF=Y")</f>
        <v>0.16750000000000001</v>
      </c>
      <c r="K20" s="14" t="str">
        <f>_xll.BDH("XOM US Equity","EQY_DPS","FQ1 1992","FQ1 1992","Currency=USD","Period=FQ","BEST_FPERIOD_OVERRIDE=FQ","FILING_STATUS=OR","Sort=A","Dates=H","DateFormat=P","Fill=—","Direction=H","UseDPDF=Y")</f>
        <v>—</v>
      </c>
      <c r="L20" s="14" t="str">
        <f>_xll.BDH("XOM US Equity","EQY_DPS","FQ2 1992","FQ2 1992","Currency=USD","Period=FQ","BEST_FPERIOD_OVERRIDE=FQ","FILING_STATUS=OR","Sort=A","Dates=H","DateFormat=P","Fill=—","Direction=H","UseDPDF=Y")</f>
        <v>—</v>
      </c>
      <c r="M20" s="14" t="str">
        <f>_xll.BDH("XOM US Equity","EQY_DPS","FQ3 1992","FQ3 1992","Currency=USD","Period=FQ","BEST_FPERIOD_OVERRIDE=FQ","FILING_STATUS=OR","Sort=A","Dates=H","DateFormat=P","Fill=—","Direction=H","UseDPDF=Y")</f>
        <v>—</v>
      </c>
      <c r="N20" s="14">
        <f>_xll.BDH("XOM US Equity","EQY_DPS","FQ4 1992","FQ4 1992","Currency=USD","Period=FQ","BEST_FPERIOD_OVERRIDE=FQ","FILING_STATUS=OR","Sort=A","Dates=H","DateFormat=P","Fill=—","Direction=H","UseDPDF=Y")</f>
        <v>0.17499999999999999</v>
      </c>
      <c r="O20" s="14">
        <f>_xll.BDH("XOM US Equity","EQY_DPS","FQ1 1993","FQ1 1993","Currency=USD","Period=FQ","BEST_FPERIOD_OVERRIDE=FQ","FILING_STATUS=OR","Sort=A","Dates=H","DateFormat=P","Fill=—","Direction=H","UseDPDF=Y")</f>
        <v>0.18</v>
      </c>
      <c r="P20" s="14">
        <f>_xll.BDH("XOM US Equity","EQY_DPS","FQ2 1993","FQ2 1993","Currency=USD","Period=FQ","BEST_FPERIOD_OVERRIDE=FQ","FILING_STATUS=OR","Sort=A","Dates=H","DateFormat=P","Fill=—","Direction=H","UseDPDF=Y")</f>
        <v>0.18</v>
      </c>
      <c r="Q20" s="14">
        <f>_xll.BDH("XOM US Equity","EQY_DPS","FQ3 1993","FQ3 1993","Currency=USD","Period=FQ","BEST_FPERIOD_OVERRIDE=FQ","FILING_STATUS=OR","Sort=A","Dates=H","DateFormat=P","Fill=—","Direction=H","UseDPDF=Y")</f>
        <v>0.18</v>
      </c>
      <c r="R20" s="14">
        <f>_xll.BDH("XOM US Equity","EQY_DPS","FQ4 1993","FQ4 1993","Currency=USD","Period=FQ","BEST_FPERIOD_OVERRIDE=FQ","FILING_STATUS=OR","Sort=A","Dates=H","DateFormat=P","Fill=—","Direction=H","UseDPDF=Y")</f>
        <v>0.18</v>
      </c>
      <c r="S20" s="14">
        <f>_xll.BDH("XOM US Equity","EQY_DPS","FQ1 1994","FQ1 1994","Currency=USD","Period=FQ","BEST_FPERIOD_OVERRIDE=FQ","FILING_STATUS=OR","Sort=A","Dates=H","DateFormat=P","Fill=—","Direction=H","UseDPDF=Y")</f>
        <v>0.18</v>
      </c>
      <c r="T20" s="14">
        <f>_xll.BDH("XOM US Equity","EQY_DPS","FQ2 1994","FQ2 1994","Currency=USD","Period=FQ","BEST_FPERIOD_OVERRIDE=FQ","FILING_STATUS=OR","Sort=A","Dates=H","DateFormat=P","Fill=—","Direction=H","UseDPDF=Y")</f>
        <v>0.18</v>
      </c>
      <c r="U20" s="14">
        <f>_xll.BDH("XOM US Equity","EQY_DPS","FQ3 1994","FQ3 1994","Currency=USD","Period=FQ","BEST_FPERIOD_OVERRIDE=FQ","FILING_STATUS=OR","Sort=A","Dates=H","DateFormat=P","Fill=—","Direction=H","UseDPDF=Y")</f>
        <v>0.18</v>
      </c>
      <c r="V20" s="14">
        <f>_xll.BDH("XOM US Equity","EQY_DPS","FQ4 1994","FQ4 1994","Currency=USD","Period=FQ","BEST_FPERIOD_OVERRIDE=FQ","FILING_STATUS=OR","Sort=A","Dates=H","DateFormat=P","Fill=—","Direction=H","UseDPDF=Y")</f>
        <v>0.1875</v>
      </c>
      <c r="W20" s="14">
        <f>_xll.BDH("XOM US Equity","EQY_DPS","FQ1 1995","FQ1 1995","Currency=USD","Period=FQ","BEST_FPERIOD_OVERRIDE=FQ","FILING_STATUS=OR","Sort=A","Dates=H","DateFormat=P","Fill=—","Direction=H","UseDPDF=Y")</f>
        <v>0.1875</v>
      </c>
      <c r="X20" s="14">
        <f>_xll.BDH("XOM US Equity","EQY_DPS","FQ2 1995","FQ2 1995","Currency=USD","Period=FQ","BEST_FPERIOD_OVERRIDE=FQ","FILING_STATUS=OR","Sort=A","Dates=H","DateFormat=P","Fill=—","Direction=H","UseDPDF=Y")</f>
        <v>0.1875</v>
      </c>
      <c r="Y20" s="14">
        <f>_xll.BDH("XOM US Equity","EQY_DPS","FQ3 1995","FQ3 1995","Currency=USD","Period=FQ","BEST_FPERIOD_OVERRIDE=FQ","FILING_STATUS=OR","Sort=A","Dates=H","DateFormat=P","Fill=—","Direction=H","UseDPDF=Y")</f>
        <v>0.1875</v>
      </c>
      <c r="Z20" s="14">
        <f>_xll.BDH("XOM US Equity","EQY_DPS","FQ4 1995","FQ4 1995","Currency=USD","Period=FQ","BEST_FPERIOD_OVERRIDE=FQ","FILING_STATUS=OR","Sort=A","Dates=H","DateFormat=P","Fill=—","Direction=H","UseDPDF=Y")</f>
        <v>0.1875</v>
      </c>
      <c r="AA20" s="14">
        <f>_xll.BDH("XOM US Equity","EQY_DPS","FQ1 1996","FQ1 1996","Currency=USD","Period=FQ","BEST_FPERIOD_OVERRIDE=FQ","FILING_STATUS=OR","Sort=A","Dates=H","DateFormat=P","Fill=—","Direction=H","UseDPDF=Y")</f>
        <v>0.1875</v>
      </c>
      <c r="AB20" s="14">
        <f>_xll.BDH("XOM US Equity","EQY_DPS","FQ2 1996","FQ2 1996","Currency=USD","Period=FQ","BEST_FPERIOD_OVERRIDE=FQ","FILING_STATUS=OR","Sort=A","Dates=H","DateFormat=P","Fill=—","Direction=H","UseDPDF=Y")</f>
        <v>0.19750000000000001</v>
      </c>
      <c r="AC20" s="14">
        <f>_xll.BDH("XOM US Equity","EQY_DPS","FQ3 1996","FQ3 1996","Currency=USD","Period=FQ","BEST_FPERIOD_OVERRIDE=FQ","FILING_STATUS=OR","Sort=A","Dates=H","DateFormat=P","Fill=—","Direction=H","UseDPDF=Y")</f>
        <v>0.19750000000000001</v>
      </c>
      <c r="AD20" s="14">
        <f>_xll.BDH("XOM US Equity","EQY_DPS","FQ4 1996","FQ4 1996","Currency=USD","Period=FQ","BEST_FPERIOD_OVERRIDE=FQ","FILING_STATUS=OR","Sort=A","Dates=H","DateFormat=P","Fill=—","Direction=H","UseDPDF=Y")</f>
        <v>0.19750000000000001</v>
      </c>
      <c r="AE20" s="14" t="str">
        <f>_xll.BDH("XOM US Equity","EQY_DPS","FQ1 1997","FQ1 1997","Currency=USD","Period=FQ","BEST_FPERIOD_OVERRIDE=FQ","FILING_STATUS=OR","Sort=A","Dates=H","DateFormat=P","Fill=—","Direction=H","UseDPDF=Y")</f>
        <v>—</v>
      </c>
      <c r="AF20" s="14" t="str">
        <f>_xll.BDH("XOM US Equity","EQY_DPS","FQ2 1997","FQ2 1997","Currency=USD","Period=FQ","BEST_FPERIOD_OVERRIDE=FQ","FILING_STATUS=OR","Sort=A","Dates=H","DateFormat=P","Fill=—","Direction=H","UseDPDF=Y")</f>
        <v>—</v>
      </c>
      <c r="AG20" s="14">
        <f>_xll.BDH("XOM US Equity","EQY_DPS","FQ3 1997","FQ3 1997","Currency=USD","Period=FQ","BEST_FPERIOD_OVERRIDE=FQ","FILING_STATUS=OR","Sort=A","Dates=H","DateFormat=P","Fill=—","Direction=H","UseDPDF=Y")</f>
        <v>0.20499999999999999</v>
      </c>
      <c r="AH20" s="14">
        <f>_xll.BDH("XOM US Equity","EQY_DPS","FQ4 1997","FQ4 1997","Currency=USD","Period=FQ","BEST_FPERIOD_OVERRIDE=FQ","FILING_STATUS=OR","Sort=A","Dates=H","DateFormat=P","Fill=—","Direction=H","UseDPDF=Y")</f>
        <v>0.20499999999999999</v>
      </c>
      <c r="AI20" s="14">
        <f>_xll.BDH("XOM US Equity","EQY_DPS","FQ1 1998","FQ1 1998","Currency=USD","Period=FQ","BEST_FPERIOD_OVERRIDE=FQ","FILING_STATUS=OR","Sort=A","Dates=H","DateFormat=P","Fill=—","Direction=H","UseDPDF=Y")</f>
        <v>0.20499999999999999</v>
      </c>
      <c r="AJ20" s="14">
        <f>_xll.BDH("XOM US Equity","EQY_DPS","FQ2 1998","FQ2 1998","Currency=USD","Period=FQ","BEST_FPERIOD_OVERRIDE=FQ","FILING_STATUS=OR","Sort=A","Dates=H","DateFormat=P","Fill=—","Direction=H","UseDPDF=Y")</f>
        <v>0.20499999999999999</v>
      </c>
    </row>
    <row r="21" spans="1:36" x14ac:dyDescent="0.25">
      <c r="A21" s="10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</row>
    <row r="22" spans="1:36" x14ac:dyDescent="0.25">
      <c r="A22" s="10" t="s">
        <v>306</v>
      </c>
      <c r="B22" s="10" t="s">
        <v>307</v>
      </c>
      <c r="C22" s="14">
        <f>_xll.BDH("XOM US Equity","CASH_FLOW_PER_SH","FQ1 1990","FQ1 1990","Currency=USD","Period=FQ","BEST_FPERIOD_OVERRIDE=FQ","FILING_STATUS=OR","Sort=A","Dates=H","DateFormat=P","Fill=—","Direction=H","UseDPDF=Y")</f>
        <v>0.35410000000000003</v>
      </c>
      <c r="D22" s="14">
        <f>_xll.BDH("XOM US Equity","CASH_FLOW_PER_SH","FQ2 1990","FQ2 1990","Currency=USD","Period=FQ","BEST_FPERIOD_OVERRIDE=FQ","FILING_STATUS=OR","Sort=A","Dates=H","DateFormat=P","Fill=—","Direction=H","UseDPDF=Y")</f>
        <v>0.55110000000000003</v>
      </c>
      <c r="E22" s="14">
        <f>_xll.BDH("XOM US Equity","CASH_FLOW_PER_SH","FQ3 1990","FQ3 1990","Currency=USD","Period=FQ","BEST_FPERIOD_OVERRIDE=FQ","FILING_STATUS=OR","Sort=A","Dates=H","DateFormat=P","Fill=—","Direction=H","UseDPDF=Y")</f>
        <v>0.39319999999999999</v>
      </c>
      <c r="F22" s="14">
        <f>_xll.BDH("XOM US Equity","CASH_FLOW_PER_SH","FQ4 1990","FQ4 1990","Currency=USD","Period=FQ","BEST_FPERIOD_OVERRIDE=FQ","FILING_STATUS=OR","Sort=A","Dates=H","DateFormat=P","Fill=—","Direction=H","UseDPDF=Y")</f>
        <v>0.83560000000000001</v>
      </c>
      <c r="G22" s="14">
        <f>_xll.BDH("XOM US Equity","CASH_FLOW_PER_SH","FQ1 1991","FQ1 1991","Currency=USD","Period=FQ","BEST_FPERIOD_OVERRIDE=FQ","FILING_STATUS=OR","Sort=A","Dates=H","DateFormat=P","Fill=—","Direction=H","UseDPDF=Y")</f>
        <v>0.55220000000000002</v>
      </c>
      <c r="H22" s="14">
        <f>_xll.BDH("XOM US Equity","CASH_FLOW_PER_SH","FQ2 1991","FQ2 1991","Currency=USD","Period=FQ","BEST_FPERIOD_OVERRIDE=FQ","FILING_STATUS=OR","Sort=A","Dates=H","DateFormat=P","Fill=—","Direction=H","UseDPDF=Y")</f>
        <v>0.52100000000000002</v>
      </c>
      <c r="I22" s="14">
        <f>_xll.BDH("XOM US Equity","CASH_FLOW_PER_SH","FQ3 1991","FQ3 1991","Currency=USD","Period=FQ","BEST_FPERIOD_OVERRIDE=FQ","FILING_STATUS=OR","Sort=A","Dates=H","DateFormat=P","Fill=—","Direction=H","UseDPDF=Y")</f>
        <v>0.56279999999999997</v>
      </c>
      <c r="J22" s="14">
        <f>_xll.BDH("XOM US Equity","CASH_FLOW_PER_SH","FQ4 1991","FQ4 1991","Currency=USD","Period=FQ","BEST_FPERIOD_OVERRIDE=FQ","FILING_STATUS=OR","Sort=A","Dates=H","DateFormat=P","Fill=—","Direction=H","UseDPDF=Y")</f>
        <v>0.5635</v>
      </c>
      <c r="K22" s="14">
        <f>_xll.BDH("XOM US Equity","CASH_FLOW_PER_SH","FQ1 1992","FQ1 1992","Currency=USD","Period=FQ","BEST_FPERIOD_OVERRIDE=FQ","FILING_STATUS=OR","Sort=A","Dates=H","DateFormat=P","Fill=—","Direction=H","UseDPDF=Y")</f>
        <v>0.49930000000000002</v>
      </c>
      <c r="L22" s="14">
        <f>_xll.BDH("XOM US Equity","CASH_FLOW_PER_SH","FQ2 1992","FQ2 1992","Currency=USD","Period=FQ","BEST_FPERIOD_OVERRIDE=FQ","FILING_STATUS=OR","Sort=A","Dates=H","DateFormat=P","Fill=—","Direction=H","UseDPDF=Y")</f>
        <v>0.35360000000000003</v>
      </c>
      <c r="M22" s="14">
        <f>_xll.BDH("XOM US Equity","CASH_FLOW_PER_SH","FQ3 1992","FQ3 1992","Currency=USD","Period=FQ","BEST_FPERIOD_OVERRIDE=FQ","FILING_STATUS=OR","Sort=A","Dates=H","DateFormat=P","Fill=—","Direction=H","UseDPDF=Y")</f>
        <v>0.52170000000000005</v>
      </c>
      <c r="N22" s="14">
        <f>_xll.BDH("XOM US Equity","CASH_FLOW_PER_SH","FQ4 1992","FQ4 1992","Currency=USD","Period=FQ","BEST_FPERIOD_OVERRIDE=FQ","FILING_STATUS=OR","Sort=A","Dates=H","DateFormat=P","Fill=—","Direction=H","UseDPDF=Y")</f>
        <v>0.56059999999999999</v>
      </c>
      <c r="O22" s="14">
        <f>_xll.BDH("XOM US Equity","CASH_FLOW_PER_SH","FQ1 1993","FQ1 1993","Currency=USD","Period=FQ","BEST_FPERIOD_OVERRIDE=FQ","FILING_STATUS=OR","Sort=A","Dates=H","DateFormat=P","Fill=—","Direction=H","UseDPDF=Y")</f>
        <v>0.52590000000000003</v>
      </c>
      <c r="P22" s="14">
        <f>_xll.BDH("XOM US Equity","CASH_FLOW_PER_SH","FQ2 1993","FQ2 1993","Currency=USD","Period=FQ","BEST_FPERIOD_OVERRIDE=FQ","FILING_STATUS=OR","Sort=A","Dates=H","DateFormat=P","Fill=—","Direction=H","UseDPDF=Y")</f>
        <v>0.54110000000000003</v>
      </c>
      <c r="Q22" s="14">
        <f>_xll.BDH("XOM US Equity","CASH_FLOW_PER_SH","FQ3 1993","FQ3 1993","Currency=USD","Period=FQ","BEST_FPERIOD_OVERRIDE=FQ","FILING_STATUS=OR","Sort=A","Dates=H","DateFormat=P","Fill=—","Direction=H","UseDPDF=Y")</f>
        <v>0.63970000000000005</v>
      </c>
      <c r="R22" s="14">
        <f>_xll.BDH("XOM US Equity","CASH_FLOW_PER_SH","FQ4 1993","FQ4 1993","Currency=USD","Period=FQ","BEST_FPERIOD_OVERRIDE=FQ","FILING_STATUS=OR","Sort=A","Dates=H","DateFormat=P","Fill=—","Direction=H","UseDPDF=Y")</f>
        <v>0.60929999999999995</v>
      </c>
      <c r="S22" s="14">
        <f>_xll.BDH("XOM US Equity","CASH_FLOW_PER_SH","FQ1 1994","FQ1 1994","Currency=USD","Period=FQ","BEST_FPERIOD_OVERRIDE=FQ","FILING_STATUS=OR","Sort=A","Dates=H","DateFormat=P","Fill=—","Direction=H","UseDPDF=Y")</f>
        <v>0.47570000000000001</v>
      </c>
      <c r="T22" s="14">
        <f>_xll.BDH("XOM US Equity","CASH_FLOW_PER_SH","FQ2 1994","FQ2 1994","Currency=USD","Period=FQ","BEST_FPERIOD_OVERRIDE=FQ","FILING_STATUS=OR","Sort=A","Dates=H","DateFormat=P","Fill=—","Direction=H","UseDPDF=Y")</f>
        <v>0.4138</v>
      </c>
      <c r="U22" s="14">
        <f>_xll.BDH("XOM US Equity","CASH_FLOW_PER_SH","FQ3 1994","FQ3 1994","Currency=USD","Period=FQ","BEST_FPERIOD_OVERRIDE=FQ","FILING_STATUS=OR","Sort=A","Dates=H","DateFormat=P","Fill=—","Direction=H","UseDPDF=Y")</f>
        <v>0.5403</v>
      </c>
      <c r="V22" s="14">
        <f>_xll.BDH("XOM US Equity","CASH_FLOW_PER_SH","FQ4 1994","FQ4 1994","Currency=USD","Period=FQ","BEST_FPERIOD_OVERRIDE=FQ","FILING_STATUS=OR","Sort=A","Dates=H","DateFormat=P","Fill=—","Direction=H","UseDPDF=Y")</f>
        <v>0.55369999999999997</v>
      </c>
      <c r="W22" s="14">
        <f>_xll.BDH("XOM US Equity","CASH_FLOW_PER_SH","FQ1 1995","FQ1 1995","Currency=USD","Period=FQ","BEST_FPERIOD_OVERRIDE=FQ","FILING_STATUS=OR","Sort=A","Dates=H","DateFormat=P","Fill=—","Direction=H","UseDPDF=Y")</f>
        <v>0.66069999999999995</v>
      </c>
      <c r="X22" s="14">
        <f>_xll.BDH("XOM US Equity","CASH_FLOW_PER_SH","FQ2 1995","FQ2 1995","Currency=USD","Period=FQ","BEST_FPERIOD_OVERRIDE=FQ","FILING_STATUS=OR","Sort=A","Dates=H","DateFormat=P","Fill=—","Direction=H","UseDPDF=Y")</f>
        <v>0.61329999999999996</v>
      </c>
      <c r="Y22" s="14">
        <f>_xll.BDH("XOM US Equity","CASH_FLOW_PER_SH","FQ3 1995","FQ3 1995","Currency=USD","Period=FQ","BEST_FPERIOD_OVERRIDE=FQ","FILING_STATUS=OR","Sort=A","Dates=H","DateFormat=P","Fill=—","Direction=H","UseDPDF=Y")</f>
        <v>0.79400000000000004</v>
      </c>
      <c r="Z22" s="14">
        <f>_xll.BDH("XOM US Equity","CASH_FLOW_PER_SH","FQ4 1995","FQ4 1995","Currency=USD","Period=FQ","BEST_FPERIOD_OVERRIDE=FQ","FILING_STATUS=OR","Sort=A","Dates=H","DateFormat=P","Fill=—","Direction=H","UseDPDF=Y")</f>
        <v>0.71950000000000003</v>
      </c>
      <c r="AA22" s="14">
        <f>_xll.BDH("XOM US Equity","CASH_FLOW_PER_SH","FQ1 1996","FQ1 1996","Currency=USD","Period=FQ","BEST_FPERIOD_OVERRIDE=FQ","FILING_STATUS=OR","Sort=A","Dates=H","DateFormat=P","Fill=—","Direction=H","UseDPDF=Y")</f>
        <v>0.82069999999999999</v>
      </c>
      <c r="AB22" s="14">
        <f>_xll.BDH("XOM US Equity","CASH_FLOW_PER_SH","FQ2 1996","FQ2 1996","Currency=USD","Period=FQ","BEST_FPERIOD_OVERRIDE=FQ","FILING_STATUS=OR","Sort=A","Dates=H","DateFormat=P","Fill=—","Direction=H","UseDPDF=Y")</f>
        <v>0.60040000000000004</v>
      </c>
      <c r="AC22" s="14">
        <f>_xll.BDH("XOM US Equity","CASH_FLOW_PER_SH","FQ3 1996","FQ3 1996","Currency=USD","Period=FQ","BEST_FPERIOD_OVERRIDE=FQ","FILING_STATUS=OR","Sort=A","Dates=H","DateFormat=P","Fill=—","Direction=H","UseDPDF=Y")</f>
        <v>0.6321</v>
      </c>
      <c r="AD22" s="14">
        <f>_xll.BDH("XOM US Equity","CASH_FLOW_PER_SH","FQ4 1996","FQ4 1996","Currency=USD","Period=FQ","BEST_FPERIOD_OVERRIDE=FQ","FILING_STATUS=OR","Sort=A","Dates=H","DateFormat=P","Fill=—","Direction=H","UseDPDF=Y")</f>
        <v>0.59619999999999995</v>
      </c>
      <c r="AE22" s="14">
        <f>_xll.BDH("XOM US Equity","CASH_FLOW_PER_SH","FQ1 1997","FQ1 1997","Currency=USD","Period=FQ","BEST_FPERIOD_OVERRIDE=FQ","FILING_STATUS=OR","Sort=A","Dates=H","DateFormat=P","Fill=—","Direction=H","UseDPDF=Y")</f>
        <v>0.90859999999999996</v>
      </c>
      <c r="AF22" s="14">
        <f>_xll.BDH("XOM US Equity","CASH_FLOW_PER_SH","FQ2 1997","FQ2 1997","Currency=USD","Period=FQ","BEST_FPERIOD_OVERRIDE=FQ","FILING_STATUS=OR","Sort=A","Dates=H","DateFormat=P","Fill=—","Direction=H","UseDPDF=Y")</f>
        <v>0.6885</v>
      </c>
      <c r="AG22" s="14">
        <f>_xll.BDH("XOM US Equity","CASH_FLOW_PER_SH","FQ3 1997","FQ3 1997","Currency=USD","Period=FQ","BEST_FPERIOD_OVERRIDE=FQ","FILING_STATUS=OR","Sort=A","Dates=H","DateFormat=P","Fill=—","Direction=H","UseDPDF=Y")</f>
        <v>0.82740000000000002</v>
      </c>
      <c r="AH22" s="14">
        <f>_xll.BDH("XOM US Equity","CASH_FLOW_PER_SH","FQ4 1997","FQ4 1997","Currency=USD","Period=FQ","BEST_FPERIOD_OVERRIDE=FQ","FILING_STATUS=OR","Sort=A","Dates=H","DateFormat=P","Fill=—","Direction=H","UseDPDF=Y")</f>
        <v>0.54059999999999997</v>
      </c>
      <c r="AI22" s="14">
        <f>_xll.BDH("XOM US Equity","CASH_FLOW_PER_SH","FQ1 1998","FQ1 1998","Currency=USD","Period=FQ","BEST_FPERIOD_OVERRIDE=FQ","FILING_STATUS=OR","Sort=A","Dates=H","DateFormat=P","Fill=—","Direction=H","UseDPDF=Y")</f>
        <v>0.62709999999999999</v>
      </c>
      <c r="AJ22" s="14">
        <f>_xll.BDH("XOM US Equity","CASH_FLOW_PER_SH","FQ2 1998","FQ2 1998","Currency=USD","Period=FQ","BEST_FPERIOD_OVERRIDE=FQ","FILING_STATUS=OR","Sort=A","Dates=H","DateFormat=P","Fill=—","Direction=H","UseDPDF=Y")</f>
        <v>0.60640000000000005</v>
      </c>
    </row>
    <row r="23" spans="1:36" x14ac:dyDescent="0.25">
      <c r="A23" s="10" t="s">
        <v>280</v>
      </c>
      <c r="B23" s="10" t="s">
        <v>287</v>
      </c>
      <c r="C23" s="14" t="str">
        <f>_xll.BDH("XOM US Equity","FREE_CASH_FLOW_PER_SH","FQ1 1990","FQ1 1990","Currency=USD","Period=FQ","BEST_FPERIOD_OVERRIDE=FQ","FILING_STATUS=OR","Sort=A","Dates=H","DateFormat=P","Fill=—","Direction=H","UseDPDF=Y")</f>
        <v>—</v>
      </c>
      <c r="D23" s="14" t="str">
        <f>_xll.BDH("XOM US Equity","FREE_CASH_FLOW_PER_SH","FQ2 1990","FQ2 1990","Currency=USD","Period=FQ","BEST_FPERIOD_OVERRIDE=FQ","FILING_STATUS=OR","Sort=A","Dates=H","DateFormat=P","Fill=—","Direction=H","UseDPDF=Y")</f>
        <v>—</v>
      </c>
      <c r="E23" s="14" t="str">
        <f>_xll.BDH("XOM US Equity","FREE_CASH_FLOW_PER_SH","FQ3 1990","FQ3 1990","Currency=USD","Period=FQ","BEST_FPERIOD_OVERRIDE=FQ","FILING_STATUS=OR","Sort=A","Dates=H","DateFormat=P","Fill=—","Direction=H","UseDPDF=Y")</f>
        <v>—</v>
      </c>
      <c r="F23" s="14" t="str">
        <f>_xll.BDH("XOM US Equity","FREE_CASH_FLOW_PER_SH","FQ4 1990","FQ4 1990","Currency=USD","Period=FQ","BEST_FPERIOD_OVERRIDE=FQ","FILING_STATUS=OR","Sort=A","Dates=H","DateFormat=P","Fill=—","Direction=H","UseDPDF=Y")</f>
        <v>—</v>
      </c>
      <c r="G23" s="14" t="str">
        <f>_xll.BDH("XOM US Equity","FREE_CASH_FLOW_PER_SH","FQ1 1991","FQ1 1991","Currency=USD","Period=FQ","BEST_FPERIOD_OVERRIDE=FQ","FILING_STATUS=OR","Sort=A","Dates=H","DateFormat=P","Fill=—","Direction=H","UseDPDF=Y")</f>
        <v>—</v>
      </c>
      <c r="H23" s="14" t="str">
        <f>_xll.BDH("XOM US Equity","FREE_CASH_FLOW_PER_SH","FQ2 1991","FQ2 1991","Currency=USD","Period=FQ","BEST_FPERIOD_OVERRIDE=FQ","FILING_STATUS=OR","Sort=A","Dates=H","DateFormat=P","Fill=—","Direction=H","UseDPDF=Y")</f>
        <v>—</v>
      </c>
      <c r="I23" s="14" t="str">
        <f>_xll.BDH("XOM US Equity","FREE_CASH_FLOW_PER_SH","FQ3 1991","FQ3 1991","Currency=USD","Period=FQ","BEST_FPERIOD_OVERRIDE=FQ","FILING_STATUS=OR","Sort=A","Dates=H","DateFormat=P","Fill=—","Direction=H","UseDPDF=Y")</f>
        <v>—</v>
      </c>
      <c r="J23" s="14" t="str">
        <f>_xll.BDH("XOM US Equity","FREE_CASH_FLOW_PER_SH","FQ4 1991","FQ4 1991","Currency=USD","Period=FQ","BEST_FPERIOD_OVERRIDE=FQ","FILING_STATUS=OR","Sort=A","Dates=H","DateFormat=P","Fill=—","Direction=H","UseDPDF=Y")</f>
        <v>—</v>
      </c>
      <c r="K23" s="14" t="str">
        <f>_xll.BDH("XOM US Equity","FREE_CASH_FLOW_PER_SH","FQ1 1992","FQ1 1992","Currency=USD","Period=FQ","BEST_FPERIOD_OVERRIDE=FQ","FILING_STATUS=OR","Sort=A","Dates=H","DateFormat=P","Fill=—","Direction=H","UseDPDF=Y")</f>
        <v>—</v>
      </c>
      <c r="L23" s="14" t="str">
        <f>_xll.BDH("XOM US Equity","FREE_CASH_FLOW_PER_SH","FQ2 1992","FQ2 1992","Currency=USD","Period=FQ","BEST_FPERIOD_OVERRIDE=FQ","FILING_STATUS=OR","Sort=A","Dates=H","DateFormat=P","Fill=—","Direction=H","UseDPDF=Y")</f>
        <v>—</v>
      </c>
      <c r="M23" s="14" t="str">
        <f>_xll.BDH("XOM US Equity","FREE_CASH_FLOW_PER_SH","FQ3 1992","FQ3 1992","Currency=USD","Period=FQ","BEST_FPERIOD_OVERRIDE=FQ","FILING_STATUS=OR","Sort=A","Dates=H","DateFormat=P","Fill=—","Direction=H","UseDPDF=Y")</f>
        <v>—</v>
      </c>
      <c r="N23" s="14" t="str">
        <f>_xll.BDH("XOM US Equity","FREE_CASH_FLOW_PER_SH","FQ4 1992","FQ4 1992","Currency=USD","Period=FQ","BEST_FPERIOD_OVERRIDE=FQ","FILING_STATUS=OR","Sort=A","Dates=H","DateFormat=P","Fill=—","Direction=H","UseDPDF=Y")</f>
        <v>—</v>
      </c>
      <c r="O23" s="14" t="str">
        <f>_xll.BDH("XOM US Equity","FREE_CASH_FLOW_PER_SH","FQ1 1993","FQ1 1993","Currency=USD","Period=FQ","BEST_FPERIOD_OVERRIDE=FQ","FILING_STATUS=OR","Sort=A","Dates=H","DateFormat=P","Fill=—","Direction=H","UseDPDF=Y")</f>
        <v>—</v>
      </c>
      <c r="P23" s="14" t="str">
        <f>_xll.BDH("XOM US Equity","FREE_CASH_FLOW_PER_SH","FQ2 1993","FQ2 1993","Currency=USD","Period=FQ","BEST_FPERIOD_OVERRIDE=FQ","FILING_STATUS=OR","Sort=A","Dates=H","DateFormat=P","Fill=—","Direction=H","UseDPDF=Y")</f>
        <v>—</v>
      </c>
      <c r="Q23" s="14" t="str">
        <f>_xll.BDH("XOM US Equity","FREE_CASH_FLOW_PER_SH","FQ3 1993","FQ3 1993","Currency=USD","Period=FQ","BEST_FPERIOD_OVERRIDE=FQ","FILING_STATUS=OR","Sort=A","Dates=H","DateFormat=P","Fill=—","Direction=H","UseDPDF=Y")</f>
        <v>—</v>
      </c>
      <c r="R23" s="14" t="str">
        <f>_xll.BDH("XOM US Equity","FREE_CASH_FLOW_PER_SH","FQ4 1993","FQ4 1993","Currency=USD","Period=FQ","BEST_FPERIOD_OVERRIDE=FQ","FILING_STATUS=OR","Sort=A","Dates=H","DateFormat=P","Fill=—","Direction=H","UseDPDF=Y")</f>
        <v>—</v>
      </c>
      <c r="S23" s="14" t="str">
        <f>_xll.BDH("XOM US Equity","FREE_CASH_FLOW_PER_SH","FQ1 1994","FQ1 1994","Currency=USD","Period=FQ","BEST_FPERIOD_OVERRIDE=FQ","FILING_STATUS=OR","Sort=A","Dates=H","DateFormat=P","Fill=—","Direction=H","UseDPDF=Y")</f>
        <v>—</v>
      </c>
      <c r="T23" s="14" t="str">
        <f>_xll.BDH("XOM US Equity","FREE_CASH_FLOW_PER_SH","FQ2 1994","FQ2 1994","Currency=USD","Period=FQ","BEST_FPERIOD_OVERRIDE=FQ","FILING_STATUS=OR","Sort=A","Dates=H","DateFormat=P","Fill=—","Direction=H","UseDPDF=Y")</f>
        <v>—</v>
      </c>
      <c r="U23" s="14" t="str">
        <f>_xll.BDH("XOM US Equity","FREE_CASH_FLOW_PER_SH","FQ3 1994","FQ3 1994","Currency=USD","Period=FQ","BEST_FPERIOD_OVERRIDE=FQ","FILING_STATUS=OR","Sort=A","Dates=H","DateFormat=P","Fill=—","Direction=H","UseDPDF=Y")</f>
        <v>—</v>
      </c>
      <c r="V23" s="14" t="str">
        <f>_xll.BDH("XOM US Equity","FREE_CASH_FLOW_PER_SH","FQ4 1994","FQ4 1994","Currency=USD","Period=FQ","BEST_FPERIOD_OVERRIDE=FQ","FILING_STATUS=OR","Sort=A","Dates=H","DateFormat=P","Fill=—","Direction=H","UseDPDF=Y")</f>
        <v>—</v>
      </c>
      <c r="W23" s="14">
        <f>_xll.BDH("XOM US Equity","FREE_CASH_FLOW_PER_SH","FQ1 1995","FQ1 1995","Currency=USD","Period=FQ","BEST_FPERIOD_OVERRIDE=FQ","FILING_STATUS=OR","Sort=A","Dates=H","DateFormat=P","Fill=—","Direction=H","UseDPDF=Y")</f>
        <v>0.37909999999999999</v>
      </c>
      <c r="X23" s="14">
        <f>_xll.BDH("XOM US Equity","FREE_CASH_FLOW_PER_SH","FQ2 1995","FQ2 1995","Currency=USD","Period=FQ","BEST_FPERIOD_OVERRIDE=FQ","FILING_STATUS=OR","Sort=A","Dates=H","DateFormat=P","Fill=—","Direction=H","UseDPDF=Y")</f>
        <v>0.28189999999999998</v>
      </c>
      <c r="Y23" s="14">
        <f>_xll.BDH("XOM US Equity","FREE_CASH_FLOW_PER_SH","FQ3 1995","FQ3 1995","Currency=USD","Period=FQ","BEST_FPERIOD_OVERRIDE=FQ","FILING_STATUS=OR","Sort=A","Dates=H","DateFormat=P","Fill=—","Direction=H","UseDPDF=Y")</f>
        <v>0.43590000000000001</v>
      </c>
      <c r="Z23" s="14">
        <f>_xll.BDH("XOM US Equity","FREE_CASH_FLOW_PER_SH","FQ4 1995","FQ4 1995","Currency=USD","Period=FQ","BEST_FPERIOD_OVERRIDE=FQ","FILING_STATUS=OR","Sort=A","Dates=H","DateFormat=P","Fill=—","Direction=H","UseDPDF=Y")</f>
        <v>0.25569999999999998</v>
      </c>
      <c r="AA23" s="14">
        <f>_xll.BDH("XOM US Equity","FREE_CASH_FLOW_PER_SH","FQ1 1996","FQ1 1996","Currency=USD","Period=FQ","BEST_FPERIOD_OVERRIDE=FQ","FILING_STATUS=OR","Sort=A","Dates=H","DateFormat=P","Fill=—","Direction=H","UseDPDF=Y")</f>
        <v>0.53620000000000001</v>
      </c>
      <c r="AB23" s="14">
        <f>_xll.BDH("XOM US Equity","FREE_CASH_FLOW_PER_SH","FQ2 1996","FQ2 1996","Currency=USD","Period=FQ","BEST_FPERIOD_OVERRIDE=FQ","FILING_STATUS=OR","Sort=A","Dates=H","DateFormat=P","Fill=—","Direction=H","UseDPDF=Y")</f>
        <v>0.2288</v>
      </c>
      <c r="AC23" s="14">
        <f>_xll.BDH("XOM US Equity","FREE_CASH_FLOW_PER_SH","FQ3 1996","FQ3 1996","Currency=USD","Period=FQ","BEST_FPERIOD_OVERRIDE=FQ","FILING_STATUS=OR","Sort=A","Dates=H","DateFormat=P","Fill=—","Direction=H","UseDPDF=Y")</f>
        <v>0.26129999999999998</v>
      </c>
      <c r="AD23" s="14">
        <f>_xll.BDH("XOM US Equity","FREE_CASH_FLOW_PER_SH","FQ4 1996","FQ4 1996","Currency=USD","Period=FQ","BEST_FPERIOD_OVERRIDE=FQ","FILING_STATUS=OR","Sort=A","Dates=H","DateFormat=P","Fill=—","Direction=H","UseDPDF=Y")</f>
        <v>0.1719</v>
      </c>
      <c r="AE23" s="14">
        <f>_xll.BDH("XOM US Equity","FREE_CASH_FLOW_PER_SH","FQ1 1997","FQ1 1997","Currency=USD","Period=FQ","BEST_FPERIOD_OVERRIDE=FQ","FILING_STATUS=OR","Sort=A","Dates=H","DateFormat=P","Fill=—","Direction=H","UseDPDF=Y")</f>
        <v>0.61050000000000004</v>
      </c>
      <c r="AF23" s="14">
        <f>_xll.BDH("XOM US Equity","FREE_CASH_FLOW_PER_SH","FQ2 1997","FQ2 1997","Currency=USD","Period=FQ","BEST_FPERIOD_OVERRIDE=FQ","FILING_STATUS=OR","Sort=A","Dates=H","DateFormat=P","Fill=—","Direction=H","UseDPDF=Y")</f>
        <v>0.31530000000000002</v>
      </c>
      <c r="AG23" s="14">
        <f>_xll.BDH("XOM US Equity","FREE_CASH_FLOW_PER_SH","FQ3 1997","FQ3 1997","Currency=USD","Period=FQ","BEST_FPERIOD_OVERRIDE=FQ","FILING_STATUS=OR","Sort=A","Dates=H","DateFormat=P","Fill=—","Direction=H","UseDPDF=Y")</f>
        <v>0.4289</v>
      </c>
      <c r="AH23" s="14">
        <f>_xll.BDH("XOM US Equity","FREE_CASH_FLOW_PER_SH","FQ4 1997","FQ4 1997","Currency=USD","Period=FQ","BEST_FPERIOD_OVERRIDE=FQ","FILING_STATUS=OR","Sort=A","Dates=H","DateFormat=P","Fill=—","Direction=H","UseDPDF=Y")</f>
        <v>0.1154</v>
      </c>
      <c r="AI23" s="14">
        <f>_xll.BDH("XOM US Equity","FREE_CASH_FLOW_PER_SH","FQ1 1998","FQ1 1998","Currency=USD","Period=FQ","BEST_FPERIOD_OVERRIDE=FQ","FILING_STATUS=OR","Sort=A","Dates=H","DateFormat=P","Fill=—","Direction=H","UseDPDF=Y")</f>
        <v>0.27850000000000003</v>
      </c>
      <c r="AJ23" s="14">
        <f>_xll.BDH("XOM US Equity","FREE_CASH_FLOW_PER_SH","FQ2 1998","FQ2 1998","Currency=USD","Period=FQ","BEST_FPERIOD_OVERRIDE=FQ","FILING_STATUS=OR","Sort=A","Dates=H","DateFormat=P","Fill=—","Direction=H","UseDPDF=Y")</f>
        <v>0.18990000000000001</v>
      </c>
    </row>
    <row r="24" spans="1:36" x14ac:dyDescent="0.25">
      <c r="A24" s="10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</row>
    <row r="25" spans="1:36" x14ac:dyDescent="0.25">
      <c r="A25" s="10" t="s">
        <v>2</v>
      </c>
      <c r="B25" s="10" t="s">
        <v>308</v>
      </c>
      <c r="C25" s="14">
        <f>_xll.BDH("XOM US Equity","CASH_ST_INVESTMENTS_PER_SH","FQ1 1990","FQ1 1990","Currency=USD","Period=FQ","BEST_FPERIOD_OVERRIDE=FQ","FILING_STATUS=OR","Sort=A","Dates=H","DateFormat=P","Fill=—","Direction=H","UseDPDF=Y")</f>
        <v>0.37090000000000001</v>
      </c>
      <c r="D25" s="14">
        <f>_xll.BDH("XOM US Equity","CASH_ST_INVESTMENTS_PER_SH","FQ2 1990","FQ2 1990","Currency=USD","Period=FQ","BEST_FPERIOD_OVERRIDE=FQ","FILING_STATUS=OR","Sort=A","Dates=H","DateFormat=P","Fill=—","Direction=H","UseDPDF=Y")</f>
        <v>0.3382</v>
      </c>
      <c r="E25" s="14">
        <f>_xll.BDH("XOM US Equity","CASH_ST_INVESTMENTS_PER_SH","FQ3 1990","FQ3 1990","Currency=USD","Period=FQ","BEST_FPERIOD_OVERRIDE=FQ","FILING_STATUS=OR","Sort=A","Dates=H","DateFormat=P","Fill=—","Direction=H","UseDPDF=Y")</f>
        <v>0.28270000000000001</v>
      </c>
      <c r="F25" s="14">
        <f>_xll.BDH("XOM US Equity","CASH_ST_INVESTMENTS_PER_SH","FQ4 1990","FQ4 1990","Currency=USD","Period=FQ","BEST_FPERIOD_OVERRIDE=FQ","FILING_STATUS=OR","Sort=A","Dates=H","DateFormat=P","Fill=—","Direction=H","UseDPDF=Y")</f>
        <v>0.27689999999999998</v>
      </c>
      <c r="G25" s="14">
        <f>_xll.BDH("XOM US Equity","CASH_ST_INVESTMENTS_PER_SH","FQ1 1991","FQ1 1991","Currency=USD","Period=FQ","BEST_FPERIOD_OVERRIDE=FQ","FILING_STATUS=OR","Sort=A","Dates=H","DateFormat=P","Fill=—","Direction=H","UseDPDF=Y")</f>
        <v>0.33879999999999999</v>
      </c>
      <c r="H25" s="14">
        <f>_xll.BDH("XOM US Equity","CASH_ST_INVESTMENTS_PER_SH","FQ2 1991","FQ2 1991","Currency=USD","Period=FQ","BEST_FPERIOD_OVERRIDE=FQ","FILING_STATUS=OR","Sort=A","Dates=H","DateFormat=P","Fill=—","Direction=H","UseDPDF=Y")</f>
        <v>0.21870000000000001</v>
      </c>
      <c r="I25" s="14">
        <f>_xll.BDH("XOM US Equity","CASH_ST_INVESTMENTS_PER_SH","FQ3 1991","FQ3 1991","Currency=USD","Period=FQ","BEST_FPERIOD_OVERRIDE=FQ","FILING_STATUS=OR","Sort=A","Dates=H","DateFormat=P","Fill=—","Direction=H","UseDPDF=Y")</f>
        <v>0.2949</v>
      </c>
      <c r="J25" s="14">
        <f>_xll.BDH("XOM US Equity","CASH_ST_INVESTMENTS_PER_SH","FQ4 1991","FQ4 1991","Currency=USD","Period=FQ","BEST_FPERIOD_OVERRIDE=FQ","FILING_STATUS=OR","Sort=A","Dates=H","DateFormat=P","Fill=—","Direction=H","UseDPDF=Y")</f>
        <v>0.31940000000000002</v>
      </c>
      <c r="K25" s="14">
        <f>_xll.BDH("XOM US Equity","CASH_ST_INVESTMENTS_PER_SH","FQ1 1992","FQ1 1992","Currency=USD","Period=FQ","BEST_FPERIOD_OVERRIDE=FQ","FILING_STATUS=OR","Sort=A","Dates=H","DateFormat=P","Fill=—","Direction=H","UseDPDF=Y")</f>
        <v>0.34050000000000002</v>
      </c>
      <c r="L25" s="14">
        <f>_xll.BDH("XOM US Equity","CASH_ST_INVESTMENTS_PER_SH","FQ2 1992","FQ2 1992","Currency=USD","Period=FQ","BEST_FPERIOD_OVERRIDE=FQ","FILING_STATUS=OR","Sort=A","Dates=H","DateFormat=P","Fill=—","Direction=H","UseDPDF=Y")</f>
        <v>0.32640000000000002</v>
      </c>
      <c r="M25" s="14">
        <f>_xll.BDH("XOM US Equity","CASH_ST_INVESTMENTS_PER_SH","FQ3 1992","FQ3 1992","Currency=USD","Period=FQ","BEST_FPERIOD_OVERRIDE=FQ","FILING_STATUS=OR","Sort=A","Dates=H","DateFormat=P","Fill=—","Direction=H","UseDPDF=Y")</f>
        <v>0.3155</v>
      </c>
      <c r="N25" s="14">
        <f>_xll.BDH("XOM US Equity","CASH_ST_INVESTMENTS_PER_SH","FQ4 1992","FQ4 1992","Currency=USD","Period=FQ","BEST_FPERIOD_OVERRIDE=FQ","FILING_STATUS=OR","Sort=A","Dates=H","DateFormat=P","Fill=—","Direction=H","UseDPDF=Y")</f>
        <v>0.30499999999999999</v>
      </c>
      <c r="O25" s="14">
        <f>_xll.BDH("XOM US Equity","CASH_ST_INVESTMENTS_PER_SH","FQ1 1993","FQ1 1993","Currency=USD","Period=FQ","BEST_FPERIOD_OVERRIDE=FQ","FILING_STATUS=OR","Sort=A","Dates=H","DateFormat=P","Fill=—","Direction=H","UseDPDF=Y")</f>
        <v>0.35270000000000001</v>
      </c>
      <c r="P25" s="14">
        <f>_xll.BDH("XOM US Equity","CASH_ST_INVESTMENTS_PER_SH","FQ2 1993","FQ2 1993","Currency=USD","Period=FQ","BEST_FPERIOD_OVERRIDE=FQ","FILING_STATUS=OR","Sort=A","Dates=H","DateFormat=P","Fill=—","Direction=H","UseDPDF=Y")</f>
        <v>0.43659999999999999</v>
      </c>
      <c r="Q25" s="14">
        <f>_xll.BDH("XOM US Equity","CASH_ST_INVESTMENTS_PER_SH","FQ3 1993","FQ3 1993","Currency=USD","Period=FQ","BEST_FPERIOD_OVERRIDE=FQ","FILING_STATUS=OR","Sort=A","Dates=H","DateFormat=P","Fill=—","Direction=H","UseDPDF=Y")</f>
        <v>0.45889999999999997</v>
      </c>
      <c r="R25" s="14">
        <f>_xll.BDH("XOM US Equity","CASH_ST_INVESTMENTS_PER_SH","FQ4 1993","FQ4 1993","Currency=USD","Period=FQ","BEST_FPERIOD_OVERRIDE=FQ","FILING_STATUS=OR","Sort=A","Dates=H","DateFormat=P","Fill=—","Direction=H","UseDPDF=Y")</f>
        <v>0.33250000000000002</v>
      </c>
      <c r="S25" s="14">
        <f>_xll.BDH("XOM US Equity","CASH_ST_INVESTMENTS_PER_SH","FQ1 1994","FQ1 1994","Currency=USD","Period=FQ","BEST_FPERIOD_OVERRIDE=FQ","FILING_STATUS=OR","Sort=A","Dates=H","DateFormat=P","Fill=—","Direction=H","UseDPDF=Y")</f>
        <v>0.4259</v>
      </c>
      <c r="T25" s="14">
        <f>_xll.BDH("XOM US Equity","CASH_ST_INVESTMENTS_PER_SH","FQ2 1994","FQ2 1994","Currency=USD","Period=FQ","BEST_FPERIOD_OVERRIDE=FQ","FILING_STATUS=OR","Sort=A","Dates=H","DateFormat=P","Fill=—","Direction=H","UseDPDF=Y")</f>
        <v>0.42709999999999998</v>
      </c>
      <c r="U25" s="14">
        <f>_xll.BDH("XOM US Equity","CASH_ST_INVESTMENTS_PER_SH","FQ3 1994","FQ3 1994","Currency=USD","Period=FQ","BEST_FPERIOD_OVERRIDE=FQ","FILING_STATUS=OR","Sort=A","Dates=H","DateFormat=P","Fill=—","Direction=H","UseDPDF=Y")</f>
        <v>0.48809999999999998</v>
      </c>
      <c r="V25" s="14">
        <f>_xll.BDH("XOM US Equity","CASH_ST_INVESTMENTS_PER_SH","FQ4 1994","FQ4 1994","Currency=USD","Period=FQ","BEST_FPERIOD_OVERRIDE=FQ","FILING_STATUS=OR","Sort=A","Dates=H","DateFormat=P","Fill=—","Direction=H","UseDPDF=Y")</f>
        <v>0.35730000000000001</v>
      </c>
      <c r="W25" s="14">
        <f>_xll.BDH("XOM US Equity","CASH_ST_INVESTMENTS_PER_SH","FQ1 1995","FQ1 1995","Currency=USD","Period=FQ","BEST_FPERIOD_OVERRIDE=FQ","FILING_STATUS=OR","Sort=A","Dates=H","DateFormat=P","Fill=—","Direction=H","UseDPDF=Y")</f>
        <v>0.63890000000000002</v>
      </c>
      <c r="X25" s="14">
        <f>_xll.BDH("XOM US Equity","CASH_ST_INVESTMENTS_PER_SH","FQ2 1995","FQ2 1995","Currency=USD","Period=FQ","BEST_FPERIOD_OVERRIDE=FQ","FILING_STATUS=OR","Sort=A","Dates=H","DateFormat=P","Fill=—","Direction=H","UseDPDF=Y")</f>
        <v>0.55030000000000001</v>
      </c>
      <c r="Y25" s="14">
        <f>_xll.BDH("XOM US Equity","CASH_ST_INVESTMENTS_PER_SH","FQ3 1995","FQ3 1995","Currency=USD","Period=FQ","BEST_FPERIOD_OVERRIDE=FQ","FILING_STATUS=OR","Sort=A","Dates=H","DateFormat=P","Fill=—","Direction=H","UseDPDF=Y")</f>
        <v>0.51080000000000003</v>
      </c>
      <c r="Z25" s="14">
        <f>_xll.BDH("XOM US Equity","CASH_ST_INVESTMENTS_PER_SH","FQ4 1995","FQ4 1995","Currency=USD","Period=FQ","BEST_FPERIOD_OVERRIDE=FQ","FILING_STATUS=OR","Sort=A","Dates=H","DateFormat=P","Fill=—","Direction=H","UseDPDF=Y")</f>
        <v>0.36009999999999998</v>
      </c>
      <c r="AA25" s="14">
        <f>_xll.BDH("XOM US Equity","CASH_ST_INVESTMENTS_PER_SH","FQ1 1996","FQ1 1996","Currency=USD","Period=FQ","BEST_FPERIOD_OVERRIDE=FQ","FILING_STATUS=OR","Sort=A","Dates=H","DateFormat=P","Fill=—","Direction=H","UseDPDF=Y")</f>
        <v>0.73729999999999996</v>
      </c>
      <c r="AB25" s="14">
        <f>_xll.BDH("XOM US Equity","CASH_ST_INVESTMENTS_PER_SH","FQ2 1996","FQ2 1996","Currency=USD","Period=FQ","BEST_FPERIOD_OVERRIDE=FQ","FILING_STATUS=OR","Sort=A","Dates=H","DateFormat=P","Fill=—","Direction=H","UseDPDF=Y")</f>
        <v>0.66920000000000002</v>
      </c>
      <c r="AC25" s="14">
        <f>_xll.BDH("XOM US Equity","CASH_ST_INVESTMENTS_PER_SH","FQ3 1996","FQ3 1996","Currency=USD","Period=FQ","BEST_FPERIOD_OVERRIDE=FQ","FILING_STATUS=OR","Sort=A","Dates=H","DateFormat=P","Fill=—","Direction=H","UseDPDF=Y")</f>
        <v>0.59050000000000002</v>
      </c>
      <c r="AD25" s="14">
        <f>_xll.BDH("XOM US Equity","CASH_ST_INVESTMENTS_PER_SH","FQ4 1996","FQ4 1996","Currency=USD","Period=FQ","BEST_FPERIOD_OVERRIDE=FQ","FILING_STATUS=OR","Sort=A","Dates=H","DateFormat=P","Fill=—","Direction=H","UseDPDF=Y")</f>
        <v>0.59750000000000003</v>
      </c>
      <c r="AE25" s="14">
        <f>_xll.BDH("XOM US Equity","CASH_ST_INVESTMENTS_PER_SH","FQ1 1997","FQ1 1997","Currency=USD","Period=FQ","BEST_FPERIOD_OVERRIDE=FQ","FILING_STATUS=OR","Sort=A","Dates=H","DateFormat=P","Fill=—","Direction=H","UseDPDF=Y")</f>
        <v>1.0636000000000001</v>
      </c>
      <c r="AF25" s="14">
        <f>_xll.BDH("XOM US Equity","CASH_ST_INVESTMENTS_PER_SH","FQ2 1997","FQ2 1997","Currency=USD","Period=FQ","BEST_FPERIOD_OVERRIDE=FQ","FILING_STATUS=OR","Sort=A","Dates=H","DateFormat=P","Fill=—","Direction=H","UseDPDF=Y")</f>
        <v>0.95840000000000003</v>
      </c>
      <c r="AG25" s="14">
        <f>_xll.BDH("XOM US Equity","CASH_ST_INVESTMENTS_PER_SH","FQ3 1997","FQ3 1997","Currency=USD","Period=FQ","BEST_FPERIOD_OVERRIDE=FQ","FILING_STATUS=OR","Sort=A","Dates=H","DateFormat=P","Fill=—","Direction=H","UseDPDF=Y")</f>
        <v>0.97299999999999998</v>
      </c>
      <c r="AH25" s="14">
        <f>_xll.BDH("XOM US Equity","CASH_ST_INVESTMENTS_PER_SH","FQ4 1997","FQ4 1997","Currency=USD","Period=FQ","BEST_FPERIOD_OVERRIDE=FQ","FILING_STATUS=OR","Sort=A","Dates=H","DateFormat=P","Fill=—","Direction=H","UseDPDF=Y")</f>
        <v>0.8266</v>
      </c>
      <c r="AI25" s="14">
        <f>_xll.BDH("XOM US Equity","CASH_ST_INVESTMENTS_PER_SH","FQ1 1998","FQ1 1998","Currency=USD","Period=FQ","BEST_FPERIOD_OVERRIDE=FQ","FILING_STATUS=OR","Sort=A","Dates=H","DateFormat=P","Fill=—","Direction=H","UseDPDF=Y")</f>
        <v>0.78900000000000003</v>
      </c>
      <c r="AJ25" s="14">
        <f>_xll.BDH("XOM US Equity","CASH_ST_INVESTMENTS_PER_SH","FQ2 1998","FQ2 1998","Currency=USD","Period=FQ","BEST_FPERIOD_OVERRIDE=FQ","FILING_STATUS=OR","Sort=A","Dates=H","DateFormat=P","Fill=—","Direction=H","UseDPDF=Y")</f>
        <v>0.55569999999999997</v>
      </c>
    </row>
    <row r="26" spans="1:36" x14ac:dyDescent="0.25">
      <c r="A26" s="10" t="s">
        <v>309</v>
      </c>
      <c r="B26" s="10" t="s">
        <v>310</v>
      </c>
      <c r="C26" s="14">
        <f>_xll.BDH("XOM US Equity","BOOK_VAL_PER_SH","FQ1 1990","FQ1 1990","Currency=USD","Period=FQ","BEST_FPERIOD_OVERRIDE=FQ","FILING_STATUS=OR","Sort=A","Dates=H","DateFormat=P","Fill=—","Direction=H","UseDPDF=Y")</f>
        <v>6.1142000000000003</v>
      </c>
      <c r="D26" s="14">
        <f>_xll.BDH("XOM US Equity","BOOK_VAL_PER_SH","FQ2 1990","FQ2 1990","Currency=USD","Period=FQ","BEST_FPERIOD_OVERRIDE=FQ","FILING_STATUS=OR","Sort=A","Dates=H","DateFormat=P","Fill=—","Direction=H","UseDPDF=Y")</f>
        <v>6.2495000000000003</v>
      </c>
      <c r="E26" s="14">
        <f>_xll.BDH("XOM US Equity","BOOK_VAL_PER_SH","FQ3 1990","FQ3 1990","Currency=USD","Period=FQ","BEST_FPERIOD_OVERRIDE=FQ","FILING_STATUS=OR","Sort=A","Dates=H","DateFormat=P","Fill=—","Direction=H","UseDPDF=Y")</f>
        <v>6.4619</v>
      </c>
      <c r="F26" s="14">
        <f>_xll.BDH("XOM US Equity","BOOK_VAL_PER_SH","FQ4 1990","FQ4 1990","Currency=USD","Period=FQ","BEST_FPERIOD_OVERRIDE=FQ","FILING_STATUS=OR","Sort=A","Dates=H","DateFormat=P","Fill=—","Direction=H","UseDPDF=Y")</f>
        <v>6.6315</v>
      </c>
      <c r="G26" s="14">
        <f>_xll.BDH("XOM US Equity","BOOK_VAL_PER_SH","FQ1 1991","FQ1 1991","Currency=USD","Period=FQ","BEST_FPERIOD_OVERRIDE=FQ","FILING_STATUS=OR","Sort=A","Dates=H","DateFormat=P","Fill=—","Direction=H","UseDPDF=Y")</f>
        <v>6.4465000000000003</v>
      </c>
      <c r="H26" s="14">
        <f>_xll.BDH("XOM US Equity","BOOK_VAL_PER_SH","FQ2 1991","FQ2 1991","Currency=USD","Period=FQ","BEST_FPERIOD_OVERRIDE=FQ","FILING_STATUS=OR","Sort=A","Dates=H","DateFormat=P","Fill=—","Direction=H","UseDPDF=Y")</f>
        <v>6.5914999999999999</v>
      </c>
      <c r="I26" s="14">
        <f>_xll.BDH("XOM US Equity","BOOK_VAL_PER_SH","FQ3 1991","FQ3 1991","Currency=USD","Period=FQ","BEST_FPERIOD_OVERRIDE=FQ","FILING_STATUS=OR","Sort=A","Dates=H","DateFormat=P","Fill=—","Direction=H","UseDPDF=Y")</f>
        <v>6.6230000000000002</v>
      </c>
      <c r="J26" s="14">
        <f>_xll.BDH("XOM US Equity","BOOK_VAL_PER_SH","FQ4 1991","FQ4 1991","Currency=USD","Period=FQ","BEST_FPERIOD_OVERRIDE=FQ","FILING_STATUS=OR","Sort=A","Dates=H","DateFormat=P","Fill=—","Direction=H","UseDPDF=Y")</f>
        <v>6.8559000000000001</v>
      </c>
      <c r="K26" s="14">
        <f>_xll.BDH("XOM US Equity","BOOK_VAL_PER_SH","FQ1 1992","FQ1 1992","Currency=USD","Period=FQ","BEST_FPERIOD_OVERRIDE=FQ","FILING_STATUS=OR","Sort=A","Dates=H","DateFormat=P","Fill=—","Direction=H","UseDPDF=Y")</f>
        <v>6.91</v>
      </c>
      <c r="L26" s="14">
        <f>_xll.BDH("XOM US Equity","BOOK_VAL_PER_SH","FQ2 1992","FQ2 1992","Currency=USD","Period=FQ","BEST_FPERIOD_OVERRIDE=FQ","FILING_STATUS=OR","Sort=A","Dates=H","DateFormat=P","Fill=—","Direction=H","UseDPDF=Y")</f>
        <v>6.9386000000000001</v>
      </c>
      <c r="M26" s="14">
        <f>_xll.BDH("XOM US Equity","BOOK_VAL_PER_SH","FQ3 1992","FQ3 1992","Currency=USD","Period=FQ","BEST_FPERIOD_OVERRIDE=FQ","FILING_STATUS=OR","Sort=A","Dates=H","DateFormat=P","Fill=—","Direction=H","UseDPDF=Y")</f>
        <v>6.9562999999999997</v>
      </c>
      <c r="N26" s="14">
        <f>_xll.BDH("XOM US Equity","BOOK_VAL_PER_SH","FQ4 1992","FQ4 1992","Currency=USD","Period=FQ","BEST_FPERIOD_OVERRIDE=FQ","FILING_STATUS=OR","Sort=A","Dates=H","DateFormat=P","Fill=—","Direction=H","UseDPDF=Y")</f>
        <v>6.6436999999999999</v>
      </c>
      <c r="O26" s="14">
        <f>_xll.BDH("XOM US Equity","BOOK_VAL_PER_SH","FQ1 1993","FQ1 1993","Currency=USD","Period=FQ","BEST_FPERIOD_OVERRIDE=FQ","FILING_STATUS=OR","Sort=A","Dates=H","DateFormat=P","Fill=—","Direction=H","UseDPDF=Y")</f>
        <v>6.7172000000000001</v>
      </c>
      <c r="P26" s="14">
        <f>_xll.BDH("XOM US Equity","BOOK_VAL_PER_SH","FQ2 1993","FQ2 1993","Currency=USD","Period=FQ","BEST_FPERIOD_OVERRIDE=FQ","FILING_STATUS=OR","Sort=A","Dates=H","DateFormat=P","Fill=—","Direction=H","UseDPDF=Y")</f>
        <v>6.9138000000000002</v>
      </c>
      <c r="Q26" s="14">
        <f>_xll.BDH("XOM US Equity","BOOK_VAL_PER_SH","FQ3 1993","FQ3 1993","Currency=USD","Period=FQ","BEST_FPERIOD_OVERRIDE=FQ","FILING_STATUS=OR","Sort=A","Dates=H","DateFormat=P","Fill=—","Direction=H","UseDPDF=Y")</f>
        <v>6.8345000000000002</v>
      </c>
      <c r="R26" s="14">
        <f>_xll.BDH("XOM US Equity","BOOK_VAL_PER_SH","FQ4 1993","FQ4 1993","Currency=USD","Period=FQ","BEST_FPERIOD_OVERRIDE=FQ","FILING_STATUS=OR","Sort=A","Dates=H","DateFormat=P","Fill=—","Direction=H","UseDPDF=Y")</f>
        <v>6.8688000000000002</v>
      </c>
      <c r="S26" s="14">
        <f>_xll.BDH("XOM US Equity","BOOK_VAL_PER_SH","FQ1 1994","FQ1 1994","Currency=USD","Period=FQ","BEST_FPERIOD_OVERRIDE=FQ","FILING_STATUS=OR","Sort=A","Dates=H","DateFormat=P","Fill=—","Direction=H","UseDPDF=Y")</f>
        <v>6.9669999999999996</v>
      </c>
      <c r="T26" s="14">
        <f>_xll.BDH("XOM US Equity","BOOK_VAL_PER_SH","FQ2 1994","FQ2 1994","Currency=USD","Period=FQ","BEST_FPERIOD_OVERRIDE=FQ","FILING_STATUS=OR","Sort=A","Dates=H","DateFormat=P","Fill=—","Direction=H","UseDPDF=Y")</f>
        <v>7.0986000000000002</v>
      </c>
      <c r="U26" s="14">
        <f>_xll.BDH("XOM US Equity","BOOK_VAL_PER_SH","FQ3 1994","FQ3 1994","Currency=USD","Period=FQ","BEST_FPERIOD_OVERRIDE=FQ","FILING_STATUS=OR","Sort=A","Dates=H","DateFormat=P","Fill=—","Direction=H","UseDPDF=Y")</f>
        <v>7.2328999999999999</v>
      </c>
      <c r="V26" s="14">
        <f>_xll.BDH("XOM US Equity","BOOK_VAL_PER_SH","FQ4 1994","FQ4 1994","Currency=USD","Period=FQ","BEST_FPERIOD_OVERRIDE=FQ","FILING_STATUS=OR","Sort=A","Dates=H","DateFormat=P","Fill=—","Direction=H","UseDPDF=Y")</f>
        <v>7.4196999999999997</v>
      </c>
      <c r="W26" s="14">
        <f>_xll.BDH("XOM US Equity","BOOK_VAL_PER_SH","FQ1 1995","FQ1 1995","Currency=USD","Period=FQ","BEST_FPERIOD_OVERRIDE=FQ","FILING_STATUS=OR","Sort=A","Dates=H","DateFormat=P","Fill=—","Direction=H","UseDPDF=Y")</f>
        <v>7.9043999999999999</v>
      </c>
      <c r="X26" s="14">
        <f>_xll.BDH("XOM US Equity","BOOK_VAL_PER_SH","FQ2 1995","FQ2 1995","Currency=USD","Period=FQ","BEST_FPERIOD_OVERRIDE=FQ","FILING_STATUS=OR","Sort=A","Dates=H","DateFormat=P","Fill=—","Direction=H","UseDPDF=Y")</f>
        <v>8.0512999999999995</v>
      </c>
      <c r="Y26" s="14">
        <f>_xll.BDH("XOM US Equity","BOOK_VAL_PER_SH","FQ3 1995","FQ3 1995","Currency=USD","Period=FQ","BEST_FPERIOD_OVERRIDE=FQ","FILING_STATUS=OR","Sort=A","Dates=H","DateFormat=P","Fill=—","Direction=H","UseDPDF=Y")</f>
        <v>7.9635999999999996</v>
      </c>
      <c r="Z26" s="14">
        <f>_xll.BDH("XOM US Equity","BOOK_VAL_PER_SH","FQ4 1995","FQ4 1995","Currency=USD","Period=FQ","BEST_FPERIOD_OVERRIDE=FQ","FILING_STATUS=OR","Sort=A","Dates=H","DateFormat=P","Fill=—","Direction=H","UseDPDF=Y")</f>
        <v>8.0471000000000004</v>
      </c>
      <c r="AA26" s="14">
        <f>_xll.BDH("XOM US Equity","BOOK_VAL_PER_SH","FQ1 1996","FQ1 1996","Currency=USD","Period=FQ","BEST_FPERIOD_OVERRIDE=FQ","FILING_STATUS=OR","Sort=A","Dates=H","DateFormat=P","Fill=—","Direction=H","UseDPDF=Y")</f>
        <v>8.17</v>
      </c>
      <c r="AB26" s="14">
        <f>_xll.BDH("XOM US Equity","BOOK_VAL_PER_SH","FQ2 1996","FQ2 1996","Currency=USD","Period=FQ","BEST_FPERIOD_OVERRIDE=FQ","FILING_STATUS=OR","Sort=A","Dates=H","DateFormat=P","Fill=—","Direction=H","UseDPDF=Y")</f>
        <v>8.3299000000000003</v>
      </c>
      <c r="AC26" s="14">
        <f>_xll.BDH("XOM US Equity","BOOK_VAL_PER_SH","FQ3 1996","FQ3 1996","Currency=USD","Period=FQ","BEST_FPERIOD_OVERRIDE=FQ","FILING_STATUS=OR","Sort=A","Dates=H","DateFormat=P","Fill=—","Direction=H","UseDPDF=Y")</f>
        <v>8.3487000000000009</v>
      </c>
      <c r="AD26" s="14">
        <f>_xll.BDH("XOM US Equity","BOOK_VAL_PER_SH","FQ4 1996","FQ4 1996","Currency=USD","Period=FQ","BEST_FPERIOD_OVERRIDE=FQ","FILING_STATUS=OR","Sort=A","Dates=H","DateFormat=P","Fill=—","Direction=H","UseDPDF=Y")</f>
        <v>8.7022999999999993</v>
      </c>
      <c r="AE26" s="14">
        <f>_xll.BDH("XOM US Equity","BOOK_VAL_PER_SH","FQ1 1997","FQ1 1997","Currency=USD","Period=FQ","BEST_FPERIOD_OVERRIDE=FQ","FILING_STATUS=OR","Sort=A","Dates=H","DateFormat=P","Fill=—","Direction=H","UseDPDF=Y")</f>
        <v>8.7364999999999995</v>
      </c>
      <c r="AF26" s="14">
        <f>_xll.BDH("XOM US Equity","BOOK_VAL_PER_SH","FQ2 1997","FQ2 1997","Currency=USD","Period=FQ","BEST_FPERIOD_OVERRIDE=FQ","FILING_STATUS=OR","Sort=A","Dates=H","DateFormat=P","Fill=—","Direction=H","UseDPDF=Y")</f>
        <v>8.8103999999999996</v>
      </c>
      <c r="AG26" s="14">
        <f>_xll.BDH("XOM US Equity","BOOK_VAL_PER_SH","FQ3 1997","FQ3 1997","Currency=USD","Period=FQ","BEST_FPERIOD_OVERRIDE=FQ","FILING_STATUS=OR","Sort=A","Dates=H","DateFormat=P","Fill=—","Direction=H","UseDPDF=Y")</f>
        <v>8.7490000000000006</v>
      </c>
      <c r="AH26" s="14">
        <f>_xll.BDH("XOM US Equity","BOOK_VAL_PER_SH","FQ4 1997","FQ4 1997","Currency=USD","Period=FQ","BEST_FPERIOD_OVERRIDE=FQ","FILING_STATUS=OR","Sort=A","Dates=H","DateFormat=P","Fill=—","Direction=H","UseDPDF=Y")</f>
        <v>8.8461999999999996</v>
      </c>
      <c r="AI26" s="14">
        <f>_xll.BDH("XOM US Equity","BOOK_VAL_PER_SH","FQ1 1998","FQ1 1998","Currency=USD","Period=FQ","BEST_FPERIOD_OVERRIDE=FQ","FILING_STATUS=OR","Sort=A","Dates=H","DateFormat=P","Fill=—","Direction=H","UseDPDF=Y")</f>
        <v>8.9037000000000006</v>
      </c>
      <c r="AJ26" s="14">
        <f>_xll.BDH("XOM US Equity","BOOK_VAL_PER_SH","FQ2 1998","FQ2 1998","Currency=USD","Period=FQ","BEST_FPERIOD_OVERRIDE=FQ","FILING_STATUS=OR","Sort=A","Dates=H","DateFormat=P","Fill=—","Direction=H","UseDPDF=Y")</f>
        <v>8.8629999999999995</v>
      </c>
    </row>
    <row r="27" spans="1:36" x14ac:dyDescent="0.25">
      <c r="A27" s="7" t="s">
        <v>144</v>
      </c>
      <c r="B27" s="7"/>
      <c r="C27" s="7" t="s">
        <v>4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4"/>
  <sheetViews>
    <sheetView workbookViewId="0">
      <selection activeCell="F21" sqref="F21"/>
    </sheetView>
  </sheetViews>
  <sheetFormatPr defaultRowHeight="15" x14ac:dyDescent="0.25"/>
  <cols>
    <col min="1" max="1" width="35.140625" customWidth="1"/>
    <col min="2" max="2" width="0" hidden="1" customWidth="1"/>
    <col min="3" max="36" width="11.85546875" customWidth="1"/>
  </cols>
  <sheetData>
    <row r="1" spans="1:3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20.25" x14ac:dyDescent="0.25">
      <c r="A2" s="8" t="s">
        <v>311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</row>
    <row r="3" spans="1:36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25">
      <c r="A4" s="3" t="s">
        <v>6</v>
      </c>
      <c r="B4" s="3"/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23</v>
      </c>
      <c r="T4" s="4" t="s">
        <v>24</v>
      </c>
      <c r="U4" s="4" t="s">
        <v>25</v>
      </c>
      <c r="V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31</v>
      </c>
      <c r="AB4" s="4" t="s">
        <v>32</v>
      </c>
      <c r="AC4" s="4" t="s">
        <v>33</v>
      </c>
      <c r="AD4" s="4" t="s">
        <v>34</v>
      </c>
      <c r="AE4" s="4" t="s">
        <v>35</v>
      </c>
      <c r="AF4" s="4" t="s">
        <v>36</v>
      </c>
      <c r="AG4" s="4" t="s">
        <v>37</v>
      </c>
      <c r="AH4" s="4" t="s">
        <v>38</v>
      </c>
      <c r="AI4" s="4" t="s">
        <v>39</v>
      </c>
      <c r="AJ4" s="4" t="s">
        <v>40</v>
      </c>
    </row>
    <row r="5" spans="1:36" x14ac:dyDescent="0.25">
      <c r="A5" s="9" t="s">
        <v>41</v>
      </c>
      <c r="B5" s="9"/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  <c r="L5" s="5" t="s">
        <v>51</v>
      </c>
      <c r="M5" s="5" t="s">
        <v>52</v>
      </c>
      <c r="N5" s="5" t="s">
        <v>53</v>
      </c>
      <c r="O5" s="5" t="s">
        <v>54</v>
      </c>
      <c r="P5" s="5" t="s">
        <v>55</v>
      </c>
      <c r="Q5" s="5" t="s">
        <v>56</v>
      </c>
      <c r="R5" s="5" t="s">
        <v>57</v>
      </c>
      <c r="S5" s="5" t="s">
        <v>58</v>
      </c>
      <c r="T5" s="5" t="s">
        <v>59</v>
      </c>
      <c r="U5" s="5" t="s">
        <v>60</v>
      </c>
      <c r="V5" s="5" t="s">
        <v>61</v>
      </c>
      <c r="W5" s="5" t="s">
        <v>62</v>
      </c>
      <c r="X5" s="5" t="s">
        <v>63</v>
      </c>
      <c r="Y5" s="5" t="s">
        <v>64</v>
      </c>
      <c r="Z5" s="5" t="s">
        <v>65</v>
      </c>
      <c r="AA5" s="5" t="s">
        <v>66</v>
      </c>
      <c r="AB5" s="5" t="s">
        <v>67</v>
      </c>
      <c r="AC5" s="5" t="s">
        <v>68</v>
      </c>
      <c r="AD5" s="5" t="s">
        <v>69</v>
      </c>
      <c r="AE5" s="5" t="s">
        <v>70</v>
      </c>
      <c r="AF5" s="5" t="s">
        <v>71</v>
      </c>
      <c r="AG5" s="5" t="s">
        <v>72</v>
      </c>
      <c r="AH5" s="5" t="s">
        <v>73</v>
      </c>
      <c r="AI5" s="5" t="s">
        <v>74</v>
      </c>
      <c r="AJ5" s="5" t="s">
        <v>75</v>
      </c>
    </row>
    <row r="6" spans="1:36" x14ac:dyDescent="0.25">
      <c r="A6" s="6" t="s">
        <v>312</v>
      </c>
      <c r="B6" s="6" t="s">
        <v>313</v>
      </c>
      <c r="C6" s="17">
        <f>_xll.BDH("XOM US Equity","PX_LAST","FQ1 1990","FQ1 1990","Currency=USD","Period=FQ","BEST_FPERIOD_OVERRIDE=FQ","FILING_STATUS=OR","Sort=A","Dates=H","DateFormat=P","Fill=—","Direction=H","UseDPDF=Y")</f>
        <v>11.5313</v>
      </c>
      <c r="D6" s="17">
        <f>_xll.BDH("XOM US Equity","PX_LAST","FQ2 1990","FQ2 1990","Currency=USD","Period=FQ","BEST_FPERIOD_OVERRIDE=FQ","FILING_STATUS=OR","Sort=A","Dates=H","DateFormat=P","Fill=—","Direction=H","UseDPDF=Y")</f>
        <v>11.9688</v>
      </c>
      <c r="E6" s="17">
        <f>_xll.BDH("XOM US Equity","PX_LAST","FQ3 1990","FQ3 1990","Currency=USD","Period=FQ","BEST_FPERIOD_OVERRIDE=FQ","FILING_STATUS=OR","Sort=A","Dates=H","DateFormat=P","Fill=—","Direction=H","UseDPDF=Y")</f>
        <v>12.25</v>
      </c>
      <c r="F6" s="17">
        <f>_xll.BDH("XOM US Equity","PX_LAST","FQ4 1990","FQ4 1990","Currency=USD","Period=FQ","BEST_FPERIOD_OVERRIDE=FQ","FILING_STATUS=OR","Sort=A","Dates=H","DateFormat=P","Fill=—","Direction=H","UseDPDF=Y")</f>
        <v>12.9375</v>
      </c>
      <c r="G6" s="17">
        <f>_xll.BDH("XOM US Equity","PX_LAST","FQ1 1991","FQ1 1991","Currency=USD","Period=FQ","BEST_FPERIOD_OVERRIDE=FQ","FILING_STATUS=OR","Sort=A","Dates=H","DateFormat=P","Fill=—","Direction=H","UseDPDF=Y")</f>
        <v>14.625</v>
      </c>
      <c r="H6" s="17">
        <f>_xll.BDH("XOM US Equity","PX_LAST","FQ2 1991","FQ2 1991","Currency=USD","Period=FQ","BEST_FPERIOD_OVERRIDE=FQ","FILING_STATUS=OR","Sort=A","Dates=H","DateFormat=P","Fill=—","Direction=H","UseDPDF=Y")</f>
        <v>14.5313</v>
      </c>
      <c r="I6" s="17">
        <f>_xll.BDH("XOM US Equity","PX_LAST","FQ3 1991","FQ3 1991","Currency=USD","Period=FQ","BEST_FPERIOD_OVERRIDE=FQ","FILING_STATUS=OR","Sort=A","Dates=H","DateFormat=P","Fill=—","Direction=H","UseDPDF=Y")</f>
        <v>14.875</v>
      </c>
      <c r="J6" s="17">
        <f>_xll.BDH("XOM US Equity","PX_LAST","FQ4 1991","FQ4 1991","Currency=USD","Period=FQ","BEST_FPERIOD_OVERRIDE=FQ","FILING_STATUS=OR","Sort=A","Dates=H","DateFormat=P","Fill=—","Direction=H","UseDPDF=Y")</f>
        <v>15.2188</v>
      </c>
      <c r="K6" s="17">
        <f>_xll.BDH("XOM US Equity","PX_LAST","FQ1 1992","FQ1 1992","Currency=USD","Period=FQ","BEST_FPERIOD_OVERRIDE=FQ","FILING_STATUS=OR","Sort=A","Dates=H","DateFormat=P","Fill=—","Direction=H","UseDPDF=Y")</f>
        <v>13.6875</v>
      </c>
      <c r="L6" s="17">
        <f>_xll.BDH("XOM US Equity","PX_LAST","FQ2 1992","FQ2 1992","Currency=USD","Period=FQ","BEST_FPERIOD_OVERRIDE=FQ","FILING_STATUS=OR","Sort=A","Dates=H","DateFormat=P","Fill=—","Direction=H","UseDPDF=Y")</f>
        <v>15.4688</v>
      </c>
      <c r="M6" s="17">
        <f>_xll.BDH("XOM US Equity","PX_LAST","FQ3 1992","FQ3 1992","Currency=USD","Period=FQ","BEST_FPERIOD_OVERRIDE=FQ","FILING_STATUS=OR","Sort=A","Dates=H","DateFormat=P","Fill=—","Direction=H","UseDPDF=Y")</f>
        <v>15.9688</v>
      </c>
      <c r="N6" s="17">
        <f>_xll.BDH("XOM US Equity","PX_LAST","FQ4 1992","FQ4 1992","Currency=USD","Period=FQ","BEST_FPERIOD_OVERRIDE=FQ","FILING_STATUS=OR","Sort=A","Dates=H","DateFormat=P","Fill=—","Direction=H","UseDPDF=Y")</f>
        <v>15.2813</v>
      </c>
      <c r="O6" s="17">
        <f>_xll.BDH("XOM US Equity","PX_LAST","FQ1 1993","FQ1 1993","Currency=USD","Period=FQ","BEST_FPERIOD_OVERRIDE=FQ","FILING_STATUS=OR","Sort=A","Dates=H","DateFormat=P","Fill=—","Direction=H","UseDPDF=Y")</f>
        <v>16.531300000000002</v>
      </c>
      <c r="P6" s="17">
        <f>_xll.BDH("XOM US Equity","PX_LAST","FQ2 1993","FQ2 1993","Currency=USD","Period=FQ","BEST_FPERIOD_OVERRIDE=FQ","FILING_STATUS=OR","Sort=A","Dates=H","DateFormat=P","Fill=—","Direction=H","UseDPDF=Y")</f>
        <v>16.531300000000002</v>
      </c>
      <c r="Q6" s="17">
        <f>_xll.BDH("XOM US Equity","PX_LAST","FQ3 1993","FQ3 1993","Currency=USD","Period=FQ","BEST_FPERIOD_OVERRIDE=FQ","FILING_STATUS=OR","Sort=A","Dates=H","DateFormat=P","Fill=—","Direction=H","UseDPDF=Y")</f>
        <v>16.375</v>
      </c>
      <c r="R6" s="17">
        <f>_xll.BDH("XOM US Equity","PX_LAST","FQ4 1993","FQ4 1993","Currency=USD","Period=FQ","BEST_FPERIOD_OVERRIDE=FQ","FILING_STATUS=OR","Sort=A","Dates=H","DateFormat=P","Fill=—","Direction=H","UseDPDF=Y")</f>
        <v>15.7813</v>
      </c>
      <c r="S6" s="17">
        <f>_xll.BDH("XOM US Equity","PX_LAST","FQ1 1994","FQ1 1994","Currency=USD","Period=FQ","BEST_FPERIOD_OVERRIDE=FQ","FILING_STATUS=OR","Sort=A","Dates=H","DateFormat=P","Fill=—","Direction=H","UseDPDF=Y")</f>
        <v>15.7188</v>
      </c>
      <c r="T6" s="17">
        <f>_xll.BDH("XOM US Equity","PX_LAST","FQ2 1994","FQ2 1994","Currency=USD","Period=FQ","BEST_FPERIOD_OVERRIDE=FQ","FILING_STATUS=OR","Sort=A","Dates=H","DateFormat=P","Fill=—","Direction=H","UseDPDF=Y")</f>
        <v>14.1875</v>
      </c>
      <c r="U6" s="17">
        <f>_xll.BDH("XOM US Equity","PX_LAST","FQ3 1994","FQ3 1994","Currency=USD","Period=FQ","BEST_FPERIOD_OVERRIDE=FQ","FILING_STATUS=OR","Sort=A","Dates=H","DateFormat=P","Fill=—","Direction=H","UseDPDF=Y")</f>
        <v>14.375</v>
      </c>
      <c r="V6" s="17">
        <f>_xll.BDH("XOM US Equity","PX_LAST","FQ4 1994","FQ4 1994","Currency=USD","Period=FQ","BEST_FPERIOD_OVERRIDE=FQ","FILING_STATUS=OR","Sort=A","Dates=H","DateFormat=P","Fill=—","Direction=H","UseDPDF=Y")</f>
        <v>15.1875</v>
      </c>
      <c r="W6" s="17">
        <f>_xll.BDH("XOM US Equity","PX_LAST","FQ1 1995","FQ1 1995","Currency=USD","Period=FQ","BEST_FPERIOD_OVERRIDE=FQ","FILING_STATUS=OR","Sort=A","Dates=H","DateFormat=P","Fill=—","Direction=H","UseDPDF=Y")</f>
        <v>16.656300000000002</v>
      </c>
      <c r="X6" s="17">
        <f>_xll.BDH("XOM US Equity","PX_LAST","FQ2 1995","FQ2 1995","Currency=USD","Period=FQ","BEST_FPERIOD_OVERRIDE=FQ","FILING_STATUS=OR","Sort=A","Dates=H","DateFormat=P","Fill=—","Direction=H","UseDPDF=Y")</f>
        <v>17.656300000000002</v>
      </c>
      <c r="Y6" s="17">
        <f>_xll.BDH("XOM US Equity","PX_LAST","FQ3 1995","FQ3 1995","Currency=USD","Period=FQ","BEST_FPERIOD_OVERRIDE=FQ","FILING_STATUS=OR","Sort=A","Dates=H","DateFormat=P","Fill=—","Direction=H","UseDPDF=Y")</f>
        <v>18.0625</v>
      </c>
      <c r="Z6" s="17">
        <f>_xll.BDH("XOM US Equity","PX_LAST","FQ4 1995","FQ4 1995","Currency=USD","Period=FQ","BEST_FPERIOD_OVERRIDE=FQ","FILING_STATUS=OR","Sort=A","Dates=H","DateFormat=P","Fill=—","Direction=H","UseDPDF=Y")</f>
        <v>20.125</v>
      </c>
      <c r="AA6" s="17">
        <f>_xll.BDH("XOM US Equity","PX_LAST","FQ1 1996","FQ1 1996","Currency=USD","Period=FQ","BEST_FPERIOD_OVERRIDE=FQ","FILING_STATUS=OR","Sort=A","Dates=H","DateFormat=P","Fill=—","Direction=H","UseDPDF=Y")</f>
        <v>20.375</v>
      </c>
      <c r="AB6" s="17">
        <f>_xll.BDH("XOM US Equity","PX_LAST","FQ2 1996","FQ2 1996","Currency=USD","Period=FQ","BEST_FPERIOD_OVERRIDE=FQ","FILING_STATUS=OR","Sort=A","Dates=H","DateFormat=P","Fill=—","Direction=H","UseDPDF=Y")</f>
        <v>21.718800000000002</v>
      </c>
      <c r="AC6" s="17">
        <f>_xll.BDH("XOM US Equity","PX_LAST","FQ3 1996","FQ3 1996","Currency=USD","Period=FQ","BEST_FPERIOD_OVERRIDE=FQ","FILING_STATUS=OR","Sort=A","Dates=H","DateFormat=P","Fill=—","Direction=H","UseDPDF=Y")</f>
        <v>20.8125</v>
      </c>
      <c r="AD6" s="17">
        <f>_xll.BDH("XOM US Equity","PX_LAST","FQ4 1996","FQ4 1996","Currency=USD","Period=FQ","BEST_FPERIOD_OVERRIDE=FQ","FILING_STATUS=OR","Sort=A","Dates=H","DateFormat=P","Fill=—","Direction=H","UseDPDF=Y")</f>
        <v>24.5</v>
      </c>
      <c r="AE6" s="17">
        <f>_xll.BDH("XOM US Equity","PX_LAST","FQ1 1997","FQ1 1997","Currency=USD","Period=FQ","BEST_FPERIOD_OVERRIDE=FQ","FILING_STATUS=OR","Sort=A","Dates=H","DateFormat=P","Fill=—","Direction=H","UseDPDF=Y")</f>
        <v>26.9375</v>
      </c>
      <c r="AF6" s="17">
        <f>_xll.BDH("XOM US Equity","PX_LAST","FQ2 1997","FQ2 1997","Currency=USD","Period=FQ","BEST_FPERIOD_OVERRIDE=FQ","FILING_STATUS=OR","Sort=A","Dates=H","DateFormat=P","Fill=—","Direction=H","UseDPDF=Y")</f>
        <v>30.625</v>
      </c>
      <c r="AG6" s="17">
        <f>_xll.BDH("XOM US Equity","PX_LAST","FQ3 1997","FQ3 1997","Currency=USD","Period=FQ","BEST_FPERIOD_OVERRIDE=FQ","FILING_STATUS=OR","Sort=A","Dates=H","DateFormat=P","Fill=—","Direction=H","UseDPDF=Y")</f>
        <v>32.031300000000002</v>
      </c>
      <c r="AH6" s="17">
        <f>_xll.BDH("XOM US Equity","PX_LAST","FQ4 1997","FQ4 1997","Currency=USD","Period=FQ","BEST_FPERIOD_OVERRIDE=FQ","FILING_STATUS=OR","Sort=A","Dates=H","DateFormat=P","Fill=—","Direction=H","UseDPDF=Y")</f>
        <v>30.593800000000002</v>
      </c>
      <c r="AI6" s="17">
        <f>_xll.BDH("XOM US Equity","PX_LAST","FQ1 1998","FQ1 1998","Currency=USD","Period=FQ","BEST_FPERIOD_OVERRIDE=FQ","FILING_STATUS=OR","Sort=A","Dates=H","DateFormat=P","Fill=—","Direction=H","UseDPDF=Y")</f>
        <v>33.8125</v>
      </c>
      <c r="AJ6" s="17">
        <f>_xll.BDH("XOM US Equity","PX_LAST","FQ2 1998","FQ2 1998","Currency=USD","Period=FQ","BEST_FPERIOD_OVERRIDE=FQ","FILING_STATUS=OR","Sort=A","Dates=H","DateFormat=P","Fill=—","Direction=H","UseDPDF=Y")</f>
        <v>35.6875</v>
      </c>
    </row>
    <row r="7" spans="1:36" x14ac:dyDescent="0.25">
      <c r="A7" s="11" t="s">
        <v>314</v>
      </c>
      <c r="B7" s="11" t="s">
        <v>315</v>
      </c>
      <c r="C7" s="19" t="str">
        <f>_xll.BDH("XOM US Equity","CHG_PCT_PERIOD","FQ1 1990","FQ1 1990","Currency=USD","Period=FQ","BEST_FPERIOD_OVERRIDE=FQ","FILING_STATUS=OR","Sort=A","Dates=H","DateFormat=P","Fill=—","Direction=H","UseDPDF=Y")</f>
        <v>—</v>
      </c>
      <c r="D7" s="19">
        <f>_xll.BDH("XOM US Equity","CHG_PCT_PERIOD","FQ2 1990","FQ2 1990","Currency=USD","Period=FQ","BEST_FPERIOD_OVERRIDE=FQ","FILING_STATUS=OR","Sort=A","Dates=H","DateFormat=P","Fill=—","Direction=H","UseDPDF=Y")</f>
        <v>3.794</v>
      </c>
      <c r="E7" s="19">
        <f>_xll.BDH("XOM US Equity","CHG_PCT_PERIOD","FQ3 1990","FQ3 1990","Currency=USD","Period=FQ","BEST_FPERIOD_OVERRIDE=FQ","FILING_STATUS=OR","Sort=A","Dates=H","DateFormat=P","Fill=—","Direction=H","UseDPDF=Y")</f>
        <v>2.3498999999999999</v>
      </c>
      <c r="F7" s="19" t="str">
        <f>_xll.BDH("XOM US Equity","CHG_PCT_PERIOD","FQ4 1990","FQ4 1990","Currency=USD","Period=FQ","BEST_FPERIOD_OVERRIDE=FQ","FILING_STATUS=OR","Sort=A","Dates=H","DateFormat=P","Fill=—","Direction=H","UseDPDF=Y")</f>
        <v>—</v>
      </c>
      <c r="G7" s="19">
        <f>_xll.BDH("XOM US Equity","CHG_PCT_PERIOD","FQ1 1991","FQ1 1991","Currency=USD","Period=FQ","BEST_FPERIOD_OVERRIDE=FQ","FILING_STATUS=OR","Sort=A","Dates=H","DateFormat=P","Fill=—","Direction=H","UseDPDF=Y")</f>
        <v>13.0435</v>
      </c>
      <c r="H7" s="19" t="str">
        <f>_xll.BDH("XOM US Equity","CHG_PCT_PERIOD","FQ2 1991","FQ2 1991","Currency=USD","Period=FQ","BEST_FPERIOD_OVERRIDE=FQ","FILING_STATUS=OR","Sort=A","Dates=H","DateFormat=P","Fill=—","Direction=H","UseDPDF=Y")</f>
        <v>—</v>
      </c>
      <c r="I7" s="19" t="str">
        <f>_xll.BDH("XOM US Equity","CHG_PCT_PERIOD","FQ3 1991","FQ3 1991","Currency=USD","Period=FQ","BEST_FPERIOD_OVERRIDE=FQ","FILING_STATUS=OR","Sort=A","Dates=H","DateFormat=P","Fill=—","Direction=H","UseDPDF=Y")</f>
        <v>—</v>
      </c>
      <c r="J7" s="19">
        <f>_xll.BDH("XOM US Equity","CHG_PCT_PERIOD","FQ4 1991","FQ4 1991","Currency=USD","Period=FQ","BEST_FPERIOD_OVERRIDE=FQ","FILING_STATUS=OR","Sort=A","Dates=H","DateFormat=P","Fill=—","Direction=H","UseDPDF=Y")</f>
        <v>2.3109000000000002</v>
      </c>
      <c r="K7" s="19">
        <f>_xll.BDH("XOM US Equity","CHG_PCT_PERIOD","FQ1 1992","FQ1 1992","Currency=USD","Period=FQ","BEST_FPERIOD_OVERRIDE=FQ","FILING_STATUS=OR","Sort=A","Dates=H","DateFormat=P","Fill=—","Direction=H","UseDPDF=Y")</f>
        <v>-10.0616</v>
      </c>
      <c r="L7" s="19">
        <f>_xll.BDH("XOM US Equity","CHG_PCT_PERIOD","FQ2 1992","FQ2 1992","Currency=USD","Period=FQ","BEST_FPERIOD_OVERRIDE=FQ","FILING_STATUS=OR","Sort=A","Dates=H","DateFormat=P","Fill=—","Direction=H","UseDPDF=Y")</f>
        <v>13.0137</v>
      </c>
      <c r="M7" s="19">
        <f>_xll.BDH("XOM US Equity","CHG_PCT_PERIOD","FQ3 1992","FQ3 1992","Currency=USD","Period=FQ","BEST_FPERIOD_OVERRIDE=FQ","FILING_STATUS=OR","Sort=A","Dates=H","DateFormat=P","Fill=—","Direction=H","UseDPDF=Y")</f>
        <v>3.2323</v>
      </c>
      <c r="N7" s="19">
        <f>_xll.BDH("XOM US Equity","CHG_PCT_PERIOD","FQ4 1992","FQ4 1992","Currency=USD","Period=FQ","BEST_FPERIOD_OVERRIDE=FQ","FILING_STATUS=OR","Sort=A","Dates=H","DateFormat=P","Fill=—","Direction=H","UseDPDF=Y")</f>
        <v>-4.3052999999999999</v>
      </c>
      <c r="O7" s="19">
        <f>_xll.BDH("XOM US Equity","CHG_PCT_PERIOD","FQ1 1993","FQ1 1993","Currency=USD","Period=FQ","BEST_FPERIOD_OVERRIDE=FQ","FILING_STATUS=OR","Sort=A","Dates=H","DateFormat=P","Fill=—","Direction=H","UseDPDF=Y")</f>
        <v>8.18</v>
      </c>
      <c r="P7" s="19">
        <f>_xll.BDH("XOM US Equity","CHG_PCT_PERIOD","FQ2 1993","FQ2 1993","Currency=USD","Period=FQ","BEST_FPERIOD_OVERRIDE=FQ","FILING_STATUS=OR","Sort=A","Dates=H","DateFormat=P","Fill=—","Direction=H","UseDPDF=Y")</f>
        <v>0</v>
      </c>
      <c r="Q7" s="19">
        <f>_xll.BDH("XOM US Equity","CHG_PCT_PERIOD","FQ3 1993","FQ3 1993","Currency=USD","Period=FQ","BEST_FPERIOD_OVERRIDE=FQ","FILING_STATUS=OR","Sort=A","Dates=H","DateFormat=P","Fill=—","Direction=H","UseDPDF=Y")</f>
        <v>-0.94520000000000004</v>
      </c>
      <c r="R7" s="19">
        <f>_xll.BDH("XOM US Equity","CHG_PCT_PERIOD","FQ4 1993","FQ4 1993","Currency=USD","Period=FQ","BEST_FPERIOD_OVERRIDE=FQ","FILING_STATUS=OR","Sort=A","Dates=H","DateFormat=P","Fill=—","Direction=H","UseDPDF=Y")</f>
        <v>-3.6259999999999999</v>
      </c>
      <c r="S7" s="19">
        <f>_xll.BDH("XOM US Equity","CHG_PCT_PERIOD","FQ1 1994","FQ1 1994","Currency=USD","Period=FQ","BEST_FPERIOD_OVERRIDE=FQ","FILING_STATUS=OR","Sort=A","Dates=H","DateFormat=P","Fill=—","Direction=H","UseDPDF=Y")</f>
        <v>-0.39600000000000002</v>
      </c>
      <c r="T7" s="19">
        <f>_xll.BDH("XOM US Equity","CHG_PCT_PERIOD","FQ2 1994","FQ2 1994","Currency=USD","Period=FQ","BEST_FPERIOD_OVERRIDE=FQ","FILING_STATUS=OR","Sort=A","Dates=H","DateFormat=P","Fill=—","Direction=H","UseDPDF=Y")</f>
        <v>-9.7416</v>
      </c>
      <c r="U7" s="19">
        <f>_xll.BDH("XOM US Equity","CHG_PCT_PERIOD","FQ3 1994","FQ3 1994","Currency=USD","Period=FQ","BEST_FPERIOD_OVERRIDE=FQ","FILING_STATUS=OR","Sort=A","Dates=H","DateFormat=P","Fill=—","Direction=H","UseDPDF=Y")</f>
        <v>1.3216000000000001</v>
      </c>
      <c r="V7" s="19">
        <f>_xll.BDH("XOM US Equity","CHG_PCT_PERIOD","FQ4 1994","FQ4 1994","Currency=USD","Period=FQ","BEST_FPERIOD_OVERRIDE=FQ","FILING_STATUS=OR","Sort=A","Dates=H","DateFormat=P","Fill=—","Direction=H","UseDPDF=Y")</f>
        <v>5.6521999999999997</v>
      </c>
      <c r="W7" s="19">
        <f>_xll.BDH("XOM US Equity","CHG_PCT_PERIOD","FQ1 1995","FQ1 1995","Currency=USD","Period=FQ","BEST_FPERIOD_OVERRIDE=FQ","FILING_STATUS=OR","Sort=A","Dates=H","DateFormat=P","Fill=—","Direction=H","UseDPDF=Y")</f>
        <v>9.6707999999999998</v>
      </c>
      <c r="X7" s="19">
        <f>_xll.BDH("XOM US Equity","CHG_PCT_PERIOD","FQ2 1995","FQ2 1995","Currency=USD","Period=FQ","BEST_FPERIOD_OVERRIDE=FQ","FILING_STATUS=OR","Sort=A","Dates=H","DateFormat=P","Fill=—","Direction=H","UseDPDF=Y")</f>
        <v>6.0038</v>
      </c>
      <c r="Y7" s="19">
        <f>_xll.BDH("XOM US Equity","CHG_PCT_PERIOD","FQ3 1995","FQ3 1995","Currency=USD","Period=FQ","BEST_FPERIOD_OVERRIDE=FQ","FILING_STATUS=OR","Sort=A","Dates=H","DateFormat=P","Fill=—","Direction=H","UseDPDF=Y")</f>
        <v>2.3008999999999999</v>
      </c>
      <c r="Z7" s="19">
        <f>_xll.BDH("XOM US Equity","CHG_PCT_PERIOD","FQ4 1995","FQ4 1995","Currency=USD","Period=FQ","BEST_FPERIOD_OVERRIDE=FQ","FILING_STATUS=OR","Sort=A","Dates=H","DateFormat=P","Fill=—","Direction=H","UseDPDF=Y")</f>
        <v>11.418699999999999</v>
      </c>
      <c r="AA7" s="19">
        <f>_xll.BDH("XOM US Equity","CHG_PCT_PERIOD","FQ1 1996","FQ1 1996","Currency=USD","Period=FQ","BEST_FPERIOD_OVERRIDE=FQ","FILING_STATUS=OR","Sort=A","Dates=H","DateFormat=P","Fill=—","Direction=H","UseDPDF=Y")</f>
        <v>1.2422</v>
      </c>
      <c r="AB7" s="19">
        <f>_xll.BDH("XOM US Equity","CHG_PCT_PERIOD","FQ2 1996","FQ2 1996","Currency=USD","Period=FQ","BEST_FPERIOD_OVERRIDE=FQ","FILING_STATUS=OR","Sort=A","Dates=H","DateFormat=P","Fill=—","Direction=H","UseDPDF=Y")</f>
        <v>6.5951000000000004</v>
      </c>
      <c r="AC7" s="19" t="str">
        <f>_xll.BDH("XOM US Equity","CHG_PCT_PERIOD","FQ3 1996","FQ3 1996","Currency=USD","Period=FQ","BEST_FPERIOD_OVERRIDE=FQ","FILING_STATUS=OR","Sort=A","Dates=H","DateFormat=P","Fill=—","Direction=H","UseDPDF=Y")</f>
        <v>—</v>
      </c>
      <c r="AD7" s="19">
        <f>_xll.BDH("XOM US Equity","CHG_PCT_PERIOD","FQ4 1996","FQ4 1996","Currency=USD","Period=FQ","BEST_FPERIOD_OVERRIDE=FQ","FILING_STATUS=OR","Sort=A","Dates=H","DateFormat=P","Fill=—","Direction=H","UseDPDF=Y")</f>
        <v>17.717700000000001</v>
      </c>
      <c r="AE7" s="19">
        <f>_xll.BDH("XOM US Equity","CHG_PCT_PERIOD","FQ1 1997","FQ1 1997","Currency=USD","Period=FQ","BEST_FPERIOD_OVERRIDE=FQ","FILING_STATUS=OR","Sort=A","Dates=H","DateFormat=P","Fill=—","Direction=H","UseDPDF=Y")</f>
        <v>9.9489999999999998</v>
      </c>
      <c r="AF7" s="19">
        <f>_xll.BDH("XOM US Equity","CHG_PCT_PERIOD","FQ2 1997","FQ2 1997","Currency=USD","Period=FQ","BEST_FPERIOD_OVERRIDE=FQ","FILING_STATUS=OR","Sort=A","Dates=H","DateFormat=P","Fill=—","Direction=H","UseDPDF=Y")</f>
        <v>13.6891</v>
      </c>
      <c r="AG7" s="19">
        <f>_xll.BDH("XOM US Equity","CHG_PCT_PERIOD","FQ3 1997","FQ3 1997","Currency=USD","Period=FQ","BEST_FPERIOD_OVERRIDE=FQ","FILING_STATUS=OR","Sort=A","Dates=H","DateFormat=P","Fill=—","Direction=H","UseDPDF=Y")</f>
        <v>4.5918000000000001</v>
      </c>
      <c r="AH7" s="19">
        <f>_xll.BDH("XOM US Equity","CHG_PCT_PERIOD","FQ4 1997","FQ4 1997","Currency=USD","Period=FQ","BEST_FPERIOD_OVERRIDE=FQ","FILING_STATUS=OR","Sort=A","Dates=H","DateFormat=P","Fill=—","Direction=H","UseDPDF=Y")</f>
        <v>-4.4878</v>
      </c>
      <c r="AI7" s="19">
        <f>_xll.BDH("XOM US Equity","CHG_PCT_PERIOD","FQ1 1998","FQ1 1998","Currency=USD","Period=FQ","BEST_FPERIOD_OVERRIDE=FQ","FILING_STATUS=OR","Sort=A","Dates=H","DateFormat=P","Fill=—","Direction=H","UseDPDF=Y")</f>
        <v>10.520899999999999</v>
      </c>
      <c r="AJ7" s="19">
        <f>_xll.BDH("XOM US Equity","CHG_PCT_PERIOD","FQ2 1998","FQ2 1998","Currency=USD","Period=FQ","BEST_FPERIOD_OVERRIDE=FQ","FILING_STATUS=OR","Sort=A","Dates=H","DateFormat=P","Fill=—","Direction=H","UseDPDF=Y")</f>
        <v>5.5453000000000001</v>
      </c>
    </row>
    <row r="8" spans="1:36" x14ac:dyDescent="0.25">
      <c r="A8" s="10" t="s">
        <v>316</v>
      </c>
      <c r="B8" s="10" t="s">
        <v>317</v>
      </c>
      <c r="C8" s="14">
        <f>_xll.BDH("XOM US Equity","PX_OPEN","FQ1 1990","FQ1 1990","Currency=USD","Period=FQ","BEST_FPERIOD_OVERRIDE=FQ","FILING_STATUS=OR","Sort=A","Dates=H","DateFormat=P","Fill=—","Direction=H","UseDPDF=Y")</f>
        <v>12.4688</v>
      </c>
      <c r="D8" s="14">
        <f>_xll.BDH("XOM US Equity","PX_OPEN","FQ2 1990","FQ2 1990","Currency=USD","Period=FQ","BEST_FPERIOD_OVERRIDE=FQ","FILING_STATUS=OR","Sort=A","Dates=H","DateFormat=P","Fill=—","Direction=H","UseDPDF=Y")</f>
        <v>11.4688</v>
      </c>
      <c r="E8" s="14">
        <f>_xll.BDH("XOM US Equity","PX_OPEN","FQ3 1990","FQ3 1990","Currency=USD","Period=FQ","BEST_FPERIOD_OVERRIDE=FQ","FILING_STATUS=OR","Sort=A","Dates=H","DateFormat=P","Fill=—","Direction=H","UseDPDF=Y")</f>
        <v>11.9063</v>
      </c>
      <c r="F8" s="14">
        <f>_xll.BDH("XOM US Equity","PX_OPEN","FQ4 1990","FQ4 1990","Currency=USD","Period=FQ","BEST_FPERIOD_OVERRIDE=FQ","FILING_STATUS=OR","Sort=A","Dates=H","DateFormat=P","Fill=—","Direction=H","UseDPDF=Y")</f>
        <v>12.2813</v>
      </c>
      <c r="G8" s="14">
        <f>_xll.BDH("XOM US Equity","PX_OPEN","FQ1 1991","FQ1 1991","Currency=USD","Period=FQ","BEST_FPERIOD_OVERRIDE=FQ","FILING_STATUS=OR","Sort=A","Dates=H","DateFormat=P","Fill=—","Direction=H","UseDPDF=Y")</f>
        <v>12.9375</v>
      </c>
      <c r="H8" s="14">
        <f>_xll.BDH("XOM US Equity","PX_OPEN","FQ2 1991","FQ2 1991","Currency=USD","Period=FQ","BEST_FPERIOD_OVERRIDE=FQ","FILING_STATUS=OR","Sort=A","Dates=H","DateFormat=P","Fill=—","Direction=H","UseDPDF=Y")</f>
        <v>14.5938</v>
      </c>
      <c r="I8" s="14">
        <f>_xll.BDH("XOM US Equity","PX_OPEN","FQ3 1991","FQ3 1991","Currency=USD","Period=FQ","BEST_FPERIOD_OVERRIDE=FQ","FILING_STATUS=OR","Sort=A","Dates=H","DateFormat=P","Fill=—","Direction=H","UseDPDF=Y")</f>
        <v>14.5938</v>
      </c>
      <c r="J8" s="14">
        <f>_xll.BDH("XOM US Equity","PX_OPEN","FQ4 1991","FQ4 1991","Currency=USD","Period=FQ","BEST_FPERIOD_OVERRIDE=FQ","FILING_STATUS=OR","Sort=A","Dates=H","DateFormat=P","Fill=—","Direction=H","UseDPDF=Y")</f>
        <v>14.9375</v>
      </c>
      <c r="K8" s="14">
        <f>_xll.BDH("XOM US Equity","PX_OPEN","FQ1 1992","FQ1 1992","Currency=USD","Period=FQ","BEST_FPERIOD_OVERRIDE=FQ","FILING_STATUS=OR","Sort=A","Dates=H","DateFormat=P","Fill=—","Direction=H","UseDPDF=Y")</f>
        <v>15.0625</v>
      </c>
      <c r="L8" s="14">
        <f>_xll.BDH("XOM US Equity","PX_OPEN","FQ2 1992","FQ2 1992","Currency=USD","Period=FQ","BEST_FPERIOD_OVERRIDE=FQ","FILING_STATUS=OR","Sort=A","Dates=H","DateFormat=P","Fill=—","Direction=H","UseDPDF=Y")</f>
        <v>13.625</v>
      </c>
      <c r="M8" s="14">
        <f>_xll.BDH("XOM US Equity","PX_OPEN","FQ3 1992","FQ3 1992","Currency=USD","Period=FQ","BEST_FPERIOD_OVERRIDE=FQ","FILING_STATUS=OR","Sort=A","Dates=H","DateFormat=P","Fill=—","Direction=H","UseDPDF=Y")</f>
        <v>15.4688</v>
      </c>
      <c r="N8" s="14">
        <f>_xll.BDH("XOM US Equity","PX_OPEN","FQ4 1992","FQ4 1992","Currency=USD","Period=FQ","BEST_FPERIOD_OVERRIDE=FQ","FILING_STATUS=OR","Sort=A","Dates=H","DateFormat=P","Fill=—","Direction=H","UseDPDF=Y")</f>
        <v>16.031300000000002</v>
      </c>
      <c r="O8" s="14">
        <f>_xll.BDH("XOM US Equity","PX_OPEN","FQ1 1993","FQ1 1993","Currency=USD","Period=FQ","BEST_FPERIOD_OVERRIDE=FQ","FILING_STATUS=OR","Sort=A","Dates=H","DateFormat=P","Fill=—","Direction=H","UseDPDF=Y")</f>
        <v>15.3125</v>
      </c>
      <c r="P8" s="14">
        <f>_xll.BDH("XOM US Equity","PX_OPEN","FQ2 1993","FQ2 1993","Currency=USD","Period=FQ","BEST_FPERIOD_OVERRIDE=FQ","FILING_STATUS=OR","Sort=A","Dates=H","DateFormat=P","Fill=—","Direction=H","UseDPDF=Y")</f>
        <v>16.531300000000002</v>
      </c>
      <c r="Q8" s="14">
        <f>_xll.BDH("XOM US Equity","PX_OPEN","FQ3 1993","FQ3 1993","Currency=USD","Period=FQ","BEST_FPERIOD_OVERRIDE=FQ","FILING_STATUS=OR","Sort=A","Dates=H","DateFormat=P","Fill=—","Direction=H","UseDPDF=Y")</f>
        <v>16.531300000000002</v>
      </c>
      <c r="R8" s="14">
        <f>_xll.BDH("XOM US Equity","PX_OPEN","FQ4 1993","FQ4 1993","Currency=USD","Period=FQ","BEST_FPERIOD_OVERRIDE=FQ","FILING_STATUS=OR","Sort=A","Dates=H","DateFormat=P","Fill=—","Direction=H","UseDPDF=Y")</f>
        <v>16.375</v>
      </c>
      <c r="S8" s="14">
        <f>_xll.BDH("XOM US Equity","PX_OPEN","FQ1 1994","FQ1 1994","Currency=USD","Period=FQ","BEST_FPERIOD_OVERRIDE=FQ","FILING_STATUS=OR","Sort=A","Dates=H","DateFormat=P","Fill=—","Direction=H","UseDPDF=Y")</f>
        <v>15.8125</v>
      </c>
      <c r="T8" s="14">
        <f>_xll.BDH("XOM US Equity","PX_OPEN","FQ2 1994","FQ2 1994","Currency=USD","Period=FQ","BEST_FPERIOD_OVERRIDE=FQ","FILING_STATUS=OR","Sort=A","Dates=H","DateFormat=P","Fill=—","Direction=H","UseDPDF=Y")</f>
        <v>15.4063</v>
      </c>
      <c r="U8" s="14">
        <f>_xll.BDH("XOM US Equity","PX_OPEN","FQ3 1994","FQ3 1994","Currency=USD","Period=FQ","BEST_FPERIOD_OVERRIDE=FQ","FILING_STATUS=OR","Sort=A","Dates=H","DateFormat=P","Fill=—","Direction=H","UseDPDF=Y")</f>
        <v>14.2813</v>
      </c>
      <c r="V8" s="14">
        <f>_xll.BDH("XOM US Equity","PX_OPEN","FQ4 1994","FQ4 1994","Currency=USD","Period=FQ","BEST_FPERIOD_OVERRIDE=FQ","FILING_STATUS=OR","Sort=A","Dates=H","DateFormat=P","Fill=—","Direction=H","UseDPDF=Y")</f>
        <v>14.4063</v>
      </c>
      <c r="W8" s="14">
        <f>_xll.BDH("XOM US Equity","PX_OPEN","FQ1 1995","FQ1 1995","Currency=USD","Period=FQ","BEST_FPERIOD_OVERRIDE=FQ","FILING_STATUS=OR","Sort=A","Dates=H","DateFormat=P","Fill=—","Direction=H","UseDPDF=Y")</f>
        <v>15.125</v>
      </c>
      <c r="X8" s="14">
        <f>_xll.BDH("XOM US Equity","PX_OPEN","FQ2 1995","FQ2 1995","Currency=USD","Period=FQ","BEST_FPERIOD_OVERRIDE=FQ","FILING_STATUS=OR","Sort=A","Dates=H","DateFormat=P","Fill=—","Direction=H","UseDPDF=Y")</f>
        <v>16.625</v>
      </c>
      <c r="Y8" s="14">
        <f>_xll.BDH("XOM US Equity","PX_OPEN","FQ3 1995","FQ3 1995","Currency=USD","Period=FQ","BEST_FPERIOD_OVERRIDE=FQ","FILING_STATUS=OR","Sort=A","Dates=H","DateFormat=P","Fill=—","Direction=H","UseDPDF=Y")</f>
        <v>17.656300000000002</v>
      </c>
      <c r="Z8" s="14">
        <f>_xll.BDH("XOM US Equity","PX_OPEN","FQ4 1995","FQ4 1995","Currency=USD","Period=FQ","BEST_FPERIOD_OVERRIDE=FQ","FILING_STATUS=OR","Sort=A","Dates=H","DateFormat=P","Fill=—","Direction=H","UseDPDF=Y")</f>
        <v>18.031300000000002</v>
      </c>
      <c r="AA8" s="14">
        <f>_xll.BDH("XOM US Equity","PX_OPEN","FQ1 1996","FQ1 1996","Currency=USD","Period=FQ","BEST_FPERIOD_OVERRIDE=FQ","FILING_STATUS=OR","Sort=A","Dates=H","DateFormat=P","Fill=—","Direction=H","UseDPDF=Y")</f>
        <v>20.0625</v>
      </c>
      <c r="AB8" s="14">
        <f>_xll.BDH("XOM US Equity","PX_OPEN","FQ2 1996","FQ2 1996","Currency=USD","Period=FQ","BEST_FPERIOD_OVERRIDE=FQ","FILING_STATUS=OR","Sort=A","Dates=H","DateFormat=P","Fill=—","Direction=H","UseDPDF=Y")</f>
        <v>20.531300000000002</v>
      </c>
      <c r="AC8" s="14">
        <f>_xll.BDH("XOM US Equity","PX_OPEN","FQ3 1996","FQ3 1996","Currency=USD","Period=FQ","BEST_FPERIOD_OVERRIDE=FQ","FILING_STATUS=OR","Sort=A","Dates=H","DateFormat=P","Fill=—","Direction=H","UseDPDF=Y")</f>
        <v>21.75</v>
      </c>
      <c r="AD8" s="14">
        <f>_xll.BDH("XOM US Equity","PX_OPEN","FQ4 1996","FQ4 1996","Currency=USD","Period=FQ","BEST_FPERIOD_OVERRIDE=FQ","FILING_STATUS=OR","Sort=A","Dates=H","DateFormat=P","Fill=—","Direction=H","UseDPDF=Y")</f>
        <v>20.8125</v>
      </c>
      <c r="AE8" s="14">
        <f>_xll.BDH("XOM US Equity","PX_OPEN","FQ1 1997","FQ1 1997","Currency=USD","Period=FQ","BEST_FPERIOD_OVERRIDE=FQ","FILING_STATUS=OR","Sort=A","Dates=H","DateFormat=P","Fill=—","Direction=H","UseDPDF=Y")</f>
        <v>24.5625</v>
      </c>
      <c r="AF8" s="14">
        <f>_xll.BDH("XOM US Equity","PX_OPEN","FQ2 1997","FQ2 1997","Currency=USD","Period=FQ","BEST_FPERIOD_OVERRIDE=FQ","FILING_STATUS=OR","Sort=A","Dates=H","DateFormat=P","Fill=—","Direction=H","UseDPDF=Y")</f>
        <v>26.75</v>
      </c>
      <c r="AG8" s="14">
        <f>_xll.BDH("XOM US Equity","PX_OPEN","FQ3 1997","FQ3 1997","Currency=USD","Period=FQ","BEST_FPERIOD_OVERRIDE=FQ","FILING_STATUS=OR","Sort=A","Dates=H","DateFormat=P","Fill=—","Direction=H","UseDPDF=Y")</f>
        <v>30.75</v>
      </c>
      <c r="AH8" s="14">
        <f>_xll.BDH("XOM US Equity","PX_OPEN","FQ4 1997","FQ4 1997","Currency=USD","Period=FQ","BEST_FPERIOD_OVERRIDE=FQ","FILING_STATUS=OR","Sort=A","Dates=H","DateFormat=P","Fill=—","Direction=H","UseDPDF=Y")</f>
        <v>32.125</v>
      </c>
      <c r="AI8" s="14">
        <f>_xll.BDH("XOM US Equity","PX_OPEN","FQ1 1998","FQ1 1998","Currency=USD","Period=FQ","BEST_FPERIOD_OVERRIDE=FQ","FILING_STATUS=OR","Sort=A","Dates=H","DateFormat=P","Fill=—","Direction=H","UseDPDF=Y")</f>
        <v>30.531300000000002</v>
      </c>
      <c r="AJ8" s="14">
        <f>_xll.BDH("XOM US Equity","PX_OPEN","FQ2 1998","FQ2 1998","Currency=USD","Period=FQ","BEST_FPERIOD_OVERRIDE=FQ","FILING_STATUS=OR","Sort=A","Dates=H","DateFormat=P","Fill=—","Direction=H","UseDPDF=Y")</f>
        <v>33.875</v>
      </c>
    </row>
    <row r="9" spans="1:36" x14ac:dyDescent="0.25">
      <c r="A9" s="10" t="s">
        <v>318</v>
      </c>
      <c r="B9" s="10" t="s">
        <v>319</v>
      </c>
      <c r="C9" s="14">
        <f>_xll.BDH("XOM US Equity","PX_HIGH","FQ1 1990","FQ1 1990","Currency=USD","Period=FQ","BEST_FPERIOD_OVERRIDE=FQ","FILING_STATUS=OR","Sort=A","Dates=H","DateFormat=P","Fill=—","Direction=H","UseDPDF=Y")</f>
        <v>12.625</v>
      </c>
      <c r="D9" s="14">
        <f>_xll.BDH("XOM US Equity","PX_HIGH","FQ2 1990","FQ2 1990","Currency=USD","Period=FQ","BEST_FPERIOD_OVERRIDE=FQ","FILING_STATUS=OR","Sort=A","Dates=H","DateFormat=P","Fill=—","Direction=H","UseDPDF=Y")</f>
        <v>12.3125</v>
      </c>
      <c r="E9" s="14">
        <f>_xll.BDH("XOM US Equity","PX_HIGH","FQ3 1990","FQ3 1990","Currency=USD","Period=FQ","BEST_FPERIOD_OVERRIDE=FQ","FILING_STATUS=OR","Sort=A","Dates=H","DateFormat=P","Fill=—","Direction=H","UseDPDF=Y")</f>
        <v>13.7813</v>
      </c>
      <c r="F9" s="14">
        <f>_xll.BDH("XOM US Equity","PX_HIGH","FQ4 1990","FQ4 1990","Currency=USD","Period=FQ","BEST_FPERIOD_OVERRIDE=FQ","FILING_STATUS=OR","Sort=A","Dates=H","DateFormat=P","Fill=—","Direction=H","UseDPDF=Y")</f>
        <v>13.125</v>
      </c>
      <c r="G9" s="14">
        <f>_xll.BDH("XOM US Equity","PX_HIGH","FQ1 1991","FQ1 1991","Currency=USD","Period=FQ","BEST_FPERIOD_OVERRIDE=FQ","FILING_STATUS=OR","Sort=A","Dates=H","DateFormat=P","Fill=—","Direction=H","UseDPDF=Y")</f>
        <v>14.9688</v>
      </c>
      <c r="H9" s="14">
        <f>_xll.BDH("XOM US Equity","PX_HIGH","FQ2 1991","FQ2 1991","Currency=USD","Period=FQ","BEST_FPERIOD_OVERRIDE=FQ","FILING_STATUS=OR","Sort=A","Dates=H","DateFormat=P","Fill=—","Direction=H","UseDPDF=Y")</f>
        <v>15.3438</v>
      </c>
      <c r="I9" s="14">
        <f>_xll.BDH("XOM US Equity","PX_HIGH","FQ3 1991","FQ3 1991","Currency=USD","Period=FQ","BEST_FPERIOD_OVERRIDE=FQ","FILING_STATUS=OR","Sort=A","Dates=H","DateFormat=P","Fill=—","Direction=H","UseDPDF=Y")</f>
        <v>15.0313</v>
      </c>
      <c r="J9" s="14">
        <f>_xll.BDH("XOM US Equity","PX_HIGH","FQ4 1991","FQ4 1991","Currency=USD","Period=FQ","BEST_FPERIOD_OVERRIDE=FQ","FILING_STATUS=OR","Sort=A","Dates=H","DateFormat=P","Fill=—","Direction=H","UseDPDF=Y")</f>
        <v>15.4688</v>
      </c>
      <c r="K9" s="14">
        <f>_xll.BDH("XOM US Equity","PX_HIGH","FQ1 1992","FQ1 1992","Currency=USD","Period=FQ","BEST_FPERIOD_OVERRIDE=FQ","FILING_STATUS=OR","Sort=A","Dates=H","DateFormat=P","Fill=—","Direction=H","UseDPDF=Y")</f>
        <v>15.3125</v>
      </c>
      <c r="L9" s="14">
        <f>_xll.BDH("XOM US Equity","PX_HIGH","FQ2 1992","FQ2 1992","Currency=USD","Period=FQ","BEST_FPERIOD_OVERRIDE=FQ","FILING_STATUS=OR","Sort=A","Dates=H","DateFormat=P","Fill=—","Direction=H","UseDPDF=Y")</f>
        <v>16.0625</v>
      </c>
      <c r="M9" s="14">
        <f>_xll.BDH("XOM US Equity","PX_HIGH","FQ3 1992","FQ3 1992","Currency=USD","Period=FQ","BEST_FPERIOD_OVERRIDE=FQ","FILING_STATUS=OR","Sort=A","Dates=H","DateFormat=P","Fill=—","Direction=H","UseDPDF=Y")</f>
        <v>16.375</v>
      </c>
      <c r="N9" s="14">
        <f>_xll.BDH("XOM US Equity","PX_HIGH","FQ4 1992","FQ4 1992","Currency=USD","Period=FQ","BEST_FPERIOD_OVERRIDE=FQ","FILING_STATUS=OR","Sort=A","Dates=H","DateFormat=P","Fill=—","Direction=H","UseDPDF=Y")</f>
        <v>16.031300000000002</v>
      </c>
      <c r="O9" s="14">
        <f>_xll.BDH("XOM US Equity","PX_HIGH","FQ1 1993","FQ1 1993","Currency=USD","Period=FQ","BEST_FPERIOD_OVERRIDE=FQ","FILING_STATUS=OR","Sort=A","Dates=H","DateFormat=P","Fill=—","Direction=H","UseDPDF=Y")</f>
        <v>16.6875</v>
      </c>
      <c r="P9" s="14">
        <f>_xll.BDH("XOM US Equity","PX_HIGH","FQ2 1993","FQ2 1993","Currency=USD","Period=FQ","BEST_FPERIOD_OVERRIDE=FQ","FILING_STATUS=OR","Sort=A","Dates=H","DateFormat=P","Fill=—","Direction=H","UseDPDF=Y")</f>
        <v>17.25</v>
      </c>
      <c r="Q9" s="14">
        <f>_xll.BDH("XOM US Equity","PX_HIGH","FQ3 1993","FQ3 1993","Currency=USD","Period=FQ","BEST_FPERIOD_OVERRIDE=FQ","FILING_STATUS=OR","Sort=A","Dates=H","DateFormat=P","Fill=—","Direction=H","UseDPDF=Y")</f>
        <v>16.718800000000002</v>
      </c>
      <c r="R9" s="14">
        <f>_xll.BDH("XOM US Equity","PX_HIGH","FQ4 1993","FQ4 1993","Currency=USD","Period=FQ","BEST_FPERIOD_OVERRIDE=FQ","FILING_STATUS=OR","Sort=A","Dates=H","DateFormat=P","Fill=—","Direction=H","UseDPDF=Y")</f>
        <v>16.593800000000002</v>
      </c>
      <c r="S9" s="14">
        <f>_xll.BDH("XOM US Equity","PX_HIGH","FQ1 1994","FQ1 1994","Currency=USD","Period=FQ","BEST_FPERIOD_OVERRIDE=FQ","FILING_STATUS=OR","Sort=A","Dates=H","DateFormat=P","Fill=—","Direction=H","UseDPDF=Y")</f>
        <v>16.843800000000002</v>
      </c>
      <c r="T9" s="14">
        <f>_xll.BDH("XOM US Equity","PX_HIGH","FQ2 1994","FQ2 1994","Currency=USD","Period=FQ","BEST_FPERIOD_OVERRIDE=FQ","FILING_STATUS=OR","Sort=A","Dates=H","DateFormat=P","Fill=—","Direction=H","UseDPDF=Y")</f>
        <v>15.9063</v>
      </c>
      <c r="U9" s="14">
        <f>_xll.BDH("XOM US Equity","PX_HIGH","FQ3 1994","FQ3 1994","Currency=USD","Period=FQ","BEST_FPERIOD_OVERRIDE=FQ","FILING_STATUS=OR","Sort=A","Dates=H","DateFormat=P","Fill=—","Direction=H","UseDPDF=Y")</f>
        <v>15.1563</v>
      </c>
      <c r="V9" s="14">
        <f>_xll.BDH("XOM US Equity","PX_HIGH","FQ4 1994","FQ4 1994","Currency=USD","Period=FQ","BEST_FPERIOD_OVERRIDE=FQ","FILING_STATUS=OR","Sort=A","Dates=H","DateFormat=P","Fill=—","Direction=H","UseDPDF=Y")</f>
        <v>15.8125</v>
      </c>
      <c r="W9" s="14">
        <f>_xll.BDH("XOM US Equity","PX_HIGH","FQ1 1995","FQ1 1995","Currency=USD","Period=FQ","BEST_FPERIOD_OVERRIDE=FQ","FILING_STATUS=OR","Sort=A","Dates=H","DateFormat=P","Fill=—","Direction=H","UseDPDF=Y")</f>
        <v>16.75</v>
      </c>
      <c r="X9" s="14">
        <f>_xll.BDH("XOM US Equity","PX_HIGH","FQ2 1995","FQ2 1995","Currency=USD","Period=FQ","BEST_FPERIOD_OVERRIDE=FQ","FILING_STATUS=OR","Sort=A","Dates=H","DateFormat=P","Fill=—","Direction=H","UseDPDF=Y")</f>
        <v>18.093800000000002</v>
      </c>
      <c r="Y9" s="14">
        <f>_xll.BDH("XOM US Equity","PX_HIGH","FQ3 1995","FQ3 1995","Currency=USD","Period=FQ","BEST_FPERIOD_OVERRIDE=FQ","FILING_STATUS=OR","Sort=A","Dates=H","DateFormat=P","Fill=—","Direction=H","UseDPDF=Y")</f>
        <v>18.5625</v>
      </c>
      <c r="Z9" s="14">
        <f>_xll.BDH("XOM US Equity","PX_HIGH","FQ4 1995","FQ4 1995","Currency=USD","Period=FQ","BEST_FPERIOD_OVERRIDE=FQ","FILING_STATUS=OR","Sort=A","Dates=H","DateFormat=P","Fill=—","Direction=H","UseDPDF=Y")</f>
        <v>21.5</v>
      </c>
      <c r="AA9" s="14">
        <f>_xll.BDH("XOM US Equity","PX_HIGH","FQ1 1996","FQ1 1996","Currency=USD","Period=FQ","BEST_FPERIOD_OVERRIDE=FQ","FILING_STATUS=OR","Sort=A","Dates=H","DateFormat=P","Fill=—","Direction=H","UseDPDF=Y")</f>
        <v>21.5</v>
      </c>
      <c r="AB9" s="14">
        <f>_xll.BDH("XOM US Equity","PX_HIGH","FQ2 1996","FQ2 1996","Currency=USD","Period=FQ","BEST_FPERIOD_OVERRIDE=FQ","FILING_STATUS=OR","Sort=A","Dates=H","DateFormat=P","Fill=—","Direction=H","UseDPDF=Y")</f>
        <v>22.1875</v>
      </c>
      <c r="AC9" s="14">
        <f>_xll.BDH("XOM US Equity","PX_HIGH","FQ3 1996","FQ3 1996","Currency=USD","Period=FQ","BEST_FPERIOD_OVERRIDE=FQ","FILING_STATUS=OR","Sort=A","Dates=H","DateFormat=P","Fill=—","Direction=H","UseDPDF=Y")</f>
        <v>22.531300000000002</v>
      </c>
      <c r="AD9" s="14">
        <f>_xll.BDH("XOM US Equity","PX_HIGH","FQ4 1996","FQ4 1996","Currency=USD","Period=FQ","BEST_FPERIOD_OVERRIDE=FQ","FILING_STATUS=OR","Sort=A","Dates=H","DateFormat=P","Fill=—","Direction=H","UseDPDF=Y")</f>
        <v>25.3125</v>
      </c>
      <c r="AE9" s="14">
        <f>_xll.BDH("XOM US Equity","PX_HIGH","FQ1 1997","FQ1 1997","Currency=USD","Period=FQ","BEST_FPERIOD_OVERRIDE=FQ","FILING_STATUS=OR","Sort=A","Dates=H","DateFormat=P","Fill=—","Direction=H","UseDPDF=Y")</f>
        <v>27.8125</v>
      </c>
      <c r="AF9" s="14">
        <f>_xll.BDH("XOM US Equity","PX_HIGH","FQ2 1997","FQ2 1997","Currency=USD","Period=FQ","BEST_FPERIOD_OVERRIDE=FQ","FILING_STATUS=OR","Sort=A","Dates=H","DateFormat=P","Fill=—","Direction=H","UseDPDF=Y")</f>
        <v>32.5625</v>
      </c>
      <c r="AG9" s="14">
        <f>_xll.BDH("XOM US Equity","PX_HIGH","FQ3 1997","FQ3 1997","Currency=USD","Period=FQ","BEST_FPERIOD_OVERRIDE=FQ","FILING_STATUS=OR","Sort=A","Dates=H","DateFormat=P","Fill=—","Direction=H","UseDPDF=Y")</f>
        <v>33.625</v>
      </c>
      <c r="AH9" s="14">
        <f>_xll.BDH("XOM US Equity","PX_HIGH","FQ4 1997","FQ4 1997","Currency=USD","Period=FQ","BEST_FPERIOD_OVERRIDE=FQ","FILING_STATUS=OR","Sort=A","Dates=H","DateFormat=P","Fill=—","Direction=H","UseDPDF=Y")</f>
        <v>33.4375</v>
      </c>
      <c r="AI9" s="14">
        <f>_xll.BDH("XOM US Equity","PX_HIGH","FQ1 1998","FQ1 1998","Currency=USD","Period=FQ","BEST_FPERIOD_OVERRIDE=FQ","FILING_STATUS=OR","Sort=A","Dates=H","DateFormat=P","Fill=—","Direction=H","UseDPDF=Y")</f>
        <v>35</v>
      </c>
      <c r="AJ9" s="14">
        <f>_xll.BDH("XOM US Equity","PX_HIGH","FQ2 1998","FQ2 1998","Currency=USD","Period=FQ","BEST_FPERIOD_OVERRIDE=FQ","FILING_STATUS=OR","Sort=A","Dates=H","DateFormat=P","Fill=—","Direction=H","UseDPDF=Y")</f>
        <v>38</v>
      </c>
    </row>
    <row r="10" spans="1:36" x14ac:dyDescent="0.25">
      <c r="A10" s="10" t="s">
        <v>320</v>
      </c>
      <c r="B10" s="10" t="s">
        <v>321</v>
      </c>
      <c r="C10" s="14">
        <f>_xll.BDH("XOM US Equity","PX_LOW","FQ1 1990","FQ1 1990","Currency=USD","Period=FQ","BEST_FPERIOD_OVERRIDE=FQ","FILING_STATUS=OR","Sort=A","Dates=H","DateFormat=P","Fill=—","Direction=H","UseDPDF=Y")</f>
        <v>11.375</v>
      </c>
      <c r="D10" s="14">
        <f>_xll.BDH("XOM US Equity","PX_LOW","FQ2 1990","FQ2 1990","Currency=USD","Period=FQ","BEST_FPERIOD_OVERRIDE=FQ","FILING_STATUS=OR","Sort=A","Dates=H","DateFormat=P","Fill=—","Direction=H","UseDPDF=Y")</f>
        <v>11.2188</v>
      </c>
      <c r="E10" s="14">
        <f>_xll.BDH("XOM US Equity","PX_LOW","FQ3 1990","FQ3 1990","Currency=USD","Period=FQ","BEST_FPERIOD_OVERRIDE=FQ","FILING_STATUS=OR","Sort=A","Dates=H","DateFormat=P","Fill=—","Direction=H","UseDPDF=Y")</f>
        <v>11.6875</v>
      </c>
      <c r="F10" s="14">
        <f>_xll.BDH("XOM US Equity","PX_LOW","FQ4 1990","FQ4 1990","Currency=USD","Period=FQ","BEST_FPERIOD_OVERRIDE=FQ","FILING_STATUS=OR","Sort=A","Dates=H","DateFormat=P","Fill=—","Direction=H","UseDPDF=Y")</f>
        <v>11.6563</v>
      </c>
      <c r="G10" s="14">
        <f>_xll.BDH("XOM US Equity","PX_LOW","FQ1 1991","FQ1 1991","Currency=USD","Period=FQ","BEST_FPERIOD_OVERRIDE=FQ","FILING_STATUS=OR","Sort=A","Dates=H","DateFormat=P","Fill=—","Direction=H","UseDPDF=Y")</f>
        <v>12.4063</v>
      </c>
      <c r="H10" s="14">
        <f>_xll.BDH("XOM US Equity","PX_LOW","FQ2 1991","FQ2 1991","Currency=USD","Period=FQ","BEST_FPERIOD_OVERRIDE=FQ","FILING_STATUS=OR","Sort=A","Dates=H","DateFormat=P","Fill=—","Direction=H","UseDPDF=Y")</f>
        <v>13.9688</v>
      </c>
      <c r="I10" s="14">
        <f>_xll.BDH("XOM US Equity","PX_LOW","FQ3 1991","FQ3 1991","Currency=USD","Period=FQ","BEST_FPERIOD_OVERRIDE=FQ","FILING_STATUS=OR","Sort=A","Dates=H","DateFormat=P","Fill=—","Direction=H","UseDPDF=Y")</f>
        <v>14.1563</v>
      </c>
      <c r="J10" s="14">
        <f>_xll.BDH("XOM US Equity","PX_LOW","FQ4 1991","FQ4 1991","Currency=USD","Period=FQ","BEST_FPERIOD_OVERRIDE=FQ","FILING_STATUS=OR","Sort=A","Dates=H","DateFormat=P","Fill=—","Direction=H","UseDPDF=Y")</f>
        <v>13.9688</v>
      </c>
      <c r="K10" s="14">
        <f>_xll.BDH("XOM US Equity","PX_LOW","FQ1 1992","FQ1 1992","Currency=USD","Period=FQ","BEST_FPERIOD_OVERRIDE=FQ","FILING_STATUS=OR","Sort=A","Dates=H","DateFormat=P","Fill=—","Direction=H","UseDPDF=Y")</f>
        <v>13.4375</v>
      </c>
      <c r="L10" s="14">
        <f>_xll.BDH("XOM US Equity","PX_LOW","FQ2 1992","FQ2 1992","Currency=USD","Period=FQ","BEST_FPERIOD_OVERRIDE=FQ","FILING_STATUS=OR","Sort=A","Dates=H","DateFormat=P","Fill=—","Direction=H","UseDPDF=Y")</f>
        <v>13.5625</v>
      </c>
      <c r="M10" s="14">
        <f>_xll.BDH("XOM US Equity","PX_LOW","FQ3 1992","FQ3 1992","Currency=USD","Period=FQ","BEST_FPERIOD_OVERRIDE=FQ","FILING_STATUS=OR","Sort=A","Dates=H","DateFormat=P","Fill=—","Direction=H","UseDPDF=Y")</f>
        <v>15.25</v>
      </c>
      <c r="N10" s="14">
        <f>_xll.BDH("XOM US Equity","PX_LOW","FQ4 1992","FQ4 1992","Currency=USD","Period=FQ","BEST_FPERIOD_OVERRIDE=FQ","FILING_STATUS=OR","Sort=A","Dates=H","DateFormat=P","Fill=—","Direction=H","UseDPDF=Y")</f>
        <v>14.5313</v>
      </c>
      <c r="O10" s="14">
        <f>_xll.BDH("XOM US Equity","PX_LOW","FQ1 1993","FQ1 1993","Currency=USD","Period=FQ","BEST_FPERIOD_OVERRIDE=FQ","FILING_STATUS=OR","Sort=A","Dates=H","DateFormat=P","Fill=—","Direction=H","UseDPDF=Y")</f>
        <v>14.4375</v>
      </c>
      <c r="P10" s="14">
        <f>_xll.BDH("XOM US Equity","PX_LOW","FQ2 1993","FQ2 1993","Currency=USD","Period=FQ","BEST_FPERIOD_OVERRIDE=FQ","FILING_STATUS=OR","Sort=A","Dates=H","DateFormat=P","Fill=—","Direction=H","UseDPDF=Y")</f>
        <v>15.8125</v>
      </c>
      <c r="Q10" s="14">
        <f>_xll.BDH("XOM US Equity","PX_LOW","FQ3 1993","FQ3 1993","Currency=USD","Period=FQ","BEST_FPERIOD_OVERRIDE=FQ","FILING_STATUS=OR","Sort=A","Dates=H","DateFormat=P","Fill=—","Direction=H","UseDPDF=Y")</f>
        <v>15.8438</v>
      </c>
      <c r="R10" s="14">
        <f>_xll.BDH("XOM US Equity","PX_LOW","FQ4 1993","FQ4 1993","Currency=USD","Period=FQ","BEST_FPERIOD_OVERRIDE=FQ","FILING_STATUS=OR","Sort=A","Dates=H","DateFormat=P","Fill=—","Direction=H","UseDPDF=Y")</f>
        <v>15.25</v>
      </c>
      <c r="S10" s="14">
        <f>_xll.BDH("XOM US Equity","PX_LOW","FQ1 1994","FQ1 1994","Currency=USD","Period=FQ","BEST_FPERIOD_OVERRIDE=FQ","FILING_STATUS=OR","Sort=A","Dates=H","DateFormat=P","Fill=—","Direction=H","UseDPDF=Y")</f>
        <v>15.375</v>
      </c>
      <c r="T10" s="14">
        <f>_xll.BDH("XOM US Equity","PX_LOW","FQ2 1994","FQ2 1994","Currency=USD","Period=FQ","BEST_FPERIOD_OVERRIDE=FQ","FILING_STATUS=OR","Sort=A","Dates=H","DateFormat=P","Fill=—","Direction=H","UseDPDF=Y")</f>
        <v>14.0313</v>
      </c>
      <c r="U10" s="14">
        <f>_xll.BDH("XOM US Equity","PX_LOW","FQ3 1994","FQ3 1994","Currency=USD","Period=FQ","BEST_FPERIOD_OVERRIDE=FQ","FILING_STATUS=OR","Sort=A","Dates=H","DateFormat=P","Fill=—","Direction=H","UseDPDF=Y")</f>
        <v>14.125</v>
      </c>
      <c r="V10" s="14">
        <f>_xll.BDH("XOM US Equity","PX_LOW","FQ4 1994","FQ4 1994","Currency=USD","Period=FQ","BEST_FPERIOD_OVERRIDE=FQ","FILING_STATUS=OR","Sort=A","Dates=H","DateFormat=P","Fill=—","Direction=H","UseDPDF=Y")</f>
        <v>14.0625</v>
      </c>
      <c r="W10" s="14">
        <f>_xll.BDH("XOM US Equity","PX_LOW","FQ1 1995","FQ1 1995","Currency=USD","Period=FQ","BEST_FPERIOD_OVERRIDE=FQ","FILING_STATUS=OR","Sort=A","Dates=H","DateFormat=P","Fill=—","Direction=H","UseDPDF=Y")</f>
        <v>15.0313</v>
      </c>
      <c r="X10" s="14">
        <f>_xll.BDH("XOM US Equity","PX_LOW","FQ2 1995","FQ2 1995","Currency=USD","Period=FQ","BEST_FPERIOD_OVERRIDE=FQ","FILING_STATUS=OR","Sort=A","Dates=H","DateFormat=P","Fill=—","Direction=H","UseDPDF=Y")</f>
        <v>16.5</v>
      </c>
      <c r="Y10" s="14">
        <f>_xll.BDH("XOM US Equity","PX_LOW","FQ3 1995","FQ3 1995","Currency=USD","Period=FQ","BEST_FPERIOD_OVERRIDE=FQ","FILING_STATUS=OR","Sort=A","Dates=H","DateFormat=P","Fill=—","Direction=H","UseDPDF=Y")</f>
        <v>17.031300000000002</v>
      </c>
      <c r="Z10" s="14">
        <f>_xll.BDH("XOM US Equity","PX_LOW","FQ4 1995","FQ4 1995","Currency=USD","Period=FQ","BEST_FPERIOD_OVERRIDE=FQ","FILING_STATUS=OR","Sort=A","Dates=H","DateFormat=P","Fill=—","Direction=H","UseDPDF=Y")</f>
        <v>17.843800000000002</v>
      </c>
      <c r="AA10" s="14">
        <f>_xll.BDH("XOM US Equity","PX_LOW","FQ1 1996","FQ1 1996","Currency=USD","Period=FQ","BEST_FPERIOD_OVERRIDE=FQ","FILING_STATUS=OR","Sort=A","Dates=H","DateFormat=P","Fill=—","Direction=H","UseDPDF=Y")</f>
        <v>19.406300000000002</v>
      </c>
      <c r="AB10" s="14">
        <f>_xll.BDH("XOM US Equity","PX_LOW","FQ2 1996","FQ2 1996","Currency=USD","Period=FQ","BEST_FPERIOD_OVERRIDE=FQ","FILING_STATUS=OR","Sort=A","Dates=H","DateFormat=P","Fill=—","Direction=H","UseDPDF=Y")</f>
        <v>19.968800000000002</v>
      </c>
      <c r="AC10" s="14">
        <f>_xll.BDH("XOM US Equity","PX_LOW","FQ3 1996","FQ3 1996","Currency=USD","Period=FQ","BEST_FPERIOD_OVERRIDE=FQ","FILING_STATUS=OR","Sort=A","Dates=H","DateFormat=P","Fill=—","Direction=H","UseDPDF=Y")</f>
        <v>20</v>
      </c>
      <c r="AD10" s="14">
        <f>_xll.BDH("XOM US Equity","PX_LOW","FQ4 1996","FQ4 1996","Currency=USD","Period=FQ","BEST_FPERIOD_OVERRIDE=FQ","FILING_STATUS=OR","Sort=A","Dates=H","DateFormat=P","Fill=—","Direction=H","UseDPDF=Y")</f>
        <v>20.718800000000002</v>
      </c>
      <c r="AE10" s="14">
        <f>_xll.BDH("XOM US Equity","PX_LOW","FQ1 1997","FQ1 1997","Currency=USD","Period=FQ","BEST_FPERIOD_OVERRIDE=FQ","FILING_STATUS=OR","Sort=A","Dates=H","DateFormat=P","Fill=—","Direction=H","UseDPDF=Y")</f>
        <v>24.125</v>
      </c>
      <c r="AF10" s="14">
        <f>_xll.BDH("XOM US Equity","PX_LOW","FQ2 1997","FQ2 1997","Currency=USD","Period=FQ","BEST_FPERIOD_OVERRIDE=FQ","FILING_STATUS=OR","Sort=A","Dates=H","DateFormat=P","Fill=—","Direction=H","UseDPDF=Y")</f>
        <v>24.9375</v>
      </c>
      <c r="AG10" s="14">
        <f>_xll.BDH("XOM US Equity","PX_LOW","FQ3 1997","FQ3 1997","Currency=USD","Period=FQ","BEST_FPERIOD_OVERRIDE=FQ","FILING_STATUS=OR","Sort=A","Dates=H","DateFormat=P","Fill=—","Direction=H","UseDPDF=Y")</f>
        <v>29.3125</v>
      </c>
      <c r="AH10" s="14">
        <f>_xll.BDH("XOM US Equity","PX_LOW","FQ4 1997","FQ4 1997","Currency=USD","Period=FQ","BEST_FPERIOD_OVERRIDE=FQ","FILING_STATUS=OR","Sort=A","Dates=H","DateFormat=P","Fill=—","Direction=H","UseDPDF=Y")</f>
        <v>27.375</v>
      </c>
      <c r="AI10" s="14">
        <f>_xll.BDH("XOM US Equity","PX_LOW","FQ1 1998","FQ1 1998","Currency=USD","Period=FQ","BEST_FPERIOD_OVERRIDE=FQ","FILING_STATUS=OR","Sort=A","Dates=H","DateFormat=P","Fill=—","Direction=H","UseDPDF=Y")</f>
        <v>28.3125</v>
      </c>
      <c r="AJ10" s="14">
        <f>_xll.BDH("XOM US Equity","PX_LOW","FQ2 1998","FQ2 1998","Currency=USD","Period=FQ","BEST_FPERIOD_OVERRIDE=FQ","FILING_STATUS=OR","Sort=A","Dates=H","DateFormat=P","Fill=—","Direction=H","UseDPDF=Y")</f>
        <v>32.6875</v>
      </c>
    </row>
    <row r="11" spans="1:36" x14ac:dyDescent="0.25">
      <c r="A11" s="6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</row>
    <row r="12" spans="1:36" x14ac:dyDescent="0.25">
      <c r="A12" s="6" t="s">
        <v>322</v>
      </c>
      <c r="B12" s="6" t="s">
        <v>323</v>
      </c>
      <c r="C12" s="16">
        <f>_xll.BDH("XOM US Equity","HISTORICAL_MARKET_CAP","FQ1 1990","FQ1 1990","Currency=USD","Period=FQ","BEST_FPERIOD_OVERRIDE=FQ","FILING_STATUS=OR","SCALING_FORMAT=MLN","Sort=A","Dates=H","DateFormat=P","Fill=—","Direction=H","UseDPDF=Y")</f>
        <v>57584.247300000003</v>
      </c>
      <c r="D12" s="16">
        <f>_xll.BDH("XOM US Equity","HISTORICAL_MARKET_CAP","FQ2 1990","FQ2 1990","Currency=USD","Period=FQ","BEST_FPERIOD_OVERRIDE=FQ","FILING_STATUS=OR","SCALING_FORMAT=MLN","Sort=A","Dates=H","DateFormat=P","Fill=—","Direction=H","UseDPDF=Y")</f>
        <v>59703.426899999999</v>
      </c>
      <c r="E12" s="16">
        <f>_xll.BDH("XOM US Equity","HISTORICAL_MARKET_CAP","FQ3 1990","FQ3 1990","Currency=USD","Period=FQ","BEST_FPERIOD_OVERRIDE=FQ","FILING_STATUS=OR","SCALING_FORMAT=MLN","Sort=A","Dates=H","DateFormat=P","Fill=—","Direction=H","UseDPDF=Y")</f>
        <v>61063.067900000002</v>
      </c>
      <c r="F12" s="16">
        <f>_xll.BDH("XOM US Equity","HISTORICAL_MARKET_CAP","FQ4 1990","FQ4 1990","Currency=USD","Period=FQ","BEST_FPERIOD_OVERRIDE=FQ","FILING_STATUS=OR","SCALING_FORMAT=MLN","Sort=A","Dates=H","DateFormat=P","Fill=—","Direction=H","UseDPDF=Y")</f>
        <v>64428.75</v>
      </c>
      <c r="G12" s="16">
        <f>_xll.BDH("XOM US Equity","HISTORICAL_MARKET_CAP","FQ1 1991","FQ1 1991","Currency=USD","Period=FQ","BEST_FPERIOD_OVERRIDE=FQ","FILING_STATUS=OR","SCALING_FORMAT=MLN","Sort=A","Dates=H","DateFormat=P","Fill=—","Direction=H","UseDPDF=Y")</f>
        <v>72817.6394</v>
      </c>
      <c r="H12" s="16">
        <f>_xll.BDH("XOM US Equity","HISTORICAL_MARKET_CAP","FQ2 1991","FQ2 1991","Currency=USD","Period=FQ","BEST_FPERIOD_OVERRIDE=FQ","FILING_STATUS=OR","SCALING_FORMAT=MLN","Sort=A","Dates=H","DateFormat=P","Fill=—","Direction=H","UseDPDF=Y")</f>
        <v>72298.084499999997</v>
      </c>
      <c r="I12" s="16">
        <f>_xll.BDH("XOM US Equity","HISTORICAL_MARKET_CAP","FQ3 1991","FQ3 1991","Currency=USD","Period=FQ","BEST_FPERIOD_OVERRIDE=FQ","FILING_STATUS=OR","SCALING_FORMAT=MLN","Sort=A","Dates=H","DateFormat=P","Fill=—","Direction=H","UseDPDF=Y")</f>
        <v>74100.822100000005</v>
      </c>
      <c r="J12" s="16">
        <f>_xll.BDH("XOM US Equity","HISTORICAL_MARKET_CAP","FQ4 1991","FQ4 1991","Currency=USD","Period=FQ","BEST_FPERIOD_OVERRIDE=FQ","FILING_STATUS=OR","SCALING_FORMAT=MLN","Sort=A","Dates=H","DateFormat=P","Fill=—","Direction=H","UseDPDF=Y")</f>
        <v>75606.75</v>
      </c>
      <c r="K12" s="16">
        <f>_xll.BDH("XOM US Equity","HISTORICAL_MARKET_CAP","FQ1 1992","FQ1 1992","Currency=USD","Period=FQ","BEST_FPERIOD_OVERRIDE=FQ","FILING_STATUS=OR","SCALING_FORMAT=MLN","Sort=A","Dates=H","DateFormat=P","Fill=—","Direction=H","UseDPDF=Y")</f>
        <v>67967.854300000006</v>
      </c>
      <c r="L12" s="16">
        <f>_xll.BDH("XOM US Equity","HISTORICAL_MARKET_CAP","FQ2 1992","FQ2 1992","Currency=USD","Period=FQ","BEST_FPERIOD_OVERRIDE=FQ","FILING_STATUS=OR","SCALING_FORMAT=MLN","Sort=A","Dates=H","DateFormat=P","Fill=—","Direction=H","UseDPDF=Y")</f>
        <v>76817.8125</v>
      </c>
      <c r="M12" s="16">
        <f>_xll.BDH("XOM US Equity","HISTORICAL_MARKET_CAP","FQ3 1992","FQ3 1992","Currency=USD","Period=FQ","BEST_FPERIOD_OVERRIDE=FQ","FILING_STATUS=OR","SCALING_FORMAT=MLN","Sort=A","Dates=H","DateFormat=P","Fill=—","Direction=H","UseDPDF=Y")</f>
        <v>79300.8125</v>
      </c>
      <c r="N12" s="16">
        <f>_xll.BDH("XOM US Equity","HISTORICAL_MARKET_CAP","FQ4 1992","FQ4 1992","Currency=USD","Period=FQ","BEST_FPERIOD_OVERRIDE=FQ","FILING_STATUS=OR","SCALING_FORMAT=MLN","Sort=A","Dates=H","DateFormat=P","Fill=—","Direction=H","UseDPDF=Y")</f>
        <v>75917.25</v>
      </c>
      <c r="O12" s="16">
        <f>_xll.BDH("XOM US Equity","HISTORICAL_MARKET_CAP","FQ1 1993","FQ1 1993","Currency=USD","Period=FQ","BEST_FPERIOD_OVERRIDE=FQ","FILING_STATUS=OR","SCALING_FORMAT=MLN","Sort=A","Dates=H","DateFormat=P","Fill=—","Direction=H","UseDPDF=Y")</f>
        <v>82127.25</v>
      </c>
      <c r="P12" s="16">
        <f>_xll.BDH("XOM US Equity","HISTORICAL_MARKET_CAP","FQ2 1993","FQ2 1993","Currency=USD","Period=FQ","BEST_FPERIOD_OVERRIDE=FQ","FILING_STATUS=OR","SCALING_FORMAT=MLN","Sort=A","Dates=H","DateFormat=P","Fill=—","Direction=H","UseDPDF=Y")</f>
        <v>82127.25</v>
      </c>
      <c r="Q12" s="16">
        <f>_xll.BDH("XOM US Equity","HISTORICAL_MARKET_CAP","FQ3 1993","FQ3 1993","Currency=USD","Period=FQ","BEST_FPERIOD_OVERRIDE=FQ","FILING_STATUS=OR","SCALING_FORMAT=MLN","Sort=A","Dates=H","DateFormat=P","Fill=—","Direction=H","UseDPDF=Y")</f>
        <v>81351</v>
      </c>
      <c r="R12" s="16">
        <f>_xll.BDH("XOM US Equity","HISTORICAL_MARKET_CAP","FQ4 1993","FQ4 1993","Currency=USD","Period=FQ","BEST_FPERIOD_OVERRIDE=FQ","FILING_STATUS=OR","SCALING_FORMAT=MLN","Sort=A","Dates=H","DateFormat=P","Fill=—","Direction=H","UseDPDF=Y")</f>
        <v>78401.25</v>
      </c>
      <c r="S12" s="16">
        <f>_xll.BDH("XOM US Equity","HISTORICAL_MARKET_CAP","FQ1 1994","FQ1 1994","Currency=USD","Period=FQ","BEST_FPERIOD_OVERRIDE=FQ","FILING_STATUS=OR","SCALING_FORMAT=MLN","Sort=A","Dates=H","DateFormat=P","Fill=—","Direction=H","UseDPDF=Y")</f>
        <v>78090.75</v>
      </c>
      <c r="T12" s="16">
        <f>_xll.BDH("XOM US Equity","HISTORICAL_MARKET_CAP","FQ2 1994","FQ2 1994","Currency=USD","Period=FQ","BEST_FPERIOD_OVERRIDE=FQ","FILING_STATUS=OR","SCALING_FORMAT=MLN","Sort=A","Dates=H","DateFormat=P","Fill=—","Direction=H","UseDPDF=Y")</f>
        <v>70450.303499999995</v>
      </c>
      <c r="U12" s="16">
        <f>_xll.BDH("XOM US Equity","HISTORICAL_MARKET_CAP","FQ3 1994","FQ3 1994","Currency=USD","Period=FQ","BEST_FPERIOD_OVERRIDE=FQ","FILING_STATUS=OR","SCALING_FORMAT=MLN","Sort=A","Dates=H","DateFormat=P","Fill=—","Direction=H","UseDPDF=Y")</f>
        <v>71415</v>
      </c>
      <c r="V12" s="16">
        <f>_xll.BDH("XOM US Equity","HISTORICAL_MARKET_CAP","FQ4 1994","FQ4 1994","Currency=USD","Period=FQ","BEST_FPERIOD_OVERRIDE=FQ","FILING_STATUS=OR","SCALING_FORMAT=MLN","Sort=A","Dates=H","DateFormat=P","Fill=—","Direction=H","UseDPDF=Y")</f>
        <v>75451.5</v>
      </c>
      <c r="W12" s="16">
        <f>_xll.BDH("XOM US Equity","HISTORICAL_MARKET_CAP","FQ1 1995","FQ1 1995","Currency=USD","Period=FQ","BEST_FPERIOD_OVERRIDE=FQ","FILING_STATUS=OR","SCALING_FORMAT=MLN","Sort=A","Dates=H","DateFormat=P","Fill=—","Direction=H","UseDPDF=Y")</f>
        <v>82748.25</v>
      </c>
      <c r="X12" s="16">
        <f>_xll.BDH("XOM US Equity","HISTORICAL_MARKET_CAP","FQ2 1995","FQ2 1995","Currency=USD","Period=FQ","BEST_FPERIOD_OVERRIDE=FQ","FILING_STATUS=OR","SCALING_FORMAT=MLN","Sort=A","Dates=H","DateFormat=P","Fill=—","Direction=H","UseDPDF=Y")</f>
        <v>87716.25</v>
      </c>
      <c r="Y12" s="16">
        <f>_xll.BDH("XOM US Equity","HISTORICAL_MARKET_CAP","FQ3 1995","FQ3 1995","Currency=USD","Period=FQ","BEST_FPERIOD_OVERRIDE=FQ","FILING_STATUS=OR","SCALING_FORMAT=MLN","Sort=A","Dates=H","DateFormat=P","Fill=—","Direction=H","UseDPDF=Y")</f>
        <v>89711.233999999997</v>
      </c>
      <c r="Z12" s="16">
        <f>_xll.BDH("XOM US Equity","HISTORICAL_MARKET_CAP","FQ4 1995","FQ4 1995","Currency=USD","Period=FQ","BEST_FPERIOD_OVERRIDE=FQ","FILING_STATUS=OR","SCALING_FORMAT=MLN","Sort=A","Dates=H","DateFormat=P","Fill=—","Direction=H","UseDPDF=Y")</f>
        <v>99991.543999999994</v>
      </c>
      <c r="AA12" s="16">
        <f>_xll.BDH("XOM US Equity","HISTORICAL_MARKET_CAP","FQ1 1996","FQ1 1996","Currency=USD","Period=FQ","BEST_FPERIOD_OVERRIDE=FQ","FILING_STATUS=OR","SCALING_FORMAT=MLN","Sort=A","Dates=H","DateFormat=P","Fill=—","Direction=H","UseDPDF=Y")</f>
        <v>101229.19809999999</v>
      </c>
      <c r="AB12" s="16">
        <f>_xll.BDH("XOM US Equity","HISTORICAL_MARKET_CAP","FQ2 1996","FQ2 1996","Currency=USD","Period=FQ","BEST_FPERIOD_OVERRIDE=FQ","FILING_STATUS=OR","SCALING_FORMAT=MLN","Sort=A","Dates=H","DateFormat=P","Fill=—","Direction=H","UseDPDF=Y")</f>
        <v>107885.7166</v>
      </c>
      <c r="AC12" s="16">
        <f>_xll.BDH("XOM US Equity","HISTORICAL_MARKET_CAP","FQ3 1996","FQ3 1996","Currency=USD","Period=FQ","BEST_FPERIOD_OVERRIDE=FQ","FILING_STATUS=OR","SCALING_FORMAT=MLN","Sort=A","Dates=H","DateFormat=P","Fill=—","Direction=H","UseDPDF=Y")</f>
        <v>103378.2687</v>
      </c>
      <c r="AD12" s="16">
        <f>_xll.BDH("XOM US Equity","HISTORICAL_MARKET_CAP","FQ4 1996","FQ4 1996","Currency=USD","Period=FQ","BEST_FPERIOD_OVERRIDE=FQ","FILING_STATUS=OR","SCALING_FORMAT=MLN","Sort=A","Dates=H","DateFormat=P","Fill=—","Direction=H","UseDPDF=Y")</f>
        <v>121733.1548</v>
      </c>
      <c r="AE12" s="16">
        <f>_xll.BDH("XOM US Equity","HISTORICAL_MARKET_CAP","FQ1 1997","FQ1 1997","Currency=USD","Period=FQ","BEST_FPERIOD_OVERRIDE=FQ","FILING_STATUS=OR","SCALING_FORMAT=MLN","Sort=A","Dates=H","DateFormat=P","Fill=—","Direction=H","UseDPDF=Y")</f>
        <v>133772.91399999999</v>
      </c>
      <c r="AF12" s="16">
        <f>_xll.BDH("XOM US Equity","HISTORICAL_MARKET_CAP","FQ2 1997","FQ2 1997","Currency=USD","Period=FQ","BEST_FPERIOD_OVERRIDE=FQ","FILING_STATUS=OR","SCALING_FORMAT=MLN","Sort=A","Dates=H","DateFormat=P","Fill=—","Direction=H","UseDPDF=Y")</f>
        <v>151532.5</v>
      </c>
      <c r="AG12" s="16">
        <f>_xll.BDH("XOM US Equity","HISTORICAL_MARKET_CAP","FQ3 1997","FQ3 1997","Currency=USD","Period=FQ","BEST_FPERIOD_OVERRIDE=FQ","FILING_STATUS=OR","SCALING_FORMAT=MLN","Sort=A","Dates=H","DateFormat=P","Fill=—","Direction=H","UseDPDF=Y")</f>
        <v>157978.125</v>
      </c>
      <c r="AH12" s="16">
        <f>_xll.BDH("XOM US Equity","HISTORICAL_MARKET_CAP","FQ4 1997","FQ4 1997","Currency=USD","Period=FQ","BEST_FPERIOD_OVERRIDE=FQ","FILING_STATUS=OR","SCALING_FORMAT=MLN","Sort=A","Dates=H","DateFormat=P","Fill=—","Direction=H","UseDPDF=Y")</f>
        <v>150337.6875</v>
      </c>
      <c r="AI12" s="16">
        <f>_xll.BDH("XOM US Equity","HISTORICAL_MARKET_CAP","FQ1 1998","FQ1 1998","Currency=USD","Period=FQ","BEST_FPERIOD_OVERRIDE=FQ","FILING_STATUS=OR","SCALING_FORMAT=MLN","Sort=A","Dates=H","DateFormat=P","Fill=—","Direction=H","UseDPDF=Y")</f>
        <v>165464.2911</v>
      </c>
      <c r="AJ12" s="16">
        <f>_xll.BDH("XOM US Equity","HISTORICAL_MARKET_CAP","FQ2 1998","FQ2 1998","Currency=USD","Period=FQ","BEST_FPERIOD_OVERRIDE=FQ","FILING_STATUS=OR","SCALING_FORMAT=MLN","Sort=A","Dates=H","DateFormat=P","Fill=—","Direction=H","UseDPDF=Y")</f>
        <v>174041.29829999999</v>
      </c>
    </row>
    <row r="13" spans="1:36" x14ac:dyDescent="0.25">
      <c r="A13" s="10" t="s">
        <v>324</v>
      </c>
      <c r="B13" s="10" t="s">
        <v>325</v>
      </c>
      <c r="C13" s="14">
        <f>_xll.BDH("XOM US Equity","EQY_SH_OUT","FQ1 1990","FQ1 1990","Currency=USD","Period=FQ","BEST_FPERIOD_OVERRIDE=FQ","FILING_STATUS=OR","Sort=A","Dates=H","DateFormat=P","Fill=—","Direction=H","UseDPDF=Y")</f>
        <v>5000</v>
      </c>
      <c r="D13" s="14">
        <f>_xll.BDH("XOM US Equity","EQY_SH_OUT","FQ2 1990","FQ2 1990","Currency=USD","Period=FQ","BEST_FPERIOD_OVERRIDE=FQ","FILING_STATUS=OR","Sort=A","Dates=H","DateFormat=P","Fill=—","Direction=H","UseDPDF=Y")</f>
        <v>4993.7560000000003</v>
      </c>
      <c r="E13" s="14">
        <f>_xll.BDH("XOM US Equity","EQY_SH_OUT","FQ3 1990","FQ3 1990","Currency=USD","Period=FQ","BEST_FPERIOD_OVERRIDE=FQ","FILING_STATUS=OR","Sort=A","Dates=H","DateFormat=P","Fill=—","Direction=H","UseDPDF=Y")</f>
        <v>4988.2759999999998</v>
      </c>
      <c r="F13" s="14">
        <f>_xll.BDH("XOM US Equity","EQY_SH_OUT","FQ4 1990","FQ4 1990","Currency=USD","Period=FQ","BEST_FPERIOD_OVERRIDE=FQ","FILING_STATUS=OR","Sort=A","Dates=H","DateFormat=P","Fill=—","Direction=H","UseDPDF=Y")</f>
        <v>4984.74</v>
      </c>
      <c r="G13" s="14">
        <f>_xll.BDH("XOM US Equity","EQY_SH_OUT","FQ1 1991","FQ1 1991","Currency=USD","Period=FQ","BEST_FPERIOD_OVERRIDE=FQ","FILING_STATUS=OR","Sort=A","Dates=H","DateFormat=P","Fill=—","Direction=H","UseDPDF=Y")</f>
        <v>4980</v>
      </c>
      <c r="H13" s="14">
        <f>_xll.BDH("XOM US Equity","EQY_SH_OUT","FQ2 1991","FQ2 1991","Currency=USD","Period=FQ","BEST_FPERIOD_OVERRIDE=FQ","FILING_STATUS=OR","Sort=A","Dates=H","DateFormat=P","Fill=—","Direction=H","UseDPDF=Y")</f>
        <v>4978.9840000000004</v>
      </c>
      <c r="I13" s="14">
        <f>_xll.BDH("XOM US Equity","EQY_SH_OUT","FQ3 1991","FQ3 1991","Currency=USD","Period=FQ","BEST_FPERIOD_OVERRIDE=FQ","FILING_STATUS=OR","Sort=A","Dates=H","DateFormat=P","Fill=—","Direction=H","UseDPDF=Y")</f>
        <v>4975.3519999999999</v>
      </c>
      <c r="J13" s="14">
        <f>_xll.BDH("XOM US Equity","EQY_SH_OUT","FQ4 1991","FQ4 1991","Currency=USD","Period=FQ","BEST_FPERIOD_OVERRIDE=FQ","FILING_STATUS=OR","Sort=A","Dates=H","DateFormat=P","Fill=—","Direction=H","UseDPDF=Y")</f>
        <v>4981.5680000000002</v>
      </c>
      <c r="K13" s="14">
        <f>_xll.BDH("XOM US Equity","EQY_SH_OUT","FQ1 1992","FQ1 1992","Currency=USD","Period=FQ","BEST_FPERIOD_OVERRIDE=FQ","FILING_STATUS=OR","Sort=A","Dates=H","DateFormat=P","Fill=—","Direction=H","UseDPDF=Y")</f>
        <v>4968</v>
      </c>
      <c r="L13" s="14">
        <f>_xll.BDH("XOM US Equity","EQY_SH_OUT","FQ2 1992","FQ2 1992","Currency=USD","Period=FQ","BEST_FPERIOD_OVERRIDE=FQ","FILING_STATUS=OR","Sort=A","Dates=H","DateFormat=P","Fill=—","Direction=H","UseDPDF=Y")</f>
        <v>4965.6880000000001</v>
      </c>
      <c r="M13" s="14">
        <f>_xll.BDH("XOM US Equity","EQY_SH_OUT","FQ3 1992","FQ3 1992","Currency=USD","Period=FQ","BEST_FPERIOD_OVERRIDE=FQ","FILING_STATUS=OR","Sort=A","Dates=H","DateFormat=P","Fill=—","Direction=H","UseDPDF=Y")</f>
        <v>4966</v>
      </c>
      <c r="N13" s="14">
        <f>_xll.BDH("XOM US Equity","EQY_SH_OUT","FQ4 1992","FQ4 1992","Currency=USD","Period=FQ","BEST_FPERIOD_OVERRIDE=FQ","FILING_STATUS=OR","Sort=A","Dates=H","DateFormat=P","Fill=—","Direction=H","UseDPDF=Y")</f>
        <v>4966</v>
      </c>
      <c r="O13" s="14">
        <f>_xll.BDH("XOM US Equity","EQY_SH_OUT","FQ1 1993","FQ1 1993","Currency=USD","Period=FQ","BEST_FPERIOD_OVERRIDE=FQ","FILING_STATUS=OR","Sort=A","Dates=H","DateFormat=P","Fill=—","Direction=H","UseDPDF=Y")</f>
        <v>4968</v>
      </c>
      <c r="P13" s="14">
        <f>_xll.BDH("XOM US Equity","EQY_SH_OUT","FQ2 1993","FQ2 1993","Currency=USD","Period=FQ","BEST_FPERIOD_OVERRIDE=FQ","FILING_STATUS=OR","Sort=A","Dates=H","DateFormat=P","Fill=—","Direction=H","UseDPDF=Y")</f>
        <v>4968</v>
      </c>
      <c r="Q13" s="14">
        <f>_xll.BDH("XOM US Equity","EQY_SH_OUT","FQ3 1993","FQ3 1993","Currency=USD","Period=FQ","BEST_FPERIOD_OVERRIDE=FQ","FILING_STATUS=OR","Sort=A","Dates=H","DateFormat=P","Fill=—","Direction=H","UseDPDF=Y")</f>
        <v>4968</v>
      </c>
      <c r="R13" s="14">
        <f>_xll.BDH("XOM US Equity","EQY_SH_OUT","FQ4 1993","FQ4 1993","Currency=USD","Period=FQ","BEST_FPERIOD_OVERRIDE=FQ","FILING_STATUS=OR","Sort=A","Dates=H","DateFormat=P","Fill=—","Direction=H","UseDPDF=Y")</f>
        <v>4968</v>
      </c>
      <c r="S13" s="14">
        <f>_xll.BDH("XOM US Equity","EQY_SH_OUT","FQ1 1994","FQ1 1994","Currency=USD","Period=FQ","BEST_FPERIOD_OVERRIDE=FQ","FILING_STATUS=OR","Sort=A","Dates=H","DateFormat=P","Fill=—","Direction=H","UseDPDF=Y")</f>
        <v>4968</v>
      </c>
      <c r="T13" s="14">
        <f>_xll.BDH("XOM US Equity","EQY_SH_OUT","FQ2 1994","FQ2 1994","Currency=USD","Period=FQ","BEST_FPERIOD_OVERRIDE=FQ","FILING_STATUS=OR","Sort=A","Dates=H","DateFormat=P","Fill=—","Direction=H","UseDPDF=Y")</f>
        <v>4968</v>
      </c>
      <c r="U13" s="14">
        <f>_xll.BDH("XOM US Equity","EQY_SH_OUT","FQ3 1994","FQ3 1994","Currency=USD","Period=FQ","BEST_FPERIOD_OVERRIDE=FQ","FILING_STATUS=OR","Sort=A","Dates=H","DateFormat=P","Fill=—","Direction=H","UseDPDF=Y")</f>
        <v>4965.66</v>
      </c>
      <c r="V13" s="14">
        <f>_xll.BDH("XOM US Equity","EQY_SH_OUT","FQ4 1994","FQ4 1994","Currency=USD","Period=FQ","BEST_FPERIOD_OVERRIDE=FQ","FILING_STATUS=OR","Sort=A","Dates=H","DateFormat=P","Fill=—","Direction=H","UseDPDF=Y")</f>
        <v>4968</v>
      </c>
      <c r="W13" s="14">
        <f>_xll.BDH("XOM US Equity","EQY_SH_OUT","FQ1 1995","FQ1 1995","Currency=USD","Period=FQ","BEST_FPERIOD_OVERRIDE=FQ","FILING_STATUS=OR","Sort=A","Dates=H","DateFormat=P","Fill=—","Direction=H","UseDPDF=Y")</f>
        <v>4968</v>
      </c>
      <c r="X13" s="14">
        <f>_xll.BDH("XOM US Equity","EQY_SH_OUT","FQ2 1995","FQ2 1995","Currency=USD","Period=FQ","BEST_FPERIOD_OVERRIDE=FQ","FILING_STATUS=OR","Sort=A","Dates=H","DateFormat=P","Fill=—","Direction=H","UseDPDF=Y")</f>
        <v>4968</v>
      </c>
      <c r="Y13" s="14">
        <f>_xll.BDH("XOM US Equity","EQY_SH_OUT","FQ3 1995","FQ3 1995","Currency=USD","Period=FQ","BEST_FPERIOD_OVERRIDE=FQ","FILING_STATUS=OR","Sort=A","Dates=H","DateFormat=P","Fill=—","Direction=H","UseDPDF=Y")</f>
        <v>4968</v>
      </c>
      <c r="Z13" s="14">
        <f>_xll.BDH("XOM US Equity","EQY_SH_OUT","FQ4 1995","FQ4 1995","Currency=USD","Period=FQ","BEST_FPERIOD_OVERRIDE=FQ","FILING_STATUS=OR","Sort=A","Dates=H","DateFormat=P","Fill=—","Direction=H","UseDPDF=Y")</f>
        <v>4966.7120000000004</v>
      </c>
      <c r="AA13" s="14">
        <f>_xll.BDH("XOM US Equity","EQY_SH_OUT","FQ1 1996","FQ1 1996","Currency=USD","Period=FQ","BEST_FPERIOD_OVERRIDE=FQ","FILING_STATUS=OR","Sort=A","Dates=H","DateFormat=P","Fill=—","Direction=H","UseDPDF=Y")</f>
        <v>4968.5240000000003</v>
      </c>
      <c r="AB13" s="14">
        <f>_xll.BDH("XOM US Equity","EQY_SH_OUT","FQ2 1996","FQ2 1996","Currency=USD","Period=FQ","BEST_FPERIOD_OVERRIDE=FQ","FILING_STATUS=OR","Sort=A","Dates=H","DateFormat=P","Fill=—","Direction=H","UseDPDF=Y")</f>
        <v>4968.3040000000001</v>
      </c>
      <c r="AC13" s="14">
        <f>_xll.BDH("XOM US Equity","EQY_SH_OUT","FQ3 1996","FQ3 1996","Currency=USD","Period=FQ","BEST_FPERIOD_OVERRIDE=FQ","FILING_STATUS=OR","Sort=A","Dates=H","DateFormat=P","Fill=—","Direction=H","UseDPDF=Y")</f>
        <v>4967.3999999999996</v>
      </c>
      <c r="AD13" s="14">
        <f>_xll.BDH("XOM US Equity","EQY_SH_OUT","FQ4 1996","FQ4 1996","Currency=USD","Period=FQ","BEST_FPERIOD_OVERRIDE=FQ","FILING_STATUS=OR","Sort=A","Dates=H","DateFormat=P","Fill=—","Direction=H","UseDPDF=Y")</f>
        <v>4967.1239999999998</v>
      </c>
      <c r="AE13" s="14">
        <f>_xll.BDH("XOM US Equity","EQY_SH_OUT","FQ1 1997","FQ1 1997","Currency=USD","Period=FQ","BEST_FPERIOD_OVERRIDE=FQ","FILING_STATUS=OR","Sort=A","Dates=H","DateFormat=P","Fill=—","Direction=H","UseDPDF=Y")</f>
        <v>4968.7</v>
      </c>
      <c r="AF13" s="14">
        <f>_xll.BDH("XOM US Equity","EQY_SH_OUT","FQ2 1997","FQ2 1997","Currency=USD","Period=FQ","BEST_FPERIOD_OVERRIDE=FQ","FILING_STATUS=OR","Sort=A","Dates=H","DateFormat=P","Fill=—","Direction=H","UseDPDF=Y")</f>
        <v>4966.0479999999998</v>
      </c>
      <c r="AG13" s="14">
        <f>_xll.BDH("XOM US Equity","EQY_SH_OUT","FQ3 1997","FQ3 1997","Currency=USD","Period=FQ","BEST_FPERIOD_OVERRIDE=FQ","FILING_STATUS=OR","Sort=A","Dates=H","DateFormat=P","Fill=—","Direction=H","UseDPDF=Y")</f>
        <v>4948</v>
      </c>
      <c r="AH13" s="14">
        <f>_xll.BDH("XOM US Equity","EQY_SH_OUT","FQ4 1997","FQ4 1997","Currency=USD","Period=FQ","BEST_FPERIOD_OVERRIDE=FQ","FILING_STATUS=OR","Sort=A","Dates=H","DateFormat=P","Fill=—","Direction=H","UseDPDF=Y")</f>
        <v>4932</v>
      </c>
      <c r="AI13" s="14">
        <f>_xll.BDH("XOM US Equity","EQY_SH_OUT","FQ1 1998","FQ1 1998","Currency=USD","Period=FQ","BEST_FPERIOD_OVERRIDE=FQ","FILING_STATUS=OR","Sort=A","Dates=H","DateFormat=P","Fill=—","Direction=H","UseDPDF=Y")</f>
        <v>4914</v>
      </c>
      <c r="AJ13" s="14">
        <f>_xll.BDH("XOM US Equity","EQY_SH_OUT","FQ2 1998","FQ2 1998","Currency=USD","Period=FQ","BEST_FPERIOD_OVERRIDE=FQ","FILING_STATUS=OR","Sort=A","Dates=H","DateFormat=P","Fill=—","Direction=H","UseDPDF=Y")</f>
        <v>4893.5839999999998</v>
      </c>
    </row>
    <row r="14" spans="1:36" x14ac:dyDescent="0.25">
      <c r="A14" s="7" t="s">
        <v>144</v>
      </c>
      <c r="B14" s="7"/>
      <c r="C14" s="7" t="s">
        <v>4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Income - Adjusted</vt:lpstr>
      <vt:lpstr>Bal Sheet - Standardized</vt:lpstr>
      <vt:lpstr>Cash Flow - Standardized</vt:lpstr>
      <vt:lpstr>Per Share</vt:lpstr>
      <vt:lpstr>Stock Value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Yamin Tang</cp:lastModifiedBy>
  <dcterms:created xsi:type="dcterms:W3CDTF">2013-04-03T15:49:21Z</dcterms:created>
  <dcterms:modified xsi:type="dcterms:W3CDTF">2018-10-23T16:12:49Z</dcterms:modified>
</cp:coreProperties>
</file>